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sitorio" sheetId="1" r:id="rId5"/>
    <sheet state="visible" name="Analytics" sheetId="2" r:id="rId6"/>
    <sheet state="visible" name="query_views" sheetId="3" r:id="rId7"/>
    <sheet state="visible" name="query_preferencias" sheetId="4" r:id="rId8"/>
    <sheet state="visible" name="query_recomendaciones" sheetId="5" r:id="rId9"/>
    <sheet state="visible" name="query_category" sheetId="6" r:id="rId10"/>
    <sheet state="hidden" name="base_for_top5" sheetId="7" r:id="rId11"/>
    <sheet state="visible" name="query_top5" sheetId="8" r:id="rId12"/>
    <sheet state="visible" name="Estudiantes" sheetId="9" r:id="rId13"/>
  </sheets>
  <definedNames>
    <definedName hidden="1" localSheetId="0" name="_xlnm._FilterDatabase">Repositorio!$A$1:$Q$1173</definedName>
    <definedName hidden="1" localSheetId="1" name="_xlnm._FilterDatabase">Analytics!$A$1:$D$3244</definedName>
    <definedName hidden="1" localSheetId="8" name="_xlnm._FilterDatabase">Estudiantes!$A$1:$C$2826</definedName>
  </definedNames>
  <calcPr/>
</workbook>
</file>

<file path=xl/sharedStrings.xml><?xml version="1.0" encoding="utf-8"?>
<sst xmlns="http://schemas.openxmlformats.org/spreadsheetml/2006/main" count="32880" uniqueCount="16167">
  <si>
    <t>N</t>
  </si>
  <si>
    <t>Autor 1</t>
  </si>
  <si>
    <t>Autor 2</t>
  </si>
  <si>
    <t>Tutor</t>
  </si>
  <si>
    <t>Titulo</t>
  </si>
  <si>
    <t>Semestre</t>
  </si>
  <si>
    <t>email</t>
  </si>
  <si>
    <t>Modalidad</t>
  </si>
  <si>
    <t>Codigo</t>
  </si>
  <si>
    <t>Calificacion</t>
  </si>
  <si>
    <t>Categoria</t>
  </si>
  <si>
    <t>Palabras clave</t>
  </si>
  <si>
    <t>Resumen</t>
  </si>
  <si>
    <t>Enlace tesis</t>
  </si>
  <si>
    <t>Enlace Resumen</t>
  </si>
  <si>
    <t>Diapositivas</t>
  </si>
  <si>
    <t>Simulacion</t>
  </si>
  <si>
    <t>DANNY MARIO OROPEZA ROJAS</t>
  </si>
  <si>
    <t>NO CORRESPONDE</t>
  </si>
  <si>
    <t>NO HAY REGISTROS</t>
  </si>
  <si>
    <t>PROYECTO DE FACTIBILIDAD PARA LA IMPLEMENTACIÓN DE UNA PLANTA PROCESADORA DE BIODIESEL EN INDUSTRIAS ADM-SAO S.A.</t>
  </si>
  <si>
    <t>I-2004</t>
  </si>
  <si>
    <t>dannymario_oropeza@hotmail.com</t>
  </si>
  <si>
    <t>PROYECTO DE GRADO</t>
  </si>
  <si>
    <t>IND-000-2004</t>
  </si>
  <si>
    <t>FACTIBILIDAD</t>
  </si>
  <si>
    <t>Biodiesel</t>
  </si>
  <si>
    <t>El Proyecto de grado tiene como principal objetivo, establecer un proyecto de factibilidad para implementar una planta procesadora de Biodiesel, a partir del aceite vegetal de soya.Para dicho estudio, se realizó como estructura fundamental la elaboración de una serie de cuestionamientos propios, para poder indagar mas profundamente en el tema de investigación; de esta manera se procedió al planteamiento de diversos objetivos específicos que se cumplieron a lo largo del estudio del proyecto. Los  objetivos específicos de mayor relevancia que se pudieron constatar a lo largo del estudio son: se determinó con exactitud, que actualmente en el país, no  se esta produciendo biodiesel a gran escala, si lo hacen en menor escala, pero esto es, para la utilización de sus propios vehículos en las zonas agrícolas del oriente boliviano.También se constató que la producción diesel oil utilizado en el país, no abastece la actual demanda, es por esta razón, que se importa gran cantidad de diesel oil, principalmente de los países vecinos como son: Chile, Argentina, Brasil y Venezuela. Estos índices de importación se lograron verificar gracias  al estudio de mercado del diesel oil que se realizó en el presente proyecto.Uno de los objetivos específicos que se tenia que desarrollar inevitablemente, fué, realizar investigaciones y cotizaciones acerca de  multinacionales a nivel mundial, que ofrezcan plantas procesadoras de Biodiesel, y que sean entregadas al cliente en calidad de “llave en mano”; es por esta razón, que en principio el único medio de investigación fue la utilización de internet. En este lapso se pudo mantener comunicación con varias empresas americanas y  algunas  empresas europeas. De las cuales se estableció comunicación con una empresa americana denominada ATTRA (seudónimo de la empresa proveedora que se utilizo a lo largo del estudio, esto a petición exclusivamente por parte de la empresa ADM-SAO S.A.); con la cual, se mantuvo estrecha relación a lo largo de todo el desarrollo de investigación del proyecto, utilizando como principal instrumento de comunicación el fax.Entre otro aspecto fundamental de la investigación del proyecto, se determinó con exactitud la capacidad productiva con la que actualmente cuenta la empresa ADM-SAO S.A., la cual es de 318 TPD (toneladas por día), capacidad que sobrepasa los requerimientos mínimos de producción de aceite por parte de la empresa ATTRA, que son de 300 TPD. Con todos estos aspectos y los requerimientos mínimos de funcionalidad por parte de la empresa contratista, se determino el personal necesario para la planta, además de determinar sus salarios.Para el mejor entendimiento acerca de lo que es la planta en su integridad, se vio por conveniente dividir todo el proceso de obtención de Biodiesel y Glicerina Farmacéutica (99,7% de pureza) como subproducto en cuatro cortes: en el primer corte se realiza el proceso de transesterificación del aceite refinado de soya, obteniéndose de esta manera el Biodiesel; en  el segundo corte se agrega el equipo de recuperación de etanol, esto principalmente para que el etanol (utilizado como insumo en la elaboración de biodiesel) sea reintroducido hasta 10 veces al sistema del proceso de transesterificación, es en este corte donde ya se obtiene glicerina como subproducto; seguidamente se tiene el tercer corte, en donde se añade un equipo de evaporador de glicerina y es en este corte donde se logra obtener glicerina con un 80% de pureza; por último esta el cuarto corte, donde con un equipo de destilación y blanqueo se obtiene glicerina con un 99,7% de pureza apta para poder ser comercializada, sobre todo para productos farmacéuticos la cual tiene un costo más elevado que la glicerina de 80% que también llega ser comercializado en otros rubros.Una vez establecido claramente el proceso de obtención del biodiesel, con sus respectivos requerimientos de infraestructura, maquinaria y personal, se realizó un estudio de ingeniería económica a través de una  evaluación financiera; con el objetivo de determinar mediante los indicadores económicos del VAN y el TIR,  si el proyecto en su totalidad (es decir, el proyecto instalado hasta el cuarto corte) es rentable. En otras palabras, se realizó el respectivo estudio con lo que se llegó a establecer un VAN de 19.066.084,00 de dólares y  un TIR del 74,865 % con un periodo de recuperacion de capital de 4 años, lo que muestra claramente que el proyecto es totalmente rentable al tener un  TIR mayor a su TRMA que es de 20%, dando como clara muestra que el VAN ofrece una cantidad positiva; otro aspecto fundamental para la determinación de la realización del proyecto es la relación beneficio- costo la cual en cifras es de 1,14670835 dólares americanos, la cual nos indica que, por cada dólar invertido el proyecto ofrecerá 1,14670835 dólares de ganancia. A simple vista esta cifra puede parecer significativamente muy pequeña, pero debemos de tomar en cuenta, que se esta considerando millones de dólares en inversión y que a la hora de efectuar los cálculos de las ganancias, esta cifra resultara ser muy atractiva, claro ejemplo de esto es el VAN obtenido.En síntesis todos los aspectos están dados, los cálculos efectuados concluyen que  se trata de un proyecto netamente  rentable y muy atractivo, que al ser implementado traerá muchas ganancias a la empresa inversionista, por lo que se sugiere tomar como paso inicial para  su aplicación, este minucioso estudio realizado.</t>
  </si>
  <si>
    <t>https://drive.google.com/file/d/1yNmUbZT_nqRNBC1nhxUxXH1qltytSsCA/view?usp=sharing</t>
  </si>
  <si>
    <t>https://drive.google.com/file/d/1TlxFBwnFfYsZWQjq2T1UkymnmKGh5ApZ/view?usp=sharing</t>
  </si>
  <si>
    <t>No tiene</t>
  </si>
  <si>
    <t>ESPINOZA HINOJOSA JOSE ISRAEL</t>
  </si>
  <si>
    <t>FLORES AGUIRRE WILLY MAGNO</t>
  </si>
  <si>
    <t>PROYECTO DE FACTIBILIDAD ECONÓMICA Y FINANCIERA PARA LA INSTALACIÓN DE UNA PLANTA PROCESADORA DE CAMU CAMU</t>
  </si>
  <si>
    <t>No hay registros</t>
  </si>
  <si>
    <t>IND-001-2004</t>
  </si>
  <si>
    <t>Camu camu</t>
  </si>
  <si>
    <t>El camu camu  es una variedad de  fruto que tiene su origen en la ribera de los ríos de la Amazonia  Peruana y que por sus características peculiares y su reciente introducción a los mercados mundiales, promete ser un cultivo muy promisorio. Investigaciones realizadas por el Instituto de Nutrición del Perú y la Universidad Nacional Agraria “La Molina” – UNALM, demostraron el alto contenido de ácido ascórbico en la pulpa de camu-camu. Su importancia y valor económico se debe principalmente a su alto contenido de ácido ascórbico (vitamina C), elemento utilizado en la industria farmacológica como fuente natural de vitamina C. Comparativamente el camu-camu tiene  de 30 a 60 veces mas ácido ascórbico que la naranja y el limón. Por lo tanto el   cultivo del camu camu en el trópico cochabambino se constituye en una eficiente alternativa a la siembra de cultivos ilícitos, dado que se encuentra dentro de los programas del desarrollo alternativo.El Estudio de Mercado se divide en: Investigación de Mercado de la Mermelada y Te de Frutas basado en encuestas dirigido a los Hogares y Puntos de venta;  Investigación de Mercado de la Pulpa de camu-camu dirigido al mercado local y extranjero y una prueba de degustación del fruto de camu-camu en mermelada y  pulpa.Se  observo que los factores que más influyeron en la determinación del tamaño fueron principalmente: Las características del mercado de consumo es decir la demanda, la tecnología de producción y la disponibilidad de recursos financieros.La planta estará macro localizada en la ciudad de Cochabamba, se consideraron  tres zonas para la micro localización: Parque Industrial Santivañez Sacaba Entre Ríos  (Chapare).Se utilizó el método de calificación por puntos, cuyo principal factor de determinación  fue el abastecimiento de materia prima, llegando a la conclusión de micro localizar la planta en la localidad de Entre Ríos (Chapare), que geográficamente pertenece al cantón Pojo de la Provincia Carrasco del departamento de Cochabamba, a una distancia de  256 Km. sobre la carretera principal a Santa Cruz, cuenta con servicios básicos, energía eléctrica, gas, agua, telecomunicaciones.La materia prima elegida para ser procesada por el proyecto es el fruto de la camu camu, es una especie nativa de la Amazonia, crece principalmente en Perú y fue introducida a Brasil hace muchos años y recientemente a Colombia, Venezuela y Bolivia. El alto contenido de ácido ascórbico (vitamina C) hace que el fruto del camu camu sea atractivo en el mercado internacional, la vitamina C es un importante antioxidante.El Proceso seleccionado es simple, semiartesanal ya que buena parte de la secuencia se realiza manualmente con ayuda de utensilios y el equipo industrial  sencillo. Las etapas del proceso productivo se dividen en tres módulos, uno para cada producto del proyecto es decir Mermelada, Pulpa y Te. Las etapas constan de: Recepción; Selección; Lavado; preparado de las fruta tanto de la papaya y camu camu; Despulpado; Refinado; Homogenización del cual una parte de la pulpa de camu camu se destina para la clasificación y empaque de pulpa congelada y la otra parte de pulpa de camu y papaya pasa a la etapa de concentrado para la elaboración de mermelada. Del rechazado de cáscaras se  elabora el Te;  Luego viene el envasado y almacenaje tanto de mermelada, pulpa y Te.La Estructura Orgánica se determino en función a los planes de inversión del proyecto, tecnología administrativa y complejidad de operaciones. Las necesidades de mano de obra se determinan en base a las exigencias técnicas y administrativas del proyecto, y comprende desde el personal superior hasta la mano de obra no calificada. La organización de la empresa identifica básicamente tres departamentos: Producción, Administración y Comercialización, al margen de contar con una gerencia general. Totalizando la contracción de 17 personas. De las cuales 9 serán mano de obra directa y la restante mano de obra indirecta.El proyecto demanda la Inversión total de 128,666 $us, de los cuales el 60% será financiado por crédito bancario y un 40% de aporte propio.Se obtuvo en la Evaluación Financiera y Económica los siguientes resultados: VAN (12% Tasa de descuento) igual a 168,323 $us, una TIR de 41,04%, una Relación B/C igual a 1.35La evaluación Económica consiste en medir el aporte neto del proyecto al bienestar nacional. De tal forma que se tomaron en cuenta los siguientes indicadores:Generación de Empleo, La demanda de materias primas y Servicios valor agregado Como resultado de la evaluación ambiental desde un punto de vista ambiental-ecológico y cumpliendo con la ley del medio ambiente se han identificado los agentes contaminantes y las medidas de mitigación. Así mismo la ley de medio ambiente clasifica al proyecto dentro la categoría 3 que requiere solo del planteamiento de medidas de mitigación y un seguimiento ambiental para un adecuado control del proceso productivo para evitar irregularidades o a fin de tomar a tiempo medidas correctivas o de atenuación.</t>
  </si>
  <si>
    <t>https://drive.google.com/file/d/1CQw2OpRN_seOjEfh6WEvIIji9wCy9Nod/view?usp=sharing</t>
  </si>
  <si>
    <t>CHIRINOS LOZADA JAVIER SERAPIO</t>
  </si>
  <si>
    <t>BECERRA DOMINGUEZ YSRAEL</t>
  </si>
  <si>
    <t>ESTUDIO DE FACTIBILIDAD PARA UNA PLANTA RECICLADORA DE PAPEL DENTRO LA U.M.S.S.</t>
  </si>
  <si>
    <t>ysra12@hotmail.com</t>
  </si>
  <si>
    <t>IND-002-2004</t>
  </si>
  <si>
    <t>Recicladora</t>
  </si>
  <si>
    <t>Se cumplieron los objetivos deseados, en los ocho capítulos desarrollados. Se Hizo estudios de mercado para determinar la cantidad de 1,5 Ton/dia de materia prima.Se identificó 2 alternativas, y se hizo la elección de la alternativa mas factible.Las Alternativas que el Proyecto propuso son las siguientes:ALTERNATIVA IEl producto final que se lograra a través de esta alternativa será una pasta de buena calidad, que comprende los siguientes procesos: La preparación de la pasta cubre operaciones tales como la recepción, selección, almacenamiento de las materias primas, trituración, proceso de purificación, refinado de la pasta y destintado.ALTERNATIVA IIEl producto final que se obtendrá en esta alternativa será cartón gris, que sigue las mismas operaciones de la alternativa I para la obtención de la pasta. Pero a diferencia de la anterior alternativa se obtiene una pasta de menor calidad, por lo tanto no es necesario la inclusión de las siguientes operaciones en la preparación de la pasta: ·       Tamizado de la pasta y·       Destintado.Pero en cambio en esta alternativa se requiere de otras operaciones como:·       . Formación de la pasta en una maquina papelera.Después de realizar la investigación y cumplir con los objetivos trazados se llego a la conclusión que la mejor alternativa es la alternativa I, por que es la      alternativa que requiere de menor inversión y que además, el mercado nacional al cual ingresara no tendría competencia. Además se demostró su rentabilidad  En cuanto a su ubicación se planteo la ex–fabrica de tizas para la instalación de la planta.Se realizó el llenado de la ficha ambiental exigida para los proyectos.Se evaluó la mejor alternativo por los indicares financieros como la TIR, VAN.</t>
  </si>
  <si>
    <t>https://drive.google.com/file/d/1JBMpCG3OQSvTSAwIJi7bb-HAUqNcEnCa/view?usp=sharing</t>
  </si>
  <si>
    <t>CARLA VIVIAN ROJAS NAVIA</t>
  </si>
  <si>
    <t xml:space="preserve">DIAGNOSTICO DEL SISTEMA DE COBRANZA INTERNO DE LA UNIDAD DE SERVICIOS FINANCIERO DE LA EMPRESA VIVA-GSM
</t>
  </si>
  <si>
    <t>carlavivianarn@yahoo.es</t>
  </si>
  <si>
    <t>TRABAJO DIRIGIDO</t>
  </si>
  <si>
    <t>IND-003-2004</t>
  </si>
  <si>
    <t>SISTEMAS DE INFORMACIÓN</t>
  </si>
  <si>
    <t>VIVA</t>
  </si>
  <si>
    <t>La empresa de telecomunicaciones VIVA-GSM cuenta con una unidad de Servicios Financieros cuya tarea se centra en el control de la facturación pago y recuperación de la cartera en mora de los clientes post-pago y cuenta controlada.El proceso de recuperación de los clientes en mora es realizado por un sistema de cobranza  interno encargado de realizar la mora de 1 a 90 días, después de los cuales esta cartera en mora es traspasada a la empresa de cobranza SERVINCO que le significa un costo adicional.El objetivo de esta unidad es llegar a un 92.5% de recuperación de su cartera en mora con su sistema de cobranza interno.Se realizo un análisis y evaluación del actual proceso de cobranza a clientes post-pago y cuenta controlada a través del cual se detecto las fortalezas y debilidades.Se realizo la revisión de los files de los clientes en mora para evaluar la información recogida por la unidad de ventas y verificada y aprobada por la unidad de activaciones, con lo cual se logro determinar que esta información repercute en la mora de la empresa, paralelamente se realizo un análisis del historial de reclamos realizados por el cliente y se logro determinar que muchos de ellos entran en mora por un mal servicio recibido.Con toda esta información se planteo el diseño de un modelo automático de gestión de cobranza que optimizará en un 65% el numero de contacto a clientes en mora, cumpliendo el objetivo de alcanzar el 92.5% de recuperación y que además significa un ahorro del 24% en el pago a la empresa SERVINCO.Finalmente para alcanzar la visión de la empresa de llegar a ser la numero uno en prestación de multi-servicios inalámbricos, se planteo el diseño de un modelo de cuadro integral, como herramienta de control estratégico de las operaciones de la Vicepresidencia de Operaciones con Clientes.</t>
  </si>
  <si>
    <t>https://drive.google.com/file/d/1Q1a9v3pwCCkX8Q-sPumxJoFjuOpwO2hg/view?usp=sharing</t>
  </si>
  <si>
    <t>VASQUEZ FLORES YOSHIDA IVETT</t>
  </si>
  <si>
    <t>ESTUDIO DE FACTIBILIDAD PARA LA IMPLEMENTACIÓN DE UNA PLANTA PRODUCTORA DE ALMIDÓN DULCE DE YUCA Y SU EXPORTACIÓN</t>
  </si>
  <si>
    <t>yoshi_112000@yahoo.es</t>
  </si>
  <si>
    <t>IND-004-2004</t>
  </si>
  <si>
    <t>Yuca</t>
  </si>
  <si>
    <t>El objetivo principal de este proyecto fue el de realizar un “Estudio de Factibilidad”, tal que permita obtener los suficientes elementos de juicio para determinar la conveniencia de implementar una planta productora de almidón dulce de yuca.En Bolivia no existe producción  de almidón industrial de ningún tipo, por lo que industrias bolivianas se ven en la necesidad de importar este producto, ya que es un insumo necesario en muchos procesos productivos.El almidón es uno de los principales componentes de la yuca, de otras raíces y tubérculos, se encuentra almacenado en gránulos y se extrae utilizando un proceso de disolución en agua. Su composición química es básicamente de amilasa y amilopactina, dos carbohidratos de estructura diferente, que son las que le dan las propiedades funcionales al almidón, ambos se encuentran en proporciones diferentes dependiendo de donde se obtenga el almidón y de otras variables.El almidón de yuca se puede usar para  sustituir parcialmente el almidón de maíz y de papa en algunos procesos como la obtención de siropes, de glucosa y en todos los tipos de almidones modificados, además los almidones de este tubérculo son reconocidos como materia prima adecuada para producir dextrinas, sustancias básicas que ofrecen una amplia aplicación en la industria de alimentos, papel, textiles, glucosa, dextrosa, farmacia y otros.En cuanto a la investigación de mercado se analizó el mercado interno y la Unión Europea. La demanda nacional fue determinada con datos históricos; de acuerdo a datos proporcionados por la Cámara Nacional de Comercio la importación de almidones para el país significa una fuga promedio de $US 983395.64 cada año, lo que es equivalente a 4276 TM. Se puede afirmar que el mercado nacional es de bastante consideración y las posibilidades de comercialización interna son bastante atractivas, ya que Bolivia importa grandes cantidades de almidón y es previsible que la ampliación de su mercado sea mayor. Por tanto se pretende entrar al mercado del almidón con un 15% de participación los 2 primeros años, para luego llegar a un 20 a 25% a partir del tercer año, lo cual significa alrededor de 641.25  y 855 a 1068.75 TM/año respectivamente.La Unión Europea es la mayor importadora de raíces secas y almidón de yuca, seguida por los Estados Unidos y Japón. Las fuentes principales del almidón usado en Europa son maíz, patatas y trigo. Otras fuentes, tales como la tapioca (mandioca), arroz y cebada, se utilizan en una escala más pequeña.En general, las posibilidades de ampliación de la demanda de almidón de yuca son muy elevadas por las ventajas que este ofrece sobre las demás. Sin embargo, el proceso de extracción del almidón de yuca es predominante como pequeña industria casera, excepto en Tailandia, Indonesia y Brasil.Según los datos proporcionados por la Eurostat, los principales países demandantes de almidón de yuca son Francia, Holanda, Alemania y el Reino Unido; a los cuales se los puede considerar como mercados potenciales y por tanto de bajo riesgo. Italia, Dinamarca, Bélgica y Suecia se los considera en el grupo de los mercados emergentes, Siendo Dinamarca y Suecia los mercados que registran crecimientos considerables; por lo que se puede decir que estos mercados podrían desarrollarse más en el futuro.En un principio el mercado objetivo para el almidón de yuca serán los países de Alemania y El Reino Unido, que están dentro de los mercados potenciales y que registran el mayor porcentaje de demanda insatisfecha. El proyecto pretende cubrir estos mercados en los dos primeros años con un 10% de la demanda insatisfecha, lo cual significa 282.02 TM/año para Alemania y 100.13 TM/año para el Reino Unido, para que a partir del tercer año se pueda cubrir totalmente este nicho.El requerimiento anual de materia prima para la producción de almidón dulce de yuca es de 10920 TM/año, lo cual significa un 13% de la producción actual. Por tanto no existirá en ningún momento la falta de materia prima, ya que existe la suficiente producción de yuca en el trópico de Cochabamba.En base al método cualitativo por puntos, se efectuó el análisis para determinar la localización adecuada para la planta procesadora de almidón dulce de yuca. Siguiendo la metodología de elegir la calificación más elevada, se determinó que la zona de Villa Tunari cuenta con todas las facilidades requeridas por el proyecto. El monto total de inversión es de $US 493623. La evaluación financiera se realizó desde dos puntos de vista: del Proyecto y del Inversionista a una tasa de oportunidad o actualización del 16%. Los indicadores muestran que desde ambos puntos de vista es viable invertir.Los resultados desde el punto de vista del proyecto son: VAN = $US, 146100, TIR = 21,3% y el periodo de recuperación de capital es de 7 años y 3 meses. Teniendo un apalancamiento de financiamiento del 50% (5 años de crédito), los resultados desde el punto de vista del inversionista son: VAN = $US 196239, TIR =  25,7%, teniendo un periodo de recuperación de capital de 5 años y 3 meses.</t>
  </si>
  <si>
    <t>https://drive.google.com/file/d/1T5xhIdT3JMlGNFmJbvGmKLrD_8b938G8/view?usp=sharing</t>
  </si>
  <si>
    <t>JULIO CESAR PINO MOLINA</t>
  </si>
  <si>
    <t>ÁLVARO CÉSAR ORTUÑO PLAZA</t>
  </si>
  <si>
    <t xml:space="preserve">LINEAMIENTOS DE COMPETITIVIDAD ECONÓMICA-AMBIENTAL  PARA LA CADENA DEL CALZADO DE CUERO EN COCHABAMBA:
CASO DE LA MICRO Y PEQUEÑA INDUSTRIA 
</t>
  </si>
  <si>
    <t>julio1810@hotmail.com</t>
  </si>
  <si>
    <t>IND-005-2004</t>
  </si>
  <si>
    <t>OTROS</t>
  </si>
  <si>
    <t>Calzado</t>
  </si>
  <si>
    <t>La Micro y Pequeña Industria del calzado de cuero es de gran importancia en la Economía de Bolivia por su gran aporte en la generación de empleo. Sin embargo, este sector  presenta problemas en varios niveles (empresarial, sociopolítico, institucional, ambiental, entre otros); por tanto se ve la necesidad de  fijar líneas de acción orientadas a superar estas dificultades porque beneficiarían enormemente a la región y consecuentemente al país.Para la elaboración de la presente investigación se aplicaron dos enfoques metodológicos: Cadenas Globales de Mercancías y Análisis del ciclo de Vida Ambiental, adecuados a las características del sector. Se trabajó esencialmente en base a información secundaria, complementada con entrevistas a personas entendidas en el tema. A partir de la información obtenida, se logró identificar y analizar los agentes, flujos y circuitos que interactúan  en la cadena del calzado de cuero de Cochabamba; así como determinar la ubicación geográfica  y grado de concentración de los diferentes actores económicos. Asimismo, se logró determinar la orientación de la cadena (de oferta), y la fuerza motriz de toda la cadena (curtiembres medianas y grandes). También, se logró identificar los problemas ambientales generados y sus causas en cada etapa de la cadena; para luego construir un perfil ambiental cualitativo de la micro y pequeña industria del calzado de cuero de Cochabamba. En este sentido, este análisis se desarrolló en todo el ciclo del producto, desde el primero hasta el último segmento de la cadena.Los resultados de la investigación fueron plasmados en forma de lineamientos de política económica y ambiental que estén orientados a reforzar la competitividad sostenible de la micro y pequeña industria del calzado de cuero de Cochabamba.</t>
  </si>
  <si>
    <t>https://drive.google.com/file/d/11AieFSFyzEP7_rAuzD-Y-KkO1zkU7tBP/view?usp=sharing</t>
  </si>
  <si>
    <t>MARIAN DANITZA LUNA MAMANI</t>
  </si>
  <si>
    <t>CLAUDIA SHIRLEN ROJAS DELGADILLO</t>
  </si>
  <si>
    <t>ING. JOSÉ ROBERTO SOTO SOLÍZ</t>
  </si>
  <si>
    <t xml:space="preserve">ESTUDIO DE FACTIBILIDAD PARA LA PRODUCCIÓN DE UNA LÍNEA DE EDREDONES EN BASE A PLUMA DE PATO PARA LA EMPRESA “A.C. ASOCIADOS S.R.L.”
</t>
  </si>
  <si>
    <t>IND-006-2004</t>
  </si>
  <si>
    <t>Edredones</t>
  </si>
  <si>
    <t>A.C. Asociados S.R.L. empresa de servicios y representaciones, actualmente se dedica a la producción d juegos de sábana y cobertores de cama. La empresa pretende incurrir en la producción de una línea de edredones en base a pluma de pato, diversificando su producción y ofrecer al mercado local un producto que está elaborado con materiales 100 % naturales, que brindará comodidad, suavidad y ligereza al consumidor final en sus momentos de descanso. El mercado destino es la ciudad de Cochabamba (Cercado) específicamente los estratos medio y alto.En Cochabamba existe materia prima disponible (pluma de pato, tela, etc.), de igual manera se cuenta con mano de obra calificada, la ubicación del proyecto es la zona de Tiquipaya. Se realizaron pruebas en laboratorio con la finalidad de plantear un proceso de higienización de la pluma de pato para ser utilizada como relleno. La maquinaria utilizada dentro el proceso productivo de los edredones se considera semiartesanal.El análisis financiero demuestra la vialidad del proyecto y finalmente la evaluación ambiental muestra que el proyecto provoca impactos que el mismo medio puede auto depurar.Se recomienda la implementación del proyecto porque generará beneficios a la misma empresa, fuentes de trabajo, utilizando materia prima (pluma de pato) que hasta ahora no ha sido aprovechada</t>
  </si>
  <si>
    <t>https://drive.google.com/file/d/14HNEixvwtyS_pRqfybNby-S0W3jtUIVU/view?usp=sharing</t>
  </si>
  <si>
    <t>NORMAN ALFREDO COSSIO MEJIA</t>
  </si>
  <si>
    <t>MODELO DE PROGRAMA DE GESTION DE SEGURIDAD INTEGRAL EN EL PARQUE INDUSTRIAL SANTIVAÑEZ EN LOS RUBROS ASERRADEROS-BARRACAS-PROCESADORAS DE MADERA</t>
  </si>
  <si>
    <t>normancossio@hotmail.com</t>
  </si>
  <si>
    <t>IND-007-2004</t>
  </si>
  <si>
    <t>SEGURIDAD INDUSTRIAL</t>
  </si>
  <si>
    <t>Aserradero</t>
  </si>
  <si>
    <t>El Parque Industrial de Santiváñez, ha sido uno de los proyectos más importantes de los años setenta que tuvo la ex Corporación Regional de Desarrollo de Cochabamba (CORDECO), habiéndose logrado soporte del gobierno para la realización de estudios de factibilidad y de diseño final.El Parque Industrial de Santiváñez no solo propicia un mayor desarrollo para la Industria, proporcionándole un espacio básico, para ampliar su capacidad de producción, sino que genera un impacto socio‑económico significativo para el Municipio de Santivánez y en las comunidades aledañas, con efectos importantes sobre la estructura económica, disponibilidad de servicios, el nivel de empleo y los ingresos de los pobladores de la región.Para la realización de este trabajo se siguieron 7 etapas: Recolección de Datos mediante un estudio de los procesos productivos de cada rubro,  para conocer las operaciones y el tipo de maquinaria utilizada. Posteriormente se identificaron  los riesgos posibles en cada operación utilizando métodos cualitativos como son la herramienta del Mapa de Riesgo y una tabla de elaboración propia que donde se identificaran el riesgo potencial de accidente, las causas, efectos, Tipo de riesgo, medida para eliminar el riesgo y equipo protector individual a utilizar. Los riesgos fueron evaluados utilizando métodos cualitativos como ser la evaluación general de riesgos el cual consiste en combinar las probabilidades de que ocurra los riesgo de accidentes los cuales pueden ser: Alta, Media y Baja con las consecuencias los cuales son extremadamente dañino, dañino, ligeramente dañino la combinación de estos nos permiten hallar los niveles de riesgo que serán la base para tomar medidas para eliminar los riesgos de accidentes.Los métodos cuantitativos, Árbol de Fallas que es una herramienta que nos permitirá encontrar la expresión de sucesos compleja a partir de los fallos básicos de los componentes que intervienen en el. Mas específicamente consiste en descomponer sucesivamente los sucesos complejos en sucesos intermedios hasta llegar a sucesos básicos estos sucesos se unirán por medio de puertas lógicas lo que representa los operadores del álgebra de Boole.Se determinaron medidas preventivas y correctivas. Posteriormente se elaboró el Plan de Seguridad e Higiene Industrial en el cual se contemplan las distintas soluciones a las contingencias que puedan producirse. Se procedió al desarrollo del Programa de Gestión de Seguridad Integral, definiendo la organización del grupo encargado de llevar a cabo de una manera efectiva  el Plan de Seguridad Industrial, además de programar inspecciones y capacitaciones. Finalmente se realizó un Análisis Económico en el que se cuantificó la inversión necesaria para la implantación del Programa de Gestión de Seguridad Integral mediante una estimación de costos.Siguiendo las etapas anteriores se elaboró un Modelo de Programa de Gestión de Seguridad Integral que integre los aspectos humanos, legales, económicos y técnicos de todos los riesgos que puedan afectar a los rubros de aserraderos, barracas y procesadoras de madera.Se elaboró un plan de lucha contra incendios, el cual indica paso a paso las acciones a tomar en caso de producirse alguno y la formación de brigadas de lucha contra incendio con el personal de cada una de las empresas asentadas en el P.I.S los cuales cumplirán funciones especificas, estas brigadas estarán formadas por un Capitán de brigada, un capitán de brigada suplente y miembros de 4 a 5 personas. Se estableció un sistema organizativo para que el comité de seguridad tenga un manejo adecuado de las medidas establecidas en el plan de seguridad e higiene industrial. Se elaboró un programa de inspección con el cual se pueda realizar un control de las medidas de seguridad establecidas en el plan. Se realizaron programas de charlas periódicas de seguridad y capacitación de los trabajadores que permitan un mejor entendimiento de la importancia de las seguridad industrial, logrando un cambio de actitud en el personal.Se recomendó la reutilización de los desechos sólidos mediante la venta de los mismos a empresas de aglomerados para evitar la acumulación de desechos. Así como también que el comité de seguridad realice evaluaciones continuas del programa de gestión de seguridad integral, para de esta  manera lograr una mejora continua de las medidas.</t>
  </si>
  <si>
    <t>https://drive.google.com/file/d/1cut7SlB_HpkLYmYLhq1Jp_RRng5n4NmI/view?usp=sharing</t>
  </si>
  <si>
    <t>FREDDY VÍCTOR ÁNGELO LÓPEZ</t>
  </si>
  <si>
    <t>ROSSIO CLAUDIA ANGOLA GARCÍA</t>
  </si>
  <si>
    <t>DESARROLLO DE UNA PLANIFICACIÓN ESTRATÉGICA DE MARKETING Y UNA PLANIFICACIÓN DE LA PRODUCCIÓN PARA LA EMPRESA DE MUEBLES METÁLICOS “RACAO”</t>
  </si>
  <si>
    <t>f_angelo@hotmail.com</t>
  </si>
  <si>
    <t>IND-008-2004</t>
  </si>
  <si>
    <t>MARKETING/MERCADOTECNIA</t>
  </si>
  <si>
    <t>Muebles</t>
  </si>
  <si>
    <t>El presente proyecto de grado, tiene como objetivo desarrollar una planificación estratégica de marketing y una planificación de la producción en la empresa de muebles metálicos RACAO; que contemple la utilización de conceptos y técnicas actuales en planificación estratégica y en planificación de la producción, con el fin de desarrollar las potencialidades de la empresa y superar los obstáculos que se oponen al incremento de la productividad.El trabajo comienza con el diagnostico general de la organización basado en información actual y detallada sobre los distintos aspectos de la Empresa, y el diagnóstico del medio externo con el objeto de identificar las oportunidades, amenazas y problemas que le afectan. El siguiente paso fue la realización del estudio de mercado comenzando por la segmentación del mercado (selección de los mercados a ser estudiados), determinación del tamaño de la muestra, diseño de encuestas y por último el análisis e interpretación de los resultados.A partir de los resultados del estudio de mercado, el análisis interno y el análisis externo se procede a la elaboración del análisis y elección de estrategias que incluye el desarrollo de las matrices MPC, EFE, EFI, FODA, PEYEA, BCG, IE Y MCPE. Siguiendo con la ejecución del plan operativo de marketing, formado por las estrategias de posicionamiento, los planes de acción en el mercado, producto, precio, distribución, comunicación; las que ayudarán al fortalecimiento de la Empresa.Por último se procedió a la planificación de la producción que contiene la elaboración de varios métodos de pronóstico, eligiéndose el que tenga el menor error. Posteriormente se desarrolla el plan agregado por medio del método de hoja de cálculo, en el cual se utiliza el criterio de menor costo. Finalmente se diseñaron hojas de control para los diferentes procesos de producción, con el fin de ayudar al control del manejo de recursos.Conclusiones.1) Su bajo posicionamiento se debe en gran manera a la falta de promoción y actividades de Marketing para sus productos. Sin embargo RACAO cuenta con suficientes herramientas con las que puede desempeñar fácilmente sus actividades. 2)  Es necesaria la implantación de estrategias de marketing que permitan buscar una mejor participación y reconocimiento en el mercado. 3) Para la realización del pronóstico se determinó que el método más adecuado es el método descomposición. 4) Con la planificación de la producción, mediante el uso del plan agregado se pudo determinar como cubrir la demandada, mediante el uso racionado de recursos económicos y del personal.Recomendaciones.1) Se recomienda la investigación de nuevos segmentos de mercado al interior del país. 2) Se recomienda el diseño y el desarrollo de material que apoye la función de ventas, tales como: catálogos, trípticos y planes promocionales para atraer nuevos clientes.3) Implementar y poner en marcha los programas de marketing propuestos promocionando los productos y la marca.4) Capacitación permanente del personal de la Empresa para un mejor desarrollo de sus actividades.</t>
  </si>
  <si>
    <t>https://drive.google.com/file/d/1sP3nJGLsvKouI4fM5wZO7WVAADqOkraQ/view?usp=sharing</t>
  </si>
  <si>
    <t>RODRIGUEZ PONCE DE LEON KARINA AMALIA</t>
  </si>
  <si>
    <t>ZEBALLOS COCA MIRTHA NELLY</t>
  </si>
  <si>
    <t>ESTUDIO PROSPECTIVO DE INNOVACIÓN EN LA FABRICACIÓN DE HORMAS DE ZAPATO PARTIDAS DE MATERIAL PLÁSTICO CON LA APLICACIÓN DE LA INGENIERÍA INVERSA Y EL APOYO DE LA TECNOLOGÍA CAD</t>
  </si>
  <si>
    <t>Desconocido</t>
  </si>
  <si>
    <t>IND-009-2004</t>
  </si>
  <si>
    <t>Zapatos</t>
  </si>
  <si>
    <t>Actualmente en nuestro medio se fabrican y venden hormas enteras de material plástico las cuales nos satisfacen totalmente las necesidades de los fabricantes de zapato. Entre estas necesidades se tiene: bajo precio del producto, resistencia del material a martillazos y a la compresión y facilidad de extracción del zapato.Con el fin de satisfacer a la demanda de hormas de zapato, se ha realizado el presente estudio el cual esta orientado a proponer la producción de hormas plásticas partidas. Para ello, se aplicara una ingeniería inversa en el proceso de fabricación.El mejoramiento del proceso  productivo que es necesario para fabricar este producto estará apoyado por tecnología de avanzada como lo es la tecnología de diseño asistido por computador y la tecnología de medición por coordenadas.En este estudio inicialmente se desarrollan una serie de aspectos a manera de  dar a conocer las características generales y actuales de las hormas de zapato, posteriormente se da  ha conocer los objetivos y la justificación del proyecto.El tercer capitulo contiene todos los conceptos y definiciones referentes a este estudio.La metodología de este estudio de investigación y las soluciones para lograr el mejoramiento del proceso de fabricación de hormas partidas se presentan en el cuarto y quinto capitulo consecutivamente.Las etapas desarrolladas para el proceso de fabricación de hormas partidas de plástico son las siguientesEtapa I   Elección del modelo que se tomará como patrón en la fabricación de las hormas de zapato para el presente estudio.     En esta Etapa se realiza la elección del modelo de horma de zapato, sobre el cual se trabajará en los procesos de digitalización y diseño. Etapa II Digitalización tridimensional con la tecnología de Medición por Coordenas en 3D de la horma patrón, procesamiento de datos generados, y obtención del sólido representativo en computador (dibujo de la horma patrón), a partir del  Ajuste de Superficies y  Modelamiento de Sólidos.                                                Etapa III   Determinación del factor de escala y definición de  la geometría del interior de la ranuras  para las hormas partidas.Etapa IV  Diseño primario de los dispositivos de fijación que se requieren para realizar las operaciones necesarias para la fabricación de una horma partida.Etapa V Evaluación del costo que representa la implementación del procesoEn el desarrollo de esta etapa, se  establecerá de manera explícita  la relación que existe entre el costo del proyecto propuesto en comparación con el ingreso adicional que el equipo genera. En el capitulo 6 se tiene la evaluación de la estructura de costos para el proyecto y finalmente se presenta las conclusiones y recomendaciones .</t>
  </si>
  <si>
    <t>https://drive.google.com/file/d/1Zr7yaSXT0_cTOBuT3HzqBYBLHPDdjTNQ/view?usp=sharing</t>
  </si>
  <si>
    <t>ROJAS ZAPATA MIRCKO DENAR</t>
  </si>
  <si>
    <t>QUINTEROS ACUÑA ERIKA LORRIE</t>
  </si>
  <si>
    <t>ESTUDIO PARA LA IMPLEMENTACIÓN DE LA NORMA ISO 9001:2000 EN LA FÁBRICA DE CHOMPAS DE LANA DE ALPACA ASARTI</t>
  </si>
  <si>
    <t>sawerp@hotmail.com</t>
  </si>
  <si>
    <t>IND-010-2004</t>
  </si>
  <si>
    <t>CALIDAD</t>
  </si>
  <si>
    <t>Lana</t>
  </si>
  <si>
    <t>La Industria “ASARTI” es una empresa cuyo principal rubro es el de fabricar chompas hechas con lana de alpaca, mismas que son traídas tanto del altiplano Boliviano como del vecino país del Perú. Las características principales de esta empresa sobre cualquier otra existente en el mercado radica en la calidad de diseño y en el exhaustivo control de la calidad de la lana utilizada en sus chompas y de la elaboración de la prenda en si.ASARTI se encuentra ubicada en la provincia de Tiquipaya, a unos 13 Km. de la ciudad de Cochabamba, tiene una extensión aproximada de 2000 m2 entre terreno y construcción contando con todos los servicios necesarios para su correcto funcionamiento. Esta empresa trabaja día a día con 250 trabajadores los mismos que desempeñan sus actividades durante 8 horas diarias, trabajando en un turno.La comercialización de los productos de ASARTI se la realiza localmente en una tienda que se encuentra localizada en la plaza Colón, edificio Colón planta baja y en el departamento de La Paz en el hotel Radisson, pero su principal mercado se encuentra en Europa, principalmente en los países nórdicos. El interés actual de ASARTI radica en la diversificación de sus productos, y generar un crecimiento en el mercado local, incursionando a los principales departamentos del país.Hablando de calidad podemos resaltar sus características, estas pueden ser: Un requisito físico o químico, una dimensión, una temperatura, una presión o cualquier otro requerimiento que se use para establecer la naturaleza de un producto o servicio. La calidad no tiene un significado popular de lo mejor en el sentido absoluto, industrialmente quiere decir, mejor dentro de ciertas condiciones del consumidor, ya que es él, quien en última instancia determina la clase y la calidad del producto que desea. El diagnóstico a desarrollarse es fruto de la recopilación de percepciones que tienen los trabajadores para con su fuente de trabajo, un análisis detallado de los distintos factores tanto internos de la empresa como externos que influyen o influirán ya sea de manera positiva o negativa.El diagnóstico empresarial a realizarse tendrá la modalidad de un análisis global. Este irá a ser desarrollado según la siguiente metodología. Ø  Análisis de factores internosPara poder desarrollar un análisis detallado de todos los aspectos internos que frenan el desarrollo de la empresa, así como aquellos que sedimentan su posición como una organización consolidada, se tomarán dos puntos de vista, tanto las fortalezas como las debilidades.Ø  Análisis de factores externosLos factores externos que irán a afectar en cierta medida el funcionamiento de la empresa, su actividad futura en el mercado, el crecimiento o estancamiento de la misma según las distintas opciones que se presenten.Ø  Cruce de información en la matriz EFI-EFE.Ø  Planteamiento de estrategias.Un manual de calidad contiene una serie de definiciones relacionadas con los procedimientos administrativos que se requieren en un sistema de calidad total. El propósito de un manual de calidad no es proporcionar detalle paso por paso sobre una tarea específica.Se da un gran debate y muchas diferencias de opinión acerca de que es exactamente lo que debe contener un manual de calidad. Es un manual que contendrá elementos tales como: controles del proveedor, controles de materias primas, capacitación, calificaciones de productos terminados, control estadístico de proceso, calibraciones de medición, y otros.Los clientes particulares pueden especificar requisitos del sistema de calidad peculiares a sus propias necesidades, tales como mantener registros de calidad en términos de tiempo, o el límite de tiempo en el que se responderán las reclamaciones del cliente, o el método por medio del cual se presentaran los datos de proceso. Estos requisitos específicos del cliente rara vez son un dolor de cabeza para el profesional de calidad capaz, a veces son una molestia, pero muy pocas veces son un problema importante. De hecho, en la mayoría de los casos, si no es que en todos, se puede crear un sistema de calidad interno para resolver cualesquiera y todos los requisitos del sistema de calidad específicos al cliente, además de cualesquiera normas del sistema de calidad nacional, internacional, o ambos reconocidos. Este enfoque influirá sobre el sistema de calidad general y evitara que parezca que hay varios sistemas de calidad fragmentadosUna vez que se identifican determinan y/o se llegan a un acuerdo sobre todos los rasgos y características del sistema de calidad deseado. El manual de calidad no enseñara, guiará o dirigirá, simplemente informara.Son aquellos documentos con los que probablemente ya esta familiarizado ahora; procedimientos de pruebas de laboratorio, instrucciones de mezcla, instrucciones de instalación, instrucciones de manejo, etc. Estas normas o requisitos se emplearan en el sistema de producción diario. Algo que con claridad sea útil a la persona que lo utilizara. Tiene muy poco contenido, poco detalle, para no consumir al lector, todas las instrucciones de trabajo están allí.En los procedimientos de operación estándar se encuentran las instrucciones de algo tan común como la secadora de manos instalada en un baño, lo mismo que sucede con las instrucciones que se dan en los cajeros automáticos, lo cual representa un ejemplo de un procedimiento de operación estándar, eficiente, efectivo y fácil de usar.Con la finalidad de alcanzar los objetivos de calidad planteados en el manual de calidad, se desarrollara un plan de mejora continua, que vaya a mantener y mejorar el desempeño global de la empresa ASARTI.El enfoque principal de la planificación a desarrollarse, será el de buscar y satisfacer las necesidades y expectativas de los clientes, por medio del desarrollo integral de todos los trabajadores de la empresa ASARTI.El diagnóstico de conformidad con la Norma ISO 9001:2000  que se realizara en la empresa de chompas de alpaca ASARTI, este diagnóstico ayudara a determinar las similitudes que se presentan entre las actividades realizadas en la empresa y la norma, a la vez determinaremos las actividades y procesos que cumplen con las disposiciones establecidas por la norma, para la cual efectuaremos una auditoría interna, empleando el método de lista de chequeo, basada en la Norma ISO 9001:2000.Para el empleo de auditoria interno la definiremos como, una evaluación formal del cumplimiento y efectividad del sistema de gestión de calidad.Una vez calificada la lista de chequeo se procede a desarrollar un resumen de diagnóstico de calidad, para que este sea una herramienta fundamental para el sistema de calidad de la empresa ASARTI.Bolivia es un país en el cual solo algunas empresas cuentan con una certificación de calidad, la misma que se puede utilizar como un argumento comercial, ya que una empresa al ser certificada es conocida como una entidad donde el trabajo se realiza de una manera sistemática con un enfoque al cliente, de esta manera una certificación de calidad realza y mejora la imagen de la empresa tanto en mercado Nacional como Internacional.</t>
  </si>
  <si>
    <t>https://drive.google.com/file/d/1xCh4B_LCDQK-Vcr7YIcT1yY5dAqNBubp/view?usp=sharing</t>
  </si>
  <si>
    <t>SAINZ VILLEGAS KAREN CLAUDIA</t>
  </si>
  <si>
    <t>PLAN DE SEGURIDAD E HIGIENE INDUSTRIAL PARA LA FÁBRICA DE PLÁSTICOS DERQUI S.R.L.</t>
  </si>
  <si>
    <t>sainzclaudia@hotmail.com</t>
  </si>
  <si>
    <t>IND-011-2004</t>
  </si>
  <si>
    <t>Plasticos</t>
  </si>
  <si>
    <t>El objetivo del presente trabajo es la elaboración de un Plan de Seguridad e Higiene Industrial para la Fábrica de Plásticos DERQUI SRL., que permita mejorar las condiciones de trabajo de los empleados.La fabrica de plásticos DERQUI SRL. Dedica sus actividades industriales a la fabricación de: fil en bobinas, laminas en bobinas y una gran variedad de bolsas. Como toda empresa industrial posee un proceso productivo que combinado con las actividades operativas y administrativas le permiten la obtención del producto final.En vista de la necesidad y de los requerimientos de realizar trabajos en el marco de la ley, las empresas se ven obligadas a contar con un conjunto de normas y procedimientos que garanticen un desenvolvimiento seguro y correcto de sus trabajadores en distintas áreas de producción. Para esto es necesario contar con un Plan de Seguridad e Higiene Industrial, que ofrezca las condiciones mínimas para proteger al trabajador y por tanto cumplir con las exigencias de la ley.Para la realización de este plan se tomara: un enfoque Centrado en el Trabajo, y otro enfoque Centrado en el Trabajador, en los campos de capacitación, prevención, uso adecuado de instrumentos de seguridad y aplicabilidad de las normas de seguridad e higiene industrial. La metodología utilizada, contemplo: el método de observación, encuestas y entrevistas, con el procesamiento estadístico respectivo.Para lograr el diseño correcto de Plan de Seguridad e Higiene Industrial, se realizo un estudio minucioso de todos los aspectos que sean relevantes para su posterior reglamentación de modo tal que se cumpla con lo establecido por la Organización Internacional del Trabajo (OIT) y la Ley General del Trabajo vigente en nuestro país.El abordaje del trabajo consistió en realizar un diagnóstico de la fábrica en el aspecto de Seguridad e Higiene Industrial, que permitió evaluar la situación actual de la empresa y proceder a la elaboración de la propuesta del plan.          De la evaluación del plan se concluye, que este es viable, trayendo consigo mejoras significativas a la empresa y  generando así un compromiso real a favor de la seguridad industrial haciéndola parte de la cultura de cada trabajador, para seguir en un mercado competitivo, ayudando a mejorar la productividad y la calidad del producto.</t>
  </si>
  <si>
    <t>https://drive.google.com/file/d/1v4Ggji9ReKex2DfVzlhzjGv2W3TmLxN7/view?usp=sharing</t>
  </si>
  <si>
    <t>MERCADO BEJARANO DIDI WILLIAM</t>
  </si>
  <si>
    <t>ROMEL MERCADO BEJARANO</t>
  </si>
  <si>
    <t>PROYECTO DE FACTIBILIDAD PARA LA INSTALACIÓN DE UNA PLANTA DESHIDRATADORA DE DURAZNO, CIRUELA Y UVA EN EL VALLE ALTO</t>
  </si>
  <si>
    <t>didi_mercado@yahoo.com</t>
  </si>
  <si>
    <t>IND-012-2004</t>
  </si>
  <si>
    <t>Durazno, Uva</t>
  </si>
  <si>
    <t>El presente proyecto tiene como objetivo principal estudiar la factibilidad técnica-económica, administrativa, comercial y financiera de la Instalación de una Planta Deshidratadora de Durazno, Ciruela y Uva en el Valle Alto del Departamento de Cochabamba.La metodología desarrollada para alcanzar el objetivo en el presente proyecto incluye el estudio de mercado de materias primas, productos deshidratados y la estrategia de comercialización; el tamaño y la localización de la Planta; el desarrollo de ingeniería del proyecto; el análisis de la rentabilidad financiera del proyecto; el desarrollo de la organización en la fase de ejecución y operación del proyecto; y el estudio de impacto ambiental. El proyecto aprovecha las materias primas que actualmente no son comercializadas debido a problemas de post-cosecha. El estudio del mercado de frutas deshidratadas, se ha sido realizado en los principales centros de consumo de las ciudades de La Paz, Santa Cruz y Cochabamba, a través de encuestas en supermercados y centros de oferta masiva.El tamaño de Planta ha es 70.886 kg./año; y la ubicación del proyecto es en la localidad de Tolata del Departamento de Cochabamba.En base a un análisis de costos, se ha seleccionando la tecnología del secado solar técnico, tipo industrial para la producción de durazno, ciruela y uva deshidratadas. Se ha realizado la selección de las alternativas técnicas de las operaciones y procesos más importantes.El análisis económico y financiero del estudio, muestra indicadores (VAN, TIR y B/C) aceptables de rentabilidad al aporte de capital, mientras que a la inversión global se encuentra en los límites de riesgos previsibles. La inclusión del banano deshidratado hace atractiva financieramente al proyecto.La evaluación del impacto ambiental indica altamente favorable desde el punto de vista de la sociedad y es compatible con el medio ambiente, debido a leves impactos negativos en las dos fases del proyecto.</t>
  </si>
  <si>
    <t>https://drive.google.com/file/d/1vPW7WdLOFjYe2otF6YHyOKNpmPb2oeEX/view?usp=sharing</t>
  </si>
  <si>
    <t>FULGUERA OJEDA ROMAN</t>
  </si>
  <si>
    <t>DR. OMAR ARZÁBE MAURE</t>
  </si>
  <si>
    <t>ESTUDIO EXPERIMENTAL PARA LA RECUPERACIÓN DE TIERRAS SALINIZADAS EN LAGUNAS DE EVAPORACIÓN-INFILTRACIÓN DE LA EMPRESA MINERA INTI RAYMI S.A.</t>
  </si>
  <si>
    <t>Román_Fulg@yahoo.com</t>
  </si>
  <si>
    <t>IND-013-2004</t>
  </si>
  <si>
    <t>Laguna</t>
  </si>
  <si>
    <t>La recuperación de suelos salinizados y/o sodificados en las Áreas de Evaporación - Infiltración (AE/I) de la Empresa Minera Inti Raymi S.A. es una urgente necesidad para cumplir con las normas y Leyes del País y así satisfacer las necesidades de los comunarios de Chuquiña yToma Toma, las áreas ocupadas por las lagunas (E/I), antes de la explotación minera era eminentemente utilizado para la crianza de animales como el ovinos, vacunos y algunos auquénidos y realizaban el cultivo de algunas hortalizas, en especial la papa. Inti Raymi S.A. Geográficamente se encuentra ubicado, en la provincia de Saucarí del Departamento de Oruro, distante a 43 Km. de la ciudad.Las lagunas de Evaporación-Infiltración de EMIRSA, abarca una extensión de 9,8 km², corresponden a tierras salínizadas que necesitan la incorporación de yeso para la remediación del suelo salinizado. Para demostrar la capacidad de recuperación de los suelos, se realizó el trabajo de campo, consistente en la construcción de parcelas de lavado de suelos de 16 m² cada una, en un total de 25 parcelas, en la laguna fase III-A, lado oeste con referencia a la operación minera. Para tal fin se determino mediante  muestreo la distribución inicial de la salinidad en el perfil, sobre el cual se aplicaron láminas de agua de 20 cm de altura, con 4 repeticiones, utilizando en total 8 cm de agua en altura. Luego, después de la aplicación de cada lámina de lavado, se efectuó un muestreo del perfil del suelo, para ver de la disminución de la salinidad.Los puntos de muestreo del perfil del suelo son las siguientes: de 0 a 6,3 cm, de 6,3 cm a 26,5 cm y 26,5 cm a 51 cm en la  profundidad del suelo.</t>
  </si>
  <si>
    <t>https://drive.google.com/file/d/1IB8HGelu8S2sds-B5WSo_jpuGSsiUJCh/view?usp=sharing</t>
  </si>
  <si>
    <t>IRAHOLA AGUIRRE LUDWING RICARDO</t>
  </si>
  <si>
    <t>DISEÑO DE UN SISTEMA DE GESTIÓN DE MANTENIMIENTO DE EQUIPOS PARA LA OBTENCIÓN DE LA MÁXIMA EFICIENCIA EN TELEFONÍA PÚBLICA DE COMTECO</t>
  </si>
  <si>
    <t>cholechc@hotmail.com</t>
  </si>
  <si>
    <t>IND-014-2004</t>
  </si>
  <si>
    <t>MANTENIMIENTO</t>
  </si>
  <si>
    <t>Comteco</t>
  </si>
  <si>
    <t>La propuesta del presente Proyecto de Grado es el diseño y desarrollo de un Sistema de Gestión de mantenimiento, que registre, planee y programe las actividades de mantenimiento preventivo y correctivo, identificando los actuales problemas de la Unidad de Telefonía pública de COMTECO, y proponer soluciones a los mismos.El estudio surge ante la necesidad de mejorar el mantenimiento de equipos, para incrementar la calidad del servicio brindado, y mantener la mayor cantidad de teléfonos públicos en funcionamiento.Se inicia con un diagnóstico del sistema de trabajo actual. Seguidamente se determinan las fallas y defectos que se presentan con mayor frecuencia, con herramientas de detección de fallas por calidad como el análisis de Pareto e Ishikawa. Se determinan causas raíces de fallas y defectos con la técnica Porque-Porque?, nacida en la gestión TPM. Se realizó un estudio estadístico de probabilidad de fallas para tener información fidedigna de las mismas.Posteriormente se diseño el Sistema de Gestión de Mantenimiento formulando sus objetivos, fronteras elementos, propiedades, flujos de información y reorganización. Se diseñaron catastros de equipos, instrucciones de mantenimiento, órdenes de trabajo, necesidades de información del software de mantenimiento que se deberá crear o adquirir y la forma de programar las actividades de mantenimiento con la creación del indicador “Nivel se Uso”.Se mejoraron los métodos de trabajo de los técnicos de colecta, se determinaron los tiempos tipo de cada tarea, estratificado por tipo de aparato y zona. Se determinaron los tiempos de ruta de colecta y mantenimiento y se mejoraron las mismas reordenándolas. Por último se determina la conveniencia económica de la implementación del nuevo Sistema de Gestión de mantenimiento.</t>
  </si>
  <si>
    <t>https://drive.google.com/file/d/1K-1HgVtWtGoslSHrGe20feY4uRm3zzQG/view?usp=sharing</t>
  </si>
  <si>
    <t>TERAN DAVALOS ALDO LUIS</t>
  </si>
  <si>
    <t>DISEÑO DE UN MODELO DE REORGANIZACIÓN DE LA SEGURIDAD INDUSTRIAL PARA LA EMPRESA FABE S.A.</t>
  </si>
  <si>
    <t>aldex_s@yahoo.com</t>
  </si>
  <si>
    <t>IND-015-2004</t>
  </si>
  <si>
    <t>FABE</t>
  </si>
  <si>
    <t>El objetivo general es desarrollar un modelo de Seguridad Industrial que permita establecer acciones correctivas y/o preventivas para las distintas áreas de producción y brindar protección al recurso humano con que cuenta la empresa.Los Objetivos específicos son: Diagnosticar y evaluar las condiciones actuales de Seguridad e Higiene Industrial, diseñar un Plan General de Seguridad capaz de poder determinar soluciones a nivel administrativo e ingeniería, aplicar leyes, establecer responsabilidades y desarrollar análisis costo beneficio del plan.La metodología consiste en la identificación de ítems críticos y/o sectores potencialmente peligrosos, considerando dos puntos de vista: Administrativo y Productivo.Se establecerá soluciones a nivel de Gestión a través del Plan General  de Seguridad. Así mismo, se plantea soluciones generales en los diferentes sectores de la planta. Por último, se propone desarrollo de soluciones a problemas tipo encontrados en la fábrica; como ser: Incendio, Ruido, Orden y Limpieza, Primeros Auxilios, Señalización y otros.El análisis de Costos, se calculara desde los dos ámbitos solución propuestos: Plan General de Seguridad Industrial y Desarrollo de Soluciones.En conclusión, al proponer planes de seguridad, estamos tendiendo a que todo el personal, se convierta responsable de la seguridad; así mismo, se esta creando sinergia entre los mismos al lograr que todos las secciones apunten a un mismo objetivo el brindar productos de optima conformidad; Creando direcciones en materia de seguridad y documentando toda la información para mejor análisis y control, finalmente se recomienda que tanto el lado patronal como obrero se pongan la camiseta de seguridad y calidad total.</t>
  </si>
  <si>
    <t>https://drive.google.com/file/d/1zRTdCxip05y06rJjR1JUgW5VIh4GSgAP/view?usp=sharing</t>
  </si>
  <si>
    <t>MOYA TORDOYA CARLA XIMENA</t>
  </si>
  <si>
    <t>ESTUDIO TÉCNICO FINANCIERO PARA IMPLEMENTACIÓN DE UNA PLANTA DEDICADA A LA PRODUCCIÓN DE BOLSAS DE PAPEL</t>
  </si>
  <si>
    <t>II-2004</t>
  </si>
  <si>
    <t>cximenamoya@hotmail.com</t>
  </si>
  <si>
    <t>IND-016-2004</t>
  </si>
  <si>
    <t>EVALUACIÓN TÉCNICA</t>
  </si>
  <si>
    <t>Bolsas, Papel</t>
  </si>
  <si>
    <t>El estudio técnico financiero realizado busca ofrecer otra alternativa de empaque para el mercado, y de esta manera lograra una mejora desde el punto de vista tecnológico y ambiental.Las bolsas de papel están dirigidas al sector de la comida rápida, heladerías, panaderías y reposterías.Después de realizar un estudio de mercado en la ciudad de Cochabamba se determino que un 50% de las heladerías están dispuestas a consumir bolsas de papel, un 73% de las panaderías, un 83% de las reposterías y un 87% de los snack. Entre las medidas mas demandadas están de 14x22xx7, 16x27x6, 18x34x6,18x44x7 y 11x15x5. Los aspectos mas importantes para decidir la compra de bolsas de papel son el precio bajo y el tipo de material que debe ser resistente. La entrega a domicilio y la rebaja por grandes cantidades son los principales servicios que el proveedor debe ofrecer a los consumidores.La planta estará ubicada en el departamento de Cochabamba, específicamente en la Av. Villazón carretera Cochabamba Sacaba. El papel kraft necesario para la producción de bolsas de papel ha de ser suministrado por la empresa Papelex S.A. a un precio de 0.82 $us el kilogramo de papel. En cuanto a la carpicola necesaria será suministrado por American Chemical a un costo de 1.755 $us el kilogramo.La maquina  ha ser adquirida será “Máquina Confeccionadora de Bolsas de Papel” marca METALGRAFICA tipo SO1 , a un costo de 12.453 $us.  El equipo necesario es una Báscula de Pesado con una capacidad de 5.000 Kg. A un precio de 480 $us. La inversión necesaria en cuanto a muebles y equipo de oficina asciende a un total de 4.031 $us.La estructura organizacional esta compuesta por tres áreas: Producción, Administración y Comercialización. El área de Producción esta compuesto por un jefe de producción, un técnico de mantenimiento y dos operarios. El área de Administración está compuesto por un Gerente Administrativo, un Contador  y una Secretaria. El área de Comercialización está compuesto por un encargado de ventas.Después de la evaluación financiera se demuestra que el proyecto es factible, lo cual se justifica con los siguientes indicadores:VAN = 30.722 $us. TIR = 35 %R  B/C = 1.128Después de la evaluación ambiental se determinó que los impactos generados por el proyecto sobre el medio ambiente no son significativos ni tampoco son una amenaza ecológico para ninguna especie. El proyecto de bolsas de papel está dentro la Categoría IV.</t>
  </si>
  <si>
    <t>https://drive.google.com/file/d/1IotH-_1r3YvM5RGT4xFCEdCY-Xgqia1g/view?usp=sharing</t>
  </si>
  <si>
    <t>OCAMPO TERRAZAS MONICA MARISOL</t>
  </si>
  <si>
    <t>DISEÑO DE UN PLAN ESTRATÉGICO DE DESARROLLO PARA LA CARRERA DE LICENCIATURA EN INFORMÁTICA</t>
  </si>
  <si>
    <t>monmarocate@hotmail.com</t>
  </si>
  <si>
    <t>IND-017-2004</t>
  </si>
  <si>
    <t>GESTIÓN ESTRATÉGICA</t>
  </si>
  <si>
    <t>Informatica, Licenciatura</t>
  </si>
  <si>
    <t>Un ser vivo no se caracteriza por permanecer en el tiempo, sino por poder reproducirse o crear vida similar a la suya. Ante circunstancias cambiantes el ser vivo se protege contra lo que no está preparado y va adecuando sus capacidades frente a lo nuevo. No se resigna; se adecua... o muere. Por tanto es necesario planificar el modo en que se actuará y adaptarlo rápidamente para poder responder a lo nuevo y más fácilmente conservará su identidad. Hoy, que tanto hablamos del cambio en nuestra sociedad y en nuestro entorno, y que la Carrera se ve como un ser vivo más es necesario repensar la actuación de la Carrera dentro la Universidad y actualizar el servicio que brinda.Este estudio está enfocado al Diseño del Plan Estratégico de Desarrollo de la Carrera de Licenciatura en Informática, el cual ha determinado el propósito organizativo de ésta y ha encaminado los medios y esfuerzos al logro de los objetivos planteados, dicho Plan ha sido elaborado bajo el modelo de Planificación Estratégica que establece el Comité Ejecutivo de la Universidad Boliviana, para todas las universidades y unidades académicas del sistema.El proceso consta de un análisis de la organización y Contextual, en el que se determinaron los factores que caracterizan y afectan la formación de los profesionales en Licenciatura en Informática. El proceso continúa con la elaboración de los Principios y Valores de la organización, Visión, Misión y Directrices Estratégicas del Plan de Desarrollo, los cuales sirven para la generación de Estrategias, en las que se establecen los Objetivos y Metas para cada una de ellas.Posteriormente se han diseñado las Líneas de Acción que se constituyen en las acciones que describen las Estrategias, las cuales cuentan con sus respectivas Actividades, Responsables y Fechas de cumplimiento. La determinación de Fechas se realizó mediante el diseño de un Cronograma de Acciones, que permite visualizar el desarrollo de las Líneas de Acción en el tiempo.Del mismo modo se diseño un Sistema de Control y Evaluación que cuenta con formularios y formatos gráficos que permitirán el control periódico del Plan, los cuales están diseñados para mostrar el grado de cumplimiento alcanzado en las Líneas de Acción, Estrategias y Directrices Estratégicas.Posteriormente se ha realizado un análisis de costos y beneficios, en el cual se estimó un costo promedio del Plan Estratégico de 14094 $/año. Los beneficios se traducen en la repercusión de las metas establecidas, que buscan lograr una estructura y organización eficientes, garantizar un profesional competitivo y atender las demandas sociales.</t>
  </si>
  <si>
    <t>https://drive.google.com/file/d/11jwzmL0chA_sMffOnorX46oF_5ztQudC/view?usp=sharing</t>
  </si>
  <si>
    <t>MURILLO BALDIVIESO CARLA MARITZA</t>
  </si>
  <si>
    <t>ING. NELSON HINOJOSA SALAZAR</t>
  </si>
  <si>
    <t>ESTUDIO TÉCNICO DEL CEMENTO ESTRUCTURADO EN LA LÍNEA DURAFLEX DE INDUSTRIAS DURALIT S.A.</t>
  </si>
  <si>
    <t>mary200207@hotmail.com</t>
  </si>
  <si>
    <t>IND-018-2004</t>
  </si>
  <si>
    <t>Duralit, Cemento</t>
  </si>
  <si>
    <t>Objetivo General: Elaborar una Ficha Técnica envase al estudio descriptivo del comportamiento de las propiedades físicas y mecánicas de los productos Duraflex.Objetivos Específicos:v Determinar las condiciones y propiedades físicas del Cemento Estructurado según requerimientos de la empresa Duralit S.A.v Determinar las propiedades mecánicas del Cemento Estructuradov Determinar la durabilidad de los productos del Cemento Estructurado sometiendo las placas a pruebas de envejecimiento que consiste en someter a la placa a cambios climáticos de temperatura (choques térmicos).v Determinar características técnicas, recomendaciones para la instalación de paredes falsas con Flexiplacas.Metodología:v Recopilación de información, obtenida a través  de distintos medios, información documental y empírica de la empresa.v Calcular el numero de muestras para obtener datos representativos, mediante métodos estadísticos incluyendo de la misma forma la importancia en establecer dimensiones, materiales, equipos, herramientas y procedimientos para el desarrollo de las pruebas.v Verificación del cumplimiento de los métodos y procedimientos para el desarrollo de las pruebas que en teoría se conocen.v Clasificar y seleccionar los resultados de acuerdo a la necesidad de la investigación.v   Desarrollar el  montaje y métodos de  fijación con la ayuda de diferentes esquemas de montaje, finalizando de esta manera las recomendaciones para la instalación.Resultados:Se determino:v Condiciones físicas del cemento estructurado v Propiedades físicas del cemento estructurado v Propiedades mecánicas del cemento estructuradov Durabilidad de los productos mediante pruebas de envejecimiento v Mejor manera de realizar el instalado de paredes falsasv Recomendaciones para el manejo y manipuleo de las placasv Se elaboro la Ficha  Técnica informativa de los productos Duraflex Recomendacionesv Realizar nuevos análisis a largo plazo de nuevas producciones a futuro para comparar resultados y determinar la variabilidad de datos.v Realizar instalaciones de techado para las Flexitejas en condiciones ambientales.Utilizar las formas de instalación Duralit ya determinadas para este tipo de producto</t>
  </si>
  <si>
    <t>https://drive.google.com/file/d/17BJjAOb_A3bOyl3Mc9o9SNnuV_MQX0AW/view?usp=sharing</t>
  </si>
  <si>
    <t>CORDOVA ARISPE LUIS FERNANDO</t>
  </si>
  <si>
    <t>SEVILLANO LAFUENTE MIRIAM XIMENA</t>
  </si>
  <si>
    <t>PLAN ESTRATÉGICO PARA LAS ÁREAS DE PRODUCCIÓN Y COMERCIALIZACIÓN PARA LA EMPRESA DE LA CORDILLERA</t>
  </si>
  <si>
    <t>fcoraris@yahoo.com</t>
  </si>
  <si>
    <t>IND-019-2004</t>
  </si>
  <si>
    <t>Cordillera</t>
  </si>
  <si>
    <t>La empresa “De la Cordillera” tiene una experiencia de quince años en la crianza de trucha en el altiplano cochabambino. Esta actividad productiva empieza con el desove de trucha, prosiguiendo con la fecundación, incubación y finalmente el sembrado en lagunas. Este tipo de producción recibe el nombre de cultivo extensivo debido a 3 razones principales: 1) La crianza de la trucha se realiza en extensas masas de agua como lagos y lagunas, 2) el tiempo de crecimiento y la alimentación es natural, además de presentar 3) calidad en la carne. El proyecto contempla el estudio de mercado como parte los insumos necesarios para realizar planes, programas y políticas de producción y comercialización, dentro la investigación de mercado se ha detectado que existe amplia demanda para el sector pesquero, especialmente el truchicola, demanda comprendida entre 19.600 a 23.200 kilogramos mensuales, este mercado actualmente invadido por productores del departamento de La Paz, señala que sus requerimientos sobre el producto no son satisfechos, debido a que no cumplen con los factores de  decisión de compra, frescura de la carne y calidad en el servicio, el precio que los consumidores están dispuestos a pagar por kilogramo de trucha se encuentra en un intervalo de Bs.20 a Bs.25.El programa de producción planteado estará en función de la capacidad de la planta, se realizará convenios con las comunidades, inicialmente cosechando 27 lagunas correspondientes a 8 comunidades, ofertando al mercado un volumen inicial de 12.500 Kg. el primer año y 33.400 Kg. el séptimo año.Para incrementar la producción se ha considerado varias estrategias, la más importante es la delegación de funciones de cuidado y cosecha de lagunas a las comunidades campesinas, con esta estrategia se benefician ambas partes, para la empresa representa menores gastos de producción e incremento en la cantidad cosechada, para las comunidades campesinas una fuente de ingreso alternativo  y  el conocimiento sobre el proceso productivo de la especie.El segmento de mercado que se ha elegido para realizar el desarrollo de mercado son las familias compuestas por uno o más miembros asalariados que trabajen en empresas e instituciones públicas y/o privadas, la practica ha identificado que a los consumidores les agrada bastante el producto, la forma de distribución y la identificación de la marca. Las estrategias de desarrollo de mercado empezarán en las fechas de semana santa, época en la que el consumidor tiene predisposición por adquirir el producto.Los resultados financieros, tanto del flujo neto como de los indicadores no presentan valores favorables, sino hasta un precio de venta al consumidor final de 24 Bs./Kg. y un precio de compra al campesino de 8 Bs./Kg. Para determinar el punto optimo de rentabilidad se realizo un segundo análisis de sensibilidad considerando tres escenarios alternativos al original que modifican la estructura del área de producción, los resultados encontrados muestran mejores valores financieros a corto y largo plazo con la alternativa que no considera la aplicación de las técnicas de manipulación cromosómica para la obtención de truchas triploides todo-hembra y tampoco la participación de la empresa en la cosecha del 10% de las lagunas,  considerando esta alternativa la empresa tendrá una participación dentro el proyecto solo como comercializadora otorgando apoyo técnico a las comunidades campesinas que formen parte del proyecto.</t>
  </si>
  <si>
    <t>https://drive.google.com/file/d/1zq3TKDAftwx8WZpIn9BILtD8tR9GYfoG/view?usp=sharing</t>
  </si>
  <si>
    <t>PEREIRA VASQUEZ MARTIN DIEGO</t>
  </si>
  <si>
    <t>DESARROLLO DE UN PLAN DE EMERGENCIAS PARA ELFEC S.A. E INTEGRA S.A.</t>
  </si>
  <si>
    <t>diego_pereira@hotmail.com</t>
  </si>
  <si>
    <t>IND-020-2004</t>
  </si>
  <si>
    <t>ELFEC</t>
  </si>
  <si>
    <t>Consideraciones Previas: El presente trabajo como Proyecto de Grado posee una particularidad relacionada al tema, que es la confidencialidad de la información referida al Plan de Emergencias. El plan elaborado para la empresa contiene información sobre como la empresa reaccionará y actuará frente a una emergencia en particular, por tal motivo, los aspectos de la empresa ELFEC S.A. e INTEGRA S.A. relacionados al Plan de Emergencias no serán incluidos dentro del presente trabajo. Y el mismo se limitará a cumplir con uno de los objetivos más importantes que es: enseñar y explicar como se desarrolla un Plan de Emergencias y qué elementos están relacionados con esta actividad.Sin embargo, ya que la tesis será evaluada en función al trabajo realizado en la empresa, los aspectos que sean permitidos por la misma, serán expuestos sólo en la defensa del trabajo.Objetivos·        Desarrollar un plan de acción  que sirva para controlar o detener situaciones de emergencia.·        Enseñar y explicar como se desarrolla un Plan de Emergencias y qué elementos están relacionados con esta actividad.MetodologíaA pesar de que el documento en sí, es básicamente una metodología para el desarrollo de planes de emergencias; se utilizo como método matriz el ciclo PDCA (Plan, Do, Check y Action) para la solución de problemas del sistema de TQC (Control Total de la Calidad).ResultadosEl resultado obtenido es un Plan de Emergencias aprobado, en función de su evaluación mediante un simulacro realizado en la empresa. Además de todos los beneficios que trae institucionalmente un Plan de Emergencias junto a todos sus elementos.Conclusiones y RecomendacionesHaciendo referencia al primer punto (Consideraciones Previas), las conclusiones y recomendaciones respecto al trabajo solo serán expuestas en la defensa, sin embargo, el trabajo posee conclusiones y recomendaciones relacionadas a los planes de emergencia y sus elementos en forma general.</t>
  </si>
  <si>
    <t>https://drive.google.com/file/d/13JVmTj-S_OP_k27eLxz36w-DHTZkGVff/view?usp=sharing</t>
  </si>
  <si>
    <t>ROJAS SANCHEZ ADOLFO JESUS</t>
  </si>
  <si>
    <t>PROGRAMA DE PREVENCIÓN EN MATERIA DE GESTIÓN DE SEGURIDAD E HIGIENE INDUSTRIAL PARA LA FÁBRICA DE CERÁMICA COBOCE LTDA.</t>
  </si>
  <si>
    <t>Pegasso1976@hotmail.com</t>
  </si>
  <si>
    <t>IND-021-2004</t>
  </si>
  <si>
    <t>COBOCE</t>
  </si>
  <si>
    <t>En la actualidad la mayor parte de las empresas del país empiezan a tomar conciencia, dándole mayor importancia a los Programas de Prevención en Materia de Seguridad e Higiene Industrial.Los beneficios que se pueden llegar a obtener si se lleva a cabo una buena política prevencionista no son solo de orden Económico, sino también de Orden Social, brindando mayor seguridad y tranquilidad a los trabajadores, a la hora de realizar sus funciones, consiguiendo por consiguiente una mayor productividad y rentabilidad.Objetivo GeneralEl objetivo general que se persigue con este estudio en el de “Desarrollar un modelo que permita el seguimiento en materia de Gestión de Seguridad e Higiene Industrial en la Planta de la fabrica de Cerámica Coboce”.Objetivos EspecíficosA continuación se proponen los siguientes objetivos.* Realizar un diagnostico en las condiciones actuales de trabajo en materia de seguridad e Higiene Industrial y su incidencia en la parte productiva.* Identificar, analizar y evaluar los riesgos potenciales de accidentes en el proceso productivo.* Analizar los puntos críticos y de mayor riesgo en el proceso productivo.* Elaborar un manual de Seguridad e higiene Industrial para la fábrica de Ceramica Coboce.* Elaborar una propuesta de creación de un departamento de Seguridad e Higiene Industrial.* Realizar una estimación de los costos en que incurre la empresa por falta de medidas preventivas y correctivas y aquellos en los que incurriría con la implementación del modelo.JustificaciónLa seguridad e Higiene Industrial es un tema al cual no se le presta la debida atención y mucho menos la debida importancia, a pesar de que forma parte de la vida cotidiana de las personas que trabajan en diversas industrias. Actualmente las empresas y las Industrias en general sienten la necesidad e alcanzar niveles aceptables de competitividad en el mercado para lo cual no es suficiente con invertir en maquinaria, si no también es necesario mejorar los recursos humanos. Esto se lograra brindando a los recursos humanos de buenas y seguras condiciones de trabajo, teniendo en cuenta que es el recurso humano la parte más importante en cualquier proceso productivo.Con le desarrollo de este modelo se busca proporcionar elementos que estén dirigidos a controlar los riesgos de accidentes y enfermedades laborales. Al generar un ambiente seguro en el trabajo, se lograra un mayor rendimiento en el sector productivo y de operaciones, los trabajadores se sentirán seguros de sus actos, motivados e interesados en su seguridad como también en la de sus compañeros de trabajo, emplearan todo un despliegue de capacidad y destreza, lo cual generara un incremento en la productividad, disminución de posibles costos adicionales para la empresa, además de la tranquilidad de la gerencia y el resto del personal de Cerámica Coboce.</t>
  </si>
  <si>
    <t>https://drive.google.com/file/d/1heG-d91w_Gayg6K3QmdJAlFLyX6XBD6l/view?usp=sharing</t>
  </si>
  <si>
    <t>RONALD VALLEJOS ZURITA.</t>
  </si>
  <si>
    <t>ESTUDIO DE FACTIBILIDAD TÉCNICO ECONÓMICO Y FINANCIERO PARA UNA PLANTA PROCESADORA DE MANÍ</t>
  </si>
  <si>
    <t>rvz_19@msn.com</t>
  </si>
  <si>
    <t>IND-022-2004</t>
  </si>
  <si>
    <t>Mani</t>
  </si>
  <si>
    <t>El presente estudio de factibilidad técnico – económico y financiera para una planta procesadora de maní, esta dirigido a cooperativas, asociaciones, productores y personas particulares que deseen dar un valor agregado al maní. El estudio de mercado se desprende que el mercado objetivo de la mantequilla de maní son los estratos residenciales y intermedios, del chocolate de maní el mercado objetivo son los  estratos residenciales y intermedios, y finalmente para el maní salado el mercado objetivo son los estratos residenciales, intermedios y el popular. En cuanto a la competencia los principales competidores de la mantequilla de maní son Productos Industriales Múltiples (P.I.M.) y cristal, en relación al chocolate de maní los principales competidores son Arcor y Cóndor y en relación al maní salado lo principales competidores son los elaborados Caseramente y Lucana. La mantequilla de maní se venderá en envases de vidrio de 200 gramos, el chocolate de maní se venderá en cajas de 250 gramos y el maní salado se venderá en bolsas de 250 gramos. El canal de distribución propuesto por el proyecto es del productor al minorista y del minorista al consumidor final.El tamaño de planta será de 33 Ton/año, la localización de la planta estará en  el parque industrial distante a 60 Km. de la ciudad de Cochabamba. En la ingeniería del proyecto primeramente el proyecto trabajara 30% el primer año, el segundo año trabajara un 70 % y a partir del tercer año el proyecto trabajará al 100 %.  Las maquinas y equipos necesarios para el proyecto se adquirirá en la ciudad de Cochabamba.En la organización del proyecto se presento un organigrama y un manual de funciones, junto con la descripción de las funciones y responsabilidades. La mano de obra requerida para el proyecto asciende a 17 personas. El proyecto tardara más o menos unos 197 días hasta la puesta en marcha del proyecto.La inversión del proyecto es de 84873 $us, de los cuales corresponde a la inversión en tangibles de 58575 $us,  los intangibles de 12020 $us y el monto del capital de trabajo corresponde a 14278 $us.El estudio financiero demuestra la factibilidad económica del proyecto, según los valores que toman los costos, gastos, ingresos y ganancias de la empresa. Se obtiene un TIR del 23,89%, un VAN de 52355 $us y una relación Beneficio/Costo de 1,62,  considerando el pago de un crédito comercial común a 5 años plazo y al 15% anual, para financiar más de un 65% de la inversión total, además de una tasa de actualización del 16 % anual.En la evaluación económica se obtuvo un VANE de 362083 $us, un TIRE de 50,88 % y una relación Beneficio/Costo de 4,84 la tasa de actualización es de 12,07%.En el análisis de sensibilidad del proyecto demuestra la influencia del precio, la cantidad vendida, siendo no rentable el proyecto si estos se reducen en 8,4 % para los costos variables el proyecto no es rentable si estos aumentan en 17,50 %.En la determinación del impacto ambiental se determino que el proyecto esta en la primera categoría, es decir proyectos ecológicamente compatibles.Finalmente, en el Capítulo once se resume una serie de conclusiones y recomendaciones generales que fueron posibles obtener al finalizar el proceso de investigación.</t>
  </si>
  <si>
    <t>https://drive.google.com/file/d/1Yy6VM8GvMAkSIx5inj329DLHWPgcjn4U/view?usp=sharing</t>
  </si>
  <si>
    <t>VARGAS CHIPANI ISRRAEL</t>
  </si>
  <si>
    <t>DISEÑO DE UN SISTEMA DE GESTIÓN DE CALIDAD ISO 9001:2000 PARA LA EMPRESA VIVA-GSM</t>
  </si>
  <si>
    <t>islanis@msn.com.</t>
  </si>
  <si>
    <t>IND-023-2004</t>
  </si>
  <si>
    <t>VIVA-GSM es una empresa que incursiona en el rubro de las telecomunicaciones, tiene instalada una red inalámbrica en seis de las ciudades más importantes del país  (Cochabamba, Santa Cruz, La Paz, Oruro, Sucre y Tarija). VIVA GSM se encuentra en etapa de expansión, tratando de atraer al mayor número de clientes y mantener los actuales. Para esto, es necesario que la empresa introduzca nuevas herramientas, que permitan asegurar la calidad del servicio que ofrece y la manera de volverse más competitiva. De esta manera, podrá garantizar su existencia en nuestro medio, ya que en un mercado tan competitivo como el de las telecomunicaciones las empresas intentan atraer a los clientes ofreciendo servicios de calidad. Es por estas razones, que el presente proyecto tiene como objetivo diseñar un Sistema de Gestión de Calidad, basado en la Norma ISO 9001 versión 2000.La metodología utilizada en el proyecto, se inició con la recolección del material bibliográfico necesario para el diseño. Posteriormente, se realizó un análisis de la situación actual de la empresa, en cuanto a la temática de la gestión de la calidad, mediante un diagnóstico interno. A partir del mismo, se pudo obtener información de las características de la empresa.Una vez que se realizaron los pasos descritos anteriormente, se procedió a la definición del Sistema de Gestión de Calidad, para luego realizar el diseño del mismo, mediante la definición de su estructura, la elaboración de sus documentos y la descripción de los pasos necesarios para su implementación.Posteriormente, se realizó una estimación de los costos de dicha implementación y, en contraste, se elaboró una estimación de los beneficios cualitativos que la implementación podría generar a la Empresa.Después de concluir con el proyecto, se puede afirmar que la empresa cuenta con el diseño de un Sistema de Gestión de Calidad. El cual, permite contar con una información y retroalimentación de la satisfacción de los clientes, con un flujo de información dentro la Empresa, ordenado y sistemático, y con la definición de objetivos y políticas de la calidad, que serán de gran ayuda para poder emprender las acciones de calidad, medir dichas acciones constantemente y trabajar bajo un fin común.La documentación elaborada está conformada por: · Manual de la calidad · Manual de procedimientos · Manual de Manual de Funciones · Registros de la calidad · Formularios y planillas · Documentos de apoyo estos documentos ofrecen una información general de la empresa y de todas las actividades que realiza ésta, además proporcionan una información detallada y organizada de los procedimientos realizados en el la              Vice-presidencia de Operaciones con Clientes. Lo que garantiza a los clientes que el servicio que ofrece la empresa, es planificado, revisado, controlado y ejecutado según un estándar establecido. Si VIVA-GSM implementa el Sistema de Gestión de Calidad, tendrá a su favor una herramienta muy importante para poder mantener a sus clientes, atraer a nuevos clientes y cumplir con todos los requisitos exigidos por la superintendencia de telecomunicaciones, para poder convertirse en una empresa competitiva y moderna, lo que podrá asegurar a la empresa, su subsistencia en el mercado Boliviano.</t>
  </si>
  <si>
    <t>https://drive.google.com/file/d/1M9xRzg_u-64hfFJVvtVRJ6LSrFKiOCd6/view?usp=sharing</t>
  </si>
  <si>
    <t>GUZMAN HINOJOSA MANUEL SANTOS</t>
  </si>
  <si>
    <t>ESTUDIO DE REINGENIERÍA APLICADA A LA REORGANIZACIÓN DE ALMACÉN DE MATERIALES DE FABE S.A.</t>
  </si>
  <si>
    <t>santosmaguz@hotmail.com</t>
  </si>
  <si>
    <t>IND-024-2004</t>
  </si>
  <si>
    <t>INGENIERÍA DE MÉTODOS</t>
  </si>
  <si>
    <t>El presente proyecto responde a la coyuntura que vive la industria, respecto a la aplicación de la reingeniería orientada optimización de los procesos productivos. El estudio de este proyecto plantea la  “Reorganización del Almacén de Productos en Proceso” de la Fábrica Boliviana de Envases, que permita optimizar el manejo operativo del almacén, y la administración de los materiales y subensambles bajo su control, distribución de materiales en planta, establecer puntos de reorden, existencias de seguridad y niveles de servicio, determinación de tamaños de lote óptimos y la  determinación de costos de almacenamiento, cambios de formato, puesta a punto y  arranque.La metodología del trabajo comprende la determinación la demanda de los materiales para el proceso productivo de la empresa en estudio,  a través de la información primaria, para lo que se realizó  un análisis de los productos más representativos, los mismos que sirvieron de punto de partida para la elaboración del diagnóstico y evaluación. Finalmente, se determinaron las soluciones de los modelos y distribución de los materiales. Se realizó la determinación de la cantidad económica que se invierte en la elaboración de un producto, el control continuo de los materiales almacenados y la determinación de la cantidad económica a producir, puntos de reabastecimiento y nivel de seguridad de materiales y accesorios. Para concluir en la evaluación de las funciones del personal en planta.</t>
  </si>
  <si>
    <t>https://drive.google.com/file/d/1VeF4PVjqE4v9OTR_Nxh9TAHtqZnjSjn5/view?usp=sharing</t>
  </si>
  <si>
    <t>DANIEL ANTONIO MALDONADO GODOY</t>
  </si>
  <si>
    <t>DISEÑO DE ESTRATEGIAS DE MARKETING PARA UN PORTAL WEB EMPRESARIAL ESPECIALIZADO EN EL INCENTIVO A LA EXPORTACIÓN</t>
  </si>
  <si>
    <t>antoniazo@hotmail.com</t>
  </si>
  <si>
    <t>IND-025-2004</t>
  </si>
  <si>
    <t>WEB, Exportaciones</t>
  </si>
  <si>
    <t>En el presente trabajo, como respuesta a la necesidad de lograr posicionar y establecer las ventajas competitivas a largo plazo de un portal web empresarial que se encuentra en etapa de desarrollo, se diseñaron estrategias de marketing concretas. El portal que es en realidad una feria virtual, estará constituida como empresa independiente.Para cumplir con la formulación de las estrategias se siguió un modelo de administración estratégica orientada al mercadeo. Para la obtención de los tipos de estrategias se siguió un método constituido en tres etapas: La etapa de los insumos, la etapa de la adecuación, y la etapa de decisión. A partir de las cuales se determinó seguir las estrategias intensivas de penetración y desarrollo de mercado.Como parte complementaria del estudio se elaboraron el manual administrativo de la empresa, con el objeto de asegurar factores internos importantes para el desarrollo de las estrategias.Una vez determinados los tipos de estrategias se diseñaron las acciones especificas a seguir, las cuales incluyen el aumentar la capacidad de venta, elevar gastos publicitarios, realizar promociones, reforzar actividades publicitarias y la ampliación de zonas geográficas de acción. También se generaron directrices básicas para el diseño y programación del portal.La viabilidad de la implantación de las estrategias  se determinó con el método de actualización y con el análisis de fuente y uso de fondos. Comprobándose la rentabilidad del proyecto.Para asegurar el éxito de las estrategias, se plantea la necesidad de establecer un sistema de administración estratégica integral basada en resultados.</t>
  </si>
  <si>
    <t>https://drive.google.com/file/d/1PAawObf9zXZOOQa7FqE6xav6niQwlk5c/view?usp=sharing</t>
  </si>
  <si>
    <t>DELGADILLO MOREIRA SANDRA ISABEL</t>
  </si>
  <si>
    <t>BUSTAMANTE CABRERA CLAUDIA GRACIELA</t>
  </si>
  <si>
    <t>ESTUDIO DE FACTIBILIDAD PARA LA AMPLIACIÓN Y MEJORA DE LA PLANTA PROCESADORA DE PRODUCTOS LÁCTEOS DEL DEPARTAMENTO DE AGROINDUSTRIAS DE LA FACULTAD DE CIENCIAS AGRÍCOLAS Y PECUARIAS</t>
  </si>
  <si>
    <t>dm_sandra@hotmail.com</t>
  </si>
  <si>
    <t>IND-026-2004</t>
  </si>
  <si>
    <t>Facultad, Agricolas</t>
  </si>
  <si>
    <t>El presente proyecto tiene como objetivo general obtener una base técnica financiera que permita  valorar la alternativa de inversión en la ampliación de la planta procesadora de productos lácteos del Departamento de Agroindustrias de la FCA y P. Con esta visión se desarrolló  un estudio de mercado enfocado a dos mercados, el primero es el “Mercado General”, mercado de la Zona Urbana de la provincia Cercado, el segundo el “Mercado UMSS”, el cual se divide en tres sectores, los cuales son: Personal Docente, Personal Administrativo y Estudiantes. Mediante el Estudio de Mercado se determinó que la disposición a consumir productos UMSS es de 72,18%  en el Mercado General y de 73,70% en lo que respecta al Mercado UMSS Por otro lado, mediante  un análisis de la materia prima se pudo  constatar que en Bolivia la mayor producción está en el departamento de Cochabamba con el 50% de la producción total del país, cuya producción de leche es de 183.056 L/día de 4.776 productores lecheros con una producción anual de 66.815.440 L/año; de los cuales el 86% es acopiado por la empresa PIL, ILVA y otras en orden de importanciaEl proyecto se dividió en dos etapas, la primera que comprende los dos primeros años (2005-2006) y la segunda de los ocho años restantes (2007-2014), debido a que se plantea generar recursos propios durante la primera etapa del proyecto y de esta manera adquirir nuevas maquinarias y equipos y así iniciar la segunda etapa del proyecto, ampliando la producción. Para la obtención de los productos propuestos se plantea seguir un proceso productivo semiautomático, usando la maquinaria existente y adquiriendo la necesaria para incrementar la producción. Se propone solicitar un préstamo de 62.365,54 $us. a la UMSS,  para cubrir los costos de producción al inicio del proyecto. De esta manera  se obtiene una Tasa Interna de  de retorno (TIR) de 12,36% a la inversión y  17,46% al capital social. Luego de una evaluación ambiental, se puede afirmar que el proyecto no causará mayores problemas al medio ambiente, de acuerdo al Decreto Supreso No 26736 de RASIM (Reglamento  Ambiental para el Sector Industrial Manufacturero). Por los aspectos mencionados, se sugiere la materialización  de la planta procesadora de productos lácteos,  por se técnica, financiera y ecológicamente factible.</t>
  </si>
  <si>
    <t>https://drive.google.com/file/d/1A0oV0mQw17oQVJ0Aaxu_n7XRqlXFF1aU/view?usp=sharing</t>
  </si>
  <si>
    <t>SEVILLANO OPORTO YESID ISRAEL</t>
  </si>
  <si>
    <t>PROPUESTA DE UN SISTEMA DE GESTIÓN EN SEGURIDAD Y SALUD OCUPACIONAL CONFORME A LA NORMA OHSAS 18001 PARA LA EMPRESA MACAWS S.R.L.</t>
  </si>
  <si>
    <t>yesid_iso@yahoo.com</t>
  </si>
  <si>
    <t>IND-027-2004</t>
  </si>
  <si>
    <t>MACAWS</t>
  </si>
  <si>
    <t>La inexistencia de herramientas y procedimientos sistemáticos orientados a la reducción y/o eliminación de riesgos, asociados a las actividades de  Macaws S.R.L. y la falta de conocimiento de la legislación vigente en seguridad y salud ocupacional, son el punto de partida para la realización de este proyecto, el cual tiene como objetivo general que Macaws S.R.L. disponga de un Sistema de Gestión de Seguridad y Salud Ocupacional en conformidad a los requisitos que establece la norma OHSAS 18001, para que este sea implementado y certificado más adelante.Se realizó una revisión actual (diagnóstico) en seguridad y salud ocupacional, en base a una lista de verificación y observaciones directas en las diferentes secciones, para determinar: prácticas, procesos, condiciones de trabajo y otros aspectos existentes; de esta manera obtener una referencia del comportamiento respecto a la importancia que da Macaws S.R.L. a la seguridad y salud de su personal.Así mismo, se realizó una identificación y evaluación de riesgos inicial, que permitió conocer los riesgos más significativos inherentes a las actividades de la empresa y a los de origen externo, el cual se constituyó en la base para establecer el Sistema de Gestión de Seguridad y Salud Ocupacional (SGSySO).Encontrándose que los riesgos  identificados son consecuencia mayormente de falta de capacitación e información al personal, por tanto se dio importancia a este aspecto, en el planteamiento de posibles soluciones para el control de los mismos. Se definió una Política de Gestión, que contemple aspectos de Calidad, Medio Ambiente, Seguridad y Salud Ocupacional orientado en la directriz que tiene Macaws S.R.L. de contar con un Sistema de Gestión Integrado a largo plazo, en coherencia con esta política, se estableció un plan de acción que contemple objetivos de SySO, el  responsable, indicadores que permitan una retroalimentación del desempeño del sistema de gestión de SySO y la frecuencia de su seguimiento. Se elaboró un Manual de SySO, que describa la estructura del SGSySO, en el que se indica la documentación relacionada que consiste en: procedimientos, registros, planes, instructivos operacionales y otros documentos. Esta documentación fue elaborada dando conformidad a  cada uno de los requisitos de la norma; por tratarse de documentación controlada de Macaws S.R.L., esta no es presentada como parte de este proyecto, pero si se indican extractos de alguna documentación para fines demostrativos. Por último se estimó el costo que implicaría,  la implementación y certificación del SGSySO, concluyendo finalmente que contar con un sistema de esta naturaleza trae consigo beneficios competitivos y la demostración hacia terceros de la importancia que da Macaws S.R.L. al cuidado de la seguridad y salud de su personal y de las partes interesadas.</t>
  </si>
  <si>
    <t>https://drive.google.com/file/d/1krRATjwrrsh5d_XnLGZSl7rmm5BfFEwB/view?usp=sharing</t>
  </si>
  <si>
    <t>AMESTEGUI URRIOLAGOITIA PATRICIA</t>
  </si>
  <si>
    <t>ANÁLISIS, OPTIMIZACIÓN Y CONTROL DEL SISTEMA DE PREPARACIÓN DE CARGAS PARA EMBOL S.A.</t>
  </si>
  <si>
    <t>pari_pau@hotmail.com</t>
  </si>
  <si>
    <t>IND-028-2004</t>
  </si>
  <si>
    <t>EMBOL</t>
  </si>
  <si>
    <t>EMBOL S.A. se dedica a la producción de bebidas gaseosas, de franquicia y sabores propios.  La cadena de valor de la empresa incluye la adquisición de materias primas hasta la distribución del producto embotellado. El Sistema de Preparación de Cargas presenta dificultades en su diseño y control, además la evaluación de los índices de productividad desarrollados no ha sido rigurosa.El presente proyecto de grado analiza y optimiza el actual Sistema de Preparación de Cargas y desarrolla un sistema de control y seguimiento del mismo.  Su sistematización se efectúa en seis capítulos: Aspectos Generales, Diagnóstico del Sistema Actual, Estudio de Métodos, Sistema de Control y Seguimiento, Análisis Beneficio/Costo y Conclusiones y Recomendaciones.El Diagnóstico del Sistema Actual ha determinado sus limitaciones, mediante un análisis factorial y causal, elaborando un proyecto de corrección de los componentes más sobresalientes.Un Estudio de Métodos desarrolla el diseño óptimo de trabajo a través del análisis de los datos obtenidos, según los nueve enfoques primarios de la operación.  El método propuesto contempla: la asignación de lugares específicos a camiones, una nueva secuencia y proceso de realización de las operaciones, nueva distribución de planta, reduciendo transportes de producto al asignar otro montacargas al carguío, diseño del trabajo manual, al establecer ciclos trabajo-descanso y guías para el levantamiento adecuado y, finalmente, mejoramiento de condiciones de trabajo.El Sistema de Control y Seguimiento propone la evaluación del desempeño y evolución del método planteado a través de establecer indicadores o parámetros de control y responsables para la medición y toma de acciones correctivas.  Además presenta formatos para los instrumentos de control.El Análisis Beneficio/Costo determina una relación de 1.21, justificando el proyecto y validando su implementación.</t>
  </si>
  <si>
    <t>https://drive.google.com/file/d/1HfiWRGWkBoMsDFmjqDyMKUWhsqTweSWJ/view?usp=sharing</t>
  </si>
  <si>
    <t>RODRIGUEZ LOPEZ XIMENA RUTH</t>
  </si>
  <si>
    <t>APLICACIÓN DEL MÉTODO DE ANÁLISIS, IDENTIFICACIÓN Y CONTROL DE PUNTOS CRÍTICOS EN EL PROCESO DE TRANSFORMACIÓN DE PRODUCTOS LÁCTEOS EN LA PLANTA PILOTO DE LA FACULTAD DE CIENCIAS AGRÍCOLAS Y PECUARIAS</t>
  </si>
  <si>
    <t>xime_262@hotmail.com</t>
  </si>
  <si>
    <t>IND-029-2004</t>
  </si>
  <si>
    <t>Planta piloto</t>
  </si>
  <si>
    <t>Bolivia tiene una gran variedad de regiones ecológicas con mucha diversidad de productos agropecuarios, que en los últimos años ha crecido y mejorado. Una de las actividades asentada principalmente en los valles es la producción de leche haciendo posible el surgimiento de nuevas plantas procesadoras  de leche. En los últimos años, se ha prestado quizás demasiada atención al análisis microbiológico de los productos finales de los alimentos y no a modernizar las industrias mediante controles en el proceso de elaboración  para   corregir los defectos que suelen ser causa de alteraciones microbianas e incluso de enfermedades en el consumidor. Por otra parte, los requisitos de la reglamentación Técnico -Sanitarias son muy numerosos, lo que hace imposible el cumplimiento de todos ellos, y lo que es más importante, dificulta el establecimiento de prioridades. La finalidad del presente trabajo es proporcionar a la planta piloto de la Facultad de Ciencias Agrícolas y Pecuarias, las herramientas para poder controlar y mejorar la calidad de sus productos, identificando y evaluando los riesgos de contaminación microorgánica, o los cambios físicos y químicos que puedan generarse en cada una de las operaciones de los procesos de transformación de los derivados lácteos y definir las medidas preventivas para que esos riesgos  no se presenten.  La aplicación del  método de identificación y control de puntos críticos, permitirá a  la planta un mejor uso y aprovechamiento de los recursos con que  cuentan, y  ofrecer respuestas más oportunas a los problemas,  obteniendo productos de calidad de tal manera que pueda ingresar a mercados más competitivos y lograr una mayor aceptación del consumidor.  La filosofía del sistema HACCP (Análisis de peligros y control de puntos críticos) no es nueva, puesto que el énfasis que pone en la prevención de riesgos ha sido desde sus orígenes el objetivo primordial de la higiene de los alimentos. Simplemente esta doctrina se presenta estructurada, con sus distintas fases bien definidas, lo que facilita su aplicación a cualquier tramo o proceso de la cadena alimentaría, desde la producción hasta el consumo Un aspecto fundamental de sistema HACCP es que concentra todos los esfuerzos en corregir primero los defectos o fallas más importantes, los que son causa de alteraciones de los productos o de enfermedades en el consumidor, relegando a un segundo plano otros aspectos que tienen que ver mas con los accesorios o lo estéticoDentro de las conclusiones del trabajo podemos mencionar: Uno de los riesgos mas importantes en la transformación de lácteos de la Facultad de Ciencias Agrícolas y Pecuarias Martín Cárdenas es el tipo de contaminación biológicos por la gran variedad de enfermedades que pueden ser transmitidas al consumidor por lo que se manejan bajas temperaturas para poder disminuir el crecimiento bacteriano.En la leche fresca,  los puntos críticos de mayor importancia y donde los riesgos deben ser eliminados o reducidos hasta niveles considerados como aceptables,  son en las etapas de recepción de la leche cruda, pasteurización y almacenamiento del producto terminado, realizando todos los controles que fueron propuestos.En estos puntos se tiene que tener el máximo control ya que si en cualquiera de estos se pierde el control, el producto final no cumpliría con las normas de calidad.En el proceso de producción del yogurt los puntos críticos de mayor importancia se encuentran en las etapas de recepción de la leche, pasteurización, la siembra del fermento, incubación y almacenamiento,  ya que un proceso posterior no garantizará la eliminación del peligro o su reducción hasta un nivel considerado como aceptable o seguro.La implementación de un sistema de calidad  de la magnitud de la planta piloto de la Facultad de Ciencias Agrícolas y Pecuarias de la Universidad Mayor de San Simón implica un proceso de 10 a 12 meses y que debe ser llevado a cabo con la participación de todos los integrantes de la planta.Es un sistema que organiza y ordena las actividades, motiva a su personal hacia una evolución constante, y garantiza los resultados de los controles realizados por la planta.   Recomendaciones finales para lograr una implementación exitosa Dada la importancia de estar siempre actualizado en el tema de calidad es que se recomienda implementar esta  propuesta del sistema HACCP inmediatamente ya que este presenta  muchos beneficios a la planta  en cuanto a mejorar el control de los procesos productivos , logrando así una mejor utilización de los recursos, también trae beneficios económicos, los documentos de control de los puntos críticos  facilitan las auditorias de sanidad que se realiza, ayuda a  obtener una formación mas actualizada a los estudiantes en cuanto a temas de la calidad.Es importante destacar que para tener una implementación exitosa de un Sistema HACCP es esencial contar con el compromiso del personal directivo, el cual debe definir una Política de Calidad que considere a la inocuidad del producto.Se debe disponer de los recursos necesarios para el desarrollo del sistema, capacitar al personal y sobre todas las cosas para que esta implementación sea duradera en el tiempo se debe construir el sistema sobre la base que el personal se sienta involucrado con el desarrollo del mismo.</t>
  </si>
  <si>
    <t>https://drive.google.com/file/d/1rh0x1pZOURceoSo3zxsv_QHKqmFjZhRV/view?usp=sharing</t>
  </si>
  <si>
    <t>VILLAZON TORREZ LIZ GEORGETTE</t>
  </si>
  <si>
    <t>BELLIDO MONTAÑO YESENIA EMMA</t>
  </si>
  <si>
    <t>PLAN DE MINIMIZACIÓN DE RIESGOS EN LAS ÁREAS DE REDES AÉREAS Y SUBTERRÁNEAS Y FIBRA ÓPTICA PARA COMTECO LTDA.</t>
  </si>
  <si>
    <t>yesita_blla@hotmail.com</t>
  </si>
  <si>
    <t>IND-030-2004</t>
  </si>
  <si>
    <t>COMTECO</t>
  </si>
  <si>
    <t>Este proyecto se desarrolló en COMTECO Ltda. la cual es una entidad no lucrativa que presta servicios de telecomunicaciones al departamento de Cochabamba.Esta empresa esta empezando a entender que existe una necesidad de cuidar y/o mantener sus recursos humanos, como primer paso para proporcionar un servicio de alta calidad a sus abonados. De aquí que el objetivo principal del proyecto es la minimización de los riesgos en las áreas de Redes Aéreas y Subterráneas y Fibra Óptica.Para la identificación de estos riesgos se uso el método APR (análisis preliminar de riesgos) que aparte de identificar nos ayudo a evaluar los riesgos y determinar las medidas preventivas y/o correctivas.Las medidas preventivas y/o correctivas que se desarrollaron a lo largo del proyecto son: elementos de protección personal, inspecciones y observaciones, procedimientos de trabajo seguro, manejo defensivo y primeros auxilios. Estos documentos fueron realizados con una amplia participación de los técnicos de Redes Aéreas y Subterráneas y Fibra Óptica.El análisis de costo realizado, tiene dos componentes principales; determinar la viabilidad y los beneficios que puede aportar el proyecto al interior de la empresa. Estos componentes son: el análisis financiero y el impacto social.Para finalizar se elaboraron las conclusiones resultantes del desarrollo del proyecto y las recomendaciones para un mejor funcionamiento del plan.</t>
  </si>
  <si>
    <t>https://drive.google.com/file/d/1nqs7-oHNhWpBdOijdJgXL68SqRBSqrk1/view?usp=sharing</t>
  </si>
  <si>
    <t>TORRICO RICALDI CARMEN ALEJANDRA</t>
  </si>
  <si>
    <t>CAMACHO TERRAZAS IRIS CAROLA</t>
  </si>
  <si>
    <t>ESTUDIO DE FACTIBILIDAD PARA LA IMPLEMENTACIÓN DE UNA FÁBRICA DE MUEBLES DE BAMBÚ</t>
  </si>
  <si>
    <t>carito0723@hotmail.com,</t>
  </si>
  <si>
    <t>IND-031-2004</t>
  </si>
  <si>
    <t>Muebles, bambu</t>
  </si>
  <si>
    <t>El presente estudio consiste en demostrar si es factible realizar muebles de Bambú.La industrialización del bambú incentivará el cultivo de esta planta que tiene propiedades de protección al medioambiente, además por ser más resistente que la madera tradicional.En un principio, se determinará la demanda potencial a partir de la cual se abarcará cierto porcentaje (demanda propia) tomando en cuenta a los hogares que pertenecen al nivel socioeconómico de No Pobres. Para el proceso de fabricación de muebles se utilizará dos especies de guadua: Angustifolia para la obtención de láminas y para el armazón de los muebles Trinii Nees. La materia prima se encuentra en Villa Israel A y Villa Israel B que pertenecen a la Provincia Carrasco.Se tendrá una capacidad máxima de producción de 1.855 (muebles/año) el décimo año del proyecto. La alternativa de emplazamiento que ofrece menores costos, que posee los servicios básicos necesarios es el eje Cercado-Sacaba, concretamente en la zona de Puntiti Km. 6 ½ carretera a Sacaba.La fabricación de muebles de bambú del proyecto se caracteriza por utilizar materia prima alternativa y tecnología de punta. Las diferentes maquinarias que se utilizan son similares a las que se utilizan en una carpintería con la diferencia en el proceso de secado siendo este el proceso más importante debido a que de este depende la calidad del producto.El proyecto requiere de mano de obra calificada y mano de obra no calificada. Este personal se hará cargo de la maquinaria y será responsable tanto del proceso de fabricación como del control de calidad. El tiempo programado para la ejecución del proyecto comprende 5 meses, tiempo en el cual se pretende poner en funcionamiento el mismo. Como resultado de la evaluación financiera se obtuvo una TIR de 16,62% y un VAN de 81.586,77 $us. El proyecto goza de una buena generación de valor agregado, aportando positivamente en la generación de empleo como principal impacto en la economía debido a que contribuirá con la generación de 27 empleos.Según el Registro Ambiental Industrial (RAI) el proyecto pertenece a la categoría 4. Para cuidar la seguridad de los operarios se proporcionará: lentes de protección, barbijos, guantes y tapones de oídos. El uso de estos equipos de seguridad será de carácter obligatorio.</t>
  </si>
  <si>
    <t>https://drive.google.com/file/d/1Pb_sBI13A7Tp28tBOveLllldLrvb3YTa/view?usp=sharing</t>
  </si>
  <si>
    <t>NAVARRO CORNEJO RODNY ANDRES</t>
  </si>
  <si>
    <t>DESARROLLO DE UN MODELO PARA EL MANEJO DE RESÍDUOS EN LA INDUSTRIA METALMECÁNICA (HIERRO Y ACERO) DE COCHABAMBA</t>
  </si>
  <si>
    <t>rodnavar@hotmail.com.</t>
  </si>
  <si>
    <t>IND-032-2004</t>
  </si>
  <si>
    <t>PROCESOS INDUSTRIALES</t>
  </si>
  <si>
    <t>Residuos, Metalmecanica</t>
  </si>
  <si>
    <t>El planteamiento específico del proyecto fue el de evitar o minimizar la generación de residuos peligrosos e industriales antes de recurrir a opciones de reciclaje que en muchos casos genera otros residuos mucho más peligrosos.En una primera instancia se realizó un análisis de la situación actual de las empresas en cuanto a manejo de residuos se refiere, evaluando los diferentes procesos y etapas que se realizan en el rubro de metalmecánica a través de encuestas, listas de chequeo y visitas de campo.Para el desarrollo del modelo se utilizaron fichas de trabajo las cuales sirvieron en una primera etapa para identificar a la empresa, estudiar los procesos productivos, identificar a las materias primas utilizadas y sus características fisicoquímicas, los residuos, emisiones a la atmósfera y vertidos líquidos que se generan. Posteriormente se evaluaron las deficiencias ambientales encontradas en el área de gestión de residuos, gestión de materias primas, gestión productiva, política y organización. En la tercera etapa se describieron posibles alternativas de solución para cada deficiencia medioambiental encontrada realizando un análisis de los ahorros, ingresos, gastos e inversión requerida para implementar cada alternativa.El modelo también incluyó propuestas para el manejo de residuos en cuanto se refiere a materiales utilizados, herramientas utilizadas, cambio en los procesos y una base de datos relacional que facilitó el proceso de registro de la información en las empresas visitadasFinalmente se realizó la aplicación del modelo en tres empresas del rubro donde se identificaron las principales deficiencias ambientales en cuanto al manejo de residuos se refiere y se elaboraron de posibles alternativas de solución, asimismo se demostró la viabilidad técnica, económica y medio ambiental de cada alternativa planteada.</t>
  </si>
  <si>
    <t>https://drive.google.com/file/d/1oL9rKT8bcq-yYuq6OAIF7pmtYXpovc4K/view?usp=sharing</t>
  </si>
  <si>
    <t>GONZALES ALBORTA ARIEL CARLOS</t>
  </si>
  <si>
    <t>CUEVAS ORTUÑO GIOVANA NINOSKA</t>
  </si>
  <si>
    <t>ESTUDIO DE MERCADO PARA EL ANÁLISIS Y CONTROL DE PLAGUICIDAS EN ALIMENTOS ELABORADO PARA EL CENTRO DE TECNOLOGÍA AGROINDUSTRIAL DE LA UMSS</t>
  </si>
  <si>
    <t>ninoska_cuevas@yahoo.com</t>
  </si>
  <si>
    <t>IND-033-2004</t>
  </si>
  <si>
    <t>ACADÉMICOS</t>
  </si>
  <si>
    <t>Agroindustria, plagas</t>
  </si>
  <si>
    <t>En la producción agrícola de Bolivia, se utiliza en forma intensiva plaguicidas, que son sustancias tóxicas que traen consigo efectos indeseables en la salud humana, de los animales y el medio ambiente. Bolivia está ingresando a mercados internacionales con productos agropecuarios, por lo que se presenta la necesidad de un nuevo servicio que ayude a cumplir con los requisitos de estos mercados.El Centro de Tecnología Agroindustrial de la Universidad Mayor de San Simón esta en busca de realizar un proyecto de bienestar social para la población en general y también su vinculación con el sector agroindustrial y pecuario del país, ofreciendo un servicio de análisis y control de residuos de plaguicidas en los alimentos, siendo  el primer laboratorio habilitado para este tipo de análisis a nivel nacional.Con la realización de un estudio de mercado se obtuvo información acerca del servicio y  se determinó la demanda potencial para el análisis y control de plaguicidas a nivel nacional a través de la determinación del Límite Máximo de Residuos (LMR) en los alimentos. Siendo que todo el sector agrícola investigado emplea plaguicidas en la producción, se tiene que en un 64% de los productores agrícolas y pecuarios están dispuestos a realizar análisis de residuos de plaguicidas, además no existe competencia a nivel nacional, lo que hace factible la implementación de este servicio..Considerando la potencialidad de mercado y estrategias de mercadotecnia hace factible y rentable el servicio, ante todo por el gran beneficio dirigido por la creciente preocupación de la sociedad por su salud.</t>
  </si>
  <si>
    <t>https://drive.google.com/file/d/1AdHdkMBrIQaQTWwHpC0_c3cjNY9s9Ohc/view?usp=sharing</t>
  </si>
  <si>
    <t>ROCHA CHAVEZ JHON ALVARO</t>
  </si>
  <si>
    <t>ESTUDIO DE REUBICACIÓN Y REORGANIZACIÓN DE INDUSTRIAS NOBLEZA</t>
  </si>
  <si>
    <t>jhon_rocha@hotmail.com</t>
  </si>
  <si>
    <t>IND-034-2004</t>
  </si>
  <si>
    <t>ORGANIZACIÓN INDUSTRIAL</t>
  </si>
  <si>
    <t>Nobleza, reorganzacion</t>
  </si>
  <si>
    <t>El campo de la producción industrial de catres y colchones en muchas de las empresas de Cochabamba todavía no se halla organizado. Ordenar sistémicamente la producción es una tarea prioritaria. El presente trabajo dirigido es un proyecto en este rubro, con el objetivo de reubicar y reorganizar “Industrias Nobleza”, empresa con varios años de experiencia, y así elevar sus índices de rentabilidad fabricando productos de calidad competitivos, además de ampliar el mercado local a nivel nacional.Mediante una metodología descriptiva el trabajo conceptualiza los elementos teóricos en este tipo de proyectos; diagnostica la situación interna y externa de la empresa; muestra la oferta y demanda de los productos; justifica el nuevo tamaño y localización de la fábrica mediante métodos cualitativos y cuantitativos; diseña un organigrama funcional moderno; establece la ingeniería del proyecto, y la nueva distribución de planta; asimismo se efectúa el análisis económico. Bajo estos aspectos, se determina que la actual fábrica en Valle Hermoso deba ser reubicada a la zona de Capacachi como fruto del análisis de distintos factores económicos, geográficos y de mercado, como también se propone la reorganización en base a un organigrama y manual de funciones en base a unidades de producción. El análisis financiero de este nuevo proyecto incrementa el valor actual neto de 178028 a 500229 $us y la tasa de rentabilidad de 34 a 40%.Se recomienda efectuar estudios de la oferta y demanda de catres y colchones permanentemente. Por la dinámica de la producción, es necesario investigar sobre la aplicación de periodos más cortos en la evaluación económica, la seguridad industrial  y estudio de métodos para volver más eficiente la producción.</t>
  </si>
  <si>
    <t>https://drive.google.com/file/d/1B6tg3EWLrCeSikR1TjqGNiAotFpV7Hd6/view?usp=sharing</t>
  </si>
  <si>
    <t>RODRIGUEZ TAPIA ALEJANDRO</t>
  </si>
  <si>
    <t>PLAN MAESTRO DE MANTENIMIENTO PARA LA CORPORACIÓN BOLIVIANA DE BEBIDAS S.A. EN SU DEPARTAMENTO DE PRODUCCIÓN</t>
  </si>
  <si>
    <t>IND-035-2004</t>
  </si>
  <si>
    <t>Bebidas, producción</t>
  </si>
  <si>
    <t>No disponible</t>
  </si>
  <si>
    <t>https://drive.google.com/file/d/1XWFIS3jEivw_OQdqxrrTZ0sgjSoIhIS0/view?usp=sharing</t>
  </si>
  <si>
    <t>ERNESTO JAVIER MITRE</t>
  </si>
  <si>
    <t>ARY RUMY PRADA COCA</t>
  </si>
  <si>
    <t>ING. M. SC. ALFREDO COSIO PAPADÓPOLIS</t>
  </si>
  <si>
    <t>ESTUDIO DEL TRABAJO DEL CICLO PRODUCTIVO DE LA CBB S.A</t>
  </si>
  <si>
    <t>ernestomitre@yahoo.com</t>
  </si>
  <si>
    <t>IND-036-2004</t>
  </si>
  <si>
    <t>Ciclos productivos, estudio de trabajo</t>
  </si>
  <si>
    <t>El proyecto cuenta con un estudio del trabajo para el ciclo productivo de la Sección de Producción y Envasado de la CBB S.A. en requerimiento de ésta para la determinación de estándares de trabajo e indicadores de productividad para las líneas de envasado, llegando a ser el objetivo principal del presente estudio. De esta manera, se siguió una metodología para realizar el análisis; que consta de: Diagnóstico de la Sección de Envasado, Estudio de Métodos, Estudio de Tiempos, Estudio de Control de Paradas y Propuestas de Mejora.Dentro del Diagnóstico se pudieron identificar los factores críticos que causan una baja en la productividad; mediante herramientas de diagnóstico y herramientas de calidad, siendo la maquinaria y los métodos de trabajo los que tienen una mayor debilidad entre los otros factores.Con el Estudio de Métodos se logró evaluar el método de trabajo con que cuenta la empresa, se usaron técnicas del método, donde se concluyó que el método seguido es el adecuado para el producto.Se determinaron los tiempos estándar para las diferentes máquinas como para las líneas de envasado, mediante el análisis de los tiempos registrados por ciclo, aplicación de los factores de calificación y la aplicación de las tolerancias constantes y especiales. También se establecieron las eficiencias y las producciones estándares del método actual con que cuenta la empresa. Mediante un sistema de gestión para la optimización del manejo de la maquinaria, llamado Mantenimiento Productivo Total (TPM) y utilizando una de sus herramientas: Efectividad Global de Equipos se consiguió determinar los indicadores de productividad. Este análisis se baso en el Estudio de Control de Paradas registradas a lo largo de la duración del proyecto, mediante este estudio se consiguió determinar coeficientes que son los de disponibilidad, rendimiento y  calidad, mediante estos coeficientes se logra evaluar el indicador Efectividad Global de Equipos (EGE) que ayuda a orientar el tipo de acciones y herramientas a utilizar para la solución de problemas en cada línea de producción.Por ultimo paso se dieron las Propuestas de Mejora a las deficiencias identificadas dentro la Sección de Envasado 1.    Realizar un Plan de Mantenimiento Preventivo (TBM) los días sábados en un tiempo estimado de 4 horas de mantenimiento, que esté enfocado a: eliminación de suciedad, restos de  materiales, desgastes y holguras y corrosión (fallos latentes)2.    Asignar un operario a la Sección de Soplado para realizar el embolsado de botellas PET de forma manual y ordenada para evitar las “arrugas” en las botellas3.    Tener mayor coordinación logística entre la Sección de Envasado y Jarabería (tiempos de cambio de tanques de jarabe y de sabor) Se realizó un nuevo calculo de los tiempos estándar para las diferentes líneas de envasado, también se determinaron los tiempos estándares de preparación de las máquinas (limpieza, cambios de sabores y cambios de formato), mediante el Estudio de Control de Paradas, siendo parámetros importantes para el cálculo del indicador EGE.Para el estudio se evaluó el impacto de los costos, determinándose para el método actual como para el propuesto donde se consiguió cuantificar el ahorro que representa el implantar el método propuesto.A continuación se dan los conclusiones hechas en base a los resultados obtenidos, resumiendo se tiene: ·      Se logra evaluar y optimizar el proceso productivo de la Sección de Envasado  ·      Se identificaron los puntos críticos de la Sección de Envasado mediante el ESTUDIO DE CONTROL DE PARADAS y desarrollar indicadores de EFECTIVIDAD GLOBAL DE ENVASADO·      Se logra reducir el tiempo estándar de las tres líneas de envasado entre un 5 y 10%·      Se incrementa la eficiencia de las líneas de envasado, logrando un incremento en la producción de la Sección de Envasado de  61 440 botellas/mes (formato 2 ¼ L), 76 882 botellas/mes (formato 600 mL) y 129 402 botellas/mes (formato 8 oz).·      El impacto económico del Método Propuesto es positivo, en porcentaje representa aproximadamente un 50 % de ahorro de la pérdida.Finalmente las recomendaciones del proyecto son:·      Se recomienda aplicar el método propuesto ·      Implementar el Sistema de Mantenimiento Productivo Total ·      Capacitar a los obreros operadores de máquina para que conozcan al detalle sus máquinas y sepan utilizarlas y mantenerlas de manera eficiente.·      Contratar una empresa especializada para realizar el Mantenimiento Preventivo (CBM) de las máquinas de la Sección Envasado.</t>
  </si>
  <si>
    <t>https://drive.google.com/file/d/17S2qhT0Ph9nSUkyOyl4o7jQ0rYKda64X/view?usp=sharing</t>
  </si>
  <si>
    <t>https://drive.google.com/file/d/1ZnxUxUkeL4LuwLC94yhEbClwadfor_uL/view?usp=sharing</t>
  </si>
  <si>
    <t>SUBIETA ENCINAS DIEGO ANDRES</t>
  </si>
  <si>
    <t>DISEÑO DEL SISTEMA PRODUCTIVO PARA IMPLEMENTAR UNA PLANTA DESHIDRATADORA DE FRUTAS TROPICALES EN LA EMPRESA CORDILL S.A.</t>
  </si>
  <si>
    <t>diegosloro@hotmail.com</t>
  </si>
  <si>
    <t>IND-037-2004</t>
  </si>
  <si>
    <t>PLANIFICACIÓN Y CONTROL DE LA PRODUCCIÓN</t>
  </si>
  <si>
    <t>Deshidratadora, CORDILL, Frutas tropicales</t>
  </si>
  <si>
    <t>Debido al constante crecimiento del mercado internacional para fruta deshidratada es que nace la idea de diseñar un sistema productivo eficiente, eficaz y efectivo para el deshidratado de fruta, pero esta vez no de forma empírica (como se ha estado manejando hasta ahora en las distintas plantas deshidratadoras del país) sino, aplicando una serie de técnicas y herramientas de la Ingeniería Industrial como: Preparación y Evaluación de Proyectos, Estudio de Tiempos y Movimientos en Plantas Productivas, Procesos Industriales, Teorías de Transferencia de Masa y de Calor, Normas de Seguridad Industrial y Control de Calidad, Organización Industrial entre las mas importantes.En el presente proyecto se realizo un Análisis de las Características de Compra de la Materia Prima, las cuales tendrán una gran incidencia en el producto final. Se desarrollo el Mejor  Procedimiento que se deberá seguir dentro el Proceso Productivo para el deshidratado de las frutas, que para el caso será la siguiente materia prima: banano, piña y papaya. Se aplicaron las Normas de Seguridad Industrial y Control de Calidad para que durante el proceso de deshidratado (desde la compra de la materia prima hasta la venta del producto al mercado meta) no se incurra en errores que no estén acorde con las características finales del producto terminado. Se realizo el Diseño y Calculo del Horno Deshidratador, en el cual se identificaron nuevos aspectos para la tecnología de deshidratado. Se determino todo el Equipo y Maquinaria a ser utilizado, así como el Equipo y Material de Laboratorio y Auxiliar. Se estableció la Organización de la Planta y la relación que tendrá con el personal de CORDILL S.A., así como también, se realizo el análisis de la Mano de Obra Directa e Indirecta. Por ultimo se determinaron los Ingresos y Egresos (costos y gastos) en los que incurrirá el presente proyecto, mediante los cuales se pudieron determinar Indicadores de Rentabilidad.</t>
  </si>
  <si>
    <t>https://drive.google.com/file/d/1hE3HVsLXlLbIirneq6ll7GDyFsOgu35M/view?usp=sharing</t>
  </si>
  <si>
    <t>ALVAREZ GARCIA JAIME</t>
  </si>
  <si>
    <t>IRIARTE MORON ADEMAR RODRIGO</t>
  </si>
  <si>
    <t>OPTIMIZACIÓN DEL MATADERO MUNICIPAL DE COLCAPIRHUA ORIENTADO HACIA UN MEJOR DESEMPEÑO AMBIENTAL</t>
  </si>
  <si>
    <t>ademarrodrigo@yahoo.com</t>
  </si>
  <si>
    <t>IND-038-2004</t>
  </si>
  <si>
    <t>COLCAPIRHUA, optimización, ambiental</t>
  </si>
  <si>
    <t>El presente proyecto tiene la finalidad de optimizar el matadero municipal de Colcapirhua, de esta manera obtener un matadero que presente un producto de calidad, higiénico y con las mayores condiciones de salud para la población, además de cumplir con las normas medio ambientales vigentes en el país.En el primer punto se procede al registro y análisis de toda la información correspondiente al funcionamiento del Matadero Municipal y así poder determinar los puntos débiles del mismo. También realiza una comparación con las normas que debe cumplir un matadero en la parte de salud e higiene de la carne, agua potable y agua residual.Posteriormente se procede a la elaboración de las propuestas de solución, en los cuales se idean nuevos métodos y mejoras al proceso y a la infraestructura, lo cual se utilizará para aumentar la calidad del producto, como la cantidad faenada, utilizando los recursos con los que se cuenta, así también, mejorará la higiene y calidad ambiental. Concluidas las etapas anteriores se procede a desarrollar las propuestas y evaluarlas en el aspecto financiero y en un diagnostico de productividad  lo cual dio resultados favorables para la implementación de este proyecto.Una vez finalizadas estas etapas se procederá a efectuar las conclusiones y las recomendaciones del proyecto.</t>
  </si>
  <si>
    <t>https://drive.google.com/file/d/1AL_qJKgloR6PvLlBsizFw9fCxasr5yJh/view?usp=sharing</t>
  </si>
  <si>
    <t>PEREIRA CAMACHO JOSE GROVER</t>
  </si>
  <si>
    <t>ESTUDIO DE FACTIBILIDAD TÉCNICO, ECONÓMICO Y FINANCIERO PARA DESARROLLAR LOS SISTEMAS DE PRODUCCIÓN HIDROPÓNICOS PARA EL CULTIVO DE FLORES EN TIQUIPAYA</t>
  </si>
  <si>
    <t>tigrecillo_aventurero@hotmail.com</t>
  </si>
  <si>
    <t>IND-039-2004</t>
  </si>
  <si>
    <t>Hidroponia, cultivos, flores. tiquipaya</t>
  </si>
  <si>
    <t>El presente proyecto de grado tiene como objetivo general el de realizar un estudio técnico financiero al nivel de factibilidad, tal que permita obtener los suficientes elementos de juicio, para determinar la conveniencia de efectuar inversiones en una empresa hidropónica de flores para la exportación.Este proyecto surge ante la necesidad de un mercado internacional creciente, en esta nueva clase de cultivos (hidropónicos), con grandes posibilidades de llegar a desplazar al producto tradicional cultivado en el suelo, esto debido a la nueva tendencia de preservar el medio ambiente.La localización se efectuó basándose en el método de factores cualitativos, encontrándose que la empresa hidropónica debe ser emplazada en la localidad de Brunomokko en el municipio de Tiquipaya.El sencillo y conocido proceso tecnológico para la producción de flores hace que este no tenga ningún inconveniente.La obtención de divisas por la exportación de este tipo de productos, hace que este sea atractivo, no solo desde el punto de la evaluación financiera, que muestra una alta rentabilidad, sino por la relativa facilidad de comercializar este tipo de producto en el mercado objetivo (Estados Unidos, Argentina y Paraguay).La rentabilidad del proyecto esta dada por un VAN = 25160  y una TIR = 34%</t>
  </si>
  <si>
    <t>https://drive.google.com/file/d/1eqjktKi_OlZlnAXElsXHWZRQ13MXvCu9/view?usp=sharing</t>
  </si>
  <si>
    <t>TORREZ LUIZAGA CHRISTIAN ZELMAR</t>
  </si>
  <si>
    <t>DISEÑO E IMPLANTACIÓN DE LA DOCUMENTACIÓN DEL SISTEMA DE GESTIÓN DE LA CALIDAD DEL LABORATORIO DE GEOTECNIA DE LA UMSS SEGÚN NORMA ISO/IEC17025</t>
  </si>
  <si>
    <t>cztl@hotmail.com</t>
  </si>
  <si>
    <t>IND-040-2004</t>
  </si>
  <si>
    <t>Calidad, laboratorios, UMSS, Geotecnia</t>
  </si>
  <si>
    <t>Dada la cada vez más creciente competencia informal a la que se ve sujeto el Laboratorio de Geotecnia, este decide diferenciarse de sus competidores estableciendo una ventaja comparativa. Es así que se opta por implementar un Sistema de Gestión de Calidad con el objetivo último de obtener el reconocimiento formal de su competencia tanto técnica como de gestión, de sus servicios de ensayos.La Autoevaluación de la Calidad finalizada en el mes de Julio del 2003, mostraba un Laboratorio comprometido con la calidad de sus servicios, pero que no cumplía a cabalidad los requisitos exigidos por la norma ISO/IEC 17025:1999, por lo que se debían tomar medidas adecuadas para subsanar las falencias y eliminar las no conformidades encontradas durante este proceso.Posteriormente se definieron los aspectos estratégicos más importantes del Laboratorio, es decir, la Misión y la Visión, la Política y los Objetivos de la Calidad, así como la Estructura Organizacional orientada hacia el reconocimiento de su competencia.Luego se definió el alcance de la acreditación, en base a análisis de factibilidad técnica y de frecuencias, de los ensayos que serán postulados para su acreditación.En base a todos los pasos anteriores, se comenzó con el proceso de desarrollo del Sistema, iniciando con la definición de la estructura documental, pasando por el establecimiento de los factores claves, la determinación de la documentación a ser elaborada, hasta su edición final.En el mes de Diciembre del 2003, se llevo a cabo un Seminario Interno de concientización, motivación e información sobre el proceso de diseño e implantación del Sistema de Gestión de Calidad que debía seguir el Laboratorio, señalando lo que ya se había realizado y lo que faltaba por realizar.Finalmente se concluye la elaboración e implantación de la documentación necesaria para el Sistema, dando los lineamientos y las recomendaciones a seguir para su correcta utilización por parte del personal del Laboratorio.</t>
  </si>
  <si>
    <t>https://drive.google.com/file/d/12TIqYspAx-DuAIYBxZ9Jl0wENmfVp7Yn/view?usp=sharing</t>
  </si>
  <si>
    <t>MATNY GAMBOA JACQUELINE DANIELA</t>
  </si>
  <si>
    <t>IMPLEMENTACIÓN DE UN SISTEMA DE GESTIÓN DE CALIDAD EN BASE A LA NORMA ISO 9001:2000 EN LA UNIDAD ESTRATÉGICA DE NEGOCIOS BOLIVIADATA</t>
  </si>
  <si>
    <t>jacky_dmg@hotmail.com</t>
  </si>
  <si>
    <t>IND-041-2004</t>
  </si>
  <si>
    <t>ISO 9001:2000, bolivia data</t>
  </si>
  <si>
    <t>El presente trabajo está dirigido a la Implementación  de un Sistema de Gestión de Calidad en base a la Norma ISO 9001:2000 en la Unidad Estratégica de Negocios Boliviadata. Con el fin de contribuir a la calidad del servicio atención al cliente y atención técnica complementando de esta forma el Sistema de Gestión de Calidad de la Cooperativa de Telecomunicaciones Cochabamba COMTECO  LTDA.Inicialmente se realizó un Diagnóstico de la situación inicial de Boliviadata, para determinar el porcentaje que abarcará el Sistema de Gestión de Calidad a ser implantado.La adopción de un sistema de gestión de calidad fue una decisión estratégica de la Organización. El diseño y la implementación del sistema de gestión de calidad de la organización estaban influenciados por diferentes necesidades, objetivos particulares, los productos suministrados, los procesos empleados y el tamaño y estructura de la organización, debido a esto el diagnóstico de la Unidad Estratégica de Negocios Boliviadata se basó en la aplicación de una herramienta para el desarrollo de estrategias como es la matriz FODA, para esto se realizó tanto el análisis externo como el interno de Boliviadata para detectar tanto las oportunidades y amenazas como las fortalezas y debilidades.Luego, en el desarrollo del Sistema de Gestión de Calidad, se han considerado los requisitos de la Norma ISO 9001:2000, elaborando los principales documentados los cuales fueron detectados en el diagnóstico de la organización, para asegurar la eficaz planificación, operación y control de sus procesos y registros, teniendo en cuenta las disposiciones legales pertinentes; estos documentos son: Manual de Calidad, Plan de Calidad, Manual de Procedimientos, Manual de Funciones y Procedimientos de Control.El Manual de Calidad es el documento que contiene los puntos básicos  por los cuales se rige el sistema; tales como la política y el objetivo de calidad de Boliviadata y en este se desarrolla cada uno de los puntos que contiene la Norma de Calidad.El Plan de Calidad se creó como un sistema de planificación, operación y control de los procesos, en este se describen más detalladamente todos los procesos que forman parte del Sistema de Gestión de Calidad, tanto los procesos primarios como los secundarios, de esta manera se tiene un marco de colaboración, para determinar secuencias e interacción de estos procesos. (Ver Anexo II).El Manual de Procedimientos estandarizado y congruente no solo representa una manera ordenada de recopilar el material de trabajo, si no que la uniformidad de los procedimientos les proporciona una cualidad singular, una calidad propia que los hace prácticos. Se desarrollaron los procedimientos de las Unidades de Supernet y Transmisión de Datos tanto en el área de Atención al Cliente como en el de Asistencia Técnica.El Perfil de Cargos conocido también como Manual de Funciones, se desarrollo en coordinación con la División de Recursos Humanos, en este documento se describe el objetivo general del cargo, las funciones y tareas, responsabilidades, características del cargo, competencias laborales, atributos y requisitos, seguridad y riesgo. Cada funcionario de Boliviadata cuenta con una copia controlada de su Perfil de Cargo el cual no corresponde a indicaciones de desempeño limitativas y este debe ser cumplido en el marco de su labor cotidiana.Los Procedimientos de Control, este nombre fue dado por el Comité Interno de Calidad a los procedimientos obligatorios que exige la Norma ISO 9001:2000 que se establecen en el Sistema de Gestión de Calidad. Este documento consta de: Procedimiento de Control de Documentos que asegura que los documentos del Sistema de Gestión de Calidad sean elaborados, revisados, actualizados, aprobados, identificados, distribuidos y controlados. Procedimiento de Control de los Registros, los registros son una parte importante de cualquier programa de calidad, permiten revisar actividades previas para aplicaciones presentes y proveen confianza a terceros, por esto estos deben ser controlados. Procedimiento de Auditoria Interna, este documento es un procedimiento que permite determinar la operatoria a seguir para monitorear la implementación, seguimiento y mantenimiento eficaz del Sistema de Gestión de Calidad. Procedimiento de Tratamiento de No Conformidades, Acciones Correctivas y Preventivas, este procedimiento tiene como objetivo determinar la operatoria a seguir para detectar y eliminar las causas de las No Conformidades reales y potenciales, implementar y registrar los resultados de las Acciones Correctivas y/o Preventivas en el Sistema de Gestión de Calidad. Procedimiento de Revisión del Sistema de Gestión de Calidad por la Dirección, tiene como objetivo asegurar la adecuación y efectividad del Sistema. Se realizó una Auditoria Interna para verificar el correcto desempeño del Sistema de Gestión de Calidad y que este cumpla con todos los requisitos de la Norma ISO 9001:2000.Finalmente se determinó los costos del proyecto tanto de implementación como los de mantenimiento, así como los beneficios de la implementación del Sistema de Gestión de Calidad.Se puede concluir que se logró efectuar todos los ítems de la Norma ISO 9001:2000 necesarios para la implementación del Sistema de Gestión de Calidad en la Unidad Estratégica de Negocios Boliviadata, de manera que se obtenga la certificación en sus procesos de Atención Personal y Telefónica, y Atención Técnica Telefónica y Domiciliaria. Dicha certificación traerá beneficios para la organización a mediano y largo plazo, además de aumentar la satisfacción de sus clientes internos y externos</t>
  </si>
  <si>
    <t>https://drive.google.com/file/d/1bQkVJIjWwFH5UfudPOL3ZJXHm4-O546z/view?usp=sharing</t>
  </si>
  <si>
    <t>LOZA REVOLLO JOSE RAFAEL</t>
  </si>
  <si>
    <t>ING. MARIA DEL CARMEN ARNÉZ CAMACHO</t>
  </si>
  <si>
    <t>REDISEÑO DEL PROCESO PRODUCTIVO EN LA SECCIÓN CARPINTERÍA, DEPENDIENTE DE SERVICIOS GENERALES DE LA UNIVERSIDAD MAYOR DE SAN SIMÓN</t>
  </si>
  <si>
    <t>Rafaamigo2004@hotmail.com</t>
  </si>
  <si>
    <t>ADSCRIPCION</t>
  </si>
  <si>
    <t>IND-042-2004</t>
  </si>
  <si>
    <t>Carpinteria, UMSS</t>
  </si>
  <si>
    <t>El trabajo realizado, consistió en hacer una análisis de los principales problemas actuales de la Carpintería de la UMSS, y desarrollar propuestas para solucionar estos problemas, mejorando la productividad y el rendimiento en áreas por ahora críticas de la unidad productiva.Para realizar la Planificación estratégica de la unidad productiva, se siguió los siguientes pasos: se definió la misión de la carpintería, se realizó la auditoria interna y la auditoria externa (análisis FODA), la misión se transformó en dos objetivos estratégicos y para alcanzar estos objetivos se generaron estrategias, las mismas que se plasmaron en el plan estratégico y en el plan operativo anual, teniendo como resultado, un plan de acción que involucra y asigna tareas a todo el personal clave.Para desarrollar la propuesta de la redistribución en planta, se siguió la siguiente metodología: (1) se ha recopilado toda la información necesaria de los factores que influyen en la distribución en planta, es decir: productos, materiales, ciclos de fabricación, máquinas, recursos humanos y movimiento de materiales; (2) luego de un análisis de productos se ha determinado que el producto principal es la silla con brazo, se determinó doce puestos de trabajo necesarios para el proceso productivo, haciendo uso de una matriz de doble entrada, una tabla triangular y un cuadro resumen, se ha ubicado, en un diagrama  de tipo hexagonal que puestos de trabajo deben estar juntos y que puestos estarán mas alejados; (3) se ha calculado la superficie necesaria para puestos de trabajo, áreas de circulación, almacenes de materias primas y materiales, productos en proceso y productos terminados, áreas para estantes, tableros y elementos auxiliares;  (4) finalmente se ha graficado a escala todos estos elementos y se los a ubicado en un plano también a escala de la planta, se ha simulado la circulación de materiales y obreros y se ha establecido la distribución definitiva luego de hacer las correcciones necesarias.Se ha analizado el Proceso Productivo, en primer lugar, a nivel de toda la unidad productiva, encontrando las causas principales de la baja productividad, utilizando para ello herramientas de la ingeniería de métodos. En  segundo lugar, se plantearon mejoras para los doce puestos de trabajo definidos, buscando aprovechar al máximo las máquinas universales con que se cuenta, se desarrolló el concepto de los montajes o dispositivos de trabajo, que permiten pasar de una producción con alto ingrediente de mano de obra a una producción más industrial y mecanizada. En tercer lugar se ha analizado y mejorado el proceso productivo de sillas con brazo, describiendo el mismo en forma detallada con toda la  documentación necesaria, de igual forma se introdujeron  mejoras en el diseño de las sillas, para facilitar su proceso.Para la obtención de tiempos estándares de producción, se ha empleado dos medios: el estudio de tiempos con cronómetro, para el principal producto, es decir la silla con brazo. Para los otros productos, de menor importancia, se ha empleado el método de los registros históricos, de forma de disponer de información por lo menos aproximada, de tiempos estándares de producción, especialmente para realizar tareas de planificación y control.En lo que se refiere a la planificación y control de la producción, se ha desarrollado el procedimiento describiendo todas las actividades que debe realizar esta función. Se ha determinado y descrito detalladamente cuatro actividades relacionadas: (1) determinar el pronóstico de ventas; (2) planificar la producción independiente de un pedido concreto, (3) planificar la producción para un pedido concreto, y (4) actividades de la conducción operativa de la producción. Para cada una de estas cuatro actividades se ha desarrollado las formas o documentos necesarios en la unidad productiva.Se ha determinado una forma sencilla y rápida de calcular el costo unitario de producción, en el cual, para distribuir (prorratear) los costos fijos se ha empleado el concepto de costo hora – taller o costo hora – hombre, empleando para tal fin, información de depreciaciones, gastos generales, sueldos fijos, y otros factores. Con toda esta información se ha desarrollado una hoja de cálculo de del costo unitario de producción.Finalmente para evaluar el trabajo realizado, se ha calculado la inversión necesaria para implementar el proyecto y posteriormente se ha estimado el ahorro que generará para Universidad Mayor de San Simón, así también, se has hecho las recomendaciones necesarias para alcanzar el objetivo de mejorar el rendimiento de la unidad e incrementar su productividad. Los resultados obtenidos son herramientas que no solo son de utilidad para la Carpintería de la Universidad Mayor de San Simón, son de mucha utilidad para la gran cantidad de unidades productivas privadas similares,  que se dedican a la fabricación de productos de madera.</t>
  </si>
  <si>
    <t>https://drive.google.com/file/d/12siTzR7pe0kBS0bjD6Idg9CLKTHrVCyQ/view?usp=sharing</t>
  </si>
  <si>
    <t>JUAN BALDERRAMA HERBAS</t>
  </si>
  <si>
    <t>JOSÉ LUIS LASCANO DURÁN</t>
  </si>
  <si>
    <t>“ESTUDIO DE UN SISTEMA DE GESTIÓN DE LA CALIDAD  PARA  LA IMPLEMENTACIÓN  DE LA  NORMA ISO 9001: 2000 EN LA EMPRESA “IRBA LTDA.”</t>
  </si>
  <si>
    <t>juancho_ing@hotmail.com</t>
  </si>
  <si>
    <t>IND-043-2004</t>
  </si>
  <si>
    <t>ISO 9001: 2000, IRBA</t>
  </si>
  <si>
    <t>El presente proyecto se elaboró para la fábrica de muebles metálicos IRBA Ltda. que ofrece muebles para Clínicas, Hospitales, Farmacias, Oficinas y Domiciliarios. Se planteo como objetivo el “Estudio de un Sistema de Gestión de la  Calidad para la Implementación de la Norma ISO 9001:2000 en la Empresa  IRBA Ltda.”Para dar inicio al actual proyecto se efectúo un análisis de la situación actual de la empresa, en la que se determino la estructura orgánica, los productos que ofrece, la materia prima, insumos, accesorios y servicios que demanda para la fabricación de los distintos muebles y su proceso productivo; También se realizo un diagnostico de la calidad en base a un cuestionario, del cual se  determino que la empresa cumple en un 33,125 % de los requisitos de la Norma Internacional ISO 9001:2000 Luego de realizar el análisis de la empresa, se procedió al desarrollo del Sistema de Gestión de la Calidad , elaborando el manual de la calidad de IRBA Ltda., el cual cumple con los requisitos de la Norma Internacional ISO 9001:2000, en este manual describimos en forma general el Sistema de Gestión de la Calidad de la empresa.Para poder cumplir con la documentación del Sistema de Gestión de la Calidad, se elaboraron los Manuales de Funciones para aquellos cargos que  intervienen en la calidad del producto este documento incluyen los indicadores de gestión, los Manuales de Procedimientos, Instrucciones de Trabajo, Fichas de Especificaciones, Planes, Guías y Registros de la calidad Una vez concluido con la realización del Sistema de Gestión de la Calidad, se procedió a la determinación de costos para la implementación, luego  se elaboro un programa de implementación del Sistema de Gestión de la Calidad.Para concluir se realizo las respectivas conclusiones y recomendaciones del proyecto.</t>
  </si>
  <si>
    <t>https://drive.google.com/file/d/18VtTuxozPywWDszQFnrxzNl0mzp9MSXL/view?usp=sharing</t>
  </si>
  <si>
    <t>SANTIESTEBAN MURILLO DANIEL HUASKAR</t>
  </si>
  <si>
    <t>PLANIFICACIÓN ESTRATÉGICA DE MARKETING PARA LA DIVISIÓN DE COMERCIALIZACIÓN DE G.L.P. A GRANEL DE REPSOL Y.P.F.</t>
  </si>
  <si>
    <t>daniel_santiesteban@yahoo.com</t>
  </si>
  <si>
    <t>IND-044-2004</t>
  </si>
  <si>
    <t>REPSOL, granel, YPFB</t>
  </si>
  <si>
    <t>Al momento de la realización del estudio Repsolgas Cochabamba, estaba buscando políticas estratégicas  comerciales con el fin de incrementar sus ventas y crecer en el mercado, debido a que el mismo se encontraba en etapa de crecimiento. Se detectó que en el mercado no existen competidores directos, solo indirectos. En el diagnostico de la empresa  se encontró a una empresa con fortalezas importantes como ser parte de  una compañía que  posee toda la cadena de valor, se cuenta con un servicio diferenciado, seguro y de calidad. También se detectaron debilidades importantes: la falta de posicionamiento del nombre, el no contar con políticas promoción, publicidad y ventas. Por otro lado detectaron oportunidades muy atractivas en el mercado, como ser que el 67.5% de la demanda estaba insatisfecha y la falta de competencia directa. Como amenazas encontradas en el estudio se pueden nombrar al bajo precio de los producto sustitutos, las políticas gubernamentales en función de:  primero del incentivo para la instalación de líneas gas natural y segundo la inestabilidad de los contratos de las petroleras en el país.La propuesta de un plan estratégico de marketing, diseñado a partir de estrategias en torno al producto, promoción, plaza y el personal, que se basó en diferentes técnicas como ser el la técnica del análisis estructural del mercado de Porter, la matriz de perfil competitivo, la matriz de multicriterios o atractivo-competitividad, nos muestran como resultado la aplicación de una planificación estratégica diferenciada por rubros.Se propuso un cronograma de actividades y un presupuesto para los dos años que durará el plan, que servirá de guía para la empresa y las actividades de la misma en lo que se refiere a la comercialización.Considerando los beneficios económicos y organizacionales que traerá la implementación del plan estratégico de marketing se recomendó su aplicación y control.</t>
  </si>
  <si>
    <t>https://drive.google.com/file/d/1qLARBaOcUZie6vtZkiQwk3j7Mv1jFWGK/view?usp=sharing</t>
  </si>
  <si>
    <t>MALDONADO ANDIA CLAUDIA KAREN</t>
  </si>
  <si>
    <t>REYNOLDS OCAMPO LITZZIE ANDREA</t>
  </si>
  <si>
    <t>LA GESTIÓN ESTRATÉGICA EN MUNICIPIOS INTERMEDIOS: PROPUESTA DE TÉCNICAS Y HERRAMIENTAS DE GESTIÓN ESTRATÉGICA PARA UNO DE LOS COMPONENTES DEL MODELO DE GESTIÓN MUNICIPAL PARTICIPATIVA</t>
  </si>
  <si>
    <t>karekama@hotmail.com</t>
  </si>
  <si>
    <t>IND-045-2004</t>
  </si>
  <si>
    <t>Municipio, gestion</t>
  </si>
  <si>
    <t>Objetivo General:El objetivo general del proyecto fue elaborar una propuesta de técnicas y herramientas de gestión estratégica para uno de los componentes del  Modelo de Gestión Municipal Participativa.Objetivos Específicos:1) Se efectúo un análisis del PDM y PEI de municipios seleccionados.2) Se analizó la aplicación de los sistemas SPO, SAP, SOA y SP3) Se realizó un diagnóstico de la GE actual en municipios seleccionados. 4) Se efectúo un análisis de seguimiento y evaluación  a los programas y proyectos en el CGMP y a los actores municipales.5) Se desarrolló un propuesta de técnicas y herramientas de seguimiento y evaluación estratégica en el contexto de la GE municipal.6) Se seleccionaron y formularon indicadores de proceso e impacto.7) Se realizó una evaluación social.La metodología: La metodología que se empleó fue la siguiente: 1) Recolección de información conceptual2) Recolección de información sobre la GE  en los Municipios.3) Clasificación y estructuración de datos 4) Análisis situacional actual 5) Desarrollo de técnicas de seguimiento y evaluación.Conclusiones:Acerca de los 4 Municipios estudiados.--        Existe una determinación de operaciones inconclusa porque no existe un PEI.-        Existen los reglamentos específicos de los 4 sistemas relacionados con la GE; pero el problema está en su implementación, ya que no consideran suficientemente las características individuales del funcionamiento del municipio.-        Programan sus operaciones sin considerar oportuna-mente las disponibilidades presupuestarias.-        Faltan lineamientos claros y consensuados entre CV y GM que definan los enfoques y estrategias que los sistemas de S&amp;E deberían tener en los programas y  proyectos, siguiendo la lógica del desarrollo establecida a nivel nacional y departamental. -        Existe S&amp;E en los EDAs y EDCs que consiste en informes y rendición de la ejecución físico-financiera del POA y del Presupuesto de la gestión pasada y la actual; pero falta S&amp;E a los resultados e impactos que logran los programas y proyectos.-        No elaboran ni usan indicadores de eficiencia y eficacia establecidos para  la evaluación de resultados y la generación de medidas correctivas.-        No compatibilizan los planes de mediano y corto plazo (PDM y POAs) con los PGDES y PDDES.-        Las descripciones de los proyectos contienen información cuantitativa no necesariamente pertinente y útil.Recomendaciones:A los Municipios de categoría B para el corto plazo:Para enfrentar los requisitos de información y de análisis en la evaluación de proyectos y programas:-        Desarrollar gradualmente capacidades de evaluación, y aumentar gradualmente el número y la frecuencia de las evaluaciones a medida que las limitaciones de capacidad se alivien.Para lograr que todos los integrantes del gobierno municipal estén involucrados en la mejora institucional:-        Buscar decididamente la apertura del personal a nivel de toda la institución, mejorando el aprendizaje interno sobre los objetivos y alcances del municipio.Para agilizar la transferencia de know-how  y  capacitación:-        Promover pasantías de profesionales junior en las municipali-dades.Para asegurar que las 8 técnicas y herramientas aquí propuestas contribuyan al control interno en los municipios:-        Seleccionar las más convenientes e incluirlas en el reglamento específico del SCG.A las Prefecturas y al ente rector del SISPLAN  para el largo plazo :Para difundir horizontal y verticalmente las experiencias y lecciones aprendidas del seguimiento y evaluación de programas y proyectos municipales:-        Crear bancos de datos a nivel municipal, departamental  y nacional que abarquen todas las evaluaciones  realizadas,  y usar algunos casos seleccionados en cursillos de capacitación para representantes clave de los gobiernos locales, departamentales y central.</t>
  </si>
  <si>
    <t>https://drive.google.com/file/d/1ZSclH0aIMVrJizKRtGkDXdvz4ID13_E2/view?usp=sharing</t>
  </si>
  <si>
    <t>REVOLLO TERAN PATRICIA CARMEN</t>
  </si>
  <si>
    <t>ORELLANA MONTAÑO LIZETTE</t>
  </si>
  <si>
    <t>PROPUESTA DE UN MODELO DE GESTIÓN DEL DESEMPEÑO PARA LOS RECURSOS HUMANOS DE LA OFICIALÍA MAYOR ADMINISTRATIVA Y FINANCIERA DE LA H.A.M. DE COCHABAMBA</t>
  </si>
  <si>
    <t>patricia_revollo@hotmail.com</t>
  </si>
  <si>
    <t>IND-046-2004</t>
  </si>
  <si>
    <t>RECURSOS HUMANOS</t>
  </si>
  <si>
    <t>Cochabamba, RRHH</t>
  </si>
  <si>
    <t>En su  búsqueda de mejoramiento continuo la Honorable Alcaldía Municipal  de Cochabamba, ha percibido la necesidad de que el desempeño de sus funcionarios sea tanto  eficiente como eficaz, ya que de estos depende el éxito de cualquier organización. La Dirección de Recursos Humanos al ser la directamente responsable de la gestión de desempeño de los empleados públicos se ha dado a la tarea del diseño y planificación de la evaluación de desempeño, sin embargo la directiva no tiene la certeza de la veracidad de la información que extrae el actual modelo de evaluación. Por otro lado se ve la importancia de  gestionar durante todo el año, dicho desempeño y encontrar una manera de proporcionar una guía y apoyo constante en lo que se refiere al trabajo que cada funcionario debe desarrollar.La presente propuesta aportará al mejoramiento de los resultados obtenidos en cada unidad, debido a que se constituye en un sistema de autocontrol y autoevaluación, donde se podrán identificar con claridad cada una de las falencias para poder tomar acciones oportunamente, además de inculcar un comportamiento proactivo, que involucre activamente a cada uno de los funcionarios en lo que presenta la consecución de objetivos. También servirá de apoyo en la toma de decisiones respecto a transferencias, promociones, etc. de los funcionarios.El objetivo general de la propuesta es:Elaborar un Modelo de Gestión del Desempeño de los Recursos Humanos que conduzca al logro y mejora de los resultados de la Honorable Alcaldía Municipal de Cochabamba.Objetivos EspecíficosRealizar un Diagnostico actualizado del Modelo de Desempeño actual.Verificar el grado de motivación e identificación de los empleados.Determinar en qué medida los objetivos individuales se relacionan con los objetivos de la Institución.Realizar un Análisis Beneficio-Costo.Realizar un Sistema de Control para el  modeloEl presente trabajo fue dividido en tres fases: Recolección de Información, diagnóstico de la institución y desarrollo de la propuesta.La recolección de información se basó en una investigación documental y posteriormente un trabajo de campo, siendo analizadas las siguientes variables: Antecedentes de la Institución, La Programación de Operaciones, Seguimiento y Evaluación del POA, Principales Características de los Recursos Humanos de la Oficialía, Factores Motivadores que Influyen en el Desempeño Laboral, La Evaluación del Desempeño Individual y Percepción de los Funcionarios Respecto al Modelo Actual.El diagnóstico de la Institución consistió en un análisis de la información anteriormente mencionada, por el cual se logró identificar las necesidades de la Institución y las falencias del actual modelo.En respuesta, el modelo propuesto se constituye en un sistema integrado de autocontrol y autoevaluación, formado por tres fases o etapas: Planificación, Seguimiento y Revisión. En la Planificación se identifican en forma conjunta con el colaborador las expectativas de desempeño y se fijan: Objetivos críticos, que son aquéllos que tienen la máxima importancia para alcanzar los resultados del puesto. Competencias críticas, que son las conductas que requieren ser demostradas en el trabajo diario. La segunda fase es el Seguimiento cuyo propósito es proveer retroalimentación, para lograr las expectativas del desempeño. La Revisión evalúa el desempeño actual versus el esperado al final del ciclo lo que permite planificar el nivel de desempeño esperado para el año siguiente.En cuanto a los costos de implementación de la propuesta, no son muy representativos puesto que la Institución actualmente incurre en montos similares para la Programación de Operaciones y la Evaluación del Desempeño</t>
  </si>
  <si>
    <t>https://drive.google.com/file/d/1cLwgqqWh7wH1wqaE0-Q_P2zwiigzbnuH/view?usp=sharing</t>
  </si>
  <si>
    <t>SUZETH ALEJANDRA ZUAZO VIDEZ</t>
  </si>
  <si>
    <t>PLANTA PROCESADORA DE KAÑAWA (CHENOPODIUM PALLIDICAULE AELLEN), (ESTUDIO DE FACTIBILIDAD)</t>
  </si>
  <si>
    <t>Suzeth_2@latinmail.com</t>
  </si>
  <si>
    <t>IND-047-2004</t>
  </si>
  <si>
    <t>kañawa</t>
  </si>
  <si>
    <t>El proyecto tiene el objetivo general de estudiar la viabilidad técnica y financiera de una planta procesadora de productos a base de kañawa (pseudocereal o cereal menor llamado así debido a sus utilidades como frutos de gramíneas, de alto grado de adaptación y rusticidad), de tal manera de coadyuvar al incremento y conservación de este producto en la región andina de la ciudad de Cochabamba.Para ello se recurrió a un estudio de mercado orientado a la población para identificar los productos a procesar y su demanda.Los productos identificados como demandados fueron galletas y pito, se procedió a desarrollar dichos productos, es decir, evaluando su aceptación que resultó ser muy buena. Se sugiere además la ubicación y emplazamiento de la planta en el Municipio de Sipe Sipe.El proceso empleado por el proyecto cuenta con la tecnología adecuada para la elaboración de los productos tanto en calidad como en cantidad, además de permitir la adquisición de la mayor parte de la maquinaria nacional, hecho que reduce los costos de inversión.Se elaboró diferentes prototipos tanto para las galletas como para el pito, con distintas proporciones en cuanto al azúcar en el caso del pito y variaciones en la proporción de harina de kañawa para las galletas, con el objetivo de buscar el más adecuado en cuanto a aceptación y calidad. Estos prototipos fueron sometidos a un proceso de análisis pasando por pruebas sensoriales orientadas al  producto (panel entrenado) como también al consumidor (población objetivo). La estructura organizacional considerada para la operación de la planta procesadora de kañawa es la estructura por funciones con los niveles jerárquicos: Directorio, Gerencia General, Departamento de producción, Departamento de Comercialización y Administración.Se estima un total de 17 personas involucradas en la operación del proyecto, de las cuales 7 se asignan para la Mano de Obra directa y 10 para la Mano de Obra indirecta.Se han estimado 13 actividades a fin de poner en marcha a la planta, para cuyo objeto  se requiere la inversión previa de 5196 $us.La inversión necesaria para poner en marcha el proyecto es de 122621 $us.Mediante una evaluación financiera realizada para el proyecto se pudo constatar que el proyecto es rentable reportando los siguientes resultados:Desde el punto de vista del proyecto puro:VAN =13390 $usTIR = 16 %Relación Beneficio Costo = 1,22Desde el punto de vista del inversionista (capital social), se obtuvo los siguientes indicadores, los cuales afirman que el proyecto es rentable.VAN = 14356 $usTIR = 28%Relación Beneficio Costo = 1,24El período de recuperación de capital es de 5,10 años.Por otro lado, mediante un análisis de sensibilidad se pudo verificar que el proyecto es sensible ante variaciones en el volumen de producción y precio de venta, y poco sensible ante variaciones en el costo de comercialización y precio de la materia prima.Se concluye por tanto que el proyecto es técnico y financieramente factible y ejecutable cuando disponga el inversionista interesado.</t>
  </si>
  <si>
    <t>https://drive.google.com/file/d/1KuU7XwfbiyJLlibYOoQNgfTVL-9Qo45B/view?usp=sharing</t>
  </si>
  <si>
    <t>https://drive.google.com/file/d/19Ob6tZypWIMsSBLB_v_dkKHyhqA1FnV6/view?usp=sharing</t>
  </si>
  <si>
    <t>ZAPATA UREY FERNANDO ARIEL</t>
  </si>
  <si>
    <t>SERRANO GARCIA ROSA CECILIA</t>
  </si>
  <si>
    <t>DESARROLLO DE UN PROCESO DE AUTOEVALUACIÓN Y LA PROPUESTA DE UN PLAN ESTRATÉGICO PARA LA CARRERA DE INGENIERÍA DE SISTEMAS</t>
  </si>
  <si>
    <t>rosega17@hotmail.com</t>
  </si>
  <si>
    <t>IND-048-2004</t>
  </si>
  <si>
    <t>Sistemas</t>
  </si>
  <si>
    <t>El estudio que se presento, estaba enfocado al diseño de un Proceso de Autoevaluación y la propuesta de un Plan Estratégico  para la Carrera de Ingeniería de Sistemas, dicho proceso fue elaborado siguiendo el modelo de la guía propuesta por la Dirección Universitaria de Evaluación y Acreditación (D.U.E.A)  y el Plan siguió el modelo de Planificación Estratégica que establece el Comité de la Universidad Boliviana, para todas las universidades y unidades académicas del sistema.Inicialmente se procedió a la definición de conceptos útiles a ser utilizados en el trabajo como ser evaluación, autoevaluación, acreditación y otros, dividiendo el estudio en variables internas (contexto institucional, estudiantes, graduados, docentes, etc.), para un mejor análisis y descripción de los aspectos internos concernientes a la Carrera de Ingeniería de Sistemas; lo que facilitó de gran manera la definición exacta de los objetivos, y el alcance se pretendía con el trabajo.La recolección de información necesaria para la elaboración de un proceso de autoevaluación coherente, fue el paso siguiente siendo la metodología aplicada para tal efecto el diseño y aplicación de encuestas a diferentes niveles desde autoridades de Carrera hasta estudiantes inscritos; sin embargo debido a que la población objetivo de las encuestas variaba en número considerablemente, dependiendo a quien estaba dirigido la encuesta, se recurrió a dos métodos de selección de muestreo como son el censo utilizado para el levantamiento de información de los docentes, autoridades de Carrera y los titulados, y el muestreo aleatorio simple aplicado a los estudiantes inscritos debido a que el número de estudiantes es considerablemente mayor al número de docentes o titulados. Una vez concluida la fase de recolección de información, se definieron los métodos de recolección y análisis de datos, para luego definir la presentación de los resultados.Al momento de realizar el proceso de recolección y procesamiento de información se tuvo como guía, a los cuestionarios facilitados por la Dirección Universitaria de Evaluación y Acreditación (D.U.E.A.), agrupando como se dijo anteriormente las variables de estudio en 5 variables que brinden toda la información necesaria; Contexto Institucional, Gestión Académica y Curriculo, Docentes, Estudiantes y Graduados, Infraestructura, Equipamiento y Gestión Administrativa Financiera.Para tener una idea clara de los resultados obtenidos de la aplicación de las encuestas realizadas se elaboraron gráficos de torta y barras, que ilustren el porcentaje de aceptación, rechazo o indiferencia a las distintas preguntas planteadas.Como fase final del proceso de Autoevaluación, contando con toda la información, y después de haber realizado los procesos de procesamiento y análisis de la misma se procedió a la construcción de juicios de valor, planteados para cada una de las variables internas definidas anteriormente, convirtiéndose esta etapa en la mas importante de todo el proceso de Autoevaluación, ya que a este nivel es posible realizar planteamientos concretos respecto a las falencias o fortalezas que se pudieron encontrar, lo que permitirá posteriormente elaborar planes estratégicos que permitan aliviar o eliminar falencias o en su defecto mejorar las fortalezas encontradas, de manera que se puedan aprovechar de la mejor forma posible.El Desarrollo del Plan Estratégico consto de un análisis de la organización, en el que se determinaron los factores que caracterizan y afectan la formación de los profesionales en la Carrera de Ingeniería de Sistemas. En este proceso se elaboro los principios y valores de la organización, Misión, Visión y sus respectivas Directrices Estratégicas, las cuales sirven para la generación de estrategias, en las que se establecen los objetivos y metas para cada una de ellas. Posteriormente se han diseñado las Líneas de Acción que se constituyen en las acciones que describen las estrategias, las cuales han sido definidas con sus respectivos responsables, indicadores  y plazos de  cumplimiento. El Cronograma de Implementación permitió visualizar el desarrollo de las Líneas de Acción en el tiempo, y de esta forma controlar el cumplimiento de las mismas en los plazos fijados.Posteriormente  se realizó un análisis de costos y beneficios, en el cual se estimó un costo promedio del Plan estratégico de 9062 $/año. Los beneficios se traducen en la repercusión de las metas establecidas, que buscan lograr una estructura y organización eficiente, garantizando un profesional competitivo que atienda las necesidades de una sociedad globalizada. Finalmente, realizado el análisis de costos para la implementación del Plan estratégico propuesto, se vio por conveniente proponer alternativas de financiamiento para la ejecución del mismo, como parte complementaria al estudio realizado.</t>
  </si>
  <si>
    <t>https://drive.google.com/file/d/16sqNYXlgh0wfJHJ_Van-TSRy_IW9Y1u_/view?usp=sharing</t>
  </si>
  <si>
    <t>https://drive.google.com/file/d/1hICfaXkENzqnXSD1rc_t5bvxg-nLSlc1/view?usp=sharing</t>
  </si>
  <si>
    <t>VALVERDE VEDIA VICTOR HUGO</t>
  </si>
  <si>
    <t>IMPLEMENTACIÓN DE UN MODELO DE SEGURIDAD INDUSTRIAL PARA LA EMPRESA PIL ANDINA S.A.</t>
  </si>
  <si>
    <t>vhvalve@hotmail.com</t>
  </si>
  <si>
    <t>IND-049-2004</t>
  </si>
  <si>
    <t>PIL</t>
  </si>
  <si>
    <t>El Modelo que se implemento tomo como muestra la línea productiva “UHT” como muestra, enfatizando las mejoras hacia las demás líneas con que cuenta la Empresa. La estructura del Modelo esta basado en: Diagnóstico de las Condiciones en cuanto a Seguridad Industrial, Evaluación de Riesgos, Planificación de Mejoras, Implementación y Operación, Nueva Evaluación de Riesgos, Monitoreos Continuos, Análisis de Fallas; llegando de esta manera a un Mejoramiento Continuo. Toda esta Implementación tuvo una duración de 8 meses, empezando el 5 de enero del 2004 y terminando el 31 de Agosto del 2004. El horario fue de 8 horas diarias de 6:30 AM a 2:30 PM.Para el Diagnostico se obtuvieron estadísticas de información histórica de la Empresa con referencia a los accidentes y enfermedades ocurridas en las gestiones 2002 y 2003, comparando con información histórica de las gestiones 2000 y 2001 y hallando parámetros que indicaban la necesidad de una Evaluación de riesgos. Posteriormente se procedió a la Evaluación de Riesgos, donde se encontraron los posibles riesgos y peligros para que posteriormente se puedan emplear los métodos De William Fine y el Método General. Luego se procedió a la planificación de mejoras para cada riesgo y peligro. Posteriormente se procedió a la implementación y operación de las mejoras. Cabe recalcar que no se procedió a la nueva Evaluación de Riesgo debido a la falta de tiempo</t>
  </si>
  <si>
    <t>https://drive.google.com/file/d/1YOhHjtMgXwr2Avp1WUY1pSxhfnvggUst/view?usp=sharing</t>
  </si>
  <si>
    <t>LORA MUSTAFA SELWA</t>
  </si>
  <si>
    <t>ESTRUCTURACIÓN ORGANIZACIONAL DE LA EMPRESA SMART LINK TELECOM</t>
  </si>
  <si>
    <t>sml25@.hotmail</t>
  </si>
  <si>
    <t>IND-050-2004</t>
  </si>
  <si>
    <t>TELECOM</t>
  </si>
  <si>
    <t>El presente trabajo pretende describir aspectos de la organización de la empresa “Smart Link Telecom”. La empresa Smart Link Telecom,  no cuenta con una estructura organizacional adecuada que responda a sus necesidades, lo que motiva el presente trabajo, que consiste en plantear un diseño de estructuración  organizacional y de esta manera mejorar el desempeño laboral, optimizando sus recursos y facilitando el logro de los objetivos  de la institución. Se consideró importante tomar en cuenta el aspecto organizativo de la empresa distinguiendo sus funciones en relación tanto de los empleados y los clientes que son los personajes más importantes de la empresa, se  propone un cambio estructural en la organización de la empresa “Smart Link Telecom” basado principalmente en un proceso de comunicación  fluido y eficiente tanto entre empleados y empleadores como entre clientes y empresas.</t>
  </si>
  <si>
    <t>https://drive.google.com/file/d/1oySKwDCu-j4OnUHHxGoe9r-DOAaSVEU-/view?usp=sharing</t>
  </si>
  <si>
    <t>VILLARROEL HINOJOSA ANDRES SANDRO</t>
  </si>
  <si>
    <t>ING. PAULO P. LEDEZMA VILLARROEL</t>
  </si>
  <si>
    <t>DISEÑO DE UN MODELO DE MANEJO DE RESIDUOS SÓLIDOS EN EL CENTRO URBANO DE TIRAQUE</t>
  </si>
  <si>
    <t>Andressandro@latinmail.com</t>
  </si>
  <si>
    <t>IND-051-2004</t>
  </si>
  <si>
    <t>Tiraque, residuos solidos</t>
  </si>
  <si>
    <t>La provincia  tiraque pertenece al departamento de Cochabamba  la población proyectada actualmente es de 1976habitantes no es considerado legalmente como centro urbano, la actividad económica mas importante es la agricultura, transporte la feria comercial, etc.        Se identifico problemas ambientales desde la generación  hasta la disposición final de los residuos: Educación Ambiental,  Feria Comercial,  Servicio de Aseo Municipal, Botadero Municipal, Contaminación de ríosEl  objetivo general es  “Diseño  de un Modelo para el Manejo de Residuos Sólidos  en el Centro Urbano de Tiraque” para controlar los residuos y para cumplir con este propósito se efectuó los siguientes objetivos específicos 1.-Determinar la Situación Actual del Servicio de Aseó urbano.                                                                                                                                                                                                              2.-Caracterización  los Residuos Sólidos.3.-Determinar los Impactos en Tiraque Valle causadas por la Disposición Inadecuada de los Residuos Sólidos. 3.-Elaborar  un Sistema de Recolección de Residuos Sólidos.4.-Propuesta de Ubicar un Área de Disposición Final de Residuos Sólidos. 5.-Elaborar  un  Manual de Educación Ambiental  para Tiraque.6-Determinar  la inversión del Relleno Sanitario Manual.</t>
  </si>
  <si>
    <t>https://drive.google.com/file/d/1EShGwc0DwxO_-sotOq4ladKqUF2gjP6b/view?usp=sharing</t>
  </si>
  <si>
    <t>WENDY KAREM GUTIÉRREZ MENDÍVIL</t>
  </si>
  <si>
    <t>DR. GONZALO ALFARO D.</t>
  </si>
  <si>
    <t>ESTUDIO DE FACTIBILIDAD PARA LA INSTALACIÓN DE UNA PLANTA PROCESADORA DE CROQUETAS A PARTIR DE YUCA.</t>
  </si>
  <si>
    <t>wendyka77@hotmail.com</t>
  </si>
  <si>
    <t>IND-052-2004</t>
  </si>
  <si>
    <t>Factibilidad, planta procesadora, yuca, croquetas.</t>
  </si>
  <si>
    <t>Para la realización del proyecto, se procedió a un estudio de las variedades existentes en nuestro medio de la materia prima requerida (yuca), para su posterior selección, habiendo tomado en cuenta características importantes de la misma como: Disponibilidad, rendimiento, costos, procedencia entre otros, de esta manera se eligió la variedad Boboré por ser la más adecuada para el proyecto. Se realizó un estudio de mercado que aportó mucha información referente a la comercialización del nuevo producto (croquetas de yuca), dicho estudio se hizo mediante encuestas dirigidas a amas de casa de la clase intermedia y residencial, y mostrando un prototipo del nuevo producto elaborado en planta piloto del Programa de Alimentos y Productos Naturales (P.A.P.N.) de la UMSS. Se llevó a cabo varias pruebas de elaboración del producto, basadas en parámetros definidos para determinar el proceso productivo adecuado y realizar las pruebas de degustación, de esta manera se definió las características finales del producto.Una vez determinado el proceso productivo que debía seguir la materia prima para su posterior industrialización y la maquinaria y equipos necesarios, se definió el tamaño de la planta en función a la capacidad nominal del proyecto igual a 384 Tn/año. Posteriormente se definió la ubicación de la planta en la ciudad de Cochabamba,  y luego de haber realizado un análisis de los factores cualitativos como la disponibilidad de materia prima, disponibilidad de mano de obra, vías de comunicación, disponibilidad de terreno, clima, energía eléctrica y agua, en distintas zonas de la ciudad de Cochabamba se concluyó que el proyecto debía ser emplazado en la zona de Sacaba, proponiendo de ésta manera la Avenida Guadalupe Km 7,7. Fue necesario diseñar la organización administrativa que debía tener la planta, definiendo su estructura orgánica mediante un organigrama vertical ya que fue el más adecuado para proyectos de ese tipo. Se definió también el requerimiento de la mano de obra para el proyecto siendo necesaria la contratación de doce personas.Finalmente se realizó un análisis financiero que determinó la factibilidad del proyecto, con lo que se cumplió con el objetivo general del proyecto que era determinar la factibilidad para la instalación de una planta procesadora de croquetas a partir de yuca.Gracias a los resultados obtenidos del trabajo realizado, se concluye que el nuevo producto es rico en carbohidratos, tiene un alto grado de aceptabilidad en el mercado, buenas perspectivas de comercialización,  y el proyecto es financieramente rentable. Se recomienda ejecutar el proyecto en el menor tiempo posible por tratarse de la introducción de un nuevo producto en el mercado y que además cuenta con una gran aceptación, su ejecución conlleva generación de empleos en nuestro medio. Por otro lado se recomienda también buscar constantemente nuevas alternativas de comercialización o nuevas estrategias de venta del nuevo producto (croquetas de yuca), e investigar la obtención de otros productos a partir de las raíces de yuca ya que éstas son ricas en carbohidratos por lo que aportan mucha energía, su precio es bajo y su producción es elevada, especialmente en el trópico de nuestro país.</t>
  </si>
  <si>
    <t>https://drive.google.com/file/d/1T88qb0q0Br0cqaG2Irv8hrx9kl2ALOH-/view?usp=sharing</t>
  </si>
  <si>
    <t>MARCELO EDWIN ORTUÑO MEJIA</t>
  </si>
  <si>
    <t>ESTUDIO DE FACTIBILIDAD PARA LA CREACIÓN DE UNA UNIDAD DE EDUCACIÓN A DISTANCIA DEPENDIENTE DE LA FACULTAD DE CIENCIAS JURÍDICAS Y POLÍTICAS DE LA UNIVERSIDAD MAYOR DE SAN SIMÓN</t>
  </si>
  <si>
    <t>Marcelo.Ortuno@correo.de</t>
  </si>
  <si>
    <t>IND-053-2004</t>
  </si>
  <si>
    <t>Derecho, Ciencias politicas, UMSS</t>
  </si>
  <si>
    <t>El estudio tiene como objetivo principal evaluar la factibilidad tanto del punto de vista técnico, económico y pedagógico, para desarrollar educación a distancia a nivel pregrado y postgrado en la Facultad de Ciencias Jurídicas y Políticas de la Universidad Mayor de San Simón.Por medio de la recopilación de información se dio a conocer los medios y tecnologías disponibles para la concentración de la educación a distancia en la educación superior boliviana, así como las teorías de aprendizaje y la herramienta de construcción de programas de formación académica denominada “Proyecto Educativo Institucional” (PEI).Por medio de un análisis técnico, el estudio determinó el E-Learning como la forma a educación a distancia a implementarse en virtud a que las Nuevas Tecnologías de Información y Comunicación se adecuan con mayor éxito a la sociedad de conocimiento actual. Se definió criterios para la selección de la plataforma de virtualización y los requisitos técnicos, pedagógicos y funcionales para su operatividad.El análisis de mercado determinó los parámetros que delimita el proyecto (disposición a pagar, grado de aceptación de los cursos propuestos, etc), para ello se realizó encuestas a estudiantes de la carrera de derecho de la Universidad Mayor de San Simón y la Universidad Católica.Se da a conocer un diseño preliminar de la estructura pedagógica, tecnológica y metodológica requerida para implementar el proyectoEl documento contiene la evaluación económica y financiera de la alternativa propuesta que concluye en la viabilidad económico financiera del proyecto, en virtud a que presenta una tasa Interna de Retorno económica superior al 90% y una tasas internas de retorno con distintas alternativas de financiamiento superiores al 140%.</t>
  </si>
  <si>
    <t>https://drive.google.com/file/d/127hMSfkQUHVzg6P6HxeOKv9bqk86kM3c/view?usp=sharing</t>
  </si>
  <si>
    <t>JUAN PABLO ALCOCER LUIZAGA</t>
  </si>
  <si>
    <t>LORENA TORRES ALDUNATE</t>
  </si>
  <si>
    <t>ING. ROBERTO MANCHEGO CASTELLÓN</t>
  </si>
  <si>
    <t xml:space="preserve">ESTUDIO DE FACTIBILIDAD PARA LA IMPLEMENTACIÓN DE UN SISTEMA DE PRODUCCIÓN DE CARNE DE CUY TROZADA Y ENVASADA PARA LA EMPRESA  AGROINDUSTRIAL “VILOMA”.
</t>
  </si>
  <si>
    <t>jp1981@mixmail.com</t>
  </si>
  <si>
    <t>IND-054-2004</t>
  </si>
  <si>
    <t>Carne de cuy, viloma</t>
  </si>
  <si>
    <t>El proyecto realizado estuvo basado en la producción de carne de cuy envasada y trozada para la empresa agroindustrial Viloma, en primera instancia se procedió a realizar un análisis del sistema de producción actual de la empresa, esto para conocer mejor su funcionamiento en cuanto a productos, capacidad de producción, mano de obra, materiales e insumos. Una vez conocidas las condiciones iniciales, se procedió a realizar la investigación de mercado, esto para determinar si existía demanda insatisfecha de carne de cuy y principalmente para establecer si el producto propuesto iva o no a tener demanda. Para este fin se empleó el muestreo probabilístico estratificado, se utilizo un cuestionario piloto para verificar que las preguntas proporcionaran los datos requeridos, una vez corregidas las fallas se procedió a realizar el cuestionario definitivo que dio como resultado más importante la existencias de demanda para el producto, además de otros datos importantes para el proyecto como ser que se debería incrementar la venta de cuy vivo y también faenado, ya que se tenia un mercado relativamente considerable para estos dos productos. Como se trató de un producto nuevo en el mercado se realizó una evaluación sensorial, destinada a determinar las características que hacen al producto aceptado en el mercado. Con este estudio se determinaron las presas que debían ser envasadas y comercializadas. Conocida la demanda del producto se procedió a determinar el tamaño de planta que consiste principalmente en determinar la capacidad normal viable del proyecto que en este caso dio un valor de 264 cuyes/semana, estos serán comercializados en tres presentaciones vivos, faenados y envasados, también se realizó el programa de producción para las presentaciones con sus respectivos porcentajes.Para el proyecto también se realizó un análisis sobre la materia prima que son los cuyes y también los  materiales e insumos que son empleados tanto para la crianza como para el faeneo y envasado de estos. Se calcularon los costos estimados de producción.Se describió claramente el proceso que se seguirá para la obtención de carne de cuy trozada y envasada, la maquinaria y equipos auxiliares que se requieren para cada una de las operaciones fueron identificados y descritos, también se consideraron los equipos que ya existían en la granja pero que no estaban siendo utilizados adecuadamente. Se determinaron los costos de inversión en maquinaria y equipos. Todas las actividades que se deben realizar antes de la puesta en marcha del proyecto fueron representadas en un diagrama Este diagrama es un instrumento que representa gráficamente las actividades del proyecto considerando el tiempo requerido para cada tarea. Cada actividad traía consigo un costo que fue determinado.Para determinar la viabilidad del proyecto, este fue sometido a una evaluación económica y financiera calculando el TIR ,VAN y La relación Beneficio / Costo. Los valores que se obtuvieron demostraron la viabilidad económica –financiera del proyecto.Este estudio se completó con una evaluación de impacto ambiental, se analizaron los impactos negativos que presentaba el proyecto en sus diferentes etapas, para la categorización del proyecto se utilizó la metodología del Banco Interamericano de Desarrollo. La categoría del proyecto fue de Efectos Ambientales Menores. Lo que indica que el proyecto es ecológicamente compatible. Al documento también se añadió los pasos para la obtención de registro sanitario necesario por tratarse de una empresa de rubro alimenticio .Por lo tanto se concluyo que el proyecto es Económica, financiera y ecológicamente factible.</t>
  </si>
  <si>
    <t>https://drive.google.com/file/d/1taNrM6WTFnJb4YF7bAXukIWsko5llsuU/view?usp=sharing</t>
  </si>
  <si>
    <t>GUZMAN VASQUEZ MIGUEL ANGEL</t>
  </si>
  <si>
    <t>CARTAGENA CAMACHO LETICIA CARLA</t>
  </si>
  <si>
    <t>ELABORACIÓN DE UN MODELO DEL PLAN HACCP EN LA EMPRESA AGROINDUSTRIAL DE ALIMENTOS VIGOR PARA LA LÍNEA DE LECHE ENTERA</t>
  </si>
  <si>
    <t>dolly_carla@hotmail.com</t>
  </si>
  <si>
    <t>IND-055-2004</t>
  </si>
  <si>
    <t>VIGOR, leche entera</t>
  </si>
  <si>
    <t>Objetivo: Elaborar un plan de aseguramiento de la inocuidad, utilizando los lineamientos de aplicación del Análisis de Peligros y Puntos Críticos de Control (HACCP),  para la línea de producción de leche entera  en la Empresa Agroindustrial de alimentos VIGOR.Metodología: la metodología constara de las siguientes etapas: investigación de todo el marco teórico necesario, interiorización a la empresa, diagnostico de los prerrequisitos, mejora de los pre-requisitos, elaboración del plan HACCP.Conclusión: Los proveedores de MP garantizan la calidad de su producto.La empresa VIGOR presenta deficiencias en las BPM e Higiene.La línea de producción de la leche presenta 4 puntos críticos de control, obtenidos con la elaboración del plan HACCP.Recomendaciones: Capacitar al personal en BPM e Higiene.Mejorar las BPM e Higiene de la empresa y Implementar el plan HACCP, para asegurar la inocuidad del producto.</t>
  </si>
  <si>
    <t>https://drive.google.com/file/d/1oAiIbphuLUmK8Vr1W7GiSIuQr3y2T819/view?usp=sharing</t>
  </si>
  <si>
    <t>ESPINOZA MAGNE JOHANN CRISTHIAN</t>
  </si>
  <si>
    <t>AGUILAR MARTINEZ ESTEBAN</t>
  </si>
  <si>
    <t>DESARROLLO DE UN MODELO DE GESTIÓN DE SEGURIDAD E HIGIENE INDUSTRIAL PARA LA FÁBRICA DE PARQUET JOLYKA BOLIVIA S.A.</t>
  </si>
  <si>
    <t>estebanplan@hotmail.com</t>
  </si>
  <si>
    <t>IND-056-2004</t>
  </si>
  <si>
    <t>YOLIKA</t>
  </si>
  <si>
    <t>El desarrollo del modelo de gestión de seguridad e higiene Industrial para la fábrica de parquett “Jolyka Bolivia S.A.”, fue realizado con la finalidad de satisfacer las necesidades en materia de seguridad e higiene industrial, presentadas en dicha fábrica, para lo cual se utilizo información existente en la empresa, recabada en base a encuestas, inspecciones visuales realizadas al interior de la fábrica e información adicional de bibliografía específica como normas, leyes, métodos de evaluación y control, con la finalidad de encontrar su relación en un esquema de gestión, el cual haga referencia principalmente a los temas referidos basándose el modelo de gestión de seguridad e higiene en la norma NB - OSHAS 18001.Una vez recabada toda la información en el diagnostico general se realizó la identificación, análisis y evaluación de riesgos en base a metodologías preestablecidas, por ejemplo se consideró para la valoración de los riesgos la probabilidad de ocurrencia y las posibles consecuencias de daño ,con el único fin de determinar los riesgos más significativos, para que en función al nivel de riesgo que presentaron se seleccionen las acciones más pertinentes para su control y en el mejor de los casos para eliminarlos.Los riesgos mas representativos identificados que presentó la fábrica Jolyka Bolivia S.A., según la clasificación de los riesgos son riesgos físicos, mecánicos y químicos: en los riesgos físicos; se han identificado al ruido y a la iluminación, en los riesgos mecánicos se ha identificado a las máquinas sin protección contra accidentes y un sistema de extracción de partículas de madera, casi precario, y en cuanto a los riesgos químicos; los gases tóxicos que emanan los elementos químicos que hacen uso en su proceso. Todos estos riesgos se han  sometido a una amplia lista de acciones preventivas y correctivas lo que ha permitido mejorar la seguridad y la higiene en la empresa. Por ejemplo para el ruido se ha recomendado implementar dispositivos mecánicos, que permitan su disminución del mismo y un mantenimiento preventivo de fallas, para la iluminación el reemplazo de luminarias fluorescentes a luminarias incandescentes para que de este modo se elimine el efecto estroboscopico y su respectivo mantenimiento lo cual permitirá el normal funcionamiento y por ultimo en el tema de extracción de polvo de madera se ha propuesto un sistema neumático de extracción permitiéndole al personal librarse de este contaminante en el aire y un sistema de ventilación para los gases tóxicos.Con todo lo anteriormente descrito y con las normas pertinentes se pudo establecer el modelo de gestión para la seguridad y salud ocupacional, con el objetivo de una mejora continua en el sistema propuesto.El análisis costo – beneficio, se realizó en base al los costos proyectados por accidentes en que incurre la empresa anualmente, el ahorro que representaría la implementación del modelo por concepto de accidentes de sus empleados el cual incrementaría su rendimiento en forma creciente y las inversiones necesarias para su implementación, dando como resultado una rentabilidad a partir del sexto año.</t>
  </si>
  <si>
    <t>https://drive.google.com/file/d/1AYD0cEOVawYWsY9O6svCA4XzScPUu05v/view?usp=sharing</t>
  </si>
  <si>
    <t>TERAN MENA JESÚS ARTURO</t>
  </si>
  <si>
    <t>MODELO DE SEGURIDAD INDUSTRIAL PARA LAS INSTALACIONES DE LA HONORABLE ALCALDÍA MUNICIPAL DE COCHABAMBA DEL PASAJE SUCRE Y LA PLAZA PRINCIPAL</t>
  </si>
  <si>
    <t>arturoteran007@hotmail.com</t>
  </si>
  <si>
    <t>IND-057-2004</t>
  </si>
  <si>
    <t>Pasaje sucre</t>
  </si>
  <si>
    <t>El presente trabajo que se ha de desarrollar surge de la necesidad de de proporcionar un Modelo de Seguridad Industrial para los edificios de la H.A.M.C. que funcionan en el Pasaje Sucre y en la Plaza Principal, que permita un desenvolvimiento seguro y libre de todo riesgo laboral para los trabajadores en sus diferentes áreas de servicio y publico que visita las instalaciones. Todo ello estará enmarcado dentro de las normas de Seguridad Industrial exigidas por ley, el cual será fruto de un exhaustivo estudio, tomando en cuenta todos los aspectos más relevantes e indispensables en materia de Seguridad.El presente trabajo estará conformado por los siguientes aspectos:En la primera parte, se expondrá todos los antecedentes del tema y se enuncian los objetivos. El objetivo general es el  siguiente:·          Desarrollar un modelo de Seguridad Industrial para el edificio central ubicado en el denominado pasaje Sucre y el edificio de la plaza principal que cumpla con las normas y exigencias establecidas por ley.Los objetivos específicos son los siguientes:Realizar un diagnóstico que permita determinar las condiciones actuales de trabajo en materia de Seguridad Industrial.Elaborar un programa de seguridad y sus respectivos planes de contingencia para la prevención y reducción de riesgos y accidentes.Establecer las Normas y Reglamentos Internos de prevención y control de riesgos y accidentes en el marco de la Ley General del Trabajo, Ley General de Higiene, Seguridad Ocupacional y Bienestar y normas internacionales de seguridad.Determinar las características de los equipos de protección y prevención en función de los riesgos identificados.Estimar los costos que representaría la implementación del modelo de Seguridad Industrial en las instalaciones de la HAMC.En la segunda parte, se hace reseña histórica de la HAMC, se presentan sus principales características y su organización interna.En la tercera parte, se teoriza sobre el tema de seguridad en oficinas, desglosando los temas de Seguridad Industrial, riesgos y emergencias.En la cuarta parte, se presenta la metodología de investigación que se aplicará y el plan de trabajo a desarrollarse.En la quinta parte, se efectúa el abordaje consistente en realizar un diagnóstico de las actividades que se ejecutan en los dos edificios objeto de estudio, en el aspecto de seguridad industrial, que permitirá evaluar la situación actual en dichas instalaciones.En la sexta parte, se muestra el modelo de seguridad, que contiene la base de la propuesta, las acciones inmediatas, estudio de costos, el programa de seguridad,  la evaluación y  seguimiento de la propuesta.Finalmente, en la última parte se realiza las conclusiones y recomendaciones del diagnóstico y proceder de la propuesta consistente en un Modelo de Sistema de Seguridad Industrial para las instalaciones de la HAMC ubicadas en la Plaza Principal y el Pasaje Sucre.Por tanto viendo la gran necesidad de contar con este modelo de seguridad es que se determino en términos técnicos y económicos su viabilidad económica, financiera y social.</t>
  </si>
  <si>
    <t>https://drive.google.com/file/d/1tUPuBnftJf1QrVPKdfzgdP-aAOLn_sEw/view?usp=sharing</t>
  </si>
  <si>
    <t>CARMEN ROSA MAMANI FORONDA</t>
  </si>
  <si>
    <t>BETTY ROCHA SALINAS</t>
  </si>
  <si>
    <t>ESTUDIO DE FACTIBILIDAD PARA LA IMPLEMENTACIÓN DE UNA PLANTA  DE CONFECCIÓN TEXTIL “PANTALONES-JEANS”</t>
  </si>
  <si>
    <t>berosa_1@hotmail.com</t>
  </si>
  <si>
    <t>IND-058-2004</t>
  </si>
  <si>
    <t>Pantalon, textil, jeans</t>
  </si>
  <si>
    <t>El objetivo principal de este proyecto fue el de realizar un “Estudio de Factibilidad”, tal que permita obtener los suficientes elementos de juicio para determinar la conveniencia de implementar una planta de confección textil “pantalones-jeans”.            El sector industrial destinado a la confección   de pantalones de jeans  genera gran actividad económica en el país. Actualmente el mercado de confecciones está todavía poco desarrollado; con la capitalización ha ingresado una gran cantidad de nuevas empresas sobre todo al sector primario, sector motriz del desarrollo económico, generando nuevas alternativas de venta.            En cuanto a la investigación de mercado se identificó como mercado objetivo a la clase social  media de la población cochabambina, entre las características más importantes es que estarán orientados a  hombres y mujeres  comprendidos  entre los 15- 29 años; los resultados de la investigación de mercado  demuestran que el producto  es de consumo constante, teniéndose un consumo per cápita promedio de 3 jeans/año.            La oferta de los pantalones jeans en el mercado local, está compuesta en su mayoría por productores nacionales, siendo una minoría los pantalones importados que llegan al país, ya que estos no son muy competitivos en cuanto a precio en comparación a los productores nacionales.            En general, las  posibilidades de crecimiento en el sector son favorables debido al ingreso de capitales frescos y al mismo tiempo debido a las  posibles aperturas de mercados del MERCOSUR  y la apertura del mercado de Norte América (APTDEA).El requerimiento anual de materia prima para la producción de pantalones jeans es de 144 piezas (año 1), 288 piezas (año 2) y 432 piezas (año 3-10) lo cual significa un 2% de la oferta actual. Por tanto no existirá en ningún momento la falta de materia prima, ya que existe la suficiente oferta de  tela Denim en el mercado local.             En base al método cualitativo por puntos, se efectuó el análisis para determinar la localización adecuada para la planta de confeccion textil “pantaloes-jeans”. Siguiendo la metodología de elegir la calificación más elevada, se determinó que la zona de de la Av. Suecia cuenta con todas las facilidades requeridas por el proyecto. El monto total de inversión es de $us. 128076. La evaluación financiera se realizó desde dos puntos de vista: del Proyecto y del Inversionista a una tasa de oportunidad o actualización del 10%. Los indicadores muestran que desde ambos puntos de vista es viable invertir.Los resultados desde el punto de vista del proyecto son: VAN = $us, 58403, TIR = 17,2% y R B/C = 1.46. Teniendo un apalancamiento de financiamiento del 70% (10 años de crédito), los resultados desde el punto de vista del inversionista son: VAN = $us. 58199, TIR =  22,5% y R B/C = 2.71.</t>
  </si>
  <si>
    <t>https://drive.google.com/file/d/19H0TdwNQe5BS0hpVMvCeqPQdo5VsNLID/view?usp=sharing</t>
  </si>
  <si>
    <t>GUAMAN MERCADO MARCOS JOAQUIN</t>
  </si>
  <si>
    <t>PLAN DE MARKETING PARA LA COMERCIALIZACIÓN DE PASTA DE PALMITO CASO: AGROINDUSTRIAS DE LA SELVA S.R.L.</t>
  </si>
  <si>
    <t>mjgm6@hotmail.com</t>
  </si>
  <si>
    <t>IND-059-2004</t>
  </si>
  <si>
    <t>Palmito, SERVA SRL</t>
  </si>
  <si>
    <t>En el diseño del plan de marketing, primero realizamos un diagnóstico general de la empresa para ver la situación en la que se encuentra en las distintas áreas de administración, producción y comercialización; haciendo énfasis en el área de comercialización que es el área que nos interesa para el proyecto, se vio que la empresa no cuenta con información sobre la aceptación de sus productos en el mercado ni las exigencias sobre los productos por parte de los consumidores, tiene una imagen débil de la marca y sus productos en el mercado, más aun si quiere lanzar un producto nuevo como es la pasta de palmito en sus tres presentaciones al natural, al curry y picante. Después se realizo un estudio de mercado y prueba de degustación para la zona norte de Cochabamba, dividiendo a la zona norte en los cuatro distritos que pertenecen a esta, que son distritos 1, 2, 3 y 12 empleando el muestreo probabilístico estratificado con el objetivo de tener estratos o subgrupos de comportamiento homogéneo y dentro de cada subgrupo se aplico el muestreo aleatorio simple; de la misma manera se procedió para los puntos de venta utilizando el muestreo probabilístico estratificado y dentro de cada estrato se hizo un muestreo aleatorio simple.De los resultados obtenidos de nuestro estudio de mercado, se vio las características esperadas por el consumidor, en cuanto al sabor, color, aroma, precio, tipo de envase, lugar preferido de compra y la influencia de la publicidad para la compra.Luego se procedió al diseño del plan de marketing, primero se realizó el FODA estratégico, donde se llego a la conclusión de adoptar las siguientes estrategias para el plan, diferenciación y penetración de mercado, desarrolló básicamente las variables del marketing mix que son producto, precio, plaza y promoción; aprovechando las ventajas competitivas que tiene la empresa. Para la estrategia de producto se adopto la estrategia de desarrollo del producto, para la estrategia de precio la propia política de fijación de precios de la empresa, para la estrategia de plaza la estrategia de distribución directa e indirecta, para la estrategia de promoción publicidad en televisión.Terminado el diseño del plan se realizó un análisis financiero para ver la rentabilidad del proyecto dando como resultado del análisis lo siguiente: VAN = $us.135.775 el TIR = 37,2  % y la relación beneficio costo B/C = $us. 1,31; siendo el proyecto rentable y viable donde la empresa percibirá utilidades aceptables en el transcurso del proyecto.</t>
  </si>
  <si>
    <t>https://drive.google.com/file/d/1ZDjxKxINYwZtEHwR_DZskSpHUA_ZSH3Z/view?usp=sharing</t>
  </si>
  <si>
    <t>FLORES RENDON HEYDY</t>
  </si>
  <si>
    <t>ELABORACIÓN DE UN PLAN ESTRATÉGICO PARA LA CARRERA DE INGENIERÍA QUÍMICA</t>
  </si>
  <si>
    <t>heydyflores@hotmail.com</t>
  </si>
  <si>
    <t>IND-060-2004</t>
  </si>
  <si>
    <t>Ingenieria quimica, carrera de quimica</t>
  </si>
  <si>
    <t>El proyecto que se desarrolló, fue un Plan Estratégico de Desarrollo para la Carrera de Ingeniería Química.El proceso de planificación, consta de un diagnóstico externo e interno que determinan los factores que inciden en el proceso de formación de profesionales. Este proceso continúa con la elaboración de los Principios y Valores, la Visión, la Misión y las Directrices Estratégicas del Plan que servirán para la generación de las Líneas Estratégicas en las que se han establecido los Objetivos y las Metas para cada una de ellas, las cuales cuentan con sus respectivas Actividades, Responsables y Fechas de cumplimiento. La determinación de las fechas ha sido realizada mediante el diseño de un Cronograma de Acciones.Se ha diseñado un Sistema de Control y Evaluación para el Plan, mediante indicadores los cuales están diseñados para mostrar el grado de cumplimiento de las Estrategias, Líneas y Directrices Estratégicas.Se ha realizado un análisis de costos y beneficios, el cual ha estimado que el costo promedio del Plan Estratégico es de 7194 $/año.El beneficio esperado es lograr una organización eficiente que garantice un profesional capacitado, comprometido y competitivo que atienda las demandas sociales.</t>
  </si>
  <si>
    <t>https://drive.google.com/file/d/1hBfLVhcW_-gOL9hiGba6z3033Oknz5xt/view?usp=sharing</t>
  </si>
  <si>
    <t>MAGNE VILLMAN MARCIO ALDO</t>
  </si>
  <si>
    <t>DESARROLLO Y APLICACIÓN DE UN MODELO PARA MEDIR EL DESEMPEÑO Y CAPACIDAD DE UN CENTRO DE INVESTIGACIÓN EN LA VINCULACIÓN CON EL SECTOR PRODUCTIVO</t>
  </si>
  <si>
    <t>aldomag@gmail.com</t>
  </si>
  <si>
    <t>IND-061-2004</t>
  </si>
  <si>
    <t>Centros de investigacion</t>
  </si>
  <si>
    <t>El estudio aplica del Cuadro de Mando Integral (Balanced Scorecard) como modelo para la medición de performance (desempeño, resultado, capacidad) de un centro de investigación en la vinculación con el sector productivo, se utiliza además técnicas estadísticas descriptivas como la Tabla de Frecuencias, el Grafico de Sectores, el Análisis de Componentes Principales (ACP), el Diferencial Semántico de Osgood y Regresión Logística Binaria (RLB).Para efectos del estudio se entiende que la vinculación de un centro de investigación con el sector productivo se realiza por tres medios, los cuales son:  Servicios Técnicos (ST), Servicios de Asistencia Técnica (AT) y Servicios de Trasferencia de Tecnología (TT).El modelo de medición se aplicó al Centro de Aguas y Saneamiento Ambiental (CASA), considerando que el CASA es uno de los centros con mayor cantidad de servicios prestados el medio productivo y empresas con las que tiene vinculación.Los recursos humanos están constituidos por los docentes a dedicación exclusiva, investigadores, personal administrativo y auxiliares que hayan trabajado por lo menos un (1) año en el CASA a la fecha de evaluación. Los clientes están constituidos por empresas u organizaciones que demandan servicios del CASA. Estas empresas u organizaciones pertenecen a la conurbación e Cochabamba (Kanata, Quillacollo, Sacaba y Tiquipaya).El estudio concluye con la generación de indicadores que miden el desempeño y la capacidad de un centro de investigación en la vinculación con el sector productivo.</t>
  </si>
  <si>
    <t>https://drive.google.com/file/d/1XA-q70dTOSNx8_ZGrAC8ElpujEYcjrzy/view?usp=sharing</t>
  </si>
  <si>
    <t>ALEYDA MIRTHA OPORTO DAZA</t>
  </si>
  <si>
    <t>MARIA ANGÉLICA MONTAÑO CALISAYA</t>
  </si>
  <si>
    <t>PROYECTO DE FACTIBILIDAD PARA LA IMPLEMENTACIÓN DE UNA PLANTA PROCESADORA DE PURÉ DE FRUTAS TROPICALES PARA LA EXPORTACIÓN A LA UNIÓN EUROPEA.</t>
  </si>
  <si>
    <t>aleyda_oporto@yahoo.es</t>
  </si>
  <si>
    <t>IND-062-2004</t>
  </si>
  <si>
    <t>Frutas tropicales, pure</t>
  </si>
  <si>
    <t>Con el presente trabajo se buscó la implementación de una planta procesadora de puré de frutas tropicales para el mercado de la Unión Europea. El objetivo principal del mismo fué demostrar técnica y financieramente la implementación de la planta, establecer el alcance del proyecto así como determinar los procesos tecnológicos a utilizarse para la fabricación. Durante el estudio de mercado se evaluó las importaciones y requisitos de puré de frutas y los usos en las diferentes industrias alimenticias de Alemania, conociéndose la producción nacional de materia prima y los principales proveedores del mercado alemán.Para determinar la demanda insatisfecha se compró información de la base de datos COMEX EUROSTAT de la Unión Europea, y para  su proyección el método que mejor se ajustó fue el suavizado exponencial doble con tendencia (Holt).Con los datos de producción y demanda fue posible elaborar el pronóstico para la implementación de la planta que busca abastecer el 1% del mercado identificado. Establecida la futura demanda se procedió a determinar el alcance del proyecto, dimensionar la planta y localizarla en el Trópico de Cochabamba (Ivirgazama).La materia prima es piña, papaya y mango, los insumos requeridos son: hipoclorito de sodio y ácido cítrico.Por medio de la ingeniería de proyecto se determinaron los procesos a ser utilizados en el procesamiento de frutas, identificándose los diferentes equipos, maquinarias e infraestructura con los requerimientos exigidos por el mercado. Para la conclusión del trabajo se establecieron las funciones del personal y el organigrama de la futura empresa.Establecida la maquinaria, equipo, personal y materia prima, se establecieron los costos de funcionamiento de la planta así como los ingresos proyectados a obtenerse. Con estos valores se determinaron un VAN = 409.744 y un TIR = 31,29 %, donde se concluyo que la implementación de la planta es desde el punto de vista financiero y técnico factible en nuestro país.</t>
  </si>
  <si>
    <t>https://drive.google.com/file/d/1tFX8eBk07ZZH2JsnwH-CAKNZhvRdhGdJ/view?usp=sharing</t>
  </si>
  <si>
    <t>MENESES ESCOBAR GLADYS MARLENY</t>
  </si>
  <si>
    <t>OPTIMIZACIÓN DEL FUNCIONAMIENTO DEL DEPARTAMENTO DE PERSONAL DEL HOSPITAL MILITAR Nº COCHABAMBA</t>
  </si>
  <si>
    <t>Sin registros</t>
  </si>
  <si>
    <t>IND-063-2004</t>
  </si>
  <si>
    <t>OPTIMIZACIÓN</t>
  </si>
  <si>
    <t>Departamento del personal, hospital, militar</t>
  </si>
  <si>
    <t>El presente proyecto de grado esta dirigido a Optimizar el Funcionamiento del Departamento de Personal de la Institución de Servicios de Salud como es el Hospital Militar No. 1 Cochabamba.El estudio surgió ante la necesidad de mejorar la unidad de la Función de Personal, luego de detectar deficiencias y poco conocimiento de los aspectos técnicos propios del manejo de Personal que repercutían directamente en el desempeño inadecuado de los funcionarios.Se inició con una descripción de los antecedentes generales y de la  Institución, se realizó  un diagnóstico mediante recopilación histórica de información y una auditoria de personal, el área que abarca esta auditoria trasciende los límites del Departamento de Personal, porque ésta no se desempeña en forma aislada como entidad autónoma, su éxito o fracaso dependen de las acciones que emprende respecto al entorno humano del Hospital; asimismo, se realizaron entrevistas personales, la aplicación de encuestas a los funcionarios y a los asegurados, además de la revisión de documentos internos de la unidad de personal. Estas actividades, permitieron obtener datos certeros de la situación imperante en el área de interés en cuanto a su estructura organizacional y su funcionamiento, enmarcando cada tópico en la planeación, organización  e integración, dirección y control en materia de personal respectivamente.El diagnóstico y posterior análisis de la situación actual, permitió detectar las insuficiencias técnicas y administrativas del área de interés, en función a ello, como propuesta se plantearon las directrices apropiadas en relación a las funciones que contempla la auditoria de personal, con el fin de encaminar a la unidad de Personal hacia la eficacia y eficiencia de sus actividades, ya que, estará en condiciones de efectuar los servicios especializados del área de la función de personal, además de proporcionar a las demás dependencias, las herramientas y datos necesarios para la solución de problemas específicos de personal.Finalmente se concluye que con la aplicación de las técnicas y herramientas adecuadas de la ingeniería de la administración en las Instituciones de servicios de salud, se puede hacer posible el mejoramiento de los servicios y se recomienda la aplicación de otras técnicas de la misma en otras áreas del Hospimil No. 1.</t>
  </si>
  <si>
    <t>https://drive.google.com/file/d/1d-lIoAOMpu11Egpm1SK5eLvpXxrd_6Rg/view?usp=sharing</t>
  </si>
  <si>
    <t>ROGER MARCO MENECES ORTEGA</t>
  </si>
  <si>
    <t>EDIVERTO REYES ALARCÓN</t>
  </si>
  <si>
    <t>DESARROLLO DE UN SISTEMA DE GESTIÓN DE LA CALIDAD  BASADO EN LA NORMA  NB-ISO 9001: 2000  EN EL PROCESO DE PRODUCCIÓN DEL DETERGENTE LÍQUIDO OLA LAVAVAJILLA EN LA EMPRESA ASTRIX S.A.</t>
  </si>
  <si>
    <t>diablo_gatuso@hotmail.com</t>
  </si>
  <si>
    <t>IND-064-2004</t>
  </si>
  <si>
    <t>Detergente, OLA, lavavajilla, ASTRIX</t>
  </si>
  <si>
    <t>Como proyecto de grado se desarrollo un Sistema de Gestión de la Calidad basado en la norma NB-ISO 9001: 2000 en el proceso de producción del detergente líquido OLA LAVA VAJILLA de la empresa ASTRIX S.A.Para el desarrollo de dicho  proyecto se estableció una metodología compuesta por cuatro fases con sus respectivas actividades:Fase de Investigación: Primera fase, donde  se realizo la investigación e interiorización acerca de las normas ISO 9000: 2000 y su aplicación, mediante Internet, Bibliografía disponible, Seminarios, etc.Fase de Diagnostico: Esta fase tuvo como objetivo conocer la situación actual de la empresa con respecto al cumplimiento de los requisitos de la norma. Esta labor se llevo a cabo haciendo uso de las herramientas de  la entrevista, la Observación directa y el cuestionario.Fase de Desarrollo: Esta etapa fue la más importante puesto que en la misma se definió el alcance del SGC, la estructura de la documentación del SGC; se elaboro el Manual  de la Calidad donde se describe las actividades que realiza la empresa para cumplir con los requisitos de la norma; se elaboro los procedimientos exigidos por la norma       NB-ISO 9001:2000 y también se elaboro formatos de Registros de la Calidad.Plan para la implementación del SGC: En esta fase se desarrollo un plan para poner en práctica toda la documentación elaborada en las fases anteriores. También se detallo los costos en los que la empresa incurrirá en la implementación del Sistema de Gestión de la Calidad diseñado y los beneficios que obtendrá a cambio.</t>
  </si>
  <si>
    <t>https://drive.google.com/file/d/1W2qOELf8c6-558XUzocxB_EveXcoznWf/view?usp=sharing</t>
  </si>
  <si>
    <t>SORIA GALVARRO LOPEZ DIEGO ARMANDO</t>
  </si>
  <si>
    <t>MONTAÑO GUZMAN ERVIN</t>
  </si>
  <si>
    <t>ESTUDIO DE LAS CONDICIONES ACTUALES Y PROPUESTA DE MEJORAS DE LOS PROCESOS DE POSCOSECHA DEL BANANO (MUSA, SP) PARA MERCADO INSTITUCIONAL Y EXPORTACIÓN DEL TRÓPICO DE COCHABAMBA</t>
  </si>
  <si>
    <t>I-2005</t>
  </si>
  <si>
    <t>a_j31@hotmail.com</t>
  </si>
  <si>
    <t>IND-065-2005</t>
  </si>
  <si>
    <t>Procesos del Banano, Factores, Calidad de la Fruta, Exportación, Desayuno Escolar, Muestreo, Trópico de Cochabamba.</t>
  </si>
  <si>
    <t>El objetivo principal de este proyecto fue el de realizar un “Estudio de  las Condiciones de los Procesos de poscosecha del Banano (Musa, sp)”, tal que permitió obtener los suficientes elementos de juicio para concluir con  propuestas de mejora;  para  los mercados que atiende este sector bananero, los cuales son: Institucional (desayuno escolar administrado por las Honorables Alcaldías) y el de Exportación.La zona del Trópico de Cochabamba está conformada por varias poblaciones de las provincias Chapare, Tiraque y Carrasco. El TC es una zona subtropical húmeda que cuenta con bosques tropicales, selvas vírgenes, ríos caudalosos y con una excepcional riqueza de flora y fauna.El banano es una planta herbácea gigante, perteneciente a las Musáceas, que crece de 3 a 9 m de altura en 9 a 15 meses según las variedades, periodo en el cual la planta alcanza su desarrollo. El banano es un cultivo permanente (la cosecha se realiza durante todo el año) que se auto reemplaza con un pequeño retoño (hijo) que crece al lado de la planta (madre) que muere al ser cosechada. El banano se cosecha verde y se empaca en cajas de cartón o plástico según mercado destino, los principales mercados para la  producción de banano del TC son tres: exportación, desayuno escolar y para consumo interno. Para fines del documento se hará referencia a los mercados de exportación y desayuno escolar solamente.El mercado de exportación, donde  las exportaciones mundiales de banano se valoran en miles de millones de dólares anuales, convirtiéndola en una fuente vital de ingresos para muchos países, incluyendo el nuestro, y donde a escala local y regional crea una fuerte correlación entre ingresos generados por la banana y la seguridad alimentaria familiar, por eso el banano constituye uno de los rubros frutícolas más importantes a escala mundial, tanto por su producción como por su comercio internacional. América Latina es un importante exportador de bananos. En el año 2001 exportó 9.3 de un total de 14,24 millones de toneladas, con una participación del 65 % dentro del total. Los principales exportadores latinoamericanos en el 2001 fueron Ecuador  24,8 % y Costa Rica 13,8 % y los mayores importadores  fueron: EE.UU. 27 % y Alemania 7,5 %. El año 2003 Bolivia, la zona del TC concretamente, según Ing. Lourdes Ocampo Responsable Comercialización CONCADE-DAI,  ha exportado 26457 toneladas  1,3 millones de cajas, siendo las principales empresas exportadoras: UNABANA, BANABOL, FRUTINAGRO, BOLIBANANA, CHAPARE EXPORTA. La superficie de cultivos de banano, según encuesta 2003 es de 12804 ha, de las cuales 6136 ha, son asistidas por proyectos del programa del desarrollo alternativo.El mercado  del desayuno escolar, gracias al  incremento de la producción, empezó a buscar  alternativas de comercialización en el mercado interno, que permitan absorber parte de la producción y que el productor tenga una relación más directa con el distribuidor  final  y reciba  un mejor precio por su  producción de banano.La calidad del banano de la zona del  TC, distribuido y comercializado para ser consumido como fruta fresca, se ve afectada por diversos factores y actividades en  los diferentes procesos del  Banano, aspectos que influyen en el consumidor final. En este sentido no se cuenta con la identificación de los factores y actividades que afectan a la calidad del banano en los diferentes procesos. Los procesos contemplados, a objeto del  estudio, fueron: proceso de empaque, proceso de logística y proceso de maduración. Con este fin se realizaron practicas participativas en el proceso de empaque, para su respectivo diagnostico, en 6 de las 64 empacadoras asistidas por el programa (VIMDESALT y otros 2004: 11), en las provincias: Chapare en la empacadora “San Carlos”, Tiraque en las empacadoras de “San Luis” y “Florida” y Carrasco en las empacadoras de “El Progreso”, “San Joaquín” y “Cornelio Saavedra”.      Adicionalmente se trabajó en el tratamiento del agua de las piscinas de empaque con la calidad de agua de cada empacadora,  la dosificación respectiva de cloro y la utilización de Sulfato de Aluminio vs. Detergente en polvo. Este diagnostico fué realizado en función a los resultados de los análisis de laboratorio obtenidos y su validación respectiva en campo.Para el diagnostico del proceso de transporte se realizo 7 viajes de seguimiento: 2 a La Paz (El Alto), 2 a Cochabamba y 1 a Santa Cruz de la Sierra para el mercado desayuno escolar; y 3 a Yacuiba para  el mercado de exportación, desde las empacadoras del TC. El banano es un fruto perecedero, por lo que su maduración es controlada, cualquiera sea el mercado destino, el diagnostico del proceso de maduración del banano, en Bolivia se llevó a cabo en los departamentos de Cochabamba, Santa Cruz y La Paz; en fruta para el mercado institucional (Desayuno Escolar).</t>
  </si>
  <si>
    <t>https://drive.google.com/file/d/1yH2pQx40vu1ohztT30o3Q3DaxRmKLYEk/view?usp=sharing</t>
  </si>
  <si>
    <t>https://drive.google.com/file/d/1pYcTp31XzbJmQcr_bcloti8lH_ZDsGFX/view?usp=sharing</t>
  </si>
  <si>
    <t>CARDENAS BLAZ CLAUDIA LORENA</t>
  </si>
  <si>
    <t>MEDICIÓN DEL TRABAJO PARA MEJORAR LA PRODUCTIVIDAD EN LA LÍNEA DE SOPLADO DE LA FÁBRICA PLASTOFORM LTDA. DIVISIÓN ROTAPLAST</t>
  </si>
  <si>
    <t>IND-066-2005</t>
  </si>
  <si>
    <t>Plastoformo, ROTAPLAST</t>
  </si>
  <si>
    <t>Objetivo General:Medición del trabajo para mejorar la productividad en la línea de soplado de la fábrica PLASTOFORM  Ltda. Div. ROTAPLAST.Objetivos Específicos:1.- Realizar un diagnóstico general de la fábrica PLASTOFORM Ltda. Div. ROTAPLAST para conocer la situación actual.2.- Desarrollar el estudio de métodos para identificar fallas en el desarrollo del proceso de fabricación del Bidón Apilable de 5 litros.3.- Desarrollar el estudio de tiempos tomando en cuenta cada operación que se lleve a cabo en el proceso de fabricación del bidón Apilable de 5 Litros.4.- Contribuir con la mejora de la productividad de la línea de soplado optimizando el rendimiento de la maquinaria y/o de la mano de obra.Conclusiones:Utilizando técnicas de estudio de métodos y de tiempos se logró conocer el desarrollo del proceso de producción actual del bidón apilable de 5 litros, determinando el tiempo que rige el ritmo de producción en condiciones normales, identificando la fuerza de trabajo manual que demanda la maquina Bekum 6. Con tres propuestas de mejora se logró un ahorro de tiempo en los trabajos manuales en la Prep. de material para carga de máquina 39%, Desbarbado 16,6% y Embolsado 3,7%.  El impacto económico que origina el método propuesto implica un ahorro económico mensual de $us 806,40 que corresponde al 40% de ahorro de la pérdida por rechazo de producto contaminado.  Por tanto la mejora de productividad en la línea de Soplado es de 1,8% utilizando los mismos recursos en materiales.</t>
  </si>
  <si>
    <t>https://drive.google.com/file/d/14_S8DCA5W4GyJypMmSUhIInyokc4_fhv/view?usp=sharing</t>
  </si>
  <si>
    <t>CHRISTIAN OSVALDO MÉRIDA DURÁN</t>
  </si>
  <si>
    <t>PLAN DE MARKETING PARA LA LÍNEA BIFOSA DE LA MARCA DE PRODUCTOS FARMACÉUTICOS TROIKAA DE LA COMERCIALIZADORA “IMEXFAR” S.A.</t>
  </si>
  <si>
    <t>chesco02@hotmail.com</t>
  </si>
  <si>
    <t>IND-067-2005</t>
  </si>
  <si>
    <t>Farmaceutica</t>
  </si>
  <si>
    <t>La propuesta del presente Proyecto de Grado es un plan de Marketing para la línea BIFOSA de la marca TROIKAA y proponer soluciones a la empresa para una mejor comercialización con sus canales de distribución.El estudio surge ante la necesidad de incrementar las ventas en la línea de productos TROIKAA que tiene un ingreso muy bajo y eso se debe al casi reciente ingreso en el mercado, e incrementar la cantidad de venta de estos medicamentos en especial el producto BIFOSA para las personas que sufren y padecen de Osteoporosis en la ciudad de Cochabamba.Se realiza un diagnóstico general a la empresa donde se evalúan las fortalezas y debilidades, luego se procede al FODA de valores, para luego sacar las conclusiones y problemas internos de la empresa. Posteriormente se realizó un estudio de mercado para determinar las necesidades para la información del estudio de mercado. Una vez teniendo las necesidades se procedió a una encuesta piloto donde se establece el número de encuestas para entrevistar, luego se procedió a la encuesta final donde los entrevistados fueron los médicos traumatólogos de la ciudad de Cochabamba (provincia Cercado).Una vez concluida la encuesta se tabularon los datos y se procesó toda la información para luego interpretar los gráficos y según a la información plantear las estrategias de marketing.Luego se procede a efectuar las estrategias de marketing con sus respectivas líneas de acción y también tener el cronograma de actividades, como el flujo de fondos de la empresa IMEXFAR</t>
  </si>
  <si>
    <t>https://drive.google.com/file/d/1sP1GHxaMhV_lNegv0kP91J0kgQLfZv2n/view?usp=sharing</t>
  </si>
  <si>
    <t>ALDO JOSÉ ANGULO CARDOZO</t>
  </si>
  <si>
    <t>ING. JORGE RIVADINEIRA</t>
  </si>
  <si>
    <t>“DESARROLLO DE UN SISTEMA INTEGRADO PARA EL ALMACÉN DE LA EMPRESA DE INGENIERÍA Y SERVICIOS INTEGRALES COCHABAMBA S.A. (INTEGRA S.A.)”</t>
  </si>
  <si>
    <t>aldojoserodri@hotmail.com</t>
  </si>
  <si>
    <t>IND-068-2005</t>
  </si>
  <si>
    <t>SISTEMAS INTEGRADOS</t>
  </si>
  <si>
    <t>Almacenes</t>
  </si>
  <si>
    <t>En el presente Proyecto de Grado realizado en la Empresa de Ingeniería y Servicios Integrales Cochabamba (INTEGRA S.A.) se desarrollo un Sistema Integrado para el Almacén, donde se  elaboraron: Procedimientos, Instructivos de Trabajo y Flujogramas propuestos para el Almacén de la Unidad de Normas y Procedimientos. La fase del estudios comprendió: Planificación del trabajo  realizado en coordinación con la Unidad de Normas y Procedimientos, una investigación de la situación anterior a través de técnicas de recopilación de información, documentación de los procedimientos existentes y la aprobación de la descripción de los procedimientos que se  propuso para las unidades en estudio, pasando luego a un análisis general de la estructura orgánica, para luego brindar un diagnóstico de los mismos donde se expreso los problemas detectados.La fase de desarrollo comprendió la elaboración del sistema integrado del Almacén, los procedimientos e instructivos de trabajo en coordinación con las unidades de estudio donde se han aplicado las sugerencias y observaciones, resultado del diagnóstico, a fin de obtener soluciones a los problemas que permitan contar a futuro con mejores procesos.Las conclusiones más relevantes fueron:Los procedimientos propuestos conducen a sistemas mas eficientes, eficaces y adaptables.El trabajo desarrollado servirá de base para la certificación ISO 9001; Versión 2000.</t>
  </si>
  <si>
    <t>https://drive.google.com/file/d/1OltiROS21sin5CxS4yNojYCM_6_ebxXB/view?usp=sharing</t>
  </si>
  <si>
    <t>https://drive.google.com/file/d/17ZMeZasp-IPH0W8AkjQJ-Xm0pis5_e75/view?usp=sharing</t>
  </si>
  <si>
    <t>ZUBIETA CARRASCO JULIO CESAR</t>
  </si>
  <si>
    <t>EVALUACIÓN DEL COMPORTAMIENTO DE PROCESO EN LA SECCIÓN DE INYECTADO DE SUELAS DE LA EMPRESA MANUFACTURA BOLIVIANA S.A.</t>
  </si>
  <si>
    <t>cesarbizu@hotmail.com</t>
  </si>
  <si>
    <t>IND-069-2005</t>
  </si>
  <si>
    <t>Suelas, comportamiento</t>
  </si>
  <si>
    <t>Las industrias manufactureras modernas se enfrentan a retos considerables. Los consumidores han aumentado en gran medida sus requerimientos de calidad, el desafió con respecto a la calidad que enfrenta la industria es mejorar la calidad de los productos, estos son retos difíciles; sin embargo los métodos modernos de control estadístico de la calidad, como los analizados en el presente estudio, proporcionarán una base para afrontar tales desafíos.El presente proyecto tuvo como base la tecnología estadística e industrial útil para la función del aseguramiento de la calidad. Se puso énfasis en dos áreas principales : controles estadísticos de procesos y muestreo para aceptación. Las cuales trabajan con variables importantes que afectan la salida del proceso. Se realizo el diagnostico de la línea de producción dando a conocer cuales son las fortalezas, debilidades, oportunidades y amenazas con las que cuenta, además  las limitaciones del sistema y el origen de causas.Se realizo una descripción del proceso  dando a conocer las pruebas y las etapas de elaboración de suelas. Para luego analizar los factores que generan variación en el proceso analizando las causas y efectos que genera un producto no conformeEfectuado el análisis de variabilidad se empieza a establecer y efectuar el control y mejoramiento de la calidad teniendo como base de análisis los elementos de la dirección de control total de calidad,  desarrollando criterios en base a la filosofía de calidad y haciendo huso de las herramientas estadísticas de control de calidad. Siendo este ultimo la columna vertebral para la evaluación del proceso. Se toco puntos acerca de la utilización de la estadística descriptiva . Se realizó una presentación de lo que son las cartas de control para datos de medición. Para el uso de las cartas de control se manejó un procedimiento el cual inicia con una fase de prueba o construcción, finalizando con la de utilización. La cual fue la base para realizar el análisis de control. Una herramienta importante para este análisis fue la utilización del paquete estadístico MINITAB.Se realizó el análisis de la capacidad del proceso, mediante índices de capacidad, que dieron una pauta de cómo el proceso funciona conforme a las especificaciones del producto. Realizado el análisis de variabilidad y conocidas las fuentes de estas, se realizo políticas de mantenimiento que impulsan a la rueda de mejoramiento continuo. Siendo esta función una de las mas importantes para desarrollar e impulsar un producto de calidad.Una de los elementos que causó variabilidad y desajustes en la producción de suelas fue la materia prima. Se efectúa la elaboración de  planes de muestreo para variables, el cual es objeto de análisis la materia prima (Goma termoplastica), se plantean dos tipos de planes de muestreo, las cuales giran en torno a un análisis de la media del lote.</t>
  </si>
  <si>
    <t>https://drive.google.com/file/d/1yamiTu2fUP5m-VBTDBcIPEswPC-U8yNM/view?usp=sharing</t>
  </si>
  <si>
    <t>MERCADO SALAZAR GREG ERICK</t>
  </si>
  <si>
    <t>CABERO MENDOZA ANDRES ANIBAL</t>
  </si>
  <si>
    <t>DESARROLLO DE LAS PERSPECTIVAS DE CLIENTES Y PROCESOS INTERNOS PARA EL CUADRO DE MANDO INTEGRAL DE LA UNIDAD ESTRATÉGICA DE NEGOCIOS DE TELEFONÍA PÚBLICA DE COMTECO</t>
  </si>
  <si>
    <t>zdcm@hotmail.com</t>
  </si>
  <si>
    <t>IND-070-2005</t>
  </si>
  <si>
    <t>Cuadro de mando integral, COMTECO</t>
  </si>
  <si>
    <t>El objetivo principal de este proyecto fue el de realizar un “CUADRO DE MANDO INTEGRAL”, que permita alinear al personal de Telefonía Pública con la visión de esta.Telefonía Pública tiene  como misión controlar los teléfonos Públicos, denominados orejones, los cuales permiten llamadas locales, nacionales ya a celulares. También dirige y controla el servicio de TELECENTROS, que son centros de llamadas que permiten realizar llamadas locales, nacionales, internacionales y  a celulares. Telefonía Pública tiene  establecida su misión y visión, por lo que el proyecto parte de este punto estableciendo las estrategias que permitieron alcanzar la visión de la empresa.Una vez identificadas las estrategias se formularon los objetivos estratégicos para las perspectivas financiera, cliente, procesos internos y la perspectiva de aprendizaje y crecimiento. Posteriormente se identificaron los factores claves de éxito, se diseñaron los indicadores de resultado para cada objetivo estratégico acompañado de su indicador inductor.Una vez diseñado el Cuadro de Mando Integral, se establecieron las metas para cada indicador y el tiempo en el que serán evaluados.Se desarrollo la perspectiva de procesos internos, en la que se identificaron los procesos críticos en la cadena de valor de Telefonía Pública, se creo el procesos de control de rendimiento de Teléfonos Públicos, para lograr la fidelidad del cliente, también se mejoró el proceso de apertura de nuevos Telecentros.En la perspectiva de clientes se identifico al principal competidor que es ENTEL y se realizó un posicionamiento de Telefonía Pública respecto a la competencia, se desarrollo la investigación de mercados que dio como resultado a nuestra sector potencialmente atractivo que fueron las personas entre 18 y 34 años de clase media baja con un perfil de llamadas locales. Además se realizó  la segmentación geográfica que permitió conocer las zonas potencialmente atractivas para la colocación de Teléfonos Públicos y telecentros. Se desarrollo una estrategia de marketing orientada a la propuesta de valor hacia el cliente.Telefonía Pública cuenta con el sistema QBClient, el cuál muestra la tarifación de todos los teléfonos que posee loa empresa, Se desarrollo un sistema de control y seguimiento de los indicadores para cada objetivo estratégico, el sistema se compone de los siguientes subsistemas: subsistemas de control de venta de tarjetas, tarifación de teléfonos, densidad telefónica, satisfacción al cliente, apertura de nuevos Telecentros.Todos los subsistemas formarán el sistema del Cuadro de Mando Integral para Telefonía Pública, el reporte será visto por el gerente de la Unidad, en el cual se mostrarán todos los indicadores con su respectiva semaforización, en caso de encontrarse un objetivo en estado de alerta, el sistema permitirá el despliegue para observar su respectivo indicador inductor, para poder aplicar las medidas correctivas que sean necesarias.</t>
  </si>
  <si>
    <t>https://drive.google.com/file/d/1-pySzWyoCdtBCC0cfomiF_Sv0p2IgMZZ/view?usp=sharing</t>
  </si>
  <si>
    <t>BÖHRT CORTES ALEJANDRO FABRIZIO</t>
  </si>
  <si>
    <t>ESTUDIO TÉCNICO FINANCIERO PARA LA AMPLIACIÓN DE LA PLANTA PROCESADORA DE CARBONATO DE CALCIO (CACO3) DE DURALIT S.A.</t>
  </si>
  <si>
    <t>faboco@hotmail.com</t>
  </si>
  <si>
    <t>IND-071-2005</t>
  </si>
  <si>
    <t>CARBONATO DE CALCIO, DURALIT</t>
  </si>
  <si>
    <t>La Empresa Duralit S.A., dispone de una unidad productiva dedicada al Procesamiento de Carbonato de Calcio (CaCO3) de nombre Calcáreos “El Carmen”, ubicada en la localidad de Suticollo. Cuyas instalaciones están en funcionamiento hace tres años, como una respuesta a un creciente necesidad de la industria en nuestro país de materiales de carga, que alivianen sus costos y proporcionen mayor facilidad al manipuleo de sus productos finales.Duralit S.A. decidió incursionar en este mercado en vista que el Carbonato de Calcio en Bolivia, ingresaba por vía de importación a precios relativamente elevados y con todos los inconvenientes que representa hacerlo, puesto que este producto está penado por la Ley del Régimen de la Coca y Sustancias Controladas (Ley 1008), que en su Articulo 36º expone los términos legales para la Importación y Comercialización de aquellas sustancias consideradas precursoras para la producción ilícita de la cocaína, dentro de estas se encuentra el Hidróxido de Calcio, que reaccionando químicamente con Carbonato de Sodio (Na2CO3, mencionado en dicha ley) resulta Carbonato de Calcio mas Hidróxido de Sodio (NaOH), motivo por el cual la comercialización de Carbonato de Calcio es bastante compleja.Otro inconveniente por el cual atravesaba la industria nacional, era la disponibilidad de material de carga en el momento adecuado y de bajo precio; estos motivos fueron los que motivaron a Duralit S.A. ha emprender esta industria, pero atravesaron por otro inconveniente es que el proceso utilizado proporcionaba Carbonato con un tamaño de partícula (granulometría) bastante variado, estando dentro el rango de 1 - 22 mm aproximadamente, y las exigencias del mercado eran medidas mas especificas. Por el anterior motivo se decidió ampliar el proceso productivo o mejorarlo; siendo este el objetivo del presente estudio.Para cumplir el objetivo se tenía que partir de un Estudio de Mercado previo, para conocer las exigencias del mercado, debido a que el Carbonato de Calcio es una materia prima primaria, el acceso a esta información es muy restringido, tanto en lo que se refiere a información general como a la colaboración de la industria nacional, se pudo identificar un número muy reducido de empresas consumidoras de Carbonato de Calcio; haciendo un total de 26 industrias identificadas en el eje troncal (La Paz – Cochabamba – Santa Cruz). Al tener un universo poblacional tan reducido no fue necesario calcular un tamaño de muestra representativa, teniendo que realizar un censo (solamente) con la totalidad del universo poblacional.La investigación de mercado, permitió determinar que el 42% de las empresas consumidoras se encuentran en Santa Cruz, el 31% pertenecen a La Paz y el restante 27% a Cochabamba; los productos alternativos al Carbonato de Calcio son: el Dióxido de Titanio, el Caolín, el Talco y la Tiza; los sectores productivos demandantes de Carbonato de Calcio son los dedicados a la producción de pinturas, mayoritariamente las empresas de plásticos y tuberías de PVC, Farmacéuticos y Químicos; la cantidad anual promedio de compra de Carbonato de Calcio oscila entre 40 y 60 TN/año por empresa; un 61% de las empresas expuso que preferiría recibir el producto en bolsas de papel kraft de 40 Kg.; el tamaño de partícula requerido esta entre 1 y 9 mm; el 49% de las empresas demandantes nos permitió fijar el precio de venta en 170 $us/Tn; un requerimiento importante de las empresas fue la pureza en Carbonato de Calcio de 96%–98%, la empresa dispone de una veta de Calcita en piedra con una pureza del 97.1% en CaCO3, cumpliendo con este requerimiento satisfactoriamente; gracias a información proporcionada por la Cámara de Comercio el origen de mayor importación de Carbonato al país es la Argentina.Una vez realizado el estudio de mercado, con la información obtenida se pudo continuar con el estudio técnico, empezando a definir las características del producto a realizarse como las propiedades que confiere a los productos cuya materia de carga es el Carbonato de Calcio; la determinación del tamaño planta comenzó con la proyección de la demanda con la construcción de un modelo matemático econométrico que defina el comportamiento futura de ésta, llegando a determinar una tendencia creciente; los elementos influyentes que nos permite analizar el modelo son la inflación y el producto por vía de la importación. El tamaño del proyecto fue determinado por las alternativas tecnológicas para concretar la ampliación del proceso productivo, fijando un tamaño de 7.200 Tn/año, capacidad que significa un 85% de la capacidad instalada futura al final de los 10 años de vida útil del proyecto, previendo la realización de un nuevo estudio sin ocasionar un desabastecimiento del producto en ese momento.La distribución en planta deberá sufrir muy pocas modificaciones, llegando a esta conclusión gracias al Lay – Out de la planta realizado; el flujo del proceso productivo fue incrementado en dos operaciones: la implementación de un Clasificador de Partículas Micronizadas que permitirá cumplir con las exigencias del mercado en lo que se refiere a la granulometría y la otra operación, que no interviene directamente en el proceso productivo nos referimos a un pequeño laboratorio Análisis y Control Granulométrico que periódicamente realice un control permitiendo controlar la granulometría y pureza del producto final.El monto total de inversión fijado es de $us 96.000.-. Monto que incluye el Seleccionador Granulométrico, el Laboratorio de Análisis y Control y equipamiento de oficina puesto que no contaba con este.La evaluación del proyectado se realizo sobre la base de dos alternativas: Con Aporte Propio y Con financiamiento a una tasa de oportunidad de 15%; la alternativa que proporciono los indicadores mas óptimos fue la de realizar la inversión con Aporte Propio, proporcionando los siguientes parámetros de evaluación: un VAN de $us. 97.916,47, un TIR igual al 20% sobre la inversión total y una RBC de 1.13.El Análisis de Sensibilidad nos proporciono una estabilidad de los indicadores en pequeñas variaciones del precio y la cantidad demandada para ambas alternativas.</t>
  </si>
  <si>
    <t>https://drive.google.com/file/d/1RluJtGh3kvaDSL7A9Z7gAKzcDqPs4weH/view?usp=sharing</t>
  </si>
  <si>
    <t>CAHUANA FLORES FROILAN AGUSTIN</t>
  </si>
  <si>
    <t>ANÁLISIS ORGANIZACIONAL DE LA PRODUCCIÓN Y CALIDAD EN LA PLANTA DE CONFECCIONES MYTEX LTDA.</t>
  </si>
  <si>
    <t>froilan_cf@yahoo.com</t>
  </si>
  <si>
    <t>IND-072-2005</t>
  </si>
  <si>
    <t>MYTEX</t>
  </si>
  <si>
    <t>El proyecto se ha elaborado para la empresa Mytex Ltda., quien se dedica a confeccionar prendas de vestir en tejido de punto para al mercado externo, principalmente el mercado americano. Este trabajo esta dirigido a realizar el Análisis Organizacional de la Producción y Calidad para dicha empresa, tras haber identificado la falta de control en las áreas operativas de producción y calidad, además de una inexistencia de una estructura organizacional y funcional, lo cual impedía el funcionamiento optimo del proceso productivo. La empresa es un centro de trabajo en nuestro medio, y con la aplicación  del análisis organizacional y funcional primeramente, formatos para el control de producción y calidad posteriormente, permitió a la empresa mejorar el proceso productivo y la utilización correcta de recursos.Inicialmente se realizó un análisis de la situación actual de la empresa, mediante un diagnostico, en la cual se determinó su organización, las secciones con las que cuenta, sus procesos de producción  y sus procedimientos. Así mismo se realizó el diagnostico en materia de calidad.Seguidamente a partir de los problemas emergentes se realizan propuestas, primeramente en cuanto a la estructura organizacional y funcional, para lo que se propone un Organigrama y un Manual de Funciones, los cuales están apoyados en un Análisis de Puestos.Posteriormente dentro el área productiva se propone formatos de control para la recepción de materia prima, control de producción y calidad.  También se dan todas las pautas para la implementación de los departamentos de Desarrollo de Producto y Calidad. Para las diferentes secciones se realizan el estudio de métodos, medición de trabajo, planificación de la producción, variaciones de tiempo en función de cantidad a revisar, etc.Para concluir indicar que se logró abarcar todos los objetivos planteados para el presente trabajo, en materia de organización, producción y calidad dentro el área de producción en una empresa de confecciones.</t>
  </si>
  <si>
    <t>https://drive.google.com/file/d/1Rl1ceUzmMvwr2UIymcJWL5K6oEmTYN3p/view?usp=sharing</t>
  </si>
  <si>
    <t>FLORES NUÑEZ SANDRA MICAELA</t>
  </si>
  <si>
    <t>LIC. ROSSEMARY TERÁN PACHECO</t>
  </si>
  <si>
    <t>PROYECTO DE ESTRUCTURACIÓN DE UNA PLANTA PROCESADORA DE YESO DE CONSTRUCCIÓN</t>
  </si>
  <si>
    <t>san_micaela@hotmail.com</t>
  </si>
  <si>
    <t>IND-073-2005</t>
  </si>
  <si>
    <t>Yeso, Selección, Transformación, Estructuración, Socio-económico, Económico/Financiero, Calidad, Producción, Viabilidad, Suticollo, Montenegro.</t>
  </si>
  <si>
    <t>El estudio del  Proyecto de Estructuración de una Planta Procesadora de Yeso de Construcción se desarrollo mediante una evaluación realizada a la  pequeña industria artesanal, que se caracteriza por una reducida capacidad de producción y métodos inadecuados e imprecisos  de fabricación, resultando un producto de baja calidad que en consecuencia no garantiza su consistencia una vez realizada su aplicación. El desarrollo del estudio  se inició  con la recopilación de la información obtenida mediante el estudio de mercados realizado en la zona de Suticollo y Montenegro, utilizando para tal efecto el análisis estadístico de muestras aleatorias para una población finita; donde se llevo a cabo el levantamiento de la información necesaria para la cuantificación de la oferta y la demanda así como para la determinación de los precios y la capacidad de producción del proyecto con la que participara en el mercado. Del mismo modo se determinó los requerimientos de  maquinaria y el proceso de transformación de la piedra de yeso en producto final, apropiados para obtener resultados óptimos en cuanto a calidad y volúmenes de producción, siendo considerado este un factor importante en la evaluación de los impactos generados por el proyecto en el medio ambiente, dando como resultado la ausencia de impactos negativos en los distintos factores de análisis y la presencia de impactos positivos en el factor socio-económico.Así mismo la evaluación financiera analizó los flujos de ingresos y egresos en el tiempo a fin de determinar los costos totales de inversión, los costos de producción y los ingresos por ventas que recibirá el proyecto, basándose en el método de actualización, calculando para ello la Tasa Interna de Retorno (TIR), el Valor Actual Neto (VAN) y la relación Beneficio/Costo (B/C), para de esta forma determinar la rentabilidad del proyecto y si es posible recuperar los recursos en el tiempo.El análisis económico/financiero dio como resultado un Valor Actual Neto de 112.620, 53 $us y una Tasa Interna de Retorno del 24,17%, demostrándose de este modo la viabilidad del proyecto haciendo frente en un futuro a posibles cambios en las variables más críticas del flujo de caja.</t>
  </si>
  <si>
    <t>https://drive.google.com/file/d/1FOaCiCNrxlf90JMdSFXZNPtdphsp10DF/view?usp=sharing</t>
  </si>
  <si>
    <t>https://drive.google.com/file/d/1IFuabASEvi8NHiejt-brm5Khosn5QNhT/view?usp=sharing</t>
  </si>
  <si>
    <t>ALI QUIROZ REYNALDO</t>
  </si>
  <si>
    <t>VALLEJOS SANDAGORDA ROCIO</t>
  </si>
  <si>
    <t>PLAN DE MODERNIZACIÓN DE LA PANADERÍA QUIROZ</t>
  </si>
  <si>
    <t>reynaldoali@gmail.com</t>
  </si>
  <si>
    <t>IND-074-2005</t>
  </si>
  <si>
    <t>Pan, panderia, modernizacion</t>
  </si>
  <si>
    <t>El contenido del presente estudio estuvo organizado en once capítulos, en los cuales se planteo un modelo de organización tanto en el campo administrativo como en el productivo de la panadería “QUIROZ”, en base al planteamiento de soluciones a problemas identificados en la realización del estudio. Primeramente se presentaron las razones por las cuales se determinó la realización del estudio, así como los objetivos, finalidad y alcance de éste.Posteriormente se realizo el diagnóstico general, haciendo para ello una descripción general de la panadería “QUIROZ”, los productos en análisis, seguido del diagnóstico propiamente dicho con la determinación de los factores críticos tanto en el manejo administrativo, productivo y organizativo.Una vez concluido el diagnóstico se desarrollo una estructura organizativa que sea capaz de responder a las exigencias del negocio, tomando en cuenta elementos estratégicos como el establecimiento de la misión, la visión y valores. Posteriormente se desarrollo un manual de funciones que permita separar el trabajo y evitar la confusión de puestos en el mismo.De igual manera se determino la capacidad instalada, la capacidad del sistema y la capacidad utilizada de la panadería.Culminado dicho análisis se presentó el sistema de costos de producción para la panadería, el procedimiento de cálculo de los costos unitarios producción de los diferentes productos en estudio y algunas consideraciones sobre la implementación del sistema de costos. También se procedió a elaborar los estados contables (financieros), los cuales son documentos de interés netamente de la empresa (informes internos), siendo el más adecuado, necesario y utilizado el estado de resultados. Además de esté, se determinaron algunos indicadores de control para la empresa, siendo  éstas el margen de contribución unitario, el punto de equilibrio expresado en unidades de venta , la relación de utilidad neta- ingreso por venta, la relación utilidad neta- costo total y la relación costo total- ingreso por venta.También se desarrolló un estudio de tiempos, el cual nos permitió determinar el tiempo estándar para elaborar cada producto en estudio, cuyos datos son de interés netamente para la empresa.Conjuntamente al anterior se desarrolló un estudio de métodos en el cual se emplearon herramientas como diagramas de proceso y diagramas de flujos de materiales.Posteriormente se desarrolló un sistema de planeamiento y control de la producción  aplicando la filosofía Justo A Tiempo para el aprovisionamiento de materiales, previamente se determinó la demanda de los diferentes productos que elabora la panadería, también se determinó las cantidades optimas a producir para maximizar las ganancias tomando en cuenta la capacidad de la panadería.Consecutivamente se presentó un diagnóstico de la situación actual de la empresa en cuanto a seguridad industrial, el mismo que fue elaborado juntamente con la identificación y evaluación de riesgos, posteriormente se presentó la propuesta del diseño del sistema de seguridad industrial con el fin de solucionar todos los riesgos que fueron detectados.Por ultimo se presentaron en función al estudio realizado las conclusiones y recomendaciones que permitan a la panadería tomar decisiones que lo encaminen hacia el crecimiento.</t>
  </si>
  <si>
    <t>https://drive.google.com/file/d/1XoFCGxeFqTUMk-hey-PrFF7ZH76Dj12C/view?usp=sharing</t>
  </si>
  <si>
    <t>MANUEL RICARDO LAREDO GARNICA</t>
  </si>
  <si>
    <t>ROLANDO VALDIVIA PARAVICINI, MGR.</t>
  </si>
  <si>
    <t>“DESARROLLO DE UN MODELO DE ADMINISTRACIÓN ESTRATÉGICA PARA LA EMPRESA DE SERVICIOS LAREDO”.</t>
  </si>
  <si>
    <t>r_laredo@hotmail.com</t>
  </si>
  <si>
    <t>IND-075-2005</t>
  </si>
  <si>
    <t>Laredo</t>
  </si>
  <si>
    <t>La empresa unipersonal de servicios Laredo carecía de objetivos a largo plazo y por tanto de  estrategias. Por ese motivo, en la realización del modelo de administración estratégica, se utilizo el concepto de administración estratégica clásica propuesto por Fred. R David  asociado con el cuadro de mando integral y la planificación operativa.Se inicio el trabajo con un  diagnostico, donde se realizaron los análisis externo e interno de la empresa. El análisis externo permitió establecer que la atractividad de los mercados en los cuales se encuentra, es medio y el  aprovechamiento que hace  la empresa  de las oportunidades que se le proporcionan está por debajo de la media. El análisis interno se  realizó integralmente.. Después de  la valoración de las fortalezas y debilidades de la empresa, esta se coloco por encima de la media, por lo que se concluye que sus fortalezas son relativamente mayores que sus debilidades.Redactada la misión y la visión de la Empresa,  se  formularon las estrategias y los objetivos a largo plazo utilizando como metodología la propuesta en el libro Conceptos de Administración de David.Se definió una estrategia de diferenciación en el área de refacción, restauración y remodelación de edificios, la estrategia de desarrollo del producto en el área de construcción y la de diversificación concéntrica.La parte de implementación y control de las estrategias esta basada en la aplicación del cuadro de mando integral para la formulación y control de los objetivos a largo plazo que se realizará mediante indicadores anuales e inductores penta mensuales, lo que le permitirá al gerente tomar medidas de contingencia. Estos objetivos se encuentran ubicados dentro de las 4 perspectivas del mapa estratégico, las perspectivas financieras,   clientes,  procesos internos , conocimiento y aprendizaje.La planificación operativa, como iniciativa estratégica basada en el cuadro de mando integral permitió desplegar algunos objetivos en líneas de acción, actividades y tareas. Esto se realizo para los objetivos de captación de clientes y la Optimización de los procesos mejorando el uso de recursos humanos y materiales.En el cuadro de mando se estableció las necesidades de describir los procesos. Por lo tanto se identificó el mapa de procesos y se definió la manera de describirlos mediante una hoja electrónica realizada en Excel.Por lo tanto el modelo de administración estratégica realizado estableció objetivos a largo plazo, y las estrategias a desarrollar. Identificó indicadores e inductores que permitirán el control de las actividades tanto a largo como a corto plazo. Realizo un despliegue de objetivos a largo plazo en líneas de acción, actividades y tareas a realizar a corto plazo. Definió el mapa de procesos y las pautas para realizar la descripción de estos, que permitirán un mejor funcionamiento de la empresa además de asegurar la calidad.Por lo tanto se recomienda la identificación de la gerencia junto con la estructura administrativa de la empresa con la utilidad del modelo de administración estratégico para que exista una voluntad sostenida en la implantación del modelo.</t>
  </si>
  <si>
    <t>https://drive.google.com/file/d/19BLguBzVK9Sh0A4U_EV_J0HnF8sdes7z/view?usp=sharing</t>
  </si>
  <si>
    <t>OSCAR ANTONIO FLORES VALDA</t>
  </si>
  <si>
    <t>ELABORACIÓN DEL MANUAL DE PRODUCCIÓN DE CURTIEMBRE TAURO LTDA.</t>
  </si>
  <si>
    <t>oscali_17@yahoo.com</t>
  </si>
  <si>
    <t>IND-076-2005</t>
  </si>
  <si>
    <t>Manuales</t>
  </si>
  <si>
    <t>La elaboración del Manual de Producción de Curtiembre Tauro Ltda., se realizo utilizando herramientas básicas de la rama de Estudio de Métodos como por ejemplo: - Análisis de Ordenes de Producción: se realizo el análisis de los procesos que necesitan de una orden de producción, se consulto con los operarios y encargados y mediante una combinación las propuestas y lo observado se procedió a mejorar las ordenes de producción, haciéndolas más entendibles, con los datos necesarios y también se mejoro su presentación.- Medición de Tiempos: se utilizo el método de cronometraje de vuelta a cero mediante el uso de un cronometro digital de diez memorias.- Análisis de la Distribución en Planta: Se analizaron los diversos motivos que podrían originar un reorganización de la planta y pese a haber encontrado algunos motivos con excesivas distancias a recorrer, trabajadores calificados realizando demasiadas tareas poco complejas; se llego a la conclusión de que un reordenamiento no era lo ideal en la empresa por el poco espacio físico con el que se cuenta. - Diseño de diagramas de flujo: Se elaboro el diagrama de flujo para cada uno de los procesos de la línea productiva dentro la empresa para poder hacer más fácil el entendimiento y visualización de todos los procesos.La metodología se realizo siguiendo un cronograma de trabajo y en base a una serie de pasos para la mejor administración de los tiempos dentro del trabajo en la empresa y  como se trata de una línea de producción,  se analizó cada etapa en orden y de una manera correlativa, realizando para cada etapa las siguientes actividades:  A. Observación  contínua  de  cada proceso para entenderlo de la mejor manera,  B. Entrevista con el jefe de la sección o trabajador del proceso en cuestión, C. Análisis de la distribución  de planta,D. Definición del objetivo de cada proceso, E. Descripción de la forma de realización de cada proceso, F. Análisis de la orden de producción de los procesos que cuentan con ella, G. Elaboración  de  flujogramas para cada proceso, H. Determinación  de  costos para los procesos que emplean productos químicos, I. Investigación de teoría para los procesos que no tengan respaldo teórico, J. Descripción de acciones de control de calidad, K. Descripción  de  maquinaria utilizada por los procesos,  L. Planteamiento de conclusiones y sugerencias para cada proceso, M.Elaboración de informes.A parte del trabajo central que era la elaboración del Manual de Producción, se realizaron una serie de mejoras dentro la empresa, y muy especialmente en el sector de producción, como por ejemplo: Incremento del control  de  calidad en el proceso de dividido en tripa, Determinación  del costo del proceso de curtido, Propuesta de secuencias operativas para el proceso de toggling, etc.El resultado fue el esperado en donde se otorgo a la empresa una herramienta muy importante desde el punto de vista productivo pues se documento toda la línea productiva de los dos productos más importantes de curtiembre Tauro Ltda..</t>
  </si>
  <si>
    <t>https://drive.google.com/file/d/1V_5DMipuTX8iehOuXKOSBZxU6NwmEMg9/view?usp=sharing</t>
  </si>
  <si>
    <t>CHOQUE FLORES ALEX D'ANCHGELO</t>
  </si>
  <si>
    <t>OPTIMIZACIÓN DEL PROCESO PRODUCTIVO DE LADRILLO GAMBOTE MEDIANTE LA ADMINISTRACIÓN DE OPERACIONES PARA LOS PRODUCTORES DE LA ZONA SUD</t>
  </si>
  <si>
    <t>aleks2m@hotmail.com</t>
  </si>
  <si>
    <t>IND-077-2005</t>
  </si>
  <si>
    <t>Gambote, zona sur</t>
  </si>
  <si>
    <t>El objetivo principal del proyecto fué optimizar el proceso de producción actual de ladrillo gambote que se efectúa en la zona Sud empleando técnicas de Ingeniería Industrial y que sirva como información para las decisiones futuras del sector.El presente estudio nació como preocupación de mejorar la actual producción y organización en una de las industrias cerámicas mas importantes dentro del sector de la construcción: la fabricación de ladrillo artesanal gambote, específicamente en la región de los productores de la zona Sud.En la actualidad el sector se encuentra en una etapa de decisión importante: proseguir con las características de la actual producción ó tomar nuevas alternativas en vistas al futuro del sector. El proyecto utilizó las herramientas de la Administración de Operaciones para ayudar en la toma de decisiones.Se especificaron todos los antecedentes del proyecto y se definieron los objetivos, alcances y las justificaciones del mismo, para mejorar el servicio del sector en un mercado atractivo se pronosticó la demanda futura, se analizó la oferta y se propusieron medidas de comercialización y un programa inicial de producción y ventas proyectadas. Se describieron los materiales e insumos necesarios para la producción del ladrillo gambote y se establecieron los costos de los mismos. Se estableció la Capacidad igual a 3 hornos en los primeros cuatro años y en 4 hornos en los últimos años del proyecto, hasta una producción de 2.200.000 unidades respecto a las 1.600.000 unidades que se producen en la actualidad. Se justificó la elección de la Ubicación de la planta: el Parque Industrial Santivañez.En cuanto a la organización de la nueva planta: se definieron los departamentos y sus actividades: los costos en recursos humanos y la planificación del ambiente de trabajo.  Se analizaron las operaciones del actual proceso de producción y los posibles requerimientos y se establecieron mejoras en el mismo mediante el diagrama de procesos, específicamente en la disposición y tecnología del horno y los procedimientos de mezcla, secado y cocción.Se definieron la maquinaria y equipos acordes con el proceso propuesto, las obras civiles, los equipos auxiliares y la distribución en planta de toda la anterior clasificación. Se planificaron los aspectos de Calidad dentro la nueva planta, la organización necesaria para la Calidad, los Sistemas de Control de la calidad, despliegue de la Función Calidad, los aspectos logísticos y un plan de producción a mediano plazo acorde con las anteriores consideraciones.En términos financieros se estimaron los siguientes resultados: VAN igual a 127.506 $us. y una TIR del 77% además de un análisis de ratios financieros proveniente de estados financieros en un formato de Plan de Negocios.</t>
  </si>
  <si>
    <t>https://drive.google.com/file/d/1zGqM56nByM1sjv8kWYPZdJ04WleY-Zrp/view?usp=sharing</t>
  </si>
  <si>
    <t>CARLA ANDREA UREÑA DELGADO</t>
  </si>
  <si>
    <t>JOANNE GABRIELA ORDOÑEZ SEVERICH</t>
  </si>
  <si>
    <t>“DISEÑO DE UN SISTEMA DE GESTIÓN Y ASEGURAMIENTO DE LA CALIDAD DE LOS RESULTADOS DE CALIBRACIÓN, MEDICIÓN Y ENSAYO PARA EL LABORATORIO DE CALIBRACIÓN DEL LAB S.A. EN CONFORMIDAD A LA NORMA ISO/IEC 17025”</t>
  </si>
  <si>
    <t>joanny_s@hotmail.com</t>
  </si>
  <si>
    <t>IND-078-2005</t>
  </si>
  <si>
    <t>Calibracion, medicion, laboratorio</t>
  </si>
  <si>
    <t>La mejor forma de demostrar calidad y competencia técnica en el Laboratorio de Calibración (LC) del LAB S.A., es por medio de la acreditación a una norma de reconocimiento internacional como la ISO/IEC 17025; “Requisitos generales para la competencia de laboratorios de ensayo y calibración”. En este sentido, se identificó como requerimiento principal de cumplimiento de la Norma, la implantación de un Sistema de Gestión y Aseguramiento de la Calidad de los resultados para el Laboratorio de Calibración.El LC no contaba con un Sistema de la Calidad que no solo demuestre que posee una gestión sólida (Sistema de Gestión) si no que también demuestre competencia técnica (Sistema de Aseguramiento de la Calidad de los resultados) de su servicio. El proyecto se enfocó a cubrir esta necesidad por lo que su objetivo general fué “Diseñar un Sistema de Gestión y Aseguramiento de la Calidad de los Resultados de calibración, medición y ensayo para el Laboratorio de Calibración del LAB. S.A. en conformidad a la Norma ISO/IEC 17025”.El marco teórico tuvo como propósito dar a conocer todos los conceptos y descripciones más importantes relacionados con el tema que permiten una mejor comprensión del proyecto y el Sistema de la Calidad.El análisis de la Norma ISO/IEC 17025:1999 permitió comprender la aplicabilidad de la Norma para laboratorios de ensayo y/o calibración y proporcionó un alto nivel de aseguramiento de la calidad en las mediciones y calibraciones.El Lloyd Aéreo Boliviano Sociedad Anónima cuya sigla es LAB. S.A. es una sociedad que tiene por objeto principal, establecer y explotar el servicio de transporte aéreo de pasajeros, carga y correo, con carácter comercial dentro y fuera de la república de Bolivia. El LC es una unidad creada el año 1996 como respuesta a las exigencias de la aviación comercial y con el propósito de cumplir con las RAB (Reglamentación  Aeronáutica Boliviana) y reglamentaciones internacionales como la FAR (Federal Aviation Regulations), que exigen a las compañías de aviación comercial cumplir con los requisitos de control y aseguramiento de la Calidad mediante el mantenimiento y la calibración de sus equipos de medición. El LC del LAB S.A. realiza la calibración de equipos, herramientas e instrumentos pertenecientes a la compañía y a clientes externos en las magnitudes de dimensional, eléctrica, par torsional y presión fundamentalmente.El análisis de las condiciones en que se encontraba el LC fué preponderante al momento de decidir sobre la conveniencia de implantar un Sistema de Gestión y Aseguramiento de la Calidad de los resultados. En primera instancia se realizó un análisis FODA del LC, con la intención de determinar las fortalezas, debilidades, oportunidades y amenazas que permitieron realizar un proyecto sustentado en bases sólidas; para posteriormente determinar los requerimientos del nuevo sistema. El alcance del proyecto fué por una parte la implantación del Sistema de la Calidad para el LC, este sistema se ve reflejado en el diseño de la documentación del Manual de la Calidad, Manual de Procedimientos Generales y Manual de Instrucciones de Trabajo en cumplimiento con la Norma ISO/IEC 17025 y la Norma ISO 9001:2000.Por otra parte el proyecto también contempló el diseño de un método estadístico elaborado a través de las hojas de cálculo de Excel, el cual pretende generar un cálculo que incluye como fases de aseguramiento de la calidad de los resultados:·       Recepción del equipo: Es la fase en la que se detecta la condición de la unidad tanto física como funcional.·       Preparación del equipo: Consiste en la instalación del sistema de medición.·       Método de muestreo: Es un procedimiento donde parte de una sustancia, material o producto es tomada para proporcionar una muestra representativa del total. Se encuentra desarrollado en su totalidad en el procedimiento MCQm-507 PG-001.·       Cálculo de errores: Se evalúa los errores; sistemático, del patrón, error real, error máximo y mínimo tolerado.·       Estimación de incertidumbre: El proceso de la estimación de la incertidumbre está descrito en el procedimiento MCQm-504 PG-001, en el proyecto se elabora un diagrama de flujo de la estimación de la incertidumbre de las hojas de cálculo de Excel.·       Evaluación de los resultados: Los resultados se analizan e interpretan a través de los resultados de los cálculos, la estimación de la incertidumbre,  las gráficas de control y de herramientas estadísticas que permiten hacer comparaciones con datos históricos, norma aplicada o especificaciones de fabricación.·       Presentación de los resultados: Se presentan los resultados de la incertidumbre tanto en las hojas de cálculo de Excel como la presentación en el Certificado de Calibración.Las herramientas de evaluación del desempeño del sistema son muy importantes en el proceso de consolidación y mejoramiento continuo de un sistema de la calidad. Estas herramientas proveen a la dirección de una garantía de que el sistema cumple los objetivos definidos. Estas herramientas explican las distintas formas de evaluación de los sistemas de la calidad que se pueden aplicar a diferentes organizaciones adaptando a sus necesidades. También se pueden consideraron algunos indicadores para evaluar el desempeño del Sistema de la Calidad. Entre las herramientas que se pueden utilizar en la evaluación del sistema de la calidad se consideran: Auditorias internas, Mediciones financieras, Satisfacción de los clientes.El costo de implantación del Sistema de la Calidad alcanzó a un total de 29800 $us. y los beneficios económicos aproximados alcanzan a un total de 147830 $us.</t>
  </si>
  <si>
    <t>https://drive.google.com/file/d/1Gy8rWqYegevUCwOTKPW4vDoZQVk3DeRW/view?usp=sharing</t>
  </si>
  <si>
    <t>AJHUACHO CALLAPA RICHARD</t>
  </si>
  <si>
    <t>ING. RICHARD ALFREDO GUZMÁN TORRICO</t>
  </si>
  <si>
    <t>DESARROLLO DE UN MODELO DE PLANEAMIENTO Y CONTROL DE LA PRODUCCIÓN EN LA EMPRESA MARMOLERA MACONAL S.R.L.</t>
  </si>
  <si>
    <t>richardajhuacho@gmail.com</t>
  </si>
  <si>
    <t>IND-079-2005</t>
  </si>
  <si>
    <t>Marmol</t>
  </si>
  <si>
    <t>El proyecto fue realizado en el área de producción industrial, surge ante la necesidad de la empresa de contar con herramientas técnicas que le permitan afrontar de una manera eficiente las distintas exigencias del mercado local y nacional.La metodología utilizada combina un estudio exploratorio y descriptivo, los estudios exploratorios permiten al estudiador mayor interacción con el entorno de un determinado problema, estos estudios fueron efectivizados a través de un estudio bibliográfico y entrevistas. El estudio bibliográfico permite entrar en contacto directo con todo lo que fue descrito sobre el tema, este estudio bibliográfico se refiere a la administración de la producción en las funciones del planeamiento y control de la producción con sus conceptos, técnicas y métodos.Las entrevistas posibilitan el conocimiento de las experiencias practicas sobre la realidad de la industria, permitiendo la identificación de determinados procedimientos en la elaboración de los diferentes productos elaborados con mármol.El estudio descriptivo tiene su importancia, es el foco esencial para la comprensión con exactitud de los hechos y fenómenos de una realidad especifica, proporcionando las bases para la construcción del modelo, el abordaje cualitativo en principio es útil para investigaciones que tienen como objetivo de estudio de situaciones complejas o estrictamente particulares. Para la obtención de los datos primarios  fueron utilizados entrevistas semiestructuradas y observaciones, la entrevista semiestructurada es considerada como una técnica de estudio cualitativa parte de ciertos cuestionamientos básicos apropiados en teorías y hipótesis que ofrecen un amplio campo de interrogativas fruto de nuevas hipótesis que van surgiendo a medida que se reciben las respuestas, las entrevistas fueron realizadas en la empresa consultando al personal administrativo y de planta, con el objetivo de conocer la mayor cantidad de información con la mayor confiabilidad posible.Después de los resultados obtenidos en estos análisis fue establecida el modelo de planeamiento y control de la producción adecuada a la empresa de acuerdo con los objetivos de este trabajo. A partir de esa concepción fueron formuladas métodos y técnicas de: pronósticos, información muy importante en la toma de decisiones de futuras demandas siendo estas herramientas de ubicación, un modelo de inventarios cuyo objetivo es de proveer a producción de cantidades y en periodos óptimos con un costo mínimo, contar con un plan agregado de producción para cada tipo de producto seleccionado de acuerdo a las características de funcionamiento de la empresa cuyo objetivo es garantizar que la producción se realice eficazmente, de un plan maestro de fabricación que  determina la cantidad neta de productos que hay que producir en determinado periodo de tiempo, el control de la producción que verifica el cumplimiento del plan de producción correspondiente, el que se efectuado a través de distintos indicadores propuestos.En términos generales el planeamiento y control de la producción  se constituye en un sistema de información que rige, coordina el proceso productivo.En síntesis, los pasos seguidos en la elaboración del proyecto fueron: inicialmente se realizaron un levantamiento bibliográfico, se a elaborado una propuesta de trabajo, la propuesta es sometida a coordinación con la empresa, se a elaborado un instrumento de investigación para el reconocimiento del funcionamiento del sistema de producción en la empresa y se realizo una estructuración secuencial conforme a la interpretación teórica, sea a desarrollado el estudio de campo en base  a técnicas de entrevistas y observaciones  a realizar, con los datos obtenidos se a efectuado una descripción y análisis cuyo resultado fue sometido a la empresa , se a evaluado y ajustado el sistema en la empresa utilizando datos del proceso y del producto, se a establecido el modelo de planeamiento y control de la producción, y se realizo la redacción final del trabajo.</t>
  </si>
  <si>
    <t>https://drive.google.com/file/d/1ZsB6dhDLe8RkYf6-kaYmoQH_HTKL7VqV/view?usp=sharing</t>
  </si>
  <si>
    <t>https://drive.google.com/file/d/14jCTureVof9jXxy3WRNUB9G7CQ0S_4bZ/view?usp=sharing</t>
  </si>
  <si>
    <t>MIGUEL ÁNGEL VARGAS AGUILAR.</t>
  </si>
  <si>
    <t>“ESTUDIO DE FACTIBILIDAD PARA LA INSTALACIÓN DE UNA EMPRESA QUE BRINDE SERVICIOS DE INTERNET POR LOS SISTEMAS DIAL UP Y ON LINE”</t>
  </si>
  <si>
    <t>miguelv22@hotmail.com</t>
  </si>
  <si>
    <t>IND-080-2005</t>
  </si>
  <si>
    <t>Empresa INSACOM, Sistemas Dial Up y On Line, terminales VSAT, estaciones VSAT, elementos de la red de distribución, equipos externos, señal satelital</t>
  </si>
  <si>
    <t>Lo primero que se llevo a cabo fue un estudio de mercado en la ciudad de Yacuiba, esto a través de una encuesta escrita, se procedió a la segmentación del mercado ya que no toda la ciudad de Yacuiba disponía de las facilidades de infraestructura y económica, la segmentación fue de naturaleza geográfica demográfica, solo se centro la investigación en la zona urbana de esta ciudad. El número de encuestas se definió previo cálculo matemático.Una ves obtenidos los resultados de la encuesta se procedió a su análisis, determinando de esta forma el comportamiento de la población ante la propuesta de un servicio alternativo de Internet en la ciudad de Yacuiba, además que se conoció el grado de conocimiento y utilización de Internet y también el motivo por el cual algunas personas no tenían acceso a este servicio.La empresa INSACOM, una empresa de telecomunicaciones que trabaja en la ciudad de Yacuiba fue quien impulso este nuevo proyecto de servicio de Internet a pesar de que ya existía una empresa que se ocupaba de este servicio, aprovechando las muchas deficiencias de esta entidad tubo la idea de competir con esta. Todo esto se la realizaría a través se una señal satelital esto con ayuda de las terminales y estaciones VSAT (terminales de recepción de señal satelital).Una vez obtenido los resultados definitivos de las encuestas se procedió a realizar un análisis de costo realizando cotizaciones de equipos a través de Internet y costos de mano de obra, además de la proyección de puesta en marcha del proyecto, esto se llevo a cabo a trabes de indicadores financieros TIR y VAN, los cuales nos dieron una idea clara de las utilidades que tendríamos en un periodo de ocho años, dándonos una resultado optimista en comparación de otros proyectos que se llevarían a cabo con la misma cantidad de capital, como por ejemplo depositarlos un una cuenta en el banco.Se desarrollo un plan para de finir cada uno de los pasos a seguir para la instalación y puesta en marcha de este proyecto, se calculo la cantidad de elementos de la red necesarias para la distribución de señal, la cantidad de personal para ofrecer un eficiente servicio a los usuarios, con los resultados económicos se fijo un precio para el servicio, esto por cierto resulto mucho menor que el de la competencia, se tomaron en cuenta los impactos ambientales del proyecto que resultaron ser insignificantes y finalmente se cotizo los precios de señal de Internet a trabes de satélites que muchas empresas extranjeras ofrecen, se escogió a una empresa Brasilera GILAT</t>
  </si>
  <si>
    <t>https://drive.google.com/file/d/12dwqCpWa8JGy2G5Cpz66ifOfmd47_wn6/view?usp=sharing</t>
  </si>
  <si>
    <t>RONALD STEVE MAURTUA VIVIANO</t>
  </si>
  <si>
    <t>DISEÑO DE UN MODELO DE SEGURIDAD INDUSTRIAL PARA INDUSTRIAS DE ACEITE S.A.</t>
  </si>
  <si>
    <t>ronmaurtua@gmail.com</t>
  </si>
  <si>
    <t>IND-081-2005</t>
  </si>
  <si>
    <t>Aceite</t>
  </si>
  <si>
    <t>El proyecto “Modelo de Seguridad Industrial para Industrias de Aceite S.A.” ha sido desarrollado con el objetivo general de diseñar un sistema de seguridad industrial para la empresa basado en normas internacionales de seguridad y leyes vigentes.  Los objetivos específicos del proyecto son los de efectuar un análisis de las políticas actuales de trabajo inherentes a la seguridad Industrial, evaluar los posibles riesgos de trabajo en las diferentes áreas, diseñar un sistema de seguridad industrial apropiado y realizar un estudio de costos para la implementación del sistema de seguridad industrial propuesto.El proyecto abarca el análisis del área de refinería de Industrias de Aceite S.A., que comprende los procesos desde la llegada del aceite crudo de soya hasta el almacenamiento anterior al envasado.La metodología del presente estudio está basada en la norma para gestionar sistemas de seguridad y salud ocupacional OHSAS 18000.  El proyecto se llevó a cabo en las siguientes etapas: 1.- Aprendizaje de los conceptos aplicables al tema, las leyes nacionales y normas internacionales en este campo. 2.- Visitas a planta para conocer las instalaciones y procesos de la organización. 3.- Revisión de documentos pertinentes a la seguridad. 4.- Familiarización con el proceso productivo para conocer los riesgos que presentan cada una de las unidades productivas. 5.- Análisis de riesgos. 6.- Propuestas de mejora. 7.- Determinación de costos. 8.- Conclusiones y recomendaciones del proyecto.Las conclusiones del proyecto son:F Las actuales políticas de Industrias de Aceite S.A. en términos de seguridad resultan insuficientes para desarrollar un sistema de gestión.F El trabajo que realiza la refinería de Industrias de Aceite S.A. es un trabajo que implica peligros y riesgos importantes que están en su mayoría controlados y presentan como máximo un nivel de deficiencia de mejorable.F El trabajo del departamento de seguridad integral se califica como mejorable debido a su mayor defecto es el no estar basado en una norma exclusiva de seguridad para todas sus actividades.F Es necesario que el trabajo del departamento de seguridad integral este basado en una norma exclusiva de seguridad como lo es la serie de normas OHSAS 18000.F Las propuestas de mejoras en términos de señalización, extintores y equipos de protección personal representan un costo de 1601 $us para la empresa.Se recomienda:·       Revisar y actualizar todos los documentos ya existentes en el área de Seguridad Integral.·       Revisar y actualizar las no conformidades del sistema de análisis funcional de operabilidad (AFO).·       Establecer fechas para reuniones entre el jefe del departamento de seguridad integral y los jefes de área, para que de esta manera se tengan informes y se evalúe el desempeño y desarrollo del sistema de seguridad industrial.·       Realizar un mapa de riesgos para toda la empresa, de manera que se delimiten las zonas según el riesgo presente.·       Capacitar y entrenar al personal de manera dinámica y participativa.·       Buscar e implementar mecanismos para premiar el desempeño en materia de seguridad logrado en cada área de trabajo.  Esto garantiza la motivación y el interés de los operarios hacia la seguridad.·       Redactar todos los documentos, comunicados y fichas de seguridad en lenguaje sencillo y de fácil entendimiento.·       Mejorar las condiciones de estado y limpieza de los baños de la planta.·       Realizar una inspección periódica de higiene en el área de comedores y cocina.</t>
  </si>
  <si>
    <t>https://drive.google.com/file/d/1h1jQnxkfY1zvFqOnDAmyGAr1WHj4CbCL/view?usp=sharing</t>
  </si>
  <si>
    <t>HUARACHI YAMPARA ISMAEL UBALDO</t>
  </si>
  <si>
    <t>DISEÑO DE LA ESTRUCTURA ORGANIZACIONAL BAJO EL ENFOQUE DE GESTIÓN POR PROCESOS EN LA EMPRESA DE CONFECCIONES ALFACH - JEANS</t>
  </si>
  <si>
    <t>iuhy@hotmail.com</t>
  </si>
  <si>
    <t>IND-082-2005</t>
  </si>
  <si>
    <t>Confecciones, jeans</t>
  </si>
  <si>
    <t>Primeramente se realizó un diagnostico del entorno externo e interno de la empresa “Alfach-Jeans”, las cuales permitieron identificar  fuerzas directas e indirectas ante los cuales  la fabrica es vulnerable, tales como el contrabando, la inestabilidad económica y social del país. Pero también se determinó oportunidades latentes para el sector textil y confecciones como es el ATPDEA. Se identificaron problemas y al mismo tiempo fortalezas de la organización de la empresa.En base a tal escenario, se generaron las directrices a seguir por parte de la empresa (Misión, Visión, Valores y Políticas).La estructuración de los procesos se realizo en base al direccionamiento estratégico, primero se comenzó a identificar, clasificar y organizar los procesos básicos de la empresa “Alfach-Jeans”, centrados en la gestión por procesos, que como consecuencia de ello se elaboraron:El enfoque sistémico general de la empresa.El esquema de inter-ramificación de procesos que resume el levantamiento de la identificación de procesos.La organización de los procesos en base a tres categorías (estratégica, claves y apoyo).Una vez concluida la estructuración de los procesos de la empresa, se procedió al diseño del Manual de Proceso que sirve de guía al personal, como un instrumento técnico de gestión y organización, que permita el correcto desenvolvimiento de sus actividades.Al momento de culminar el  trabajo, se concluye que la estructura y diseño del Manual de Proceso, responde a las necesidades competitivas del entorno industrial y empresarial, tanto nacional como internacional, con una estructura organizacional basada en el mejoramiento continuo de los procesos, la cual permitirá adaptarse de manera rápida por las influencias del entorno, considerando la preocupación de supervivencia en un ambiente competitivo.</t>
  </si>
  <si>
    <t>https://drive.google.com/file/d/1vjkEBgH6_Z4rUkNn5ssroRi55SmfQTRf/view?usp=sharing</t>
  </si>
  <si>
    <t>https://drive.google.com/file/d/1EXPs-MC4UWrkWZBVm0nQlvlz_9TXZh-0/view?usp=sharing</t>
  </si>
  <si>
    <t>ZUBIETA FERNANDEZ RAUL ALVARO</t>
  </si>
  <si>
    <t>LUJAN SOLIZ JUAN CARLOS</t>
  </si>
  <si>
    <t>DISEÑO DE PLANIFICACIÓN ESTRATÉGICA Y CUADRO DE MANDO INTEGRAL PARA CURTIEMBRE AMÉRICA S.A.</t>
  </si>
  <si>
    <t>jcarloslujan@hotmail.com</t>
  </si>
  <si>
    <t>IND-083-2005</t>
  </si>
  <si>
    <t>Cuadro de mando integral, balance score card</t>
  </si>
  <si>
    <t>El presente proyecto de grado procura contribuir con un diseño de un plan estratégico para Curtiembre América; asimismo del diseño de un Cuadro de Mando Integral a través de un conjunto de indicadores de actuación compuestos por indicadores financieros y no financieros. Es por esta razón que el objetivo general del proyecto de grado es:“Diseñar una Planificación Estratégica y un Cuadro de Mando Integral, como un sistema de gestión estratégica para Curtiembre América que sirva como una herramienta que facilite la ejecución de las estrategias monitoreando vía indicadores financieros y no financieros; manteniendo a la vista las metas a cumplir y los objetivos estratégicos a alcanzar.”Curtiembre América como corporación es una empresa que con 34 años de trayectoria, posee cuatro unidades de negocios ubicados en La Paz, Santa Cruz, Sucre y Cochabamba. Las unidades de negocios de La Paz y Santa Cruz se dedican a la producción y exportación de cuero curtido, mientras que la unidad de Sucre se dedica a la producción de suelas. No obstante, la central de esta empresa se encuentra en Cochabamba, la misma que está dedicada a elaborar cueros acabados para comercializarlos a nivel nacional; principalmente a La Paz y Santa Cruz. Los principales segmentos de clientes son: microempresarios, sucursales ó intermediarios y las empresas. Actualmente cuenta con 100 empleados.Sus principales productos son: Charol, Oscaria, Mate Liso, Napa, entre otros. El volumen de ventas registrado en la gestión 2004 fue aproximadamente de 10 millones de bolivianos. Aparte de estos productos, existen una amplia gama de cueros que la curtiembre no produce con regularidad, éstos son los llamados “productos especiales” siendo aproximadamente mil variedades distintas de cueros acabados; gracias al laboratorio de Investigación y Desarrollo, que está dedicado a las pruebas de recurtido y teñido del cuero, en los cuáles se logra determinar el color, textura y tenacidad deseada según especificaciones técnicas del cliente.La conclusión que puede extractarse del análisis externo es que en general existe una alta atractividad, en términos económicos, en la demanda de cueros a nivel mundial, incluso en base a proyecciones efectuadas, esta situación será favorable hasta el año 2010. Haciendo referencia a los resultados del análisis de factores competitivos entre las principales empresas como Curtiembre Vis Kuljis, Curtiembre TECA, Curtiembre Andina, Curtiembre Tomy y Curtiembre Hércules, muestran lo siguiente:El grado de rivalidad es bajo entre los competidores directos a nivel nacional.La rivalidad de los competidores directos es media en cuanto a la comercialización de los productos de las curtiembres en los mercados extranjeros.La barrera de entrada de nuevos competidores es alta en el subsector Curtiembre.El desarrollo potencial de productos sustitutos (la cadena de los textiles) es medio.El poder de negociación de los consumidores (importadores de cuero curtido y semi - elaborado) es alto.El poder de negociación de los consumidores (subsector Manufacturas de cuero) es media.El análisis interno de Curtiembre América declara que las principales fortalezas que posee la empresa son:Experiencia en la industria del cuero.Productos de alta calidad percibida por los clientes.Maquinaria flexible, capaz de producir una amplia gama de cueros acabados.A su vez las debilidades que repercuten seriamente en la competitividad de la curtiembre son:Objetivos y metas no mensurables y no comunicadas.Falta de orientación a la exportación.Exceso en el tiempo de entrega.Ambos análisis conducen a que los autores propongan que la directriz estratégica que debería alcanzar Curtiembre América es incrementar la rentabilidad económica actual. Esta directriz a su vez, está respaldada por la formulación de cuatro estrategias expuestas por orden de prioridad, fruto del análisis interno y externo desarrollado. 1.     Exportar cuero semi – elaborado a Estados Unidos, aprovechando la política arancelaria vigente para exportación (ATPDEA)2.     Exportar cuero semi – elaborado a Italia.3.     Satisfacer la demanda creciente del Subsector Manufacturas de Cuero a nivel nacional.4.     Implementar un sistema de Gestión Medio Ambiental.Finalmente, la visión propuesta a Curtiembre América, en función del análisis interno y externo se expresan a continuación:“Curtiembre América será un proveedor líder, respetado y valorado, de productos de cuero acabado y cuero semi – elaborado de gran marca y calidad, en el territorio nacional y algunos mercados internacionales seleccionados.”Mientras que la propuesta de la declaración de misión respectiva es:“Curtiembre América es una empresa dedicada a la fabricación de cuero acabado destinado a personas interesadas en la manufactura de cuero dentro del mercado nacional, además de la fabricación de cuero semi – elaborado dirigido al mercado extranjero; a través de una tecnología adecuada para satisfacer las exigencias del mercado con productos de excelencia en la calidad en el acabado del cuero, tanto procesado como semi – elaborado, cumpliendo las regulaciones ambientales a través de nuestro personal calificado y motivado.”El diseño del Cuadro de Mando Integral para Curtiembre América significa la definición de los objetivos estratégicos coherentes con el diseño de la planificación estratégica, en este sentido los autores definieron 22 objetivos estratégicos para Curtiembre América en función a cinco perspectivas (financiera, cliente, medioambiental, procesos internos, y aprendizaje y crecimiento). La definición de los 22 indicadores de resultado que visualizan de manera directa la consecución de los objetivos estratégicos para Curtiembre América. Posteriormente, la definición de los 37 inductores de actuación que enfocan la que especifican una indicación temprana del progreso en el logro de los objetivosPor otra parte, se han planteado 10 iniciativas estratégicas orientados a cumplir con todos los objetivos estratégicos del Cuadro de Mando Integral:Por último, la conclusión de las relaciones causa – efecto de los objetivos estratégicos, denominado como Mapa Estratégico.Finalmente, los autores recomiendan la implementación del Cuadro de Mando Integral diseñado como un Sistema de Gestión Estratégica, de modo que realmente se pueda constatar del gran poder que posee esta herramienta de gestión empresarial, siguiendo los siguientes pasos:·       Traducir la directriz estratégica en términos operativos.·       Alinear la organización con la directriz estratégica.·       Convertir la directriz estratégica en el trabajo diario de cada empleado.·       Convertir la directriz estratégica en un proceso continuo.·       Movilizar el cambio a través del liderazgo ejecutivo.</t>
  </si>
  <si>
    <t>https://drive.google.com/file/d/1Nn1I38-dUUNQPskgmMOmH-LOMHTLQ-Oe/view?usp=sharing</t>
  </si>
  <si>
    <t>ARNEZ FLORES CESY PAOLA</t>
  </si>
  <si>
    <t>APLICACIÓN DEL MEDA EN EL PROCESO PRODUCTIVO DE LA INDUSTRIA PEQUEÑA, MEDIANA Y GRANDE DE LA REGIÓN</t>
  </si>
  <si>
    <t>imillita01@hotmail.com</t>
  </si>
  <si>
    <t>IND-084-2005</t>
  </si>
  <si>
    <t>PYMES</t>
  </si>
  <si>
    <t>El Objetivo de éste Proyecto es el estudio de la aplicación del MEDA, (una herramienta de administración del error y de los Factores Humanos en mantenimiento de aeronaves) en la industria del medio.Para su realización, primero se analizó el Sector: el número de industrias para cada actividad y el tipo de maquinaria que se utiliza para producir bienes de consumo, asimismo, y muy importante, el personal que está involucrado en el trabajo de mantenimiento de los equipos y máquinas, la ocurrencia de accidentes que tienen como causa el mantenimiento y las deficiencias productivas que tiene el sector como consecuencia. Luego, se realizó una adaptación de la tecnicidad del idioma para mantenimiento de aeronaves al de máquinas y equipos del medio, logrando así que la base del MEDA, que es un formulario estandarizado, sea aplicable a la investigación de eventos de cualquier actividad del Sector de estudio. Después se realizó una prueba piloto en una industria que trabaja con madera para la fabricación de muebles y exportación. Se analizó el último evento por el cual atravesó para demostrar los beneficios que la empresa puede cosechar si implementa el MEDA en los factores humanos del personal de mantenimiento. Se encontró que el MEDA puede ser beneficioso siempre y cuando exista una retroalimentación de lo encontrado en el llenado del formulario y se trabaje en la mejora de los factores de contribución al error encontrados para identificar mejoras en el sistema de mantenimiento y por ende al sistema de producción. También se encontró que si se analiza el Sector como un todo, el impacto del MEDA es importante económicamente porque de realizarlo constituye una herramienta que puede lograr que el mantenimiento sea realizado para que exista un ahorro en factores de producción costosos y que son importantes para el éxito de las empresas, como ser el costo de producción, pago de seguros por accidentes, etc. En el estudio se encontró que el mantenimiento en el Sector es realizado de forma que no se toman en cuenta los factores humanos y su impacto en la ocurrencia de errores de mantenimiento y por ende de costos elevados a las empresas.</t>
  </si>
  <si>
    <t>https://drive.google.com/file/d/1oFC3kmpGlJZokUZwT0MaD8EGSYsl8orU/view?usp=sharing</t>
  </si>
  <si>
    <t>ZEGARRA GUZMAN JUAN CARLOS</t>
  </si>
  <si>
    <t>ING. GUSTAVO RÍOS</t>
  </si>
  <si>
    <t>DISEÑO E IMPLEMENTACIÓN DE UN PROGRAMA DE MANTENIMIENTO PREVENTIVO EN MAQUINARIAS Y EQUIPOS PARA CURTIEMBRE "TAURO"</t>
  </si>
  <si>
    <t>jczegarra@yahoo.com</t>
  </si>
  <si>
    <t>IND-085-2005</t>
  </si>
  <si>
    <t>Maquinaria, equipo, funcionamiento y unidades.</t>
  </si>
  <si>
    <t>En Cochabamba y en Bolivia  según estudios de la cadena productiva del cuero las Curtiembres desarrollan los procesos de curtido, con maquinaria y equipos: anticuados, poco eficientes que en determinadas formas no aseguran la calidad, esto debido a los costos elevados que representa la tecnología denominada de “punta”, estos están fuera del alcance  de todos los miembros en una perspectiva de competitividad; su ingreso a la reconversión tecnológica es una necesidad imperiosa y de difícil planificación. Al existir una variedad considerable de maquinarias y equipos en la empresa, los requerimientos de mantenimiento de las mismas varían, requiriendo particular atención y servicio para cada una de estas.Debido a la importancia que posee el mantenimiento dentro de cualquier organización  que precise de sistemas de maquinarias, se vio conveniente su aplicación, el  Diseño e Implantación del Programa de Mantenimiento Preventivo en maquinarias y equipos  permitirá en un corto y largo plazo mejorar las condiciones y confiabilidad de maquinarias y equipos permitiendo tener un control  de las actividades enfocadas a este fin.El mantenimiento en general representa un proceso de cambio en los equipos, los cuales cuantifican su uso determinando que es conservar y/o repotenciar los equipos a un estándar requerido de operación.  De esta manera se el estudio de estos mecanismos sirvio como marco de referencia para activar y profundizar investigaciones sobre programas de mantenimiento preventivo. El desarrollo de esta investigación quiere dar respuestas a la problemática planteada y de esta manera implantar un proyecto en el ámbito de seguridad, confiabilidad y garantía derribando así los viejos esquemas sobre el mantenimiento preventivo.El presente estudio fue definido en forma descriptiva y analítica por el tipo de proyecto, que es donde se obtiene una serie de información sobre el Diseño e Implantación del Programa de Mantenimiento Preventivo a  Maquinarias y Equipos de Curtiembre TAURO Ltda.</t>
  </si>
  <si>
    <t>https://drive.google.com/file/d/11tdwJ2gnFvg-GM_7iF0jkOIyUtbgLfTN/view?usp=sharing</t>
  </si>
  <si>
    <t>https://drive.google.com/file/d/1zt6votnjrYBP7CoA5UE3M1Kgy3_TvGsx/view?usp=sharing</t>
  </si>
  <si>
    <t>CANDIA VIDAL ALICIA JIMENA</t>
  </si>
  <si>
    <t>ALANDIA SAAVEDRA ROBERT MICHEL</t>
  </si>
  <si>
    <t>ESTUDIO DE FACTIBILIDAD PARA LA IMPLEMENTACIÓN DE UNA GRANJA DE POLLOS PARRILLEROS EN LA ZONA DE CARCAJE</t>
  </si>
  <si>
    <t>litojay_5@hotmail.com</t>
  </si>
  <si>
    <t>IND-086-2005</t>
  </si>
  <si>
    <t>Pollos, parrilla, carcaje</t>
  </si>
  <si>
    <t>El estudio que se realizó, parte de una potencialidad identificada en una granaja cuyo rubro es la de gallinas ponedoras, por medio del cual se propuso la creación de una granja de Broilers o gallinas de engorde, para dicho efecto se tomaron en cuenta varios factores fundamentales como: la disponibilidad de terreno para la construcción, lo cual limitaría el tamaño de la misma; y el manejo de una gran cantidad de gallinas que podría derivar en una mortandad excesiva. Para llevar adelante el estudio se planteó una metodológia la cual parte de una Investigación de Mercados para determinar la Oferta-Demanda del mercado, así como las variables críticas de: compra y preferencia; y variables críticas que hicieran que el proyecto no séa rentable. Una vez determinada la participación en el mercado se tuvo que hacer un análisis de requerimientos de material: genético, alimento balanceado, materiales de infraestructura, materiales auxiliares y de gabinete de acuerdo al tamaño, posteriormente se realizó un análisis para determinar el tipo y método de crianza, para una posterior propuesta de programas de: vacunación(Profilaxis), alumbrado, luz y distribución del alimento balanceado.Se y propuso el proceso de faeneo óptimo con el fin de proporcionar carne de primera calidad e higienicamente elaborado.Un factor fundamental para una implementación del mísmo fue la evaluación del Impacto Ambiental que produce el proyceto al medio ambiente, para lo cual se realizo la ficha ambiental y su matriz de evaluación de impactos, con su respectiva categorización y medidas de mitigación propuestas a los impactos negativos. Siguiendo con el desarrollo del estudio se propuso una estructura orgánica acorde al rubro o actividad y una posterior planificación de la ejecución del mismo, la cual se acompañó con un plan estratégico a largo plazo, para una futura inversión.Posteriormente se realizó los calculos de costos, inversiones e ingresos que generaría el proyecto, esto plasmado el el Estado de Resultados y Flujo Neto de Caja, para poder apreciar los ingresos netos que produciria el proyecto a lo largo de su vida útil, se procedio también al cálculo del costo financiero debido al préstamo del 100% qye realizaría el estudio.En una etapa casí final se procedió a la definición y análisis de las variables críticas que podrían generar pérdidas al proyecto y no ser atractivamente rentable, para lo cual se trabajo de manera conjunta con Pollos Cochabamba, definiendo 3 variables fundamentales que son Precio, Tasa de Mortandad y una convinación de mortandad con costos variables.Del análisi también se obtuvo el punto de equilibrio del proyecto para el total de la capacidad instalada.Para la culminación del estudio se formularon conclusiones y recomendaciones que harían que el proyecto tenga un buen funcionamiento y séa rentable.</t>
  </si>
  <si>
    <t>https://drive.google.com/file/d/1CXEe9-hejolPwss7bIciYNyp2HNu65aT/view?usp=sharing</t>
  </si>
  <si>
    <t>MERCADO ARISPE FRESIA MIREYA</t>
  </si>
  <si>
    <t>DESARROLLO DE UN PLAN DE SEGURIDAD E HIGIENE INDUSTRIAL EN LA EMPRESA DE METALMECÁNICA CAMESBA S.R.L.</t>
  </si>
  <si>
    <t>fresia0211@hotmail.com</t>
  </si>
  <si>
    <t>IND-087-2005</t>
  </si>
  <si>
    <t>Metalmecanica</t>
  </si>
  <si>
    <t>El desarrollo del proyecto en  general  se hizo a través de diferentes métodos como: Causas de Heinrich, inspecciones, y método de perfiles de puestos de trabajo, que consistió en una guía de observación  simple y rápida sobre las causas de riesgos, para establecer un diagnóstico  del área de producción. En base a la identificación y evaluación de riesgos en condiciones de trabajo realizada a  la empresa se pudo determinar que existen riesgos considerables en lo que respecta a factores humanos y materiales. Se realizó un plan de prevención contra incendios un diagnóstico de la Seguridad Industrial dentro la empresa, con todos los datos estadísticos se pudo evaluar los tipos de accidentes  y la frecuencia  en que se producen, se hizo un plan de Seguridad para minimizar las diferentes causas de los riesgos de accidentes, incrementando la señalización adecuada, un manual de procedimientos para el manejo de herramientas en cada puesto de trabajo, y un  manual de posturas para evitar el ausentismo de los trabajadores.Para minimizar el impacto ambiental se hizo un análisis sobre el ruido, la iluminación y los incendios ya que en CAMESBA es con lo que más  contribuye  al impacto ambiental, para minimizar  éstas atribuciones se hizo cálculos matemáticos comparados con estándares reglamentados por normas internacionales de iluminación y ruido, se hizo una serie de capacitaciones a los obreros para implementar el plan de Seguridad y que se entienda que la preservación de los recursos humanos y materiales es un beneficio social y económico  para todos los que conforman la empresa.</t>
  </si>
  <si>
    <t>https://drive.google.com/file/d/14xzNX5iftgj4kf5D8JEEEtzpxJXCQupl/view?usp=sharing</t>
  </si>
  <si>
    <t>DAVID ANTONIO FLORES JARA</t>
  </si>
  <si>
    <t>DISEÑO DE UN PLAN DE SEGURIDAD INDUSTRIAL PARA LA PREFECTURA DE COCHABAMBA</t>
  </si>
  <si>
    <t>davidfloresjara@hotmnail.com.</t>
  </si>
  <si>
    <t>IND-088-2005</t>
  </si>
  <si>
    <t>Prefectura</t>
  </si>
  <si>
    <t>El presente proyecto tiene por objetivo general el de diseñar un Plan de Seguridad Industrial e Higiene Ocupacional para la Prefectura del Departamento de Cochabamba.  Para ello se ha realizado el estudio a través de metodologías que han permitido lograr identificar, analizar, evaluar y valorar los riesgos existente en los ambientes estudiados.Así mismo se han elaborado planes de seguridad que priorizan las acciones sobre los riesgos mas relevantes, como también planes de contingencia – emergencia, manuales de prevención de riesgos y planes de capacitación lo cual permitirá dotar a la institución de herramientas para la efectiva implementación del Plan de Seguridad.Se ha elaborado una guía para la ubicación más adecuada de las señales y extintores mediante planos proporcionados por la misma institución.Se ha realizado un análisis de costos y beneficios, lo cual ha denotado que la inversión para la implementación de este plan alcanza tan solo a un 10% en una comparación relativa de un siniestro sucedido el año 2000.Finalmente se arribaron a conclusiones y recomendaciones que indican que la implementación de este plan mejorara la eficiencia de la institución y e incidirá en el rendimiento individual de los empleados.  Así mismo la Prefectura deberá realizar otras inversiones destinadas a mejorar el sistema eléctrico, instalación de sistemas de airea acondicionado y reemplazo del mobiliario, acciones que significarán un mayor costo a la institución y deberán ser realizados de acuerdo ala planificación propia de la Prefectura.Por último se recomienda realizar una efectiva implementación del presente plan y su mejora continua a fin de garantizar la Seguridad Industrial al interior de la institución.•Este plan es un primer paso hacia la implementación de la seguridad, es motivo de otro estudio y proyecto lograr la integración del mismo con los sistemas de gestión de la prefectura para así lograr una sinergia con los mismos.  En este plan no se contemplan los procesos de transferencia de riesgo pues el alcance esta limitado simplemente a el diseño de un Plan de Seguridad.</t>
  </si>
  <si>
    <t>https://drive.google.com/file/d/1jTsu4JLOmsB6kl230OQo09IYVLrG9yK4/view?usp=sharing</t>
  </si>
  <si>
    <t>COCA LOPEZ KHELVIN</t>
  </si>
  <si>
    <t>ING. PABLO ARDAYA CUEVAS</t>
  </si>
  <si>
    <t>GESTIÓN CON ENFOQUE BASADO EN LOS PROCESOS APLICADA A DOLCE VITA S.R.L.</t>
  </si>
  <si>
    <t>II-2005</t>
  </si>
  <si>
    <t>khelvin_cl@yahoo.com</t>
  </si>
  <si>
    <t>IND-089-2005</t>
  </si>
  <si>
    <t>Enfoque en procesos</t>
  </si>
  <si>
    <t>El Proyecto de Adecuación realizado tubo como base teórica el cuarto principio de la Norma ISO 9000:2000 “Enfoque basado en procesos” la cual sostiene que un resultado deseado se alcanza más eficientemente cuando las actividades y los recursos realizados se gestionan como un proceso, solventada con otros dos principios de la misma Norma “Enfoque se sistema para la Gestión” y la “Mejora Continua”.El proyecto fue desarrollado en base a tres fases: La primera de FUNDAMENTO TEORICO en la cual se realizo los pasos 1.- Información, y 2.- Evaluación, para lo cual se recurrió a las herramientas como: estrategias para la resistencia al cambio, diapositivas y cuestionarios de evaluación.La segunda fase fue la ADECUACIÓN DE LOS PROCESOS la cual tubo como contenido la mayor parte del proyecto ya que en ella se presentaron todas aquellas metodologías empleadas para la adecuación del enfoque en la Organización n la cual se desarrollaron los siguientes pasos incluyendo las herramientas empleadas: Paso3.- Determinar el propósito de la Organización empleando como herramienta los elementos para la redacción de una Misión.  Paso 4.- Determinación de los procesos en la Organización con un Diagrama de Afinidad como herramienta.  Paso 5.- Determinación de la secuencia de los procesos en la cual se emplearon las herramientas: Modelo SIPOC y Mapas de Procesos.  Paso 6.- Definición del propietario del proceso para lo cual se recurrió  a una Cuadrilla de Selección.  Paso 7.- Definición del proceso de documentación para lo cual se recurrió a: fichas de procesos, diagramas de flujo y fichas de indicadores.  En un siguiente Paso 8.- Definir los recursos, se empleo una lista de verificación de recursos analizando todos los recursos empleados en cada proceso.  Paso 9.- Definición de los requisitos de seguimiento y medición se empleo como herramienta los electos que componen un indicador.  En los siguientes cuatro pasos se presentaron planes para su realización pues el proyecto no contemplo la implantación del enfoque estos pasos fueron: Paso 10.- Llevar a cabo los procesos como fueron planificados, herramientas: Acciones para la elaboración e implantación de planes de trabajo y Graficas de Control.  Paso 11.- Evaluar los datos de seguimiento y medición obtenidos, herramientas: Diagrama Causa-Efecto y Torbellino de Ideas.  Paso 12.- Llevar a cabo acciones preventivas y correctivas, herramientas: Matrices de Priorización y Diagrama de Pareto.  Paso 13.- Llevar a cabo la mejora continua, herramienta: Ciclo PHVA.Finalmente en una tercera fase de DOCUMENTACIÓN ADECUADA DE LOS PROCESOS, se llevaron a cabo los siguientes últimos dos pasos del Proyecto, Paso 14.- Elaboración del Manual de Procedimientos, la cual desarrollo en su totalidad un manual que resume toda la información generada por los proceso de la organización.  Paso 15.- Control de documentos, el ultimo paso del proyecto en la cual se elaboro procedimientos documentados para el control de todos aquellos documentos  y registros generados o empleados por DOLCE VITA S.R.L.</t>
  </si>
  <si>
    <t>https://drive.google.com/file/d/16SHWRvmAi_8v52Zv0blJjuT7gUlvBdsp/view?usp=sharing</t>
  </si>
  <si>
    <t>https://drive.google.com/file/d/1rPnW0psQ9iDOzyFT2ylMa8DxkLYfHANb/view?usp=sharing</t>
  </si>
  <si>
    <t>CAMPOS VILLAZON CARLOS ALBERTO</t>
  </si>
  <si>
    <t>REORGANIZACIÓN DEL PROCESO PRODUCTIVO EN LA EMPRESA INDUSTRIA DE CONDUCTORES (IDECON)</t>
  </si>
  <si>
    <t>IND-090-2005</t>
  </si>
  <si>
    <t>Mejoramiento, Ingeniería de Métodos, diagramas operacionales, estimación de tiempos, indicadores.</t>
  </si>
  <si>
    <t>La reorganización del proceso productivo, en la empresa “ Industria de Conductores “, se desarrolló de la siguiente manera.En primer lugar se realizó un diagnóstico de la empresa, identificando los factores preponderantes que retrasaban el proceso de producción de cables. Al identificar que estos factores pertenecían al proceso productivo, se realizó la toma de tiempos, con un cronómetro,  El proceso productivo total está compuesto por cinco procesos que eran: trefilado, que consistía en la reducción del alambre de cobre a secciones específicas, el recocido, que lograba la flexibilización del alambre, el extrusado, que consiste en el forrado con PVC del alambre de cobre, enrrollado que obtenía los rollos de 100 metros de cable y el plastificado, que era la presentación final del producto.En base a los diagramas operacionales, instrumentos de la Ingeniería de métodos, se conoció y analizó profundamente el proceso productivo, y se logró establecer una secuencia optima del proceso.Se desarrollaron criterios de mejoramiento dentro los proceso descritos anteriormente, con el fin de plantear un proceso mejorado. Se plantea un proceso propuesto, con distribución de planta que sigue una distribución lineal por producto, con estimación de tiempos mejorados, en base al análisis de operaciones de mano de obra directa, maquinas y herramientas.Asimismo, se planteó los costos, ingresos por ventas y utilidades, tanto pata el proceso actual como para el propuesto, realizando un análisis comparativo para establecer un beneficio para la empresa.Finalmente se establecieron indicadores, tanto para la parte técnica como financiera de la empresa, y se evaluó eficiencia en ambos campos y otras variaciones para controlar, justificar y mantener las mejoras propuestas. Entre los resultado cabe rescatar que se obtuvieron grande ahorros de tiempo, reducción de costos y mayores utilidades, en especial para los proceso que mas retrasos tenían  dentro la planta IDECON.</t>
  </si>
  <si>
    <t>https://drive.google.com/file/d/1yC9c68_m1q7bsd-CSD2Tuw9CdUUhw-wd/view?usp=sharing</t>
  </si>
  <si>
    <t>ALFARO AYLLON VLADIMIR OSCAR</t>
  </si>
  <si>
    <t>ESTUDIO TÉCNICO ECONÓMICO DE LA PRODUCCIÓN DE LEVADURA EN POLVO A PARTIR DE LA LEVADURA RESIDUAL DE CERVEZA, PARA SU COMERCIALIZACIÓN COMO INSUMO EN LA PREPARACIÓN DE ALIMENTO BALANCEADO PARA CULTIVO</t>
  </si>
  <si>
    <t>vladyalfa@yahoo.com</t>
  </si>
  <si>
    <t>IND-091-2005</t>
  </si>
  <si>
    <t>Proteína unicelular, levadura residual de cerveza, Saccharomyces uvarum, alimento balanceado.</t>
  </si>
  <si>
    <t>El objetivo principal de este proyecto fue el de realizar un “Estudio de Factibilidad”, de tal manera que permita obtener los suficientes elementos de juicio para determinar la conveniencia de implementar una planta productora de levadura de cerveza en polvo, la cual será comercializada como insumo en la preparación de alimento balanceado para el cultivo de los peces Pacú (Colossoma macropomum), el Tambaquí (Piaractus brachypomus), la Tilapia (Oreochromis nilóticus) y la trucha (Salmo gardnieri).Los productores de alimento balanceado para la cría controlada de peces deben obtener un alimento alto en valor biológico debido a los requerimientos demandados por los peces, razón por lo cual este alimento tiene relativamente un costo elevado, debido a que la harina de pescado que se constituye en un elemento esencial por su alto valor nutritivo es costoso en relación a los otros elementos utilizados para la elaboración del alimento. Por esta razón se determinó que la levadura residual de cerveza alto en valor proteico, puede actuar como un reemplazante de la harina de pescado o como un suplemento en la preparación de alimento balanceado para peces. La levadura residual proviene de la fermentación en la industria cervecera, esta pertenece a la fermentación alta (Saccharomyces cerevisiae) o también a la fermentación baja (Saccharomyces uvarum). Este producto intermedio en la producción de cerveza es un alimento que presenta buenas cualidades alimenticias para los animales, debido a su contenido proteico y a sus riquezas vitamínicas, especialmente las del complejo B, actualmente este alimento residual está siendo utilizado en la preparación de dietas alimenticias para animales domésticos.Para la determinación de la aceptación del producto en el mercado se analizó el mercado presente en el departamento de Cochabamba debido a que en esta región se realiza la cría en cautiverio de las cuatro especies anteriormente mencionadas. Por lo cual Cochabamba sintetiza y agrupa todas las características de la producción piscícola que se da en Bolivia. La demanda fue determinada por medio de la proyección de los datos históricos en el tiempo; de acuerdo a datos proporcionados por las plantas productoras de alimento balanceado y las granjas donde se realiza la cría controlada de los peces, obteniendo una demanda promedio de 77896 Kg / año.   La materia prima utilizada por el proyecto es la levadura residual de cerveza proveniente de la cervecería TAQUIÑA S. A., ubicada en la ciudad de Cochabamba, esta levadura pertenece a la fermentación baja (Saccharomyces uvarum). El requerimiento anual de materia prima (levadura residual de cerveza al 85 % de humedad) para la producción de levadura de cerveza en polvo al 12 % de humedad alcanzó en el primer año a los 401552 Kg / año y el último año alcanzó a los 514859 Kg / año.  Por tanto no existirá en ningún momento la falta de materia prima, ya que la levadura disponible en la cervecería sobrepasa en demasía lo requerido por la empresa. Para el costo de la materia prima se consideró dos escenarios, en el primero se lo considera como un costo cero y solo se tomó en cuenta el costo de transporte y en el segundo escenario se consideró un costo de      0.013 $us / Kg además de tomar en cuenta su costo de transporte.Tomando en cuenta los factores de la materia prima, que debe encontrarse almacenado entre 0 a 6 º C, para que no continúe su proceso de fermentación, el costo del terreno, vías de comunicación, abastecimiento de energía eléctrica, abastecimiento de agua, disponibilidad de la mano de obra, costo de transporte de la materia prima y productos terminados, se determinó que la planta procesadora de levadura residual de cerveza en polvo será emplazada en el Municipio de Colcapirhua. De acuerdo al análisis en laboratorio se determinó el siguiente proceso productivo: Almacenado en cámara de conservación, filtrado en un filtro prensa, secado en un secador convencional tipo cabina, molienda en un molino de martillo y el embolsado-almacenado en bolsas de polipropileno trenzado. El monto total de inversión requerido para la ejecución del proyecto alcanzó a los $us 62575 para el escenario uno y $us 62900 en el escenario 2. La evaluación financiera se realizó desde dos puntos de vista: Desde el punto de vista del Proyecto y del Inversionista a una tasa de oportunidad o actualización del 16%. Los indicadores muestran que desde ambos puntos de vista es viable invertir.Los resultados desde el punto de vista del proyecto, tomando en cuenta el primer escenario fueron los siguientes: VAN = 58841 37006 $us, TIR = 35.20 %, relación beneficio / costo (B / C) = 1.46 y la capacidad de pago alcanzó a 7.32 &gt; 1.5 que es lo aceptable. Para el escenario dos los resultados fueron los siguientes: VAN = 37006 $us, TIR =  28,2 %, relación beneficio / costo (B / C) = 1.33 y la capacidad de pago alcanza a 6.7 &gt; 1.5. Como vemos existió uno disminución en el valor de los indicadores financieros del escenario dos en relación al escenario uno, pero aún esto el proyecto continua siendo rentable financieramente.Luego de la evaluación del impacto ambiental del proyecto, se lo incluye dentro la categoría de un proyecto que no presenta efectos negativos sobre el medio ambiente. Esta categoría ubica al proyecto dentro de un estatus de empresa de bajo riesgo ambiental, sin embargo esto debe ser periódicamente evaluado y certificado.</t>
  </si>
  <si>
    <t>https://drive.google.com/file/d/1etq7juQP-VGwCAlfvDvB63f2B12ZQcQL/view?usp=sharing</t>
  </si>
  <si>
    <t>MARCA AQUINO JOSE GABRIEL</t>
  </si>
  <si>
    <t>COMPLEJO PETROQUÍMICO DE PRODUCCIÓN DE POLIOLEFINAS A PARTIR DE GAS NATURAL - ESTUDIO PREVIO DE FACTIBILIDAD</t>
  </si>
  <si>
    <t>j_gabrielmar@yahoo.com</t>
  </si>
  <si>
    <t>IND-092-2005</t>
  </si>
  <si>
    <t>Petroquímica, Poliolefinas, Gas Natural, Factibilidad, Plásticos.</t>
  </si>
  <si>
    <t>El trabajo realizado analiza una de las posibilidades de industrialización del gas natural tal como es la producción de poliolefinas, polietileno y polipropileno, empleando para ello la preparación y evaluación de proyectos como instrumento. Inicialmente se ha visto que el desarrollo de los países es resultado de una planificación, planificación que implica, entre otras cosas, la mejor utilización de los recursos con que se cuenta. La historia ha demostrado más de una vez que las riquezas naturales de un país pueden a la final no ser el recurso más valioso de una sociedad.El gas natural desde algunos años atrás representa acaso el mayor potencial de desarrollo no solamente en su aprovechamiento como energético sino principalmente a partir de la generación de valor agregado en industrias como la Petroquímica. Los productos de este importante rubro industrial son varios empero destacan los plásticos y las fibras. A su vez las poliolefinas, polietileno y polipropileno, se constituyen los productos más importantes dentro los plásticos tanto a nivel de consumo como en los esfuerzos que el rubro petroquímico dedica a estos productos. El mercado principal de estos productos se constituye el sector industrial transformador de resinas en productos terminados.Por otro lado, en el estudio de mercado se ha determinado que la demanda nacional pasa por ser bastante pequeña para justificar un tamaño de escala internacional por lo que el proyecto considera la exportación hacia el mercado regional latinoamericano; principalmente Brasil y Argentina que en conjunto con Bolivia y los demás países con los que encuentra fronteras suman más del 50% de la demanda latinoamericana. Polyolefins Consulting LLC, una consultora especializada, manifiesta que la región latinoamericana y el Caribe necesitan de una nueva Planta de 300 MTA de PE cada dos años y una planta de 300 MTA de PP cada tres años para mantenerse a la par del consumo.Respecto de la oferta se ha visto que en la región existen 19 productores de Poliolefinas, 12 para el Polietileno y 9 para el Polipropileno con una capacidad instalada para el año 2003 de 4000 MTA de PE y 2300 MTA de PP. Al igual que en el caso de la demanda, Brasil lidera la producción regional de poliolefinas. La competencia dentro de la industria petroquímica básica se da a nivel de precios y estos influidos principalmente por el costo de las materias primas lo que implica dependencia del precio internacional del petróleo. El tipo de competencia de este sector se ha calificado como “Comercio administrado” puesto que existen tanto prácticas oligopolicas como regulaciones estatales que muestran que la realización del proyecto depende de alianzas estratégicas a diferentes niveles.En el Estudio Técnico se ha determinado un tamaño de 400 MTA de producción de poliolefinas, 200 MTA de PE y 200 MTA de PP. Para el proceso de producción se ha escogido la concepción de un Complejo integrado que considera sucesivamente 3 plantas: Planta de conversión de gas natural en Metanol, Conversión de metanol en olefinas y una tercera de Polimerización de olefinas. Los tecnologías seleccionadas son Proceso ICI/Kvaerner de producción de metanol, proceso MTO (Methanol to Olefins) para producción de etileno y propileno y los procesos UNIPOL PE y UNIPOL PP respectivamente para la polimerización de las olefinas. Las materias primas principales incluyen gas natural, alfa olefinas, nitrógeno y productos químicos.  La localización del Complejo, después de un estudio de costos de transporte de materias primas y producto terminado, se ha determinado en la zona circundante al Campo de producción de gas natural en Río Grande en el departamento de Santa Cruz. El tiempo estimado de construcción del Complejo es de cuatro años desde los estudios de ingeniería hasta la puesta en marcha del proyecto en tanto que se considera una fuerza laboral total de 314 empleados.   La inversión total requerida para el proyecto suma 1254 MM$US, monto que se asumido será financiada en un 70% por medio de un préstamo y 30% a través de recursos propios que implican varios socios. Para el proyecto puro los indicadores financieros muestran una TIR de 12.32%, un VAN al 10% de 185.40 MM$US y una relación B/C actualizada de 1.17; un panorama más optimista se aprecia en indicadores del flujo del inversionista: TIR de 16.02%, VAN de 225.69 MM$US al 10% y una relación B/C de 1.60.La ventajas en el contexto económico social incluyen alta generación de valor agregado, demanda de servicios y materias bolivianas, efecto multiplicador en la cadena de producción de plásticos en el país, desarrollo de área científica y tecnológica y un aprendizaje histórico respecto de la utilización de materias primas. En la evaluación de impacto ambiental se ha visto que los impactos principales durante la construcción incluyen polvo originado por la remoción de tierras y emisiones gaseosas de equipo pesado en tanto que durante la operación del proyecto se prevé emisiones de óxidos de nitrógeno y descarga de aguas de deshecho empero todos por debajo los límites establecidos por el Banco Mundial para proyectos similares.</t>
  </si>
  <si>
    <t>https://drive.google.com/file/d/16Njz3K44hWODYkindZQeHUGCCJFzZdpy/view?usp=sharing</t>
  </si>
  <si>
    <t>PAREDES ILLANES ETHEL ANDREA</t>
  </si>
  <si>
    <t>HURTADO CONDORI GABRIELA ELENA</t>
  </si>
  <si>
    <t>DESARROLLO DE UN SISTEMA DE GESTIÓN DE LA CALIDAD BASADO EN LA NORMA ISO 9001:2000 PARA LA EMPRESA POTA EQUIP - AGUA VERTIENTE</t>
  </si>
  <si>
    <t>gabriela.hurtado.c@gmail.com</t>
  </si>
  <si>
    <t>IND-093-2005</t>
  </si>
  <si>
    <t>Sistema de Gestión de la Calidad, Mejora continua, Norma ISO 9001:2000.</t>
  </si>
  <si>
    <t>El diseño del sistema de gestión de la calidad de la empresa POTA EQUIP – AGUA VERTIENTE basado en la norma ISO 9001:2000 se desarrolló considerando la siguiente metodología, en una:·    1ra Parte se realizó una investigación exhaustiva de los requerimiento de la norma ISO 9001:2000 y las normas de sanidad respectivas al rubro de la empresa, teniendo claros estos requisitos se procedió en la ·    2da Parte a la interiorización y conocimiento de la empresa con el objeto de tener una clara idea de la forma de  operar de la empresa, conocidas todas la actividades principales de la empresa en una ·    3ra Parte se elaboró un cuestionario el cual sirvió de herramienta fundamental para el diagnostico del sistema de la empresa, el cuestionario fue elaborado con referencia a los requisitos citados en la norma ISO 9001:2000, conocida la situación de la empresa en base a los requisitos exigidos por la norma desarrollando en una ·    4ta Parte el desarrollo del sistema de gestión de la calidad de la empresa el cual esta comprendido por una:o  1ra Etapa en la cual se logro; la conformación de un comité de calidad en la empresa, la capacitación del personal acerca de los beneficios del sistema de gestión y acerca el contenido de la norma ISO 9001:200, la elaboración de los documentos de la empresa cumpliendo con los requisitos de la estructura documental de un sistema de gestión de la calidad, la identificación de los procesos, su interacción, y la elaboración del mapa de procesos de la empresa. Teniendo todo el diseño del sistema ya desarrollado se elaboró en unao  2da Etapa la elaboración de un plan de implementación identificando todos los recursos y el tiempo necesario para la implementación del sistema en la empresa.Concluyendo con la elaboración del proyecto se analizó los costos de la calidad considerando tres años para este análisis:ü   El año actual, sin contar con el sistema,ü   El primer año al momento de implementar el sistema en la empresa yü   El segundo año comprendiendo en este ultimo año el mantenimiento del sistema implementado en la empresa.Se logró determinar los montos y los porcentajes de los costos incurridos por la empresa en estos tres años, considerando que para el año 1 y para el año 2 se realizó una proyección de los mismos, ya que no se tiene implementado el sistema de gestión de la calidad en la empresa.Conocidos todos los costos se realizo un análisis del comportamiento de estos a lo largo de seis años logrando de esta manera identificar en el año 4 el nivel económicamente óptimo de la calidad para la empresa POTA EQUIP – AGUA VERTIENTE.Con el desarrollo del proyecto se destaco que el implantar un sistema de gestión de la calidad es mucho más que fabricar un buen producto o dar un servicio esmerado. Es una nueva forma de hacer las cosas abarcando a toda la empresa y considerando la satisfacción de los clientes como lo más importante para la empresa.</t>
  </si>
  <si>
    <t>https://drive.google.com/file/d/1baVQGgBAikbc3itQ-UY2M-wLi0uKd5NA/view?usp=sharing</t>
  </si>
  <si>
    <t>LUJAN PEREZ JAIME ENRIQUE</t>
  </si>
  <si>
    <t>PH. D MARCOS LUIS LUJÁN PÉREZ.</t>
  </si>
  <si>
    <t>REORGANIZACIÓN DE LAS INSTALACIONES LECHERAS DE LA EMPRESA VERTIENTE BAJO UN ENFOQUE DE REINGENIERÍA</t>
  </si>
  <si>
    <t>jaimelujan@hotmail.com</t>
  </si>
  <si>
    <t>IND-094-2005</t>
  </si>
  <si>
    <t>La Vertiente, Instalaciones Lecheras, Establos, Sala de Ordeño, Sala de Leche, Reducción de Tiempos de Ordeña, Reducción Recorridos de Operarios.</t>
  </si>
  <si>
    <t>Primero se procedió a un diagnóstico de la situación actual de la empresa realizando un análisis interno basado en la revisión de los datos históricos, inspecciones planificadas, entrevistas no estructuradas. Luego un análisis externo utilizando el Modelo de Porter y un Análisis Crítico de la Información del Medio. Para finalizar el diagnóstico se utilizó la matriz FODA y una vez formuladas las estrategias se eligió proceder con la estrategia de Ampliar las Instalaciones Actuales ya que se observó que este era el factor mas limitante para el crecimiento de la empresa.Posteriormente se realizó un Estudio del Trabajo en el que detectó los defectos de los métodos que se estaban usando, estos defectos, tales como demoras, operaciones innecesarias e ineficientes, fueron detectados en Establos, Sala de Ordeño y Sala de Leche en los procesos de ordeña, alimentación de animales, limpieza de establos. Para resolver los problemas encontrados en el Estudio del Trabajo se diseñó nuevas instalaciones que permiten a los operarios realizar las actividades de manera más rápida y eficiente llegando a reducir los tiempos y los desplazamientos en un 40%.Finalmente se hizo una Evaluación Económica del Proyecto Incremental obteniendo resultados positivos para dar curso a la implementación del mismo.</t>
  </si>
  <si>
    <t>https://drive.google.com/file/d/1O9J7ikyPnpQDnB6qXO55BdHXClItBbVq/view?usp=sharing</t>
  </si>
  <si>
    <t>CASTRO UREÑA PABLO ALFREDO</t>
  </si>
  <si>
    <t>DESARROLLO DE BUENAS PRÁCTICAS DE MANUFACTURA Y PROCEDIMIENTOS DE HIGIENE ESTANDAR OPERACIONAL EN EL INGENIO AZUCARERO GUABIRA S.A.</t>
  </si>
  <si>
    <t>pacaur@yahoo.es</t>
  </si>
  <si>
    <t>IND-095-2005</t>
  </si>
  <si>
    <t>Inocuidad alimentaría, Calidad Sanitaria</t>
  </si>
  <si>
    <t>Se enfoco hacia el sector alimenticio propiamente dicho hacia el Ingenio Azucarero Guabira S.A., donde se obtuvo una base sólida de lo que vienen a ser las denominadas Buenas Practicas de Manufactura y que el mismo obtuvo procedimientos de limpieza estandarizados de los cuales son denominados Procedimientos de Higiene Estándar Operacional. A raíz de los problemas y fallas encontradas en el Ingenio Azucarero Guabira S.A. en cuanto a la calidad Sanitaria. Se estableció un objetivo general para establecer las condiciones adecuadas de trabajo según las Buenas Prácticas de Manufactura acompañadas por Procedimientos de Higiene Estándar operacional para el aseguramiento de la inocuidad del producto.La metodología utilizada  para la realización del proyecto fue: a) Se Recopilo datos (trabajo de campo), mediante:·       Entrevistas con jefe de planta para recopilación de información referente al proceso productivo.·       Entrevista con operarios que intervienen en el proceso productivo.b) Se elaboraron planillas de diagnóstico conforme a las exigencias del Codex Alimentarius en factores y parámetros (Cuadro Calificativo) para la evaluación de los 10 aspectos de BPM (Infraestructura, Materia Prima, Procesos, Equipos, Personal, Productos Terminados, Servicios, Manejos de Desechos, Control de Plagas, Transporte).c) Posterior a ello se realizo planes de acción y modificación necesarias para el proceso productivo.d) Se elaboro la documentación pertinente de acuerdo a los datos recopilados, en base a la normativa del Codex Alimentarius y Procedimientos de Higiene Estándar Operacional con  respectivas planillas de control.Respecto a las Buenas Prácticas de Higiene y Manufactura, se utilizo la Norma Boliviana NB-855 (enero, 2000) “Código de Practicas-Principios Generales de Higiene de los Alimentos” idéntica a la Norma Codex (CAC/RCP  1-1976), como base para el desarrollo del proyecto; donde son un conjunto de métodos, condiciones necesarios para asegurar que el producto cumple con los requerimientos de identidad, seguridad, calidad es decir es una herramienta que contribuye al aseguramiento de la calidad en la producción de  alimentosSe utilizó para el desarrollo de los Procedimiento de Higiene Estándar Operacional (SSOP) la según la clasificación del Servicio de Seguridad de Alimentos e Inspección (FSIS), donde los SSOP son una serie de lineamientos definido y procedimiento que deben ser utilizados en la planta para realizar la tarea de limpieza, desinfección, siguiendo una secuencia de pasos establecida en una forma ordenada y siempre igual. Que establece en forma escrita: i  Como hacer la tarea: Define los procedimientos de principio a fin i  Con que : establecen claramente que materiales o utensilios a utilizari  Cuando y donde: Especifica exactamente en que caso y en que lugares realizar la tareai  Quien: Establece la persona a la realización del trabajo.Con la metodología establecida se procedió a la realización del diagnostico al Ingenio Azucarero Guabira S.A., referente a los diez aspectos que establecen las Buenas Practicas de Manufactura para una empresa en el rubro alimenticio, y por ultimo ver si tenia Procedimiento de Higiene Estándar Operacional.Para ello se elaboró una serie de planillas donde se califico cualitativamente el grado de cumplimiento del Ingenio, respecto a lo establecido en los diez aspectos de la Buenas Practicas de Manufactura y luego estos datos se reflejaron cuantitativamente.Se presento ordenadamente propuestas para cada uno de los diez aspectos que engloban las Buenas Prácticas de Manufacturas, además se realizaron  los Procedimientos de Higiene Estándar Operacional, para diferentes áreas del Ingenio Azucarero Guabira S.A.Además a ello se determinó los recursos económicos que la empresa necesitó invertir para la implementación del proyecto, y también se estimó un costo anual operativo, que comprenden los diferentes gastos operativos aproximados para mantener el sistema y por ultimo se planteo los beneficios que le significaría a la empresa con la implementación del mismo.</t>
  </si>
  <si>
    <t>https://drive.google.com/file/d/1l_K4DlrjTFZe_13CIrcBR2XVJABYRGaa/view?usp=sharing</t>
  </si>
  <si>
    <t>SALVATIERRA ROJAS FRANZ MARCELO</t>
  </si>
  <si>
    <t>PROYECTO DE FACTIBILIDAD PARA LA CRIANZA DE TRUCHA EN LA COMUNIDAD DE VILLA VICTORIA, BOLIVAR</t>
  </si>
  <si>
    <t>fransalvat@hotmail.com</t>
  </si>
  <si>
    <t>IND-096-2005</t>
  </si>
  <si>
    <t>Truchas</t>
  </si>
  <si>
    <t>En el presente proyecto se plantearon los métodos de crianza tanto intensivos como extensivos, siendo los métodos intensivos los que ofrecen una mayor producción y así una mayor rentabilidad, pero considerando la categoría con la que se registra a la provincia Bolívar (como municipio de extrema pobreza), y por ende caen en esta categorización los comunarios de Villa Victoria, la metodología a aplicarse fue la de crianza extensiva por el método de lagunas.Para la evaluación de la productividad teórica de la laguna se adopto una metodología aplicada en argentina en crianza de truchas en lagunas de Cordillera, del autor Luis M. Chiodo Llauró. Los muestreos para determinar la calidad del agua de la laguna de Corral Kunka se elaboraron tanto en los laboratorios de la Universidad Mayor de San Simón, así como también en la Universidad Técnica de Oruro.El proyecto logro concienciar a los comunarios en temas de seguridad alimentaría, con la ayuda de organizaciones activas en la comunidad de Villa Victoria, como ser Yuyay J´apina, Mosoj Causay, INDICEP, UNICEF, ONU, etc., organizaciones enfocadas a la mejora de la calidad de vida de las comunidades, esto nos garantizo el apoyo de los comunarios y el apoyo de los mismos para la realización del proyecto.La definición del mercado potencial se realizo en base a encuestas guiadas, que dieron como resultado a Cochabamba como la mejor opción en lo referente al tema de comercialización del producto en sus dos presentaciones planteadas que son: la trucha eviscerada y la trucha fileteada.Fue importante la implementación de los planes de monitoreo que se elaboraron paralelamente a la implementación del proyecto, estos ayudaron a determinar los alcances e impactos del mismo en el medio ambiente y de esta manera se logro tener un producto de calidad.La realización de este proyecto no hubiera sido posible sin el apoyo tanto de la Prefectura de Cochabamba, mediante el programa de Fortalecimiento Municipal de “Jóvenes con la Participación Popular”, y el apoyo de la Honorable Alcaldía Municipal de Bolívar.</t>
  </si>
  <si>
    <t>https://drive.google.com/file/d/140xe9b4qqIfCpZR-K54CshUc6eYNmpBH/view?usp=sharing</t>
  </si>
  <si>
    <t>CLAVIJO SALAZAR ISIS YANNINE</t>
  </si>
  <si>
    <t>NOGALES CAMACHO CARLA XIMENA</t>
  </si>
  <si>
    <t>ING. PEDRO ROCABADO</t>
  </si>
  <si>
    <t>ELABORACIÓN DE UN SISTEMA DE GESTIÓN AMBIENTAL BASADO EN LA NORMA ISO 14001 PARA INDUSTRIAS DE ACEITE S.A.</t>
  </si>
  <si>
    <t>nogalescc@hotmail.com</t>
  </si>
  <si>
    <t>IND-097-2005</t>
  </si>
  <si>
    <t>Sistema de Gestión Ambiental, ISO 14001, Industrias de Aceite, Aspecto Ambiental.</t>
  </si>
  <si>
    <t>técnicas de medición y control; el tipo y características de los residuos sólidos, la cantidad emitida, su clasificación y disposición final.Se revisó la legislación ambiental nacional vigente: Ley y Reglamento de Medio Ambiente Nº 1333, el Reglamento Ambiental para el Sector Industrial Manufacturero y  la Ley de Higiene y Seguridad Ocupacional y Bienestar.Se identificaron los aspectos ambientales relacionados a cada proceso productivo, con el fin de determinar aquellos que tienen o pueden tener impactos significativos hacia el ambiente, una vez identificados los aspectos se evaluaron mediante los criterios del método ABC el cual consiste en asignar las letras A, B o C a las entradas y salidas de los diferentes procesos productivos en función de la gravedad del impacto ambiental que implica.Como resultado de esta evaluación se consideraron como aspectos ambientales significativos: el consumo de energía eléctrica, la generación de efluentes, la generación de residuos sólidos, el consumo de agua y las emisiones atmosféricas.Se encontró que el consumo de agua representa aproximadamente el 12 % del total de aceite procesado, los efluentes industriales representan el 9 % con relación al total de aceite procesado y su carga contaminante se encuentra por encima de los límites permisibles de la legislación ambiental nacional, los residuos sólidos representan del 1 al 1,2 % del total de aceite procesado. Las emisiones atmosféricas se encuentran por debajo del límite permisible en la legislación nacional ambiental vigente.Se estructuró el diseño del sistema de gestión ambiental de IASA el cual inició con el diseño de una política ambiental que es la conductora para la implementación y el mejoramiento continuo del Sistema de Gestión Ambiental. La política fue diseñada de acuerdo a al naturaleza, escala e impacto ambiental de las actividades de la empresa.La planificación inició con la identificación de aspectos ambientales significativos los cuales se consideraron como base para el establecimiento de objetivos, metas y  programas ambientales orientados a mejorar el desempeño ambiental. Se propuso una estructura organizativa; así como los demás requisitos del Sistema de Gestión Ambiental basado en la Norma ISO 14001. Se diseñaron indicadores de desempeño ambiental con los que se asegurará una rápida evaluación de las mejoras en la protección ambiental de la empresa ya que permitirán medir los resultados del SGA.Se elaboró un Manual para el Sistema de Gestión Ambiental propuesto.El SGA basado en la norma ISO 14001 tiene correspondencias técnicas con el sistema de gestión de la calidad ISO 9001:2000 implementado en I.A.S.A., la integración de ambos sistemas facilitará la implementación del SGA propuesto, para lograr el mejoramiento del desempeño ambiental.</t>
  </si>
  <si>
    <t>https://drive.google.com/file/d/1mJ4-iGcqDSUMsE5hA2499qmjOogIyyUX/view?usp=sharing</t>
  </si>
  <si>
    <t>BENJAMÍN JOEL TORRICO HERBAS</t>
  </si>
  <si>
    <t>DISEÑO DE UN PLAN DE MARKETING PARA LA EMPRESA COMERCIALIZADORA DE PRODUCTOS AGROPECUARIOS IVIRGARZAMA</t>
  </si>
  <si>
    <t>btorrico@gmail.com</t>
  </si>
  <si>
    <t>IND-098-2005</t>
  </si>
  <si>
    <t>EMCOPAIVI, Empresa Comercializadora de Productos Agrícolas Ivirgarzama, Extracto Maracuyá Paraíso, Proceso Productivo, Mercado Trópico Cochabambino, Marketing MIX, Análisis Interno-Externo, FODA, PORTER, MPC, Estudio de Mercado, Sistema Organizacional, Planificación Estratégica, Proceso de Exportación, Canales de Distribución, Plan de Marketing</t>
  </si>
  <si>
    <t>El objetivo del proyecto es “Desarrollar una estrategia de mercado y de gestión organizacional para el producto extracto de maracuyá Paraíso de la empresa EMCOPAIVI”Se realizo un análisis de la situación actual de la empresa en el ámbito de las variables internas (fortalezas–debilidades), variables externas (oportunidades–amenazas) que afectan en el desempeño de sus actividades y de su actual sistema de comercialización; estructura que nos permitirá generar la matriz de estrategias FODA y la realización del estudio de mercado; los pasos previos nos permitieron obtener estrategias genéricas de crecimiento que servirán de directrices para la planificación del marketing de los próximos cinco años y de esta forma cumplir las metas establecidas.El estudio de mercado nos ayudo a conocer y poder seleccionar los mercados más aptos para la venta del producto, además de medir la demanda; información que nos permite incrementar la producción del producto de manera exclusiva para la región sujeta a estudio. Para cubrir esta demanda, se plantea la creación del departamento de comercialización de tal forma que se pueda atender a los segmentos de de mercado escogidos, la atención personalizada estará concentrada en ambos segmentos; Hoteles y Establecimientos ya que representa nuestro consumidores mas estables y a través de incentivos y políticas de promoción y incentivos a los Intermediario y Ferias Regionales permitiendo llegar el producto a nuevos consumidores. Acciones que estarán apoyadas por una campaña de promoción y publicidad para dar a conocer el producto.La implementación del Plan de Marketing proporciona herramientas que permiten a la empresa estar a la vanguardia, generando beneficios para la asociación y la empresa; acciones que permiten el ingreso de nuevas familias productoras de maracuyá y el posicionamiento del producto en la mente de los consumidores de la región.CONCLUSIONESConcluido el estudio se ha demostrado la viabilidad del proyecto, mediante el cumplimiento de todos las especificaciones planteados y proporcionando una idea cabal de los aspectos comerciales a manejarse en el desarrollo del Plan propuesto. Exponiéndose a continuación las conclusiones:1.     La falta de una dirección estratégica clara, genera problemas operativos y por ende se descuidan aspectos muy importantes como: la calidad del producto, el servicio de atención al cliente, planes adecuados de promoción y publicidad y otros aspectos como la cultura organizacional, la filosofía operativa y valores2.     La empresa cuenta con una estructura organizacional de tipo lineal en dos niveles: el nivel estratégico conformado por directivos que representa a la asociación y el gerente general, y el nivel operativo el cual no esta establecido y es mas no cuenta con el área comercial. Situación que será revertida con la implementación del organigrama y del manual de funciones propuestos en el estudio3.     El análisis de la situación actual de la empresa, dio como resultado que el estudio de comercialización debe ser un prioridad para poder posicionar el producto en los segmentos establecidos por el presente proyecto4.     El estudio de mercado identifica como producto demandado el extracto de maracuyá y como consumidores a dos grupos de mercados en la región de estudio: el primer grupo el de Hoteles y Establecimientos y el segundo grupo los Intermediarios y Ferias Regionales, hecho que ha coincidido para que el presente proyecto tome estos estratos como mercados objetivoSe ha estimado que se requiere producir 7,10.- Toneladas de extracto de Maracuyá para cubrir la demanda en el primer año de funcionamiento de plan. Los destinos para el producto son los estratos establecidos como mercado objetivo. En el cuadro 9.1 se resume los destinos propuestos y los porcentajes estimados en los diferentes estratos1.     Fruto de la investigación de mercados, se pudo determinar nuestro requerimiento de materia prima que en el primer año de implementación del plan es de 21,56.- Toneladas que representa el ingreso adicional de 5% de familias productoras de Maracuyá, porcentaje que para el ultimo año del Plan llegara a un 12% beneficiando de esta manera a las familias productoras de Maracuyá2.     Para poder realizar las acciones de comercialización de modo de poder penetrar en el mercado y posteriormente lograr un sitial competitivo, se a considerado una serie de estrategias referidas particularmente a la variables del marketing, de las que sobresalen las estrategias de mejoramiento del producto, apoyo informativo, incentivos promociónales,  fortalecimiento de los canales de distribución y atención al cliente. Las cuales suman un costo de $us 7.040.- dólares americanos que se financiaran en un 13% por la empresa y el 73% restante será financiado a través de un préstamo que será cubierto por la ONG CONCADE-DAI gracias al convenio de apoyo que se tiene con la ONG3.     La búsqueda del plus de natural en el producto que adquieren los consumidores es un atractivo que se ha considerado dentro el plan propuesto para que EMCOPAIVI aproveche esta situación y logre consolidar su producto extracto de maracuyá Paraíso en el mercado identificado por el estudio4.     Con la implementación del “Plan de Marketing” se tiene utilidades crecientes a partir del segundo semestre del primer año de implementación, recuperando el capital invertido al final del primer año de funcionamiento del planRECOMENDACIONESPara una implementación efectiva del plan se aconseja la aplicación de las siguientes recomendaciones:1.     En el orden institucional, EMCOPAIVI deberá impulsar significativos cambios en todos sus estamentos para logar revertir su situación actual2.     En el orden Productivo, se recomienda la incorporación de otras maquinas y la mejora de las actuales para garantizar la preservación del producto y ofrecer ya un producto de exportación3.     EMCOPAIVI deberá crear el departamento comercial, para aunar esfuerzos y colocar a la empresa como líder en la región con estrategias de: Penetración de Mercado, Colocación del Producto, Inducción al Hábito de Consumo, Campañas Publicitarias y otros, de manera que se garantice su autosostenibilidad4.     Se recomienda la contratación de personal técnico calificado para el área comercial y la constante actualización técnica de todo el personal de la empresa5.     Como principales medidas para incrementar los ingresos por ventas:a.           Consolidar acuerdos con las familias productoras para el acopio de la materia prima a través de convenios para el apoyo técnico y socialb.          Reestructurar el organigrama de la empresa delimitando funciones por área de trabajo y la creación del departamento de comercialización, que será el responsable de la implementación del plan de marketingc.           Fijación de los precios de venta para la comercialización del productod.          Realizar acuerdos con intermediarios con la finalidad de consolidar el producto en la región y poder adherir a nuevos consumidorese.           Establecer las bases de atención al cliente  a través de  un plan específico atención a clientes internos y externosf.            La promoción en medios de comunicación dando a conocer las cualidades del extracto de maracuyá6.     Realizar un estudio técnico – económico para la utilización de desechos en la elaboración de subproductos y la adquisición de un medio de transporte7.     Recabar información del mercado continuamente, para realizar un control efectivo del plan propuesto, readecuando sus estrategias de acuerdo ha las exigencias de los consumidores8.     Finalmente, se recomienda la implementación del plan de marketing propuesto, por ser referente para estudios posteriores de nuevos mercados nacionales e internacionales a futuro y por los beneficios económicos y sociales que generaAPORTE1.     Análisis de la situación actual de la empresa, que sirvió para la elaboración de estrategias de crecimiento y posicionamiento de mercado2.     Un listado de los principales hoteles y establecimientos que sirvió de universo para el estudio de mercado para el proyecto, complementado por un listado  de intermediarios y ferias Regionales, que forman parte del mercado objetivo para la empresa3.     El estudio de mercado de la región del trópico cochabambino para analizar la aceptación del producto en este segmento de mercado4.     La mejora de la estructura organizativa de la empresa a través de la implementación del organigrama propuesto acompañado de su respectivo manual de funciones5.     La implementación del sistema y cultura empresarial,  valores organizacionales que nos llevan a construir un futuro de manera proactiva6.     Apoyo informativo para el desarrollo de mercados nacionales e internacionales</t>
  </si>
  <si>
    <t>https://drive.google.com/file/d/1N783I-1pUUluQv-BKot6P6m3L_45DFkK/view?usp=sharing</t>
  </si>
  <si>
    <t>https://drive.google.com/file/d/1mgztBIT_40pyhT9Y-MPELupwYYn1eDzF/view?usp=sharing</t>
  </si>
  <si>
    <t>no tiene</t>
  </si>
  <si>
    <t>BENAVIDES SALMON IGNACIO</t>
  </si>
  <si>
    <t>ESTUDIO Y EVALUACIÓN DEL PROCESO DE ADMINISTRACIÓN DE RECURSOS MATERIALES DE COMTECO</t>
  </si>
  <si>
    <t>ignaben@hotmail.com</t>
  </si>
  <si>
    <t>IND-099-2005</t>
  </si>
  <si>
    <t>Recursos materiales,  Enfoque de proceso, COMTECO.</t>
  </si>
  <si>
    <t>El presente proyecto de grado, consistió en realizar un estudio y evaluación del Proceso de Administración de Recursos Materiales de COMTECO, con la finalidad establecer una guía de acción de mejora.Los objetivos específicos consistieron  en: 1) Describir el proceso de administración de recursos materiales de COMTECO, lo que implicó adoptar un enfoque de proceso para su descripción en lo que también se determina la tipología del proceso de administración de recursos materiales empleado en  COMTECO,  mencionándose  sus  clientes,  productos,  actividades  y  recursos. 2) Establecer un modelo de evaluación para el proceso de administración de recursos materiales, donde se define la metodología empleada para el desarrollo de la evaluación. Incluyéndose aspectos como la recogida y análisis sistemático de la información, basándose en el diseño de una herramienta de "Lista de Comprobación" cuya estructura esta compuesta de 10 ámbitos, 35 aspectos específicos y 150 preguntas de apoyo. 3) Incrementar la información del proceso y de sus problemas, expresados en los resultados de la aplicación de la metodología y estableciendo claramente los problemas encontrados. Los  resultados son la identificación de problemas, causas, definición del objeto de ser del proceso con propuestas de acción, que orienten los esfuerzos de mejoramiento. 4) Finalmente sugerir oportunidades de mejora para el proceso de administración de recursos materiales de COMTECO, los que quedan expresados en 6 líneas principales q pueden arrojar resultados inmediatos y finalmente el diseño de una sistemática de control para el desempeño del proceso basado en 51 indicadores debidamente priorizados.Como recomendaciones se sugiere traducir las propuestas de acción en términos operativos y convertir las sistemática de control junto a la metodología de evaluación en un proceso de continuo.</t>
  </si>
  <si>
    <t>https://drive.google.com/file/d/1h5VdRQkk_jKW-rWrQuVlqYr4t-twPB_L/view?usp=sharing</t>
  </si>
  <si>
    <t>AGUILAR MAMANI VLADIMIR ENRIQUE</t>
  </si>
  <si>
    <t>DISEÑO DE UN MODELO DE GESTIÓN DE MANTENIMIENTO CORRECTIVO DE EQUIPO PESADO PARA EL SERVICIO PREFECTURAL DE CAMINOS (SPCAM) COCHABAMBA</t>
  </si>
  <si>
    <t>vlad_agar19@hotmail.com</t>
  </si>
  <si>
    <t>IND-100-2005</t>
  </si>
  <si>
    <t>Gestión, Mantenimiento, Diagnostico, Planificación.</t>
  </si>
  <si>
    <t>El desarrollo del proyecto de Mantenimiento nació con la necesidad del Servicio Prefectural de Caminos de contar con equipo para afrontar los trabajos referentes a apertura, mejoramiento y mantenimiento de las vías comunicación caminera.Se destacaron los tipos de mantenimiento y las características de cada uno, remarcando los problemas más frecuentes que tienen los equipos a lo largo de su vida útil y los daños más comunes, asignando a los equipos los conceptos de estado real y estado teórico, se presentaron también los métodos de inspección.También se resalto la importancia del mantenimiento como estrategia de la empresa, indicando cual es el momento exacto para reemplazar un equipo de forma teórica y matemáticamente, aunque en Bolivia no se aplique de esta forma (los equipos que usamos a diario tienen un uso de 20, 30 o más años de funcionamiento).Se realizo el diagnóstico de la Institución, referente a mano de obra equipos y herramientas necesarias para llevar adelante el proyecto de mantenimiento, descubriendo que no tiene la capacidad para afrontar el proyecto dando razones aceptables para esto;  por esta razón se aplican estrategias para realizar el proyecto, asociadas a empresas que no representen un costo elevado y tengan la capacidad de realizar o afrontar el proyecto, es así que se formo  la asociación JUMBO – BARTOS.JUMBO, que se convirtió en proveedor de repuestos y materiales originales, haciendo que los almacenes sean ellos de esta forma se minimizaron los costos por retención de repuestos; logrando cero almacenes y repuestos originales garantizados.BARTOS, que demostró tener experiencia en trabajos similares y tener la maquinaria, herramienta y personal capacitado para la ejecución de el proyecto; minimizando costos por utilización de equipo, herramienta y mano de obra calificada Se presento en la planificación del proyecto los trabajos que deben ser desarrollados, las planillas que deben ser utilizadas y los datos que contendrán éstosLa Ejecución del Proyecto, se basa en la recepción de equipos bajo un acta de recepción de equipos, para luego pasar al diagnóstico y a partir de esta determinar las actividades de mano de obra requeridas y la necesidad de repuestos totales que requiere el proyectoA la conclusión del proyecto se presento las planillas que resumen los trabajos y costos en general del proyecto, así como también los resúmenes gráficos de las actividades tiempos y mano de obra ejecutados.</t>
  </si>
  <si>
    <t>https://drive.google.com/file/d/1qWZGKH-lrjgAohGM7lETZILbpt0wbWSr/view?usp=sharing</t>
  </si>
  <si>
    <t>NUÑEZ ROJAS XIMENA</t>
  </si>
  <si>
    <t>DESARROLLO DE UN SISTEMA DE GESTIÓN DE CALIDAD PARA LA ATENCIÓN DE INSTALACIONES Y MANTENIMIENTOS DOMICILIARIOS DE LA EMPRESA ENTEL S.A. REGIONAL COCHABAMBA BASADO EN LA NORMA ISO 9001 VERSION 2000</t>
  </si>
  <si>
    <t>anemix203@hotmail.com</t>
  </si>
  <si>
    <t>IND-101-2005</t>
  </si>
  <si>
    <t>Planta Externa, Planta telefónica, Planta interna, instalaciones domiciliarias, mantenimientos, MDF, Acometida, Supervisión, Control de Registros, Control de Calidad, multipares, Cajas de distribución, Cruzadas, CRM, OMITATUS, Opnet db</t>
  </si>
  <si>
    <t>El trabajo se desarrolló en la Empresa ENTEL S. A. Regional Cochabamba,  con el objetivo de mejorar la atención de Instalaciones y Mantenimientos Domiciliarios, la metodología utilizada fue de interiorización para poder identificar los procesos así como las actividades desarrolladas, con la información recopilada se pudo encontrar las falencias de los procesos para poder trabajar en ellas y mejorarlas.La herramienta  que se utilizo fue el concepto de mejora continua basado en el ciclo PDAC (Planificar, Hacer, verificar y  actuar), que consiste en planear objetivos y la forma de alcanzarlos, ejecutar las actividades según lo planificado,  compara la meta lograda con la planificada y corregir las desviaciones de tal forma que no se repitan.Sobre la base de lo anterior se desarrollo un Sistema de Gestión de Calidad que pueda respaldar todas las actividades ejecutadas en la atención de las instalaciones y mantenimientos domiciliarios.Para respaldar el Sistema de Gestión de Calidad se desarrollaron los documentos requeridos por la norma ISO 9001 versión 2000, el Manual de Calidad, el Manual de Procedimientos, los Instructivos de Trabajo y los Registros de Control.Para utilizar este sistema como una herramienta de control se estableció cada uno de los procesos con los indicadores asociados.Se estableció un plan de auditorias internas, que se ejecutaran de forma anual así como la revisión del sistema de Gestión de Calidad.Se pudo ver también el análisis de costos relacionados a la implementación del Sistema de Gestión de Calidad, donde se mostró que en la gestión 2003 se invertía mas en costos por fallas que en prevención.Con la implementación del Sistema de Gestión de Calidad se pudo reducir el tiempo de atención de instalaciones y mantenimientos, recepcionar instalaciones domiciliarias con la calidad requerida, identificar instalaciones que no cumplen con las especificaciones técnicas, mejorar la satisfacción de los clientes internos y externos debido a la reducción de tiempos de atención.</t>
  </si>
  <si>
    <t>https://drive.google.com/file/d/1dzS5OlEddHL7bC-CqFcn1aSz2bK6dUNu/view?usp=sharing</t>
  </si>
  <si>
    <t>https://drive.google.com/file/d/1EdeOIuVmw7UbtOhmYgLQDIYrRZ5RU_e5/view?usp=sharing</t>
  </si>
  <si>
    <t>MUÑOZ QUIROGA EDWIN MARCELO</t>
  </si>
  <si>
    <t>CONDORETTY MARISCAL GABRIELA WILMA</t>
  </si>
  <si>
    <t>PLANIFICACIÓN ESTRATÉGICA PARA LA EMPRESA PROMAQ I+D LTDA.</t>
  </si>
  <si>
    <t>consultgp@supernet.com.bo</t>
  </si>
  <si>
    <t>IND-102-2005</t>
  </si>
  <si>
    <t>Estrategia, planificación estratégica, Diagnóstico estratégico, Misión, Visión, CRM, Atención al Cliente, Mapa de Procesos, Control de Gestión.</t>
  </si>
  <si>
    <t>El Proyecto realizado para la Empresa PROMAQ I+D, dedicada a la fabricación de maquinaria y equipo a pedido del cliente; se inició con un diagnóstico para detectar falencias y oportunidades de mejora, el modelo empleado fue: Diagnóstico para Empresas PyMEs Industriales y de Servicios con un enfoque basado en la Administración de la Calidad Total; los resultados obtenidos por dicho modelo y la carencia de Fines Estratégicos en la empresa, derivaron en la necesidad de Formular una Planificación Estratégica que oriente a la organización a Administrarse bajo esta forma de Dirección.En primera instancia se realizaron tres cursos – talleres con la participación de todo el personal administrativo y de planta, ello permitió realizar una definición de los Fines estratégicos de la empresa.Mediante una evaluación interna y externa se obtuvieron las Competencias de la empresa y las oportunidades y amenazas que afectan de manera directa la realización de actividades. En base a esta evaluación se formularon siete estrategias, las mismas que se concluyeron en un solo Plan Estratégico denominado “Plan Zeus” que está compuesto por tres partes independientes en su ejecución; el plan se encuentra desplegado en siete planes operativos cada uno de los cuales está compuesto por Líneas de Acción, actividades tareas  respectivamente.La ejecución del plan le permitirá a la empresa duplicar sus ingresos e incursionar en el mercado de la ciudad de Santa Cruz con un 28% de su actividad en cinco años.Para garantizar la ejecución del plan se realizó también un análisis de las reacciones de los agentes involucrados o Gestión del Riesgo, y se concluyó con cuatro estrategias preventivas, dos estrategias reactivas y una contraestrategia.Para el análisis del atractivo del plan, se valoró la relación Beneficio a Costo de las situaciones con y sin la realización del proyecto; un segundo análisis permitió valorar la relación entre el costo de ejecutar el plan con el costo operativo total y con el ingreso por gestión.Una evaluación interna de los procesos existentes en la empresa determinó que la ejecución del plan requiere de la modificación de procesos como: Producción, Gestión Financiera y Gestión de Recursos Humanos; además de introducir nuevos procesos como: Planificación, Atención al Cliente y Servicio Post – Venta.Se concluyó que el plan es atractivo y coherente en términos financieros, el plan estratégico permitirá a la empresa diseñar su futuro, alcanzar su visión; para ello requiere del compromiso de la dirección y del seguimiento constante a todas las variables involucradas en el diseño del plan.</t>
  </si>
  <si>
    <t>https://drive.google.com/file/d/1gBcbNVjY4FmcMqZu3u2Quyk2XmrU4dhw/view?usp=sharing</t>
  </si>
  <si>
    <t>https://drive.google.com/file/d/1nuLdYNDOuY8uev8Vupt3_2TebjNHTixY/view?usp=sharing</t>
  </si>
  <si>
    <t>CORDOVA TABORGA LUIS ALBERTO</t>
  </si>
  <si>
    <t>ESTUDIO DE PROSPECCIÓN DEL MERCADO ENERGÉTICO</t>
  </si>
  <si>
    <t>chascual@hotmail.com</t>
  </si>
  <si>
    <t>IND-103-2005</t>
  </si>
  <si>
    <t>Biomasa, gas natural, fuentes secundarias, fuentes primarias, energía solar, eólica, hidráulica, sistemas fotovoltaicos, sistemas híbridos, energía renovable y no renovable.</t>
  </si>
  <si>
    <t>Para la elaboración de este estudio se tuvo que realizar en primera instancia la recopilación de información de fuentes secundarias; información que tiene que ver acerca de gas natural y biomasa, la misma que se la hizo mediante la revisión de informes, revistas, libros, publicaciones, seminarios, red Internet y otros.También se realizó un viaje a la ciudad de La Paz, donde se recabó información actualizada de las siguientes instituciones:-        Viceministerio de Electricidad, Energías Alternativas y Telecomunicaciones (VMEEAT).-        Viceministerio de Hidrocarburos.-        Superintendencia de Hidrocarburos.-        Superintendencia de Electricidad.-        Centro de Promoción de Tecnologías Sostenibles.-        ProLeña-Bolivia.Una vez realizada esta recopilación se procedió al análisis de la misma, de la cual se obtuvo los siguientes resultados: se logró conocer la situación actual de Bolivia en cuanto a fuentes, usos, consumos, precios, normas y tecnologías tanto de gas natural como de biomasa, también se logró conocer los proyectos que se realizaron en el ámbito nacional como universitario, no solo tomando en cuenta este tipo de energéticos, sino también otros como: energía solar, sistemas fotovoltaicos, sistemas híbridos e hidráulica. También se analizó el tipo de tecnología, los problemas y sus resultados obtenidos por estos proyectos. Para el caso de proyectos Universitarios se realizó una entrevista no estructurada dirigida a docentes que fueron parte de algún proyecto en el campo energético dentro de la universidad, con lo que se pudo identificar los logros alcanzados por los mismos, como también los problemas con los que contaron.En una segunda instancia se hizo la recolección de información de fuentes primarias, para lo cual se realizó una entrevista estructurada a los distintos centros, departamentos, programas y/o proyectos de la Facultad de Ciencias y Tecnología; con el objetivo de obtener información acerca de su campo de acción y los servicios que prestan actualmente, además de la experiencia  y el potencial con el que cuentan para el desarrollo de proyectos en el campo de energías renovables y no renovables.Para finalizar el presente estudio se plantearon algunas conclusiones, además de algunas recomendaciones de entre las más importantes están las siguientes:-        La creación de un Programa Facultativo de Energía y Desarrollo.-        Propuestas por parte de la Universidad para elaboración de proyectos energéticos que busquen el desarrollo de las regiones y una mejor calidad de vida de la población boliviana en general, ayudando a la toma de decisiones y la búsqueda de consensos en el orden político para con los proyectos que no son viables económicamente pero si son viables socialmente.-        Mayor responsabilidad por parte de las autoridades universitarias en cuanto a los compromisos adquiridos por la UMSS.</t>
  </si>
  <si>
    <t>https://drive.google.com/file/d/1S5ITsW6sS0bD1seziVRZ9tWu2OUuLQN8/view?usp=sharing</t>
  </si>
  <si>
    <t>MERY ALCON VILLANUEVA</t>
  </si>
  <si>
    <t>CINTHYA ELENA CANELAS REVOLLO</t>
  </si>
  <si>
    <t>ESTUDIO TÉCNICO - FINANCIERO PARA LA AMPLIACIÓN DE LA PRODUCCIÓN DE JEANS EN CONFECCIONES “CALVILL`S”</t>
  </si>
  <si>
    <t>mavi80@hotmail.com</t>
  </si>
  <si>
    <t>IND-104-2005</t>
  </si>
  <si>
    <t>Estudio de mercado, estrategias, Re-distribución, AUTOCAD, Mano de obra, Análisis financiero, Factibilidad.</t>
  </si>
  <si>
    <t>Calvill´s es una micro empresa unipersonal administrada solamente por los propietarios, se realizó un diagnostico interno de la misma,  determinando que es  una micro empresa rentable por la cual se puede aspirándose a un ampliación  .  Para  la ampliación de  Calvill’s se optó por realizar la confección de pantalones de jeans  de varones en  los modelos clásico en las tallas el 36-46,  clásico especial en las tallas 48-52,    bota recta en las tallas 38-46, bota campana en las tallas 38 – 46 y pachuco en las tallas 38-46. El cálculo de la demanda de la producción se elaboró en base al estudio de mercado,  que se realizó a las personas de sexo masculino comprendidos entre  las edades de 15 a 39 años de la provincia Cercado del Departamento de Cochabamba.  Con  los  resultados del análisis de mercado se pudo determinar: las características de los consumidores,  los meses de mayor demanda del producto, los días de compras preferidos por los consumidores,  el medio de publicidad, la competencia existente en el mercado y sus características que ofrece estas. Luego se elaboró las estrategias de mercado,  que mejor se adecuaban al proyecto y las necesidades de al ampliación de Calvill’s .Para el proyecto se tomó en cuenta la compra de un terreno para la construcción del nuevo taller, donde se hicieron todas  las instalaciones que requiere el mismo,  para su funcionamiento y una  adecuada  producción, con ayuda del  sofward del  AUTOCAD 2004  se    elaboró del diagrama de planta, para  una  re-distribución de la maquinaria.Para la contratación de la Mano de  Obra   se contempló al personal técnico (Gerente General, Administrador, Jefe de producción) y el personal de operarios que se dedican exclusivamente a la parte de producción.Se realizó un estudio financiero para determinar la factibilidad del mismo, con lo cual se determinó que es posible la realización de  la ampliación de Calvill’s ya que el proyecto es factible desde el punto de vista financiero y económico.</t>
  </si>
  <si>
    <t>https://drive.google.com/file/d/1uZB8fYtH0aT-Mt7rBgJMdYtiMgQYVLhZ/view?usp=sharing</t>
  </si>
  <si>
    <t>VERA VILLARROEL FABIOLA NOEMI</t>
  </si>
  <si>
    <t>TAPIA ARISPE KAREN NOELIA</t>
  </si>
  <si>
    <t>DISEÑO DE UN PLAN ESTRATÉGICO Y OPERATIVO DE MARKETING PARA LA COOPERATIVA ARTESANAL PECORELLA LTDA.</t>
  </si>
  <si>
    <t>karenoelia@yahoo.es</t>
  </si>
  <si>
    <t>IND-105-2005</t>
  </si>
  <si>
    <t>Marketing integral, Diagnóstico empresarial, Evaluación por indicadores, Sistema de gestión, Estudio de mercado, Pecorella.</t>
  </si>
  <si>
    <t>El problema central que se identificó en la Cooperativa Pecorella,  es el bajo nivel de ventas, el mismo que tiene diversas causas y efectos; dentro los más sobresalientes, se puede mencionar, la causa denominada desconocimiento de las necesidades y deseos de los clientes, base fundamental del marketing, y el efecto denominada insatisfacción de los clientes rentables, labor principal del marketing. El objetivo es realizar el diseño de un Plan Estratégico y Operativo de Marketing para la Cooperativa Artesanal Pecorella Ltda..Para lograr esto se realizaron las Auditorias Externa e Interna, las cuales permitieron identificar las ventajas y desventajas que tiene la empresa en el mercado en el que se desenvuelve y las fortalezas y debilidades de sus procesos internos.         Se realizó una investigación de mercados profunda, con el fin de identificar el mercado meta, la demanda potencial de los productos, los competidores, la participación en el mercado de la marca y el grado de aprovechamiento de las variables de la mezcla de marketing.         La información recolectada en la etapa anterior fue analizada y adecuada mediante herramientas de gestión. Este proceso de adecuación de la información permitió llegar a seleccionar la estrategia de crecimiento intensivo, esto apoyado en la técnica de Benchmarking, se convirtió en la base para la elaboración del plan de marketing.          Dentro el plan de marketing se definieron objetivos de ventas y de mercadotecnia y para cumplirlos se desarrollaron  estrategias de cuota de mercado, posicionamiento y también para cada una de las variables de la mezcla de marketing.           Para implementar estas estrategias se desarrollaron planes de producto, precio, distribución y promoción.           Luego de establecer el plan, se realizó la evaluación de los impactos financieros que ocasionará, la conveniencia de su aplicación y además la sensibilidad a ciertas variables que influyen en el cumplimiento de los objetivos de ventas y utilidades.Finalmente, con el propósito de garantizar el cumplimiento del plan se propone un modelo de sistema de gestión basado en la metodología del Cuadro de Mando Integral, el cuál parte de la definición de negocio hasta el planteamiento de iniciativas que se aplicarán en caso de desviarse de los objetivos trazados en este plan.Los resultados obtenidos son el diseño del Plan de Marketing para la Cooperativa Pecorella Ltda., el cual a lo largo de sus capítulos detalla los aspectos positivos y negativos tanto de la Cooperativa como del entorno. Después de efectuar el diseño del Plan se elaboró un análisis del impacto del mismo y se tiene como conclusión que la aplicación de este plan requerirá de una inversión =130.500 Bs. y brindará a la Cooperativa un VAN=608.675 Bs.</t>
  </si>
  <si>
    <t>https://drive.google.com/file/d/1NeqmyuktHeWu1e-mfpejB_0bxwu1RhmB/view?usp=sharing</t>
  </si>
  <si>
    <t>ARAMAYO PEREIRA ALBERTO CARLOS</t>
  </si>
  <si>
    <t>AGUILAR APONTE JUAN PABLO</t>
  </si>
  <si>
    <t>DESARROLLO DE UN SISTEMA DE PRODUCCIÓN PARA LAS EMPRESAS APOYADAS POR EL PROYECTO BCCN</t>
  </si>
  <si>
    <t>jaguilaraponte@yahoo.com</t>
  </si>
  <si>
    <t>IND-106-2005</t>
  </si>
  <si>
    <t>sistema de producción, confección, jeans, diagnostico productivo, Alberto Aramayo, Juan Pablo Aguilar, disposición en planta, maquinaria ociosa, tiempos de producción, métodos empíricos, control de calidad, batos y glussco, alfach.</t>
  </si>
  <si>
    <t>Se desarrolla un sistema de producción buscando una mejora en la productividad. Se realiza un diagnostico productivo donde se detallan los problemas que se deben solucionar, se resuelven los problemas mediante la creación del sistema de producción. Constara de  tres sub sistemas, subsistema de información, subsistema de producción y subsistema de calidad. el subsistema mas importante es el de producción el cual genera cambios en la disposición de planta, manejo de materiales y de documentación.  Al aplicarse este proyecto se da solución a los problemas organizacionales y productivos de la empresa</t>
  </si>
  <si>
    <t>https://drive.google.com/file/d/15k7wm1IZx0gyPnDrS3Z5jzUYnTy86jI0/view?usp=sharing</t>
  </si>
  <si>
    <t>MARIA TERESA AGUILAR ESPINOZA</t>
  </si>
  <si>
    <t>MARIA ELENA COCA CALLAÚ</t>
  </si>
  <si>
    <t xml:space="preserve">ESTUDIO DE VIABILIDAD PARA LA EXPORTACIÓN DE ATAÚDES DE MADERA AL MERCADO DE      
 LOS ESTADOS UNIDOS.
</t>
  </si>
  <si>
    <t>mariaaguilarespinoza@hotmail.com</t>
  </si>
  <si>
    <t>IND-107-2005</t>
  </si>
  <si>
    <t>Viabilidad para Exportar ataúdes a EE.UU., estudio de mercado, Woodpecker,</t>
  </si>
  <si>
    <t>Para la realización del presente estudio se recurrió a fuentes de información interna y externa. La primera proporcionó información acerca del país exportador, es decir Bolivia, con el segundo se recopiló información acerca del mercado objetivo, es decir: Magnitud de este mercado, culturas sociales, acceso del producto a este mercado, características y hábitos de compra, precios, competencia, normas de exportación y preferencias arancelarias. Para la obtención de esta información se recurrió a fuentes como: Bibliografía de diferentes autores, Internet, CADEXCO, CADEFOR y CEPROBOL.Así mismo para cuantificar de forma mas exacta la demanda efectiva del proyecto se procedió a utilizar fuente de datos primarios, mediante la realización de entrevistas a empresas exportadoras de este rubro  al mercado de los estados Unidos California. Con el estudio de mercado realizado y la demanda efectiva del proyecto se determinó el tipo del producto con el cual ingresará la empresa al mercado, posteriormente se cuantificó el requerimiento en maquinaria, materia prima, mano de obra así mismo se elaboró el proceso productivo, se diseñó la planta en base a las características de las maquinarias ,equipos y organización de la fábrica. Por otro lado se determinó la localización de la planta tomando en cuenta factores como la disponibilidad de terreno, servicios básicos y posibilidad de desprenderse de residuos sólidos.El cumplimiento del artículo 25 de la ley de medio ambiente N° 1333 de Bolivia se realizó la categorización del proyecto tomando en cuenta los impactos positivos y negativos que el proyecto ocasionará en la región con el fin de tomar las medidas necesarias para los impactos negativos con el fin de mitigarlos y evitar que causen daño al medio ambiente.Posteriormente se cuantificó las inversiones tanto en activos fijos, activo diferidos y capital de trabajo mediante cotizaciones. Realizando la evaluación financiera los indicadores económicos tasa interna de retorno y valor actual neto el proyecto resultó ser factible por lo que se procedió a elaborar el plan estratégico de exportación que comprende tanto la estrategia de Introducción  como el de Permanencia, este fue elaborado en base a un diagnóstico FODA.</t>
  </si>
  <si>
    <t>https://drive.google.com/file/d/1AdB-jwDFdXuJW5aPNX4ucmg4NkBMGSOp/view?usp=sharing</t>
  </si>
  <si>
    <t>ESPINOZA MARTINEZ KARINA</t>
  </si>
  <si>
    <t>DEL CASTILLO SOLIS FABIOLA WENDY</t>
  </si>
  <si>
    <t>ANÁLISIS DEL CICLO DE VIDA AMBIENTAL DE LA AGROINDUSTRIA LÁCTEA DE COCHABAMBA</t>
  </si>
  <si>
    <t>fabitadcs255@yahoo.ar</t>
  </si>
  <si>
    <t>IND-108-2005</t>
  </si>
  <si>
    <t>Ciclo de vida, Impacto, Etapas, ACV ambiental.</t>
  </si>
  <si>
    <t>El subsector lácteo cochabambino se caracteriza por tener una estrecha interrelación con los recursos naturales y el ambiente, iniciando en la producción de leche cruda, continuando con el procesamiento de la leche, y culminando con las actividades de comercialización y consumo/disposición final. En todas estas etapas se afecta al medio ambiente, ya sea por el uso de recursos (no) renovables o por la descarga de contaminantes y residuos al ambiente.Para la elaboración de la presente investigación se aplicó el enfoque metodológico del Análisis del Ciclo de Vida Ambiental, adecuado a las características del sector. Se trabajó en base a información primaria y secundaria, complementada con entrevistas a personas entendidas en el tema.A partir de la información obtenida, se logró identificar los insumos empleados en cada etapa del ciclo de vida de la agroindustria láctea. Asimismo, se logro identificar cualitativa/ cuantitativamente los impactos ambientales generados en dichas etapas; para luego elaborar un perfil ambiental por zona geográfica considerada para el estudio. Los resultados de la investigación fueron plasmados en forma de lineamientos de política ambiental que estén orientados a reforzar la competitividad sostenible de la agroindustria láctea de Cochabamba.</t>
  </si>
  <si>
    <t>https://drive.google.com/file/d/1otWDstZrcftn02MJdlfdo2kjLsANM74a/view?usp=sharing</t>
  </si>
  <si>
    <t>PAOLA ROMÁN ACHÁ</t>
  </si>
  <si>
    <t>ING. MABEL MAGARIÑOS</t>
  </si>
  <si>
    <t>APLICACIÓN SISTEMÁTICA DEL MODELO DE GESTIÓN ESTRATÉGICA EN TALLERES WIÑAY</t>
  </si>
  <si>
    <t>diamexife@gmail.com</t>
  </si>
  <si>
    <t>IND-109-2005</t>
  </si>
  <si>
    <t>: Gestión Estratégica, Modelo aplicado, Talleres Wiñay.</t>
  </si>
  <si>
    <t>El objetivo principal de este proyecto fue el de aplicar sistemáticamente el “Modelo de Gestión Estratégica” de Fred David en Talleres Wiñay, para mejorar la competitividad de la misma.Los cambios sustanciales en el plano económico, político y tecnológico que tienen lugar en el ámbito internacional, y el impacto directo de ellos en la economía boliviana, han transformado el entorno y las condiciones en que operan las empresas, obligando a las pequeñas y medianas empresas (PyME´s) a dar una respuesta inmediata que conlleve a alcanzar niveles adecuados de competitividad. En busca de minimizar los efectos negativos del entorno y aprovechar de mejor manera las fortalezas y oportunidades de la empresa para consolidar un gran número de ventajas competitivas, se realizó la aplicación sistemática del modelo de gestión estratégica. La metodología empleada consistió en realizar un diagnóstico preliminar de la empresa, posteriormente definir el pensamiento estratégico de la empresa, realizar una auditoria estratégica y seleccionar las alternativas estratégicas a seguir, en base a ello se delimitaron los planes estratégicos quinquenales: Fortalecimiento de Talleres Wiñay, y Conformación del Consorcio de Exportación.Para el cumplimiento de estos propósitos, se diseñaron dos planes operativos anuales, que contienen cinco líneas de acción, con su respectivo desglose en actividades. Un aporte importante para Talleres Wiñay con el desarrollo del proyecto, fue el fortalecimiento interno que se consiguió al mejorar la estructura organizacional de la empresa, definiendo puestos y responsabilidades a través de los manuales de organización y procedimientos elaborados para la empresa. De esta manera también se logro encaminar a la empresa a consolidar una posición interna fuerte y encaminarla hacia la consecución de su visión.</t>
  </si>
  <si>
    <t>https://drive.google.com/file/d/1UYYUDK-bKpqbgNKzm9BrQ_i41ppx6_iI/view?usp=sharing</t>
  </si>
  <si>
    <t>https://drive.google.com/file/d/1nJStyyfDcE6af8K_lTl3jcCepGN9Chr8/view?usp=sharing</t>
  </si>
  <si>
    <t>CÉSAR ARIEL CAMACHO MÁRQUEZ.</t>
  </si>
  <si>
    <t>SERGIO DANILO CABERO UREÑA</t>
  </si>
  <si>
    <t>ANÁLISIS, DISEÑO Y AUTOMATIZACIÓN DEL SISTEMA DE INFORMACIÓN DEL PROGRAMA DE CONTROL DE CALIDAD DE ALIMENTOS Y BEBIDAS DE LA UNIDAD DE SALUD AMBIENTAL DEL DEPARTAMENTO DE COCHABAMBA.</t>
  </si>
  <si>
    <t>sergio_cabero@yahoo.com.bo</t>
  </si>
  <si>
    <t>IND-110-2005</t>
  </si>
  <si>
    <t>Tecnología de redes, Hardware, Software, Sistema de Información, Red de Area Local, Topología</t>
  </si>
  <si>
    <t>El sistema de información que se desarrollo, tomo la siguiente metodología: se realizó un análisis del flujo de información en cada uno de los niveles de la Unidad de Salud Ambiental, se analizo el funcionamiento y los procedimientos  del Programa Control de Calidad de Alimentos y Bebidas. Con el análisis, se determino los requerimientos del sistema y se planteo estrategias para solucionar dichos requerimientos. Posteriormente, se desarrollo el  diseño lógico que comprende: el modelo de entorno y el modelo de comportamiento. Luego se realizó el diseño físico, que comprende: el diseño de las entradas y salidas de datos del sistema, el diseño de controles y validación de datos, diseño del diálogo en línea y la  determinación de hardware y software. Por último, se realizo la evaluación económica para el proyecto de sistemas.</t>
  </si>
  <si>
    <t>https://drive.google.com/file/d/1GihnowPn2qF_nnaQX-mpndfcH5p0npvE/view?usp=sharing</t>
  </si>
  <si>
    <t>HORACIO MARCELO RIOJA MÉNDEZ</t>
  </si>
  <si>
    <t>ANA MARÍA ECHALAR GÓMEZ</t>
  </si>
  <si>
    <t>PLANIFICACIÓN ESTRATÉGICA DE DESARROLLO INSTITUCIONAL PARA EL CENTRO DE ALIMENTOS Y PRODUCTOS NATURALES (CAPN)</t>
  </si>
  <si>
    <t>mariana_ecgo@hotmail.com</t>
  </si>
  <si>
    <t>IND-111-2005</t>
  </si>
  <si>
    <t>Planificación Estratégica, Centro de Alimentos y Productos Naturales, CAPN.</t>
  </si>
  <si>
    <t>La planificación estratégica de desarrollo institucional para el CAPN, tenía como finalidad el fortalecer a esta institución mediante estrategias enfocadas principalmente al aprovechamiento de los recursos con los que cuenta actualmente.Para desarrollar este proyecto primeramente se determino la metodología a seguir, esta metodología comenzaba con la proyección estratégica, en la cual de determino la misión, la visión, los valores y las políticas con las que debe contar el Centro. La segunda etapa consistía particularmente en la recopilación de información para realizar el análisis interno y externo en el CAPN, para obtener la información requerida se utilizaron técnicas como la entrevista y la encuesta, mediante las cuales se lograron identificar tanto los factores internos como externos del Centro de Alimentos y Productos Naturales.El resultado obtenido del análisis interno y externo permitió avanzar a la siguiente etapa la generación de líneas estratégicas, en esta etapa se formularon las estrategias utilizando como herramienta principal a la matriz FODA, seguidamente con la ayuda de la matriz cuantitativa de planificación estratégica se identificaron las estrategias más importantes y ejecutables por el CAPN. Para cada una de las estrategias seleccionadas se determinaron líneas de acción, actividades y tareas, a su vez en cada una de estas se detalló el presupuesto, el responsable y los respectivos plazos.</t>
  </si>
  <si>
    <t>https://drive.google.com/file/d/1Xp6lvadQh87Z_78vOJ_EK_HldRfGXjFn/view?usp=sharing</t>
  </si>
  <si>
    <t>KARIN OSCAR SUÁREZ UGARTE</t>
  </si>
  <si>
    <t xml:space="preserve">MODELO DE GESTIÓN ESTRATÉGICA DE NEGOCIOS PARA EMPRESAS DE SERVICIOS 
      (CASO DE ESTUDIO: EMPRESA DE SERVICIOS Y EVENTOS “LAS MIL VAJILLAS”
</t>
  </si>
  <si>
    <t>kosu_indu@hotmail.com</t>
  </si>
  <si>
    <t>IND-112-2005</t>
  </si>
  <si>
    <t>Gestión Estratégica, Calidad en servicios, Servqual, Marketing  de servicios, Macroprocesos, Análisis funcional, Matrices de  Gestión.</t>
  </si>
  <si>
    <t>El Modelo de Gestión Estratégica de Negocios caracterizo a la Empresa de Servicios y Eventos “Las Mil Vajillas” hacia una nueva forma de gestionar su futuro y su crecimiento en la cadena de valor del servicio analizando su naturaleza. Las  herramientas gerenciales de alta dirección utilizadas contribuyeron a esta meta y guiaron con aspectos de competitividad para la empresa; Los diferentes tópicos en materia de Gestión de Empresas como ser: Gestión de Organizaciones Competitivas, Gestión por Procesos, Gestión de Calidad, la Gestión de Marketing y la Gestión de Recursos Humanos, fueron un pilar fundamental a la hora de establecer los parámetros de estudio. Es importante recordar que la aplicación de las anteriores metodologías trae consigo cambios sustanciales en la empresa, desde la forma de concebir su organización hasta la forma de llegar a comercializar su servicio fundamental, real y aumentado con su nueva imagen corporativa,  conociendo a profundidad a sus verdaderos clientes. El análisis interno, externo, la medición de calidad en servicios (SERVQUAL), junto a la investigación de mercados proporcionó información pertinente a la hora de definir las estrategias a seguir junto a los nuevos aspectos de producción y marketing de la empresa.La  gestión del cambio en la empresa es un paso muy importante a la hora de asumir la Gestión Estratégica de Negocios, los recursos humanos en una empresa de servicios son indispensables al momento de intentar plasmar el presente Proyecto Grado a la Empresa de Servicios y Eventos Sociales “Las Mil Vajillas”.</t>
  </si>
  <si>
    <t>https://drive.google.com/file/d/1aqESeBkY8DY3_F84rkTzKa4d2II3ECh0/view?usp=sharing</t>
  </si>
  <si>
    <t>PAOLA LIZBETH GARCÍA LOZADA</t>
  </si>
  <si>
    <t>CAROLINE FÁTIMA BECERRA ORELLANA</t>
  </si>
  <si>
    <t xml:space="preserve">ESTRATEGIAS PARA LA COMERCIALIZACIÓN DE CAÑAHUA DEL AYLLU MAJASAYA MUJLLI (PROVINCIA   TAPACARÍ)
</t>
  </si>
  <si>
    <t>fbo_caroline@hotmail.com</t>
  </si>
  <si>
    <t>IND-113-2005</t>
  </si>
  <si>
    <t>AGRUCO, IESE, Cañahua, Comercialización, Investigación de mercados, Ayllu Majasaya Mujlli, Taller de validación, encuestas.</t>
  </si>
  <si>
    <t>Para el desarrollo del presente proyecto de investigación se ha recurrido a la observación participativa, la entrevista, talleres campesinos, recorridos de campo, visita a ferias, lugares de procesamiento y distribución. Así también se recurrió a la descripción y análisis de la información.   Primeramente se realizó el levantamiento de información secundaria para tener conocimiento sobre algunos puntos relacionados al proyecto, para lo cual se llevo a cabo la revisión de diferentes bibliografías, tanto de libros, revistas, periódicos, paginas Web, etc. Debido a que la información secundaria no proporcionaba datos suficientes, se preparó y efectuó el levantamiento de información primaria del lugar de estudio en relación a la comercialización de cañahua, para lo cual se realizó la visita a las diferentes ferias locales y regionales del Ayllu Majasaya Mujlli, donde los productores llevan la cañahua; con la finalidad de conocer la dinámica, actores, precios y los flujos de comercialización, usando para este fin entrevistas no estructuradas, la observación y seguimiento participativo de las actividades.Posteriormente se realizó la validación de la información recopilada sobre comercialización de cañahua, se realizó en una de las reuniones mensuales del Ayllu Majasaya Mujlli para contar con mayor sustento de la información, representatividad de los participantes y además permitió identificar las ventajas y problemas existentes en la comercialización, el taller se realizó con los productores y comercializadores de cañahua del lugar de estudio con la formación de grupos, utilización de tarjetas de la forma más dinámica, fácil y participativa. De esta manera, con toda la información recabada se elaboró la descripción y análisis de los factores internos relacionados a la comercialización de la cañahua del Ayllu Majasaya Mujlli, lo que permitió dar a conocer la importancia de la búsqueda de nuevos mercados y las condiciones reales de los productores en relación a la comercialización.Simultáneamente se realizó un estudio de mercado a dos unidades de análisis que se consideraron más accesibles para la inserción de los productores en la comercialización urbana, las cuales son: empresas que elaboran productos a base de cañahua en las ciudades de Cochabamba, La Paz, El Alto y Oruro; y el consumidor final de la zona urbana de la ciudad de Cochabamba. Para la primera unidad de análisis se visitó a las diferentes entidades de apoyo al sector productivo, al Instituto Nacional de Estadística (INE), Honorable Alcaldía Municipal de Cochabamba  (HAM), del mismo modo se realizó visitas a las diferentes ferias tanto en la ciudad de Cochabamba como también en las ciudades de La Paz, Oruro y el Alto como el objetivo de ubicar a las empresas informales que elaboran productos a base de cañahua y poder realizar las encuestas. En el caso de consumidores finales se levantó la información en las zonas norte, sud, este, oeste y central de Cochabamba. Con la información recabada y la consideración de algunos aspectos del entorno se realizó la respectiva descripción y análisis de los factores externos, en la cuál la investigación de mercados permitió determinar las condiciones del mercado y características importantes para la comercialización de cañahua, con lo cual se pudo conocer algunos aspectos que fueron complementados con información secundaria.Con todos estos insumos se procedió a la construcción de la matriz  FODA la cual contribuyó en la selección de las directrices estratégicas las cuales son: desarrollo del mercado y desarrollo del producto y la propuesta de acciones a seguir en cuanto a las variables de precio, plaza producto y promoción.Luego se realizó un taller de validación de las estrategias de comercialización, el cual permitió dar a conocer la información recabada a los productores, con quienes se analizó y discutió aplicabilidad de las estrategias. Finalmente, se elaboró una evaluación financiera en base a la determinación de costos e indicadores para la implementación de las estrategias propuestas cuyos valores son: VAN  =  13.379  [Bs.], TIR   =   56 %, Beneficio / Costo = 1.1Con lo cual se demostró que es factible la implementación de las directrices estratégicas y que los productores y/o comercializadores de cañahua del Ayllu Majasaya Mujlli tienen una gran oportunidad de mejorar el precio de venta de su producto ingresando a mercados urbanos.</t>
  </si>
  <si>
    <t>https://drive.google.com/file/d/1BdMZFeRawhp-De9qXs0X_Hu5iECXkEhs/view?usp=sharing</t>
  </si>
  <si>
    <t>VERÓNICA PAOLA LEDEZMA LOZADA</t>
  </si>
  <si>
    <t>“DISEÑO Y PROPUESTA DE IMPLEMENTACIÓN DEL PLAN DE SEGURIDAD INDUSTRIAL PARA LAS DEPENDENCIAS DE SERVICIOS GENERALES DE LA UNIVERSIDAD MAYOR DE SAN SIMÓN”.</t>
  </si>
  <si>
    <t>paolaledez@hotmail.com</t>
  </si>
  <si>
    <t>IND-114-2005</t>
  </si>
  <si>
    <t>Plan de Seguridad e Higiene Industrial, Manual de Seguridad e Higiene Industrial, Incendio, Primeros Auxilios, Equipo de Protección Individual, Señalización, Carpintería, Parques y Jardines, Transportes, Electricidad y Telefonía.</t>
  </si>
  <si>
    <t>El proyecto desarrollado, consistió en  diagnosticar los sistemas de seguridad e higiene industrial que se aplican en las Dependencias de Servicios Generales, más precisamente en las secciones de: Carpintería, Parques y Jardines, Electricidad y Telefonía y Transportes;  Para ello se aplicaron como técnicas de diagnóstico la entrevista, la observación y la encuesta, que se aplico al personal administrativo y operativo de la unidad.A partir de los datos obtenidos se aplicó la metodología de George F. Kinney para evaluar los riesgos, esta consiste en 5 etapas básicas que son:  1.        Determinar la magnitud del riesgo (C), en función a tres parámetros claramente definidos: La probabilidad de ocurrencia (P), la exposición (E) y por último las consecuencias que se pueden generar (C).2.        Evaluación del riesgo.3.        Desarrollar medidas de control.4.        Seleccionar la mejor alternativa.5.        Aplicar medida de control seleccionada.Una vez concluido el análisis y evaluación de riesgos, con los resultados obtenidos se procedió a realizar el mapa de riesgos para cada una de las secciones del departamento de Servicios Generales.De esta forma en cada sección se pudieron identificar: los riesgos, la naturaleza, la criticidad,  la probabilidad de ocurrencia y la frecuencia de ocurrencia de los mismos.  Además de establecer que tipo de riesgo es el que mas se presenta en cada sección.En esta primera etapa se pudo evidenciar que las tareas de seguridad e higiene industrial no se desarrollan adecuadamente y que se tiene una débil aplicación de:-        Poca o ninguna capitación en temas de seguridad e higiene industrial.-        Falta de concientización en sobe la importancia del uso correcto del Equipo de Protección Individual.-        Falta de dotación de Equipo de Protección Individual.-        Falta de Señalización y carteles informativos sobre normas y reglas de seguridad e higiene industrial.-        Falta de equipo para combatir incendios y de un manual para su aplicación.-        Falta de capacitación en primeros auxilios.-        No se tienen establecidas las normas de uso de la maquinaria.La metodología aplicada responde a un método de Diagnóstico participativo, de esta forma las conclusiones preliminares a las que se llegó fueron discutidas con el personal.  De esta forma se evita que algunas malas percepciones puedan distorsionar la realidad y además que las alternativas de solución planteadas sean conciliadas con la unidad.  Así se llega a una solución que sea factible a la hora de su implementación. Con los parámetros de seguridad e higiene industrial claramente identificados se elaboró el Plan de Seguridad e Higiene Industrial, este consta de los siguientes acápites:-        Manual de Seguridad e Higiene Industrial-        Programa de actividades para su aplicación-        Cronograma de actividades propuesto-        Costos estimados para su ejecución.El resultado obtenido es el documento que informa y norma las actividades orientadas a mejorar las actividades de los trabajadores a fin de minimizar los riesgos y mejorar las condiciones laborales de los trabajadores de la unidad, de esta forma se pretende iniciar un circulo de que permita planificar, ejecutar, evaluar y retroalimentar nuevamente las funciones de seguridad, higiene y salud laboral de las secciones dependientes de la unidad de Servicios Generales.La metodología aplicada y los resultados obtenidos son útiles para unidades productivas y de servicios similares a las secciones dependientes de Servicios Generales de la U.M.S.S.</t>
  </si>
  <si>
    <t>https://drive.google.com/file/d/1VCRkWfWbenn8-sDpWt8X9Fnq7olobiN_/view?usp=sharing</t>
  </si>
  <si>
    <t>NORMA VILLAN CAMACHO</t>
  </si>
  <si>
    <t>BETTY NAVIA ALVAREZ</t>
  </si>
  <si>
    <t>PROYECTO DE FACTIBILIDAD PARA LA IMPLEMENTACIÓN DEL COMPLEJO TURÍSTICO SACAMBAYA EN LA PROVINCIA AYOPAYA</t>
  </si>
  <si>
    <t>rubialondra_luna@hotmail.com</t>
  </si>
  <si>
    <t>IND-115-2005</t>
  </si>
  <si>
    <t>Estudio de Mercado, Localización, Recursos Turísticos, Evaluación Del Proyecto E Impacto Ambiental.</t>
  </si>
  <si>
    <t>En Bolivia existen empresas dedicadas a la industria del turismo que ofrecen hermosas regiones, bellos paisajes, selvas vírgenes, inmensos desiertos de sal como también ruinas arqueológicas con un rico pasado en historia.El principal motivo por el que los turistas viajan son las vacaciones para poder disfrutar y conocer las herencias incaicas, la diversidad de la flora y fauna y aprovechar la hospitalidad de sus habitantes.El complejo turístico Sacambaya cuenta con una inmensa riqueza vegetal (plantas frutales de chirimoya, mandarina, palta, naranja, su árbol tradicional chi`llijchi, a las laderas del rió), su riqueza mineral (oro), su riqueza arqueológica (antiguas misiones jesuíticas), su gente humilde y acogedora, sus costumbres y tradiciones, hermosos paisajes, sus ríos, su playa de arena, sus cascadas.Este será un servicio de hospedaje, una alternativa de sustitución de los hoteles, ofertando habitaciones simples, dobles y cabañas. El proyecto iniciara el 2007 con la construcción de la primera fase, después de cuatro años la segunda fase y por ultimo la tercera fase a los siete años de construcción de la primera fase. Actualmente el lugar solo cuenta con su riqueza natural aun no explotada, no existe ninguna comunidad instalada en ese cantón.Se realizara una estrategia de promoción anunciando por los distintos medios de comunicación, ya sea tanto en TV, Internet, prensa, radio.El sector turismo tiene una fuerte vinculación con la industria de alimentos y bebidas, asimismo con el sector de textiles y artesanías. Estos últimos lo vinculan también con el sector de comercio. Igualmente otros sectores altamente beneficiados por el turismo, son el sector de transportes; en la medida que aumente el flujo de turistas, mayor será la demanda de transporte aéreo, férreo y caminero; el sector de construcciones que genera un crecimiento en la oferta de servicios directos como hoteles y complementarios como centros de recreación y diversión; energía a través de un mayor consumo de éste servicio y comunicaciones que permite un flujo de conexión constante con los países de procedencia.El producto turístico que obtendremos será aprovechando al máximo los (recursos naturales o artificiales, arqueología como valor histórico y turístico) que hacen de ese lugar un atractivo para su visita y el individuo pueda satisfacer plenamente sus actividades y motivaciones turísticas.Todo proyecto va a incidir en la zona de localización ya sea de forma positiva como negativa: La positiva, de desarrollo económico, social, cultural y de adelanto a la población; La negativa, incremento del costo de la vida, cambio en la actitud poblacional al adoptar en forma negativa estereotipos ajenos a su modo de ser.El tamaño del proyecto se define sobre una superficie de cinco hectáreas, donde existirán 10 cabañas 18 habitaciones simples y 14 habitaciones dobles esto en función al comportamiento del mercado objetivo, la vida útil es comprendida en un horizonte de 10 años. Donde la empresa, estará destinada al servicio de los turistas que visiten el complejo.Con el pasar de los años ya no será necesario la utilización del generador eléctrico, ya que con la implantación del complejo la población ira en pleno crecimiento y llegara la luz y otros servicios básicos necesarios.Como fuentes de ingreso se considero dos opciones, las cuales son: la venta en el propio complejo y las agencias de turismo. El estudio de mercado tiene como fin cuantificar y analizar la Demanda y la Oferta mediante los cuales se determinara: las condiciones del mercado a la que se introducirá la producción de servicio del proyecto, la capacidad del complejo y el precio adecuado para el servicio.  Asimismo analiza y describe las características del mercado objetivo y los mercados potenciales, como también el comportamiento según la proyección del mercado objetivo. Nuestros clientes serán: estudiantes del ciclo secundario y nivel universitario, de igual forma a la sociedad de la familia con capacidad de ahorro que optan por realizar un viaje, como también a los visitantes extranjeros que llegan a Bolivia en busca de aventura y conocimiento.Como factor de éxito se considero la riqueza vegetal (plantas frutales de chirimoya, mandarina, palta, naranja, su árbol tradicional chi`llijchi, a las laderas del rió), su riqueza mineral (oro), su riqueza arqueológica (antiguas misiones jesuíticas), su gente humilde y acogedora, sus costumbres y tradiciones, folklore (grupos musicales como Ayopayamanta),  hermosos paisajes, sus ríos, su playa de arena, sus cascadas. Como estrategia de promoción se usaran los distintos medios de comunicación, ya sea tanto en TV, Internet, prensa, radio a su vez los lanzamientos de paquetes turísticos.El complejo Turístico oferta  una gama de atractivos turísticos, en comparación con otros que ofertan una sola atracción a visitar. Contaremos con apoyo de profesionales como ser: Asesores legales, Arquitectos, Constructores, Bancos, ADVENIAT (Institución de Ayuda para la Iglesia de América Latina Alemania), ONGs, Guías Turísticos, Servicio de Transporte, Sector Comercio, Sector de Energía y Comunicación.La estructura organizacional considerada para la operación del complejo turístico es la estructura por funciones son los siguientes:·       Gerencia general·       Departamento de producción de servicios·       Departamento de comercialización. También se efectúa la determinación de los gastos generales del proyectoPor otro lado se estimó un total de 77.320 $US para la realización de gastos generales de administración, producción de servicios y comercialización, además se desarrolla las necesidades de mano de obra que requiere el proyecto, especificando cuales serán sus funcionesSe identificó un total de 14 personas en la empresa, de las cuales seis pertenecen a  mano de obra directa y ocho a mano de obra indirecta. Determinando también el costo que implica el pago de sueldos y salarios asciende a 33696 $US anuales.La selección de mano de obra será de acuerdo a las funciones y requisitos necesarios, por parte de la empresa.  La selección y admisión del personal administrativo se llevará a cabo bajo el sistema de evaluación del curriculum vitae, complementando con entrevistas personales.  El plan del proyecto contempla la parte de ejecución, programada en la parte de diseño para que el proyecto entre en la ejecución propiamente dicha, es decir, que entre en la parte operativa de construcción y posteriormente en funcionamiento. Dicha construcción es programada para ser ejecutada en el año cero del proyecto, de modo que a partir del primer año entre en funcionamiento, vale decir, todas las construcciones, capacitación al personal deben ser efectuadas en el año cero, para el cual se requiere una inversión previa de 124.203 $US.El monto total de inversión es de  225.825 $US, de los cuales 13.3 % (30110 $US) estará financiado por aporte propio de los socios inversionistas, 20 % (45165 $US) serán donaciones Alemanas “ADVENIAT” que es una Institución de Ayuda para la Iglesia de América Latina Alemania, 60 % (135495 $US) por una entidad financiera Banco y el restante una ONGs Internacional con un 6% (15055).</t>
  </si>
  <si>
    <t>https://drive.google.com/file/d/1O9fxfPl99Q48QZor_mKp_RuYyq5a3MU4/view?usp=sharing</t>
  </si>
  <si>
    <t>FERRUFINO CAMACHO LIZETH XIMENA</t>
  </si>
  <si>
    <t>MGR. ING. MARÍA DEL CARMEN ARNÉZ CAMACHO</t>
  </si>
  <si>
    <t>ESTRATEGIA DE COMERCIALIZACIÓN PARA LA PLANTA DISTRIBUIDORA DE GAS LICUADO DE PETRÓLEO FERRO GAS EN EL DEPARTAMENTO DE COCHABAMBA</t>
  </si>
  <si>
    <t>liz_ferrufino@hotmail.com</t>
  </si>
  <si>
    <t>IND-116-2005</t>
  </si>
  <si>
    <t>Estrategia De Comercialización - Gas Natural De Petróleo - Cochabamba</t>
  </si>
  <si>
    <t>La actividad hidrocarburífera, en Bolivia, se caracteriza principalmente por la producción, distribución y venta de combustibles como la gasolina, diesel, gas licuado y gas natural. la comercialización de gasolina y diesel, han desarrollado la extensa red de estaciones de servicios, y paralelamente a ellos la distribución de gas licuado de petróleo (GLP.), ha desarrollado la presencia de un creciente número de empresas distribuidoras de GLP en garrafas. No obstante de la reciente implementación de redes de gas natural domiciliario, el consumo de GLP, sigue creciendo porque el consumo de las familias incrementa de manera más acelerada que el desarrollo planificado de la red domiciliaria. según la superintendencia de hidrocarburos, es poco probable que el consumo de GLP sea superado por el consumo de gas natural. parte de la responsabilidad de este hecho, radica en el sistema de distribución y el tipo de atención otorgado al cliente. actualmente, existe una creciente competencia entre las empresas distribuidoras de GLP, en este sentido, la empresa ferro gas objeto de estudio de este trabajo, es parte de las empresas que venden más garrafas, sin embargo, existen otras empresas que están invirtiendo más y están organizándose mejor en el área comercial, por tanto, el presente proyecto de grado propone un conjunto de estrategias de comercialización consistentes en la elaboración un plan de distribución y ventas y de un manual de gestión y procedimientos  para el área comercial que tiendan a mejorar las oportunidades de mercado de dicha empresa.</t>
  </si>
  <si>
    <t>https://drive.google.com/file/d/117q7t5DOwt4OB80OY8T6R8UH_ChUJOTM/view?usp=sharing</t>
  </si>
  <si>
    <t>AMPUERO CALANI CARLA</t>
  </si>
  <si>
    <t>SALAZAR NUMBELA ALEJANDRO</t>
  </si>
  <si>
    <t>DISEÑO Y DESARROLLO DE UN SISTEMA DE GESTIÓN DE LA CALIDAD BASADO EN LA NORMA NB ISO 9001:2000 PARA CURTIEMBRE Y MANUFACTURA CURMA SRL. (DOCUMENTACIÓN DEL SISTEMA)</t>
  </si>
  <si>
    <t>carla_ampuero@hotmail.com</t>
  </si>
  <si>
    <t>IND-117-2005</t>
  </si>
  <si>
    <t>Sistema de Gestión de la Calidad, Manual de la Calidad</t>
  </si>
  <si>
    <t>El crecimiento de los mercados y el aumento de las exigencias y expectativas  de los clientes, se hace cada vez más evidente,  mas aun por los cambios y corrientes que están surgiendo en la economía mundial, obligando a las empresas a ser cada día más competitivas  en precio y calidad.Curtiembre y manufactura "CURMA SRL."  es conciente de estas transformaciones y nuevas tendencias y es así que pretende la adopción de una sistema de gestión calidad que le ayude a incrementar su productividad, mejorando sus procesos  y la calidad de su producto final.El informe de evaluación mostró que la empresa “Curtiembre y Manufactura CURMA SRL.” posee un Sistema que cumple los requisitos de la Norma en un porcentaje demasiado bajo, La mayor de las dificultades es La medición de los resultados y la Medición análisis y Mejora, con porcentajes de cumplimiento de por debajo del 10 %,  pese a las dificultades y los tropiezos del sistema, se cuenta con porcentajes algo favorable como La realización  del producto, que es necesario trabajarlos y concentrar esfuerzos para lograr la conformidad requerida.Posteriormente se definieron los aspectos estratégicos más importantes de la empresa, es decir, la Misión y la Visión, la Política y los Objetivos de la Calidad, así como la. Estructura Organizacional orientada hacia el reconocimiento de su competencia.Luego se definió el alcance del sistema. La metodología utilizada en el desarrollo del sistema de Gestión de Calidad fue dividida en cinco etapas basadas en el ciclo de calidad de Deming, dichas etapas son las siguientes:© Etapa IIdentificación del estado real de la empresa con referencia a las especificaciones de la norma ISO 9001:2000§  Recolección de información§  Levantamiento de datos§  Evaluación de datos§  Informe del diagnostico realizado© Etapa IIo   Análisis de las necesidades de la documentación. o   Elaboración del  programa de actividades para el desarrollo de la documentación.§  Conformación del Comité de Calidad.§  Programa de reuniones del Comité de calidad y procesos involucradas. §  Cronograma de Capacitacióno   Diseño del Sistema documental.o   Fases para la implementación del Sistema de Gestión de la Calidad. © Etapa IIIo   Cumplimiento de los programas y cronogramas realizados o   Recolección y toma de datos del Sistema.o   Desarrollo del Sistema documental.o   Fases de implementación de Sistema de Gestión de la Calidad. © Etapa IVo   Evaluación de las actividades realizadas.o   Revisión y validación de la documentación elaborada.o   Auditorias internas.© Etapa Vo   Corrección de fallas para la mejora continúa del sistema. o   Acciones Preventivas. Una vez concluido con el sistema documental se prosiguió a realizar un análisis de los costos en los que se incurrirá y se dividieron en 3 Categorías:1.     Costos de implementación 2.     Costos de Mantenimiento y Mejora.3.     Costos por Certificación De donde se concluye que los Costos Totales que involucran la implementación de un SGC se resumen en:ImplementaciónMantenimiento y mejoraCertificaciónTOTAL ($US)Finalmente se concluye la elaboración de la documentación necesaria para el Sistema, dando los lineamientos y las recomendaciones a seguir para su correcta utilización por parte del personal de la empresa.</t>
  </si>
  <si>
    <t>https://drive.google.com/file/d/1QqJJE3qJ_uOlSLjkDdqL1XowjNfvta8v/view?usp=sharing</t>
  </si>
  <si>
    <t>HEIDY ALEJANDRA PACHECO VILLAZÓN</t>
  </si>
  <si>
    <t>MARIA SANDRA ROJAS SILES</t>
  </si>
  <si>
    <t>DISEÑO DE UN PLAN ESTRATÉGICO DE MARKETING PARA LA GRANJA MODELO PAIRUMANI</t>
  </si>
  <si>
    <t>sanndy.777@hotmail.com</t>
  </si>
  <si>
    <t>IND-118-2005</t>
  </si>
  <si>
    <t>Marketing, Estratégico, Operativo, Agrobiológico, Granja.</t>
  </si>
  <si>
    <t>El presente trabajo tiene como objetivo general Diseñar un Plan Estratégico y Operativo de Marketing para la Granja Modelo Pairumani.La información básica para la evaluación del negocio que consistió en realizar un análisis del ambiente interno y externo se obtuvo mediante entrevistas con personas que trabajan en el medio, observación y fuentes secundarias. Por otro lado, se procedió a realizar encuestas en la provincia Cercado de la ciudad de Cochabamba por distritos, determinándose que es de suma importancia mejorar la fuerza de ventas, publicidad, y darse a conocer en el mercado meta primario y secundario.En función a la problemática mencionada se realizó el estudio de mercado para determinar las exigencias y expectativas del consumidor para los productos agrobiológicos PAIRUMANI. Para realizar la segmentación de mercado objetivo para la Granja se determinó a través del método AFC (análisis factorial de correspondencia simple).Posteriormente se realizó un Focus Group para poder determinar las expectativas del consumidor con respecto a los productos lácteos. Por último se realizó pruebas sensoriales para el yogurt determinado a través del método ACP (análisis de componentes principales).Para cumplir con la formulación de las estrategias se siguió un modelo de administración estratégica orientada al mercadeo. Para la obtención de los tipos de estrategias se siguió un método constituido en tres etapas: la etapa de los insumos, la etapa de adecuación, y la etapa de decisión. A partir de las cuales se determinó seguir las estrategias de Diferenciación del Producto, Penetración en el Mercado, y Diversificación de Producto.En base a  las conclusiones anteriores se desarrollo un Plan Operativo utilizando  las cuatro variables de Mercadotecnia: Precio, Producto, Plaza, y Promoción; esto con el objetivo de incrementar su participación en el mercado regional de productos lácteos agrobiológicos PAIRUMANI.La evaluación económica dio como resultado una TIR de 30.05%, VAN de 121.394 y una relación de B/C de 1.64, a partir de este análisis se determinó la viabilidad del proyecto.</t>
  </si>
  <si>
    <t>https://drive.google.com/file/d/1WPAfKjkw_5NDOO8_QIeyyF96MkvwR28_/view?usp=sharing</t>
  </si>
  <si>
    <t>VARGAS ZAPATA VICTOR HUGO</t>
  </si>
  <si>
    <t>INGENIERÍA DE MÉTODOS APLICADA A LA INDUSTRIA DE LA CERÁMICA ROJA (COBOCE - CERAMIL)</t>
  </si>
  <si>
    <t>victorhugov@hotmail.com</t>
  </si>
  <si>
    <t>IND-119-2005</t>
  </si>
  <si>
    <t>Arcilla, productividad, ingeniería de métodos, cursograma sinóptico, cursograma analítico, diagrama de recorrido.</t>
  </si>
  <si>
    <t>Este proyecto de grado  consta de  un volumen que fue elaborado con la información proporcionada por la empresa COBOCE – CERAMIL. El objetivo que se persigue al elaborar este documento es mejorar el proceso productivo de la fábrica de productos cerámicos a base de arcilla. Mediante el documento se pretende plantear mejoras en la fabrica COBOCE – CERAMIL, para que contribuya a una mejor elaboración de tejas y ladrillos de arcilla procesada y al mismo tiempo tenga un efecto positivo en las utilidades de la empresa</t>
  </si>
  <si>
    <t>https://drive.google.com/file/d/1vdBk-Or5mJKChS8Ff3fjjKOoVlzy2h5B/view?usp=sharing</t>
  </si>
  <si>
    <t>ECHEVERRIA HERRERA RODRIGO CARLOS</t>
  </si>
  <si>
    <t>MODELO DE SEGURIDAD INDUSTRIAL PARA LA EMPRESA MEGHER SRL.</t>
  </si>
  <si>
    <t>I-2006</t>
  </si>
  <si>
    <t>echeco-rodrigo@hotmail.com</t>
  </si>
  <si>
    <t>IND-120-2006</t>
  </si>
  <si>
    <t>Fase, Seguridad, Protección, Indumentaria, Intoxicación, Quemadura,Electrocutación, Tabulaciones, Encuestas</t>
  </si>
  <si>
    <t>La empresa MEGHER SRL. tiene la necesidad de implementar la seguridad industrial  al interior de la misma. El presente proyecto, se dividió en 3 fases:Fase I: recopilación de toda la información necesaria sobre seguridad industrial.Fase II: se analiza las actuales condiciones de seguridad industrial, se realiza una propuesta de un  modelo de seguridad industrial, que incluya propuestas de mejora en la indumentaria de protección, de la misma manera se realizara un manual que contenga las siguientes especificaciones:Ø  necesidades de un correcto almacenamiento.Ø  adecuadas condiciones de instalaciones eléctricas.Ø  programación de mantenimiento de las movilidadesØ  establecer condiciones de manejo adecuado de productos (tóxicos, explosivos y otros).Fase III: presentación del modelo de seguridad industrial para la empresa MEGHER SRL. Comparando las necesidades requeridas con las alternativas propuestas.   Realizar un estudio del costo que significaría la aplicación de este modelo</t>
  </si>
  <si>
    <t>https://drive.google.com/file/d/1M5jyhlnPAs2NMKI5j8e-g7Nul2nLD6zl/view?usp=sharing</t>
  </si>
  <si>
    <t>URQUIDI SANTISTEVAN LUIS RODRIGO</t>
  </si>
  <si>
    <t>ING. M. SC. MABEL MAGARIÑOS V.</t>
  </si>
  <si>
    <t>PLANIFICACIÓN Y CONTROL DE LA PRODUCCIÓN DE LA EMPRESA COBOCE-CERAMIL</t>
  </si>
  <si>
    <t>rodrigo_urquidi@hotmail.com</t>
  </si>
  <si>
    <t>IND-121-2006</t>
  </si>
  <si>
    <t>Planificación, control, producción, Coboce, Ceramil.</t>
  </si>
  <si>
    <t>En este trabajo se realizó una aplicación práctica de teoría y técnicas de planificación y control de la producción, como el Diagnóstico, los Pronósticos, el Plan agregado de producción, y la Administración de inventarios, para planificar la producción de la empresa COBOCE – CERAMIL. El mismo tiene como objetivo: Desarrollar un modelo para la planificación y control de la producción de la empresa COBOCE – CERAMIL. Y en él se resaltó la importancia de la inclusión del área de Planificación y Control de la Producción en la estructura de la empresa COBOCE – CERAMIL y en la de cualquier empresa en general.</t>
  </si>
  <si>
    <t>https://drive.google.com/file/d/1Y31uNk-H-jTxggFg75bzrHn2XKoUcTC5/view?usp=sharing</t>
  </si>
  <si>
    <t>LLANOS RIVERO YURI</t>
  </si>
  <si>
    <t>ESTUDIO DE FACTIBILIDAD PARA EL DESARROLLO DE UN PRODUCTO DULCE A PARTIR DE LA PULPA DE ARRACACHA (ARRACACIA XANTHORRIZA)</t>
  </si>
  <si>
    <t>yuri_llanos_rivero@hotmail.com</t>
  </si>
  <si>
    <t>IND-122-2006</t>
  </si>
  <si>
    <t>Proceso, arracacha, dulce</t>
  </si>
  <si>
    <t>El estudio nace en el  “Centro de Alimentos  y Productos Naturales (CAPN)”, en la necesidad de valorizar  el cultivo de la arracacha, para que exista una mayor difusión y utilización por parte de la población, de esta manera se pretende una mejora en los ingresos económicos de los productores que repercutirá en el nivel de vida de la región.Para ello se recurrió a un estudio de mercado orientado a productores y población para cuantificar la demanda, características de la competencia y los hábitos de consumo. Se procedió a desarrollar el nuevo producto (dulce de arracacha), realizando pruebas y ensayos, donde gracias a los  métodos de evaluación sensorial  se pudo medir  la calidad del producto y la aceptación por los consumidores.La ubicación propuesta mediante el método cualitativo determino el emplazamiento en  Sacaba (Av. Villazón km. 7 ½ ).Se ha determinado que los procesos involucrados son fáciles de realizar y para hacer frente a las inversiones se requiere $us. 26.662.-Financieramente el proyecto es atractivo al obtener un  TIR de 40%, VAN  $us 27.188..- y una Relación Beneficio/Costo de 1,28. Económicamente muestra los siguientes valores un TIRE de 43%, VANE de $us 31.514.- y una Relación de Beneficio/Costo de 1,21.Como resultado de la evaluación de impacto ambiental podemos afirmar  que el proyecto no ocasiona daños severos al medio ambiente, por tanto  es ambientalmente viable.Por todos los beneficios ya mencionados se  sugiere la implementación de este proyecto.</t>
  </si>
  <si>
    <t>https://drive.google.com/file/d/1tWekMxeYadJaAvdDfpe5r_qm8ihy7jFO/view?usp=sharing</t>
  </si>
  <si>
    <t>CARDOZO FUENTES PABLO</t>
  </si>
  <si>
    <t>LIC. OSCAR BUENDÍA M.</t>
  </si>
  <si>
    <t>MODELO HABITACIONAL FABRIL</t>
  </si>
  <si>
    <t>toto_2611@yahoo.es</t>
  </si>
  <si>
    <t>IND-123-2006</t>
  </si>
  <si>
    <t>Evaluación Financiera, Evaluación Socio – Económico, Déficit Habitacional, Análisis de Sensibilidad, Principio de Polivalencia</t>
  </si>
  <si>
    <t>El proyecto se desarrollo a partir de la necesidad de brindar al sector fabril, mejores condiciones de vida, favoreciendo el desarrollo humano y socio-económico del sector. Para ello se realizaron las siguientes tareas y actividades, de acuerdo al grado de complejidad de los requerimientos.·   Se determino que el déficit habitacional en el Departamento de Cochabamba llega a 170.051 unidades (48.25%), de los cuales existe un Déficit Cuantitativo de 33.050 viviendas (19.44%), que se debe a viviendas irrecuperables (es decir que cuentan con daños estructurales, como ser Pared, Techo y Piso Clasificados como malos).·   De acuerdo con los datos obtenidos en la Cámara de Industria se estimo que la recaudación del departamento de Cochabamba en el periodo Dic.’98 a Jun. 2004 llega a $us 10.949.462.- Por consiguiente con un promedio anual de $us 2.433.213.-, recaudación que se pretende destinar a la puesta en marcha de una solución habitacional en Cochabamba.·   Se estableció que las entidades financieras, cuentan con planes de crédito para la construcción de viviendas los cuales están por encima de la capacidad de ahorro de la mayor parte de la población; lo que crea un espacio en el mercado el cual no es satisfecho.·   Se ha detectado un potencial de demanda de 3.763 viviendas en el sector industrial, que representa el 11.38% del déficit habitacional cuantitativo del Departamento de Cochabamba.·   Los 61 empresarios que contestaron la encuesta,  están de acuerdo de que exista un programa que brinde una solución habitacional efectiva.·   Se plantea la construcción de por lo menos 1000 soluciones habitacionales. Por lo que se toma en cuenta tres zonas que son las más aconsejables para la construcción de las mismas; debiendo cumplir  ciertas  características zonales para que aumenten la atractividad del proyecto.·   Se establecieron alternativas de solución habitacional en 4 tipos de Unidades Habitacionales (Tres modelos de Viviendas Pareadas y Edificios de departamentos), que permitan al adjudicatario hacer una inversión acorde a sus ingresos detectados en la encuesta.Tomando en cuenta el nivel de ingresos de los fabriles, hace que la   Alternativa Nº I,  es la más factible. Teniendo que el Modelo Nº 1 puede ser aceptado por el 95 % del mercado, siendo el más recomendable para el proyecto.·   Los costos Indirectos permitirá cubrir los gastos, en el periodo de construcción, de Administración y los imprevistos en que se presenten en la ejecución del proyecto. Dando un mayor grado de elasticidad al proyecto.·   De acuerdo con los datos obtenidos en la encuesta, los aportes de las 61 empresas consultadas suman un valor de $us 51.664.- por mes, anualizado se tiene un monto de $us 619.968.-. Dato muy importante ya que corresponde solo al 32% de las empresas asociadas a la Cámara de Industria de Cochabamba.Por lo que el desarrollo de la Propuesta Nº I es la más conveniente para el proyecto puesto que presenta mayor factibilidad como lo muestran sus indicadores. ·   Al realizar el análisis de sensibilidad del proyecto se sustenta la factibilidad del proyecto, de modo que puede soportar fácilmente un incremento del 52.37% de incremento en el precio de los materiales de construcción; dando un nivel de riesgo mínimo. Por lo que se recomienda el desarrollo de la Alternativa Nº 1[1], ya que se adecua mejor a las necesidades del sector.</t>
  </si>
  <si>
    <t>https://drive.google.com/file/d/1I6QVYzVuuT4b6soeIDTAUeBLYmf8uwmp/view?usp=sharing</t>
  </si>
  <si>
    <t>GOYTIA SOTOMAYOR PAOLA KARINA</t>
  </si>
  <si>
    <t>ORTIZ PACHECO RODOLFO ALAN</t>
  </si>
  <si>
    <t>DISEÑO DE UN MODELO DE PLANIFICACIÓN ESTRATÉGICA PARA EL INTERNADO GERIÁTRICO HOGAR LUZ</t>
  </si>
  <si>
    <t>paolita_goytia@hotmail.com</t>
  </si>
  <si>
    <t>IND-124-2006</t>
  </si>
  <si>
    <t>Planificación estratégica, Institución de servicios geriátricos, Residencia Hogar.</t>
  </si>
  <si>
    <t>El internado Geriátrico Hogar Luz no cuenta en la actualidad con una estructura organizacional establecida, lo que ocasiona problemas a nivel interno, existe duplicidad de funciones y sobrecargas de trabajo, el desconocimiento de uso de herramientas estratégicas, puede provocar su perdida de liderazgo, considerando que existe la incursión de mucha competencia en el rubro geriátrico. De esta manera se aplicaron herramientas estratégicas que ayuden al Internado a vencer muchos de estos obstáculos, que son invisibles ante sus ojos, pero que sin embargo son de vital importancia para su sobrevivencia.La metodología que se utilizo para la aplicación de planes estratégicos que mejoren el funcionamiento y competitividad de la Institución fueron las siguientes:Primero se realizaron encuestas para el personal de la Institución para determinar su grado de satisfacción y compromiso que tienen con la Institución, identificar cuales son sus mayores conflictos.</t>
  </si>
  <si>
    <t>https://drive.google.com/file/d/1_NBBWYN_Z_v2epxPql59Arb7OZZQbsB1/view?usp=sharing</t>
  </si>
  <si>
    <t>ARAOZ GUTIERREZ FABIO JAVIER</t>
  </si>
  <si>
    <t>DESARROLLO DE UN PLAN ESTRATÉGICO DE COMERCIALIZACIÓN PARA LA NUEVA LÍNEA DE MATERIALES ELÉCTRICOS EN INDUSTRIAS SANKYO S.R.L.</t>
  </si>
  <si>
    <t>fabioag@argentina.com</t>
  </si>
  <si>
    <t>IND-125-2006</t>
  </si>
  <si>
    <t>Plan, Estrategia, Foda Estratégico, Afinación, Indicadores, Tabulación, Encuesta.</t>
  </si>
  <si>
    <t>En la actualidad el mercado de los materiales eléctricos esta en pleno crecimiento ya que la industria de la construcción se incrementa día a día. Es por esta razón que Industrias SANKYO S.R.L. tomo la decisión de crear la línea Sankyo lux para participar en el mercado de las ferreterías y el consumidor final en el cercado de la cuidad de Cochabamba. Esta empresa actualmente se encuentra en una posición débil, pero posee ventajas que no son aprovechadas. De acuerdo al estudio de mercado, se identifico que existe una gran demanda potencial.Es por esta razón que se  diseñó un plan estratégico de comercialización que identifica a los principales competidores y analiza los factores que los diferencian. El plan aprovecha las vitales ventajas de la empresa para proyectar un posicionamiento agresivo en el mercado meta, ofertando los productos de la línea Sankyo Lux a precios competitivos.El análisis financiero demostró la factibilidad del presente plan, es por esta razón que se concluye que SANKYO S.R.L. implemente y ponga en marcha el presente plan de comercialización.</t>
  </si>
  <si>
    <t>https://drive.google.com/file/d/1K_hfmZeQ3UGhFLFVTKJephPngzjZ3Rc9/view?usp=sharing</t>
  </si>
  <si>
    <t>JOSÉ GUILLERMO MENDIZÁBAL TERÁN</t>
  </si>
  <si>
    <t>DESARROLLO DE UN SISTEMA DE COSTEO ESTÁNDAR DE LA PRODUCCIÓN EN LA EMPRESA COBOCE – CERAMIL</t>
  </si>
  <si>
    <t>gui_chitos@hotmail.com</t>
  </si>
  <si>
    <t>IND-126-2006</t>
  </si>
  <si>
    <t>Costos estándares, costeo de la producción, sistema de costos,  contabilidad gerencial, estudio de tiempos, modelo, industria cerámica, COBOCE, CERAMIL.</t>
  </si>
  <si>
    <t>El método de costeo estándar de la producción es una herramienta desarrollada para lograr una mejor administración de los procesos de manufactura, comercialización y servicios, como también para optimizar la asignación de costos a los resultados de un proceso. Los costos estándares son aquellos que esperan lograrse en determinado proceso de producción en condiciones normales, es decir que son objetivos fijados por la gerencia que funcionan como controles para supervisar los resultados reales. El costeo basado en esta metodología esta relacionado con el costo por unidad y cumple básicamente el mismo propósito del presupuesto pudiendo usarse esta metodología para el control de costos, el costeo de inventarios, la planeación presupuestaria, la fijación de precios de los productos y el mantenimiento de registros.Como sistema de información, el sistema planteado captura, procesa, almacena y distribuye la información de costos para apoyar la toma de decisiones y el control de la empresa. Además este sistema está orientado a la contabilidad administrativa o gerencial, ya que no busca reemplazar los reportes elaborados por contabilidad en base a las normas y principios de contabilidad generalmente aceptados.El proyecto realizado busca la revisión de los métodos de costeo tradicional, que pueden llegar a ofrecer información distorsionada sobre el costo de los productos; y presenta una solución alternativa para la correcta asignación de los costos en la empresa COBOCE CERAMIL, una unidad fabril que elabora productos de cerámica roja estrusada en la ciudad de Cochabamba. Para la realización del presente trabajo se siguió la metodología de desarrollo de sistemas, siendo la primera etapa el relevamiento de las actividades productivas de la empresa y el diagnóstico de la situación y métodos actuales que se llevan a cabo en esta. Concluida esta etapa se procedió al planteamiento del problema central y el abordaje que se tomó para solucionarlo fue el diseño de un sistema de costeo de la producción basado en la técnica de costeo estándar.El marco teórico necesario para cumplir con los objetivos del sistema estuvo comprendido por tres ejes principales: la teoría de sistemas, la contabilidad de costos y el estudio del trabajo. De la aplicación de la medición del trabajo junto a otras herramientas estadísticas y de análisis se determinó los estándares que son necesarios en cada centro de costos para el funcionamiento del sistema. De la aplicación de la metodología del diseño de sistemas se obtuvo el diseño lógico y físico del sistema propuesto. Presentándolo según las especificaciones del análisis estructurado. También se plantea una posible plataforma de hardware y software que serán necesarios para su implementación y corrida.Finalmente se presenta un análisis de la factibilidad tanto técnica, económica y operacional de la implementación del sistema, concluyéndose la conveniencia de esta para la empresa.</t>
  </si>
  <si>
    <t>https://drive.google.com/file/d/1Ux8z9BLSU-jp0Jarz7h1wmLLQeNNQC20/view?usp=sharing</t>
  </si>
  <si>
    <t>CHAMBI SILVESTRE ISABEL</t>
  </si>
  <si>
    <t>ING. ANDRÉS ALBA CAMACHO</t>
  </si>
  <si>
    <t>DESARROLLO DE LAS BASES PARA UN SISTEMA DE GESTIÓN DE CALIDAD DEL DEPARTAMENTO DE PRODUCCIÓN DE GOMA Y PLÁSTICO DE LA EMPRESA MANUFACTURA BOLIVIANA S.A.</t>
  </si>
  <si>
    <t>isabel_chambi@hotmail.com</t>
  </si>
  <si>
    <t>IND-127-2006</t>
  </si>
  <si>
    <t>Universidad Mayor de San Simón (UMSS), calidad, sistemas, gestión, procedimientos, instructivos, registros, mapas de procesos, características de control, Norma ISO 9001:2000.</t>
  </si>
  <si>
    <t>La empresa Manufactura Boliviana S.A. no se cuenta con un Sistema de Gestión de Calidad, para la implementación de la misma, el Dpto. de Producción de Goma y Plástico contribuyo a cumplir con los requisitos de la Norma Internacional ISO 9001:2000. El Dpto. de Producción de Goma y Plástico, constituye dos secciones: Plástico y Goma, estas dos secciones en conjunto llegan a conformar cinco unidades de producción: Unidad de producción de: calzados procesados por inyección directa de suela en corte de textil, calzados inyectados de PVC, suelas inyectadas de PVC y TR, suelas prensadas de goma y sandalias hawaianas.Cada unidad de producción está conformada por una cadena de procesos interrelacionado. Los mismos que fueron identificados y descritos.Cada proceso para ser controlado debe de ser medido y para ser medido se estableció las unidades de medida que permitieron controlar las características o variables del proceso.El enfoque basado en procesos percibe la organización como un sistema interrelacionado de procesos, es este sentido que se desarrolló un modelo de procesos y el correspondiente Mapa de Procesos de la empresa clasificándose en procesos estratégicos, operativos y de soporte.El nivel de documentación que se desarrolló es la siguiente: manual de procedimientos, manual de instructivos visuales de trabajo, especificaciones de trabajo y registros. Cada documento elaborado está organizado en una misma estructura y formato, para el cumplimiento sistemático de la norma.La documentación que se elaboró para las bases del Sistema de Calidad del Dpto. de Producción de Goma y Plástico, tomando en cuenta el enfoque basado en procesos y según las normas ISO 9001:2000 fue:P  El Manual de Procedimientos y sus respectivos registros elaborado para las secciones Goma y PlásticoP  Instructivos Visuales de Trabajo elaborado para las secciones Goma y PlásticoP  Especificaciones de Trabajo elaborado para las secciones Goma y Plástico, Se realizó un análisis de los elementos de la Norma ISO 9001:2000, respecto a las actividades que se desarrollan en el Dpto. de Producción de Goma y Plástico y en general en los procesos de la empresa.</t>
  </si>
  <si>
    <t>https://drive.google.com/file/d/1z0ILxTtLJueLF1DSHuSxDKcQvVfqxLfD/view?usp=sharing</t>
  </si>
  <si>
    <t>TRAVESI VARGAS JESIE EUGENIA</t>
  </si>
  <si>
    <t>ING. FERNANDO PARDO</t>
  </si>
  <si>
    <t>DESARROLL0 DE UN MÓDULO DE EVALUACIÓN ECONÓMICA PARA EL MODELO DE APOYO PARA LA TOMA DE DECISIONES EN LA RENOVACIÓN DE EQUIPOS DE SUBESTACIONES DE TDE</t>
  </si>
  <si>
    <t>jessitat@hotmail.com</t>
  </si>
  <si>
    <t>IND-128-2006</t>
  </si>
  <si>
    <t>Reemplazo, Vida Económica, Vida Útil.</t>
  </si>
  <si>
    <t>La empresa TDE cuenta con equipos de subestación con mas de 40 años de funcionamiento, esto es una situación preocupante para la empresa ya que si los equipos no cumplen adecuadamente sus funciones la empresa no podría cumplir los estándares exigidos, es por esta razón que se debe realizar un análisis de reemplazo de los equipos y determinar el momento optimo de reemplazo en función al mínimo costo que pueden generar a la empresa, esto se realiza por medio del desarrollo de un modulo de evaluación económica, objetivo de este proyecto de grado. El presente trabajo desarrolló el modulo de evaluación económica el cual determino el tipo de análisis económico adecuado para lo equipos de subestación y su metodología, también realizo un análisis de los costos y valores residuales que generan estos equipos, determinando el método de proyección adecuado y su error de estimación, realizo el análisis de compatibilidad de los datos con el modulo y  diseño un programa en una hoja de calculo para facilitar el calculo de la vida económica. También su realizó el análisis de reemplazo de los transformadores de potencia de TDE, los cuales generaron el mismo resultado debido a la similitud de sus datos; la vida económica de estos equipos coincidió con su vida útil, esto debido a que los costos generados por los transformadores de potencia tienen un comportamiento casi constante en el tiempo.</t>
  </si>
  <si>
    <t>https://drive.google.com/file/d/1kY07tQA-65FmYIWPRPuc51eQC-L3xu80/view?usp=sharing</t>
  </si>
  <si>
    <t>MAMANI CHOQUE CARLOS DEMETRIO</t>
  </si>
  <si>
    <t>OPTIMIZACIÓN DEL PROCESO PRODUCTVO DE URNAS Y ATAÚDES DE LA EMPRESA MULTIAGRO S.A.</t>
  </si>
  <si>
    <t>cadmac@hotmail.com</t>
  </si>
  <si>
    <t>IND-129-2006</t>
  </si>
  <si>
    <t>Ficha técnica, estructura productiva, flujo eficiente.</t>
  </si>
  <si>
    <t>El trabajo realizado, consistió en hacer un análisis de los principales problemas del proceso productivo de urnas y ataúdes de la empresa Multiagro S.A. y desarrollar propuestas para solucionar estos problemas, mejorando la productividad y el rendimiento en áreas por ahora críticas de la unidad productiva.Entonces para abordar íntegramente este problema lo dividimos en dos aspectos esenciales: organizativos y productivos, pues el trabajo se enmarco de acuerdo a estos dos criterios. Para esto describimos en su totalidad al área y proceso productivo que nos permitió situarnos en el contexto de la empresa, realizada esta descripción apreciamos las necesidades más urgentes de la empresa, estas fueron percibiéndose por la producción de un contenedor de productos, tiempo en que se desarrollo el trabajo. Entonces ya entendido la magnitud y dimensión de los problemas ejecutamos la metodología, iniciando con los aspectos de organización reflejados en primera instancia en un manual de funciones, esto se logró con la participación del personal productivo por medio de entrevistas.Delimitadas las funciones trabajamos en la estructuración de una nueva sección de trabajo como Control de Calidad y Despacho, utilizamos para esto el enfoque sistémico analizando cada parte: entradas, procesos, salidas e indicadores de realimentación. Con las acciones anteriores concluimos el análisis organizacional y pasamos al operativo. En este caso nos basamos en la teoría de Estructura Productiva que enmarca al proceso en tres dimensiones: Calidad, Seguridad Industrial y Métodos de trabajo.Efectuando un estudio métodos a las secciones de trabajo se logró reducir el tiempo de producción a si mismo se rediseño el layout del área que permitan la producción de una mayor cantidad de productos.En cuanto a la Seguridad Industrial se inicia un programa que se desarrolla en cuatro meses, con la realización de cursos y talleres para el personal productivo, en ese tiempo se aplica también el contenido de los mismos como la instalación de un extinguidor y un botiquín de primeros auxilios. Mediante un análisis de maquinaria y equipos se desarrolla un programa de mantenimiento permanente que atiende a elementos críticos de falla.  Finalmente para el tema de calidad se inicia un programa el que debe desarrollarse en cuatro meses y es evaluado por un test de factores de desempeño al personal productivo del área.Todas estas acciones fueron evaluadas y realimentadas al proceso por el personal, mediante el buzón de sugerencias, que se instalo en la empresa para mejorar con la participación del personal, el proceso productivo.Sin duda alguna el logro más destacado del trabajo fue que: realizado en la producción de un primer contenedor a la culminación de este se logra obtener un segundo contrato para la elaboración de otro contenedor de productos, de mayor cantidad, que son producidos con mayor calidad.</t>
  </si>
  <si>
    <t>https://drive.google.com/file/d/1Kn_YUM4XNZXi78bgmI7ji0iuJxJmXaIU/view?usp=sharing</t>
  </si>
  <si>
    <t>LOPEZ NAVARRO LUIS CARLOS</t>
  </si>
  <si>
    <t>OPTIMIZACIÓN DE LA PRODUCTIVIDAD EN LA PLANTA PROCESADORA DE SEMILLAS PAIRUMANI</t>
  </si>
  <si>
    <t>luinav@hotmail.com</t>
  </si>
  <si>
    <t>IND-130-2006</t>
  </si>
  <si>
    <t>Centro de Semillas Pairumani (CPS), Programa de Mejora Continua de la Productividad (PMCP), Factor Humano, Factor Tecnológico y Factor Estructural, indicadores.</t>
  </si>
  <si>
    <t>El Objetivo del presente trabajo es planificar y ejecutar un programa de mejora continua de la productividad (PMCP) que incremente y optimice la Productividad en la PLANTA PROCESADORA DE SEMILLAS DE PAIRUMANI, en base a los 3 pilares fundamentales de la productividad: el factor tecnológico, el factor humano y el factor estructural, orientado a mejorar la eficiencia de la función producción en cada una de las fases del proceso productivo.Se ha Realizado la descripción detallada del proceso productivo a través del uso de herramientas de ingeniería de métodos determinándose Cursogramas Analíticos de materiales iniciales y mejorados, tiempos estándar. Se Realizó un diagnóstico general (auditoría PCE) presentándose problemas en los 3 factores que inciden directamente  en la productividad de la empresa. Para implementar Facultad de Ciencias y Tecnología (UMSS)Cochabamba - Boliviael PMCP, se comenzó diagnosticando la eficiencia de la función producción, para lo que se establecieron los indicadores de cada factor (tecnológico, humano y de dirección) que intervienen en la productividad, estableciendo también los rangos de aceptabilidad de dichos indicadores. Como resultado del diagnóstico de la productividad, se estableció que las fases del proceso productivo eran ineficientes, con eficiencias menores al 50 % y estaban limitadas principalmente por los métodos de trabajo, máquinas, ausencia de capacitación y la razón de ser del CSP.A través de un análisis de acuerdo a las metodologías de mejora continua, reingeniería y en función del diagnóstico inicial, se propusieron y ejecutaron mejoras en cada una de las fases del proceso productivo, lográndose evidenciar una mejora importante en la mayoría de los indicadores pasando de las fases productivas ineficientes a eficientes con limitaciones, después de la implementación.Para eliminar la ineficiencia del factor humano de la productividad, se ha implementado un programa de capacitación del personal en cultura de calidad, nociones de gestión estratégica  y motivación.Darle continuidad al PMCP haciendo girar el círculo de Deming para alcanzar cada vez mejores resultados. Ampliar los mercados finales de semilla certificada (exportar) con el objetivo de incrementar la capacidad utilizada del CSP. La planificación de la dirección se ve afectada en gran medida por la falta de seriedad de los productores asociados, sería bueno incrementar su sentimiento de compromiso y reducir la deserción, complementando los cursos de asistencia técnica con talleres motivacionales.</t>
  </si>
  <si>
    <t>https://drive.google.com/file/d/1cAsHjf7fn2hAH42GM5zUjDsPeF57vNGQ/view?usp=sharing</t>
  </si>
  <si>
    <t>https://drive.google.com/file/d/1hCUoaZDvM_lRUgq_NbqZcqnx1ZxaLjPa/view?usp=sharing</t>
  </si>
  <si>
    <t>JORGE ROLANDO GUZMÁN PÉREZ</t>
  </si>
  <si>
    <t>LIC. MSC. FERNANDO RICO NUMBELA</t>
  </si>
  <si>
    <t xml:space="preserve">DISEÑO  DE  UN  SISTEMA  DE  GESTIÓN  DE  CALIDAD  DEL PROCESO DE  FACTURACIÓN  DE   LA  COOPERATIVA DE TELECOMUNICACIONES  COCHABAMBA – COMTECO  BASADO EN  LA  NORMA ISO 9001:2000.
</t>
  </si>
  <si>
    <t>jorgitoguzman@gmail.com</t>
  </si>
  <si>
    <t>IND-131-2006</t>
  </si>
  <si>
    <t>Facturación, Diagnóstico de Calidad, Gestión de Calidad, Auditoria de Calidad, Costos de Calidad.</t>
  </si>
  <si>
    <t>Se desarrolló el diseño e implementación de un sistema de gestión de calidad para el proceso de facturación de COMTECO en base a la norma ISO 9001:2000.Se realizó un  diagnóstico de calidad soportado bajo cuatro pilares fundamentales: Diagnóstico según la norma ISO 9001:2000; es decir se evaluó en esta etapa los requisitos generales del sistema de gestión, la responsabilidad de la dirección, gestión de los recursos y la  realización del producto.Se realizó un análisis de la percepción del cliente a través del diseño de una encuesta, el procesamiento de datos y el análisis e interpretación de los resultados.Se detectaron los principales problemas relacionados al proceso de facturación.Se realizó un estudio de la información de los reclamos de facturación con el fin de determinar la causa de los mismos. Posteriormente se efectuó un plan de implementación y se realizó el desarrollo del sistema de gestión de calidad; es decir el cumplimiento de la estructura documental exigida por la norma ISO 9001:2000: Manual de Calidad, Plan de Calidad, Manual de Procedimientos y una descripción de los procedimientos de control; resaltando que al implementar todos estos requerimientos  permitieron brindar solución a los problemas detectados en el diagnóstico de calidad.Conjuntamente se  elaboró una comparación entre la situación anterior y actual una vez implementada la gestión por procesos.Asimismo se efectuó una auditoria interna de verificación en base a la norma ISO 19011:2002, con el fin de detectar no conformidades y/o observaciones  en el sistema de calidad implantado.Finalmente se realizó un análisis de los costos de calidad; disgregando los mismos en costos de diseño,  prevención, evaluación, costos por fallas internas y costos por  fallas externas; además de los beneficios esperados con la implementación del sistema de gestión de calidad.A través de la implementación del sistema de gestión de calidad se mejorará la percepción del cliente respecto a la facturación; se incrementará la productividad aumentando la competitividad por la reducción de costos y por consiguiente COMTECO incrementará sus beneficios y su estabilidad en el mercado.</t>
  </si>
  <si>
    <t>https://drive.google.com/file/d/18PvskTVQWky1PTEdpSAOfRJmVRknN_ZN/view?usp=sharing</t>
  </si>
  <si>
    <t>VIOLETA MARGARITA POZO VALESQUEZ</t>
  </si>
  <si>
    <t>ING. LUÍS EDUARDO TERRAZAS ROJAS</t>
  </si>
  <si>
    <t>ESTUDIO DE REINGENIERÍA PARA EL MEJORAMIENTO DE LA EFICIENCIA ADMINISTRATIVA DE COMTECO LTDA.</t>
  </si>
  <si>
    <t>violepozo@yahoo.com</t>
  </si>
  <si>
    <t>IND-132-2006</t>
  </si>
  <si>
    <t>Mecánica Automotriz, Diagrama de Causas-Efectos, Cursograma Analítico, Cursograma Sinóptico, Tiempo Estándar, Tiempo Normal, Balanceo de Línea, Manual de Procedimientos, Manual de Funciones, Talleres, Costo de Operación.</t>
  </si>
  <si>
    <t>El Sector Talleres y Transporte de Comteco Ltda. ha visto por conveniente realizar un estudio de reingeniería debido a la existencia de reclamos permanentes de los clientes internos, como también la infraestructura y por tanto, los ambientes y las condiciones de trabajo.Primeramente se realizó un diagnóstico de la situación actual del Sector Talleres y Transporte de Comteco Ltda., y se recabo la información disponible acerca de las actividades, procesos de las actividades, la organización actual del sector, etc. Todo ello con el fin de establecer el modelo actual del servicio que presta, a través del diagrama de causas y efectos de todo el sector de talleres. En función a este análisis se podrá determinar las posibles soluciones al problema.También se realizó el proceso que sigue cada actividad en base a herramientas que muestren la secuencia de las operaciones y los problemas que se susciten: demoras, acumulación de trabajo, etc.; mediante el uso de cursogramas analíticos, cursogramas sinópticos y diagramas de recorrido.Se registro y se observo claramente como es el método actual de trabajo de la sección.Se segmentó el trabajo en elementos (elementos son agrupaciones de movimientos básicos).En el siguiente paso se procedió a la medición de la cantidad de trabajo que se requiere, para esta medición se usara la técnica del estudio de movimientos.Con los datos recabados se procedió a la determinación de tolerancias y suplementos para modificar tiempos de acuerdo a las distintas situaciones, se estableció el tiempo estándar de cada actividad y se definieron las condiciones sobre las cuales, se aplico el tiempo estándar. Mediante un análisis de todos los datos recabados se procedió a la eliminación de tiempos asocios, operaciones y recorridos innecesarios, logrando así una mejora en el proceso de las actividades así como también una nueva distribución en planta.Con la elaboración del manual de funciones y procedimientos el personal sabrá que funciones debe de cumplir, que actividades debe de seguir y que apoyo deben de recibir en su sector.Se calculó el costo de operación para cada actividad y se compararon estos costos con los de otro taller, observándose una reducción en los costos el cual indica que a la empresa no le conviene terciarizar dicho sector.</t>
  </si>
  <si>
    <t>https://drive.google.com/file/d/1OEe1AQ5hW1Rgq28dH9nAdq2gHhE4_P1D/view?usp=sharing</t>
  </si>
  <si>
    <t>COCA CLAROS JULIO JORGE</t>
  </si>
  <si>
    <t>ING. VIRGINIA VARGAS</t>
  </si>
  <si>
    <t>ANÁLISIS DE LA CULTURA Y EL CLIMA ORGANIZACIONAL EN EL CENTRO DE TECNOLOGÍA AGROINDUSTRIAL</t>
  </si>
  <si>
    <t>julio_yng@ hotmail.com</t>
  </si>
  <si>
    <t>IND-133-2006</t>
  </si>
  <si>
    <t>Comportamiento Organizacional, Clima organizacional, Cultura Organizacional.</t>
  </si>
  <si>
    <t>La materia de comportamiento organizacional abarca  una amplia variedad de temas, dentro de estos se encuentra el que se refiere  al clima, la cultura, el desarrollo y  el cambio en las organizaciones o empresas. Para comprender la importancia del tema que se propuso,  en este trabajo de investigación; se deben escudriñar los conceptos referidos a cultura, clima organizacional y eficacia, puntos centrales de este estudio.A principios de la década 1980, a iniciativa de autoridades facultativas y universitarias de la UMSS, se crean las primeras unidades de investigación, entre las que se encuentra el Centro de Tecnología Agroindustrial llamado en principio Programa Agroquímico, para fortalecer la formación académica tradicional, mediante la participación de docentes y estudiantes en procesos de búsqueda de soluciones a problemas de la sociedad a través de actividades de investigación. A medida que se ganaba experiencia, la cooperación internacional en general y la interuniversitaria en particular empezó a jugar un rol preponderante tanto en la cooperación recíproca como en el financiamiento de programas y proyectos de diversa índole.Algunos resultados exitosos y la experiencia ganada por los investigadores permitieron generar en algunos países, principalmente europeos, una predisposición favorable para considerar a la UMSS dentro de sus planes de cooperación interuniversitaria.Actualmente estas y otras unidades de investigación que fueron formándose en el tiempo, se encuentran estancadas en relación a los años anteriores, debido a la influencia de factores internos y externos  que afectan el desempeño del personal, provocando fenómenos como desmotivación, insatisfacción, etc.Para el análisis realizado en este centro ya mencionado se las dividió en cuatro fases, donde es implícito las Técnicas y los conocimientos científicos empleados en este fin.FASE 1.- Identificación del conjunto de variables relevantes.FASE 2.- Se realizó la validación de las variables seleccionadas a través de entrevistas y reuniones de análisis.FASE 3.- Diseño, selección de la muestra y recolección de la información.FASE 4.- Se entregó resultados que incluye una descripción de las variables estudiadas, conclusiones sobre las fortalezas y debilidades y recomendaciones generales y específicas.Este proceso mencionado permitió conocer las variables mas afectadas y se concluyo con una Propuesta  de Cambio, para que esta organización fortalezca sus estrategias en miras a conseguir su visión y por ende sus metas a lograr.</t>
  </si>
  <si>
    <t>https://drive.google.com/file/d/1c-s6rDoRK1PV1-UYGIwEaA5_G8kCsLhv/view?usp=sharing</t>
  </si>
  <si>
    <t>https://drive.google.com/file/d/1Q-BEfAcQfM3qGr5KIZNX1GiEpsVngcLr/view?usp=sharing</t>
  </si>
  <si>
    <t>LENY MÍLDRED QUIROGA MENDOZA</t>
  </si>
  <si>
    <t>PLAN DE NEGOCIOS PARA EL DESARROLLO Y POSICIONAMIENTO DE LA EMPRESA PRODUCTORA DE SAL “SAN JOAQUÍN”.</t>
  </si>
  <si>
    <t>mildredquirogamendoza @hotmail.com</t>
  </si>
  <si>
    <t>IND-134-2006</t>
  </si>
  <si>
    <t>PLAN DE NEGOCIOS</t>
  </si>
  <si>
    <t>Oferta, Demanda, Marketing, Consumidores, Estrategia, Mercado</t>
  </si>
  <si>
    <t>El objetivo general de este Proyecto fue elaborar un plan de negocios con orientación específica de mercado, para que le permita a la empresa productora de “SAL SAN JOAQUÍN”, ser competitiva en el entorno que se desarrollan sus actividades y logre posicionarse en un mercado potencial.Para este fin se desarrollo se utilizo lo que es el Marketing Estratégico con fines de determinar el campo de desarrollo, estructura de dirección sobre la base de misión, visión y valores de la empresa y el planteamiento de políticas y estrategias dirigidas al mercado.La metodología de investigación que se utilizó en el presente trabajo comprendió las etapas de análisis de la situación interna de la empresa, establecimientos de las líneas de acción, estructura del plan de desarrollo empresarial y estructura presupuestaría.Con este planteamiento se pretendió el siguiente resultado: llegar a la meta de desarrollo y posicionamiento en el mercado potencial,En esa etapa de la investigación se realizo mediante encuestas realizadas del producto, precio, consumidores, competidores; es decir un análisis de mercado.Se concluyo, por medio del análisis realizado al sector productor de sal; que ninguna hace marketing estratégico.Se recomendó poner a la brevedad en marcha el Plan de Negocios propuesto ya que las líneas de acción concretaran las metas propuestas.</t>
  </si>
  <si>
    <t>https://drive.google.com/file/d/1WwQPeiBwl_0j6MaBEiQ5h7UkRrqkVPl9/view?usp=sharing</t>
  </si>
  <si>
    <t>https://drive.google.com/file/d/16R4aOfH839QB3CnSp7s7eKaqwob77dTA/view?usp=sharing</t>
  </si>
  <si>
    <t>ORTUÑO GUARDIA VANIA MILENKA</t>
  </si>
  <si>
    <t>ING. FEDERICO YRIBERRY PAZ SOLDAN</t>
  </si>
  <si>
    <t>DISEÑO Y DESARROLLO DE PALLETS PLÁSTICOS EN LA LÍNEA DE ROTOMOLDEO DE INDUSTRIAS DURALIT S.A.</t>
  </si>
  <si>
    <t>vaniamilenka@yahoo.es</t>
  </si>
  <si>
    <t>IND-135-2006</t>
  </si>
  <si>
    <t>Rotomoldeo, NIMF-15, Pallet, Procesos Productivo, Balanceado, Control de Calidad.</t>
  </si>
  <si>
    <t>El rotomoldeo  es  un moldeado a baja presión lo que permite la reutilización  de su materia prima,  el rotomoldeo o  moldeo rotacional consiste  en fundir materia prima en polvo dentro de un molde hueco y cerrado, que gira al rededor de dos ejes vertical y horizontal, para luego introducirlo en un horno.Para  empezar con el  proceso de  diseño y desarrollo se realizó el respectivo llenado de la hoja de partida siendo este un registro utilizado en el proceso de diseño y desarrollo. Esta hoja es debidamente llenada por el área Comercial y Técnica, especificando los requisitos funcionales, físicos, de apariencia y generales con su respectivo bosquejo, se procedió a la recopilación de ideas y características más importantes a partir de las cuales se fueron dando forma a los diversos prototipos de diseño que tendrá el Pallet Plástico. Posteriormente se realizó la evaluación y selección del diseño del pallet plástico, así empezar con la etapa de ingeniería del producto en la cual se realiza un diseño de tallado del molde, una vez que los encargados del área técnica y comercial, hayan  revisado, validado y aprobado los planos de los moldes son entregados al proveedor.Cuando el molde llegó a la empresa esta  se comprobó cada uno de sus componentes y tolerancias  sean correctas, inmediatamente se procedió a la limpieza e instalación del mismo en el brazo de la máquina previamente balanceado , así se empezó con la producción piloto del pallet plástico y de forma paralela se realizó el control de calidad lo que ayudo a modificaciones en el molde y en la receta de la misma. Se procedió a la realización de cada una de las etapas de rotomoldeo como son:·       Llenado del Molde. Donde  se carga en el interior  polietileno lineal de media densidad en polvo. ·       Cierre del Molde. Se  verificó que  las mordazas estén bien ajustadas, que  las dos mitades estén  debidamente alineadas,  y el respiradero no este  obstruido, esto para  evitar dañar el molde ·       Etapa de Calentamiento. Una vez preparado el molde, se introduce  en el horno  donde se somete a la aplicación de calor y simultáneamente se hace rotar sobre dos ejes perpendiculares a fin de permitir que el material se vaya adhiriendo poco a poco a la pared interna. ·       Etapa de Enfriamiento. Cuando todo el material plástico tomo la forma interna del molde, se procedió al enfriamiento natural y el enfriamiento forzado para que se endurezca y quede terminado con las características buscadas·       Descarga del Molde. Una vez que el molde se encontrará semicaliente, a una temperatura entre los 50 a 60°C, es el momento donde el molde puede ser abierto esto permitió un mejor manipuleo de la pieza al estar menos rígida siendo su remoción sencilla y fácil.Una vez que se obtuvo el pallet plástico se empezó con el control y evaluación de calidad, para esto se realizó  las siguientes pruebas: Ø  Verificación de Peso y DimensionesØ  Dispersión de la materia prima.Ø  Verificación de la resistencia  y rigidez.Ø  Verificación de los espesores Cada una de estas pruebas permitió obtener un pallet plástico de calidad, durable, fácil de  ser limpiado y capaz de resistir hasta  dos  toneladas  de carga distribuida de forma uniforme sobre su  superficie, siendo este producto  capaz de sustituir a los pallets de madera que actualmente tiene que atender  las nuevas  reglamentaciones fitosanitarias NIMF-15. Para finalizar se realizó  una investigación de mercados la cual permitió encontrar otros mercados potenciales, así también  ayudo a obtener una retroalimentación y sugerencias  en cuanto a posibles modificaciones  en el diseño del molde.</t>
  </si>
  <si>
    <t>https://drive.google.com/file/d/1VsXjzqaBxX4qKkxI17R2gc66bSz7DDA4/view?usp=sharing</t>
  </si>
  <si>
    <t>https://drive.google.com/file/d/173eatdx-IBU6OYbXfnb5Mts2w_0X0p9t/view?usp=sharing</t>
  </si>
  <si>
    <t>BRIAND QUIROGA LÓPEZ</t>
  </si>
  <si>
    <t>PROYECTO DE FACTIBILIDAD PARA LA INSTALACIÓN DE UNA PLANTA DE EMBUTIDOS TIPO VIENA EN BASE A LA CARNE DE LLAMA (LAMA GLAMA</t>
  </si>
  <si>
    <t>briand_ironman@hotmail.com</t>
  </si>
  <si>
    <t>IND-136-2006</t>
  </si>
  <si>
    <t>Embutido tipo Viena, Carne de llama, factibilidad, Cochabamba, Pruebas Organolépticas, estudio de Mercado, Tecnología de procesamiento, Evaluación Económica, Evaluación Financiera.</t>
  </si>
  <si>
    <t>Para la elaboración del proyecto se realizó una investigación sobre las características y disponibilidad de carne de llama en nuestro país; se determinó, además, las zonas de crianza de camélidos y la revisión de las normas de calidad impuestas por IBNORCA referentes a la carne de camélidos americanos.Posteriormente se efectuaron pruebas organolépticas utilizando los Métodos de Diferenciación, Descriptivos y Afectivos, mediante los Test dúo-trío, Test de puntaje compuesto y Test de escala hedónica. Estos test fueron aplicados tanto a un panel entrenado en degustaciones, como al público en general. De un grupo de tres muestras prototipo, se determinó que la Formulación 1 debería ser la formulación a ser producida por el presente proyecto, además de evidenciar el grado de aceptación del público por el producto.Se realizó un Estudio de Mercado, tomando como mercado objetivo la ciudad de Cochabamba; donde al no existir datos históricos de la demanda del producto, se procedió a realizar en primera instancia una encuesta piloto y posteriormente una encuesta definitiva, la misma que nos permitió determinar la demanda de embutidos tipo Viena, y la disposición del público a consumir embutidos tipo Viena en base a la carne de llama.Seguidamente, se realizó la valoración cualitativa de características entre Oruro, Potosí y Cochabamba,  para concluir que la macro localización estará ubicada en Cochabamba y la micro localización ubicada en el municipio de Colcapirhua, ubicado sobre la vía de comunicación entre Cochabamba (Mercado Objetivo) y Oruro (Centro de acopio de materia prima).Se determinó el proceso productivo de los embutidos tipo Viena de la formulación seleccionada luego de los análisis sensoriales; formulación compuesta por un 50% de carne de llama sumando el otro 50% el restante de los insumos.·       Carne de llama·       Tocino·       Hielo·       Almidón·       Especias y condimentosSe procedió a determinar la organización del mismo, y realizar tanto el organigrama como el manual de funciones de cada cargo.Por último se procedió a realizar la evaluación tanto económica como financiera del proyecto, mediante el cálculo de la Tasa Interna de Retorno (TIR), Valor Actual Neto (VAN), relación Beneficio Costo y Recuperación de Capital o Pay Back, indicadores que nos mostraron la viabilidad del presente proyecto.En la evaluación financiera se procedió a realizar también un Análisis de Sensibilidad, el que determinó que el proyecto aún es viable frente a la variación significativa de diversos factores, como el Precio de Venta, Volumen de Producción, Costo de Mano de Obra, Costo de Materia Prima e Insumos.</t>
  </si>
  <si>
    <t>https://drive.google.com/file/d/1rti2N_H2jbA8PPqLSHdvISu9mmYoyX2A/view?usp=sharing</t>
  </si>
  <si>
    <t>https://drive.google.com/file/d/1_znziSjF4mta3H7kwiTQqXXe3wmvTonx/view?usp=sharing</t>
  </si>
  <si>
    <t>FRANCO DELGADILLO ROSEMARY</t>
  </si>
  <si>
    <t>DISEÑO DE UN SISTEMA DE CONTROL DE CALIDAD DE LA MATERIA PRIMA EN I L V A</t>
  </si>
  <si>
    <t>rose @hotmail.com</t>
  </si>
  <si>
    <t>IND-137-2006</t>
  </si>
  <si>
    <t>Control de Calidad, Procesos de Producción, Acidez, Estabilidad Proteica, HACCP, Manuales de Procedimientos Operacionales Estandarizados de Sanidad (POES).</t>
  </si>
  <si>
    <t>Primeramente se realizó un diagnóstico del proceso de producción y de los Centros de Acopio de Industrias Lácteas del Valle Alto “ILVA”, lo que permitió identificar los problemas y falencias existentes en la calidad de la Materia Prima, mediante el análisis fisicoquímico de la Estabilidad proteica y la Acidez, además se realizó visitas de información a los socios reincidentes. Para lo cual se utilizó un registro donde se cuantifica la cantidad de Leche observada. Después del Diagnostico se realizó la evaluación tanto del proceso productivo como de los Centros de Acopio, lo que permitió mejorar la recepción de la materia prima en plataforma y mejorar las falencias existentes en producción en el desperdició de insumos y en la higiene de la planta de producción.  Después se procedió a realizar el diseño del sistema  para lo cual se tomo en cuenta a los Proveedores y a la Planta, en el primero se trabajo en la capacitación del manipuleo tanto de la materia prima como de los insumos que se utilizan y de la importancia de cuidar a su ganado, además se sugirió el trabajo conjunto entre proveedores y planta, la dotación de tanques de enfriamiento y ordeñadoras eléctricas.  En la planta se propusieron técnicas para mejorar la recepción en plataforma de la materia prima cuantificando la cantidad de microorganismos que contiene para el pago según la calidad de éste, dentro de la Planta se planteó la necesidad de aplicar el HACCP, para mejorar la calidad en el proceso productivo y de los productos finales, para lo cual se elaboraron:·       Manuales de Procedimientos Operacionales Estandarizados de Sanidad (POES) en base al estudio para la implementación de Buenas Prácticas de Higiene y Manufactura (BPH y BPM).·       Sistemas de control de calidad del producto terminado. ·       Se sugirió la capacitación y control del personal.Para finalizar el trabajo se realizó una capacitación al responsable de Control de Calidad sobre el manejo tanto de la Materia prima como de los registros que se utilizarán.</t>
  </si>
  <si>
    <t>https://drive.google.com/file/d/1--nFJR6DmE47j8UjuqgJNM6oIn6hXK3t/view?usp=sharing</t>
  </si>
  <si>
    <t>https://drive.google.com/file/d/1ondVrYzKVpCrAQV1WYCx9VUGr2FQBdBB/view?usp=sharing</t>
  </si>
  <si>
    <t>ROBERTO CARLOS GÓMEZ IPORRE</t>
  </si>
  <si>
    <t>RONALD MARCELO CHAVEZ RIVEROLA</t>
  </si>
  <si>
    <t>ING. RENÉ POZO</t>
  </si>
  <si>
    <t>ESTUDIO DE LA COMERCIALIZACIÓN DEL GRANO DE TRIGO DENTRO DE LA CADENA PRODUCTIVA PARA EL VALLE ALTO DE COCHABAMBA Y LA ELABORACIÓN DE UN PLAN ESTRATÉGICO EN BENEFICIO DEL PRODUCTOR</t>
  </si>
  <si>
    <t>don_bettone@hotmail.com</t>
  </si>
  <si>
    <t>IND-138-2006</t>
  </si>
  <si>
    <t>Comercialización de grano de trigo, cadena productiva, Valle Alto de Cochabamba, planificación estratégica.</t>
  </si>
  <si>
    <t>Primero se procedió a un diagnóstico del sistema de producción y comercialización del grano de trigo del Valle Alto de Cochabamba, donde se percato que la actividad agrícola en la zona de estudio, así como en todo el departamento de Cochabamba, tropieza con innumerables dificultades o problema, tanto de carácter climático, tecnológico, como político, económico y social. Por esto, el proceso productivo del grano de trigo se desarrolla deficientemente, debido especialmente a la práctica de una agricultura tradicional y a la carencia de incentivos económicos; así tenemos que las parcelas cultivadas con grano de trigo están dispersas por toda la región, aspecto que crea la dispersión de la oferta con los consiguientes problemas de concentración de la producción para su posterior distribución a los mercados consumidores, lo cual redunda en los aspectos cualitativos como cuantitativos del producto.Posterior mente para el estudio de comercialización se aplico los enfoques funcional y institucional donde nos muestra que el proceso de comercialización del productor de trigo confronta una serie de dificultades tales como la falta de vías de acceso al mercado, en donde el intermediario por el conocimiento que tiene en el mercado y la obtención de medios de transporte, como el manejo y propiedad de pesos y medida, hacen que los intermediarios les permita obtener un margen de comercialización ventajosa de Bs. 0.35 por Bs. 1 que paga el consumidor, ocasionando una perdida de precio justo al productor.Finalmente se hizo un plan estratégico para mejorar el actual proceso de comercialización del productor de grano de trigo del Valle Alto de Cochabamba, donde con la aplicación de los planes propuestos se podrá reflejar un mercado seguro, que absorberá la mayor parte de la producción del grano de trigo del campesino, lo que fortificará los ingresos y potencial económico de una vasta zona que hoy se encuentra deprimida.</t>
  </si>
  <si>
    <t>https://drive.google.com/file/d/1OVriZlkr4PKDcPHOiTrEzon0VyRS8l4p/view?usp=sharing</t>
  </si>
  <si>
    <t>https://drive.google.com/file/d/13qMO2qXGduyV_fFAOH5Cwl1m2MFnSTJ4/view?usp=sharing</t>
  </si>
  <si>
    <t>GUARDIA NIÑO DE GUZMAN SERGIO GONZALO</t>
  </si>
  <si>
    <t>CORDOVA GUARACHI MAURICIO JUSTINO</t>
  </si>
  <si>
    <t>ING. M.SC. MABEL MAGARIÑOS VILLARROEL</t>
  </si>
  <si>
    <t>ESTANDARIZACIÓN DE TIEMPOS - OPERACIONES Y SEGURIDAD INDUSTRIAL EN LA EMPRESA CÓRDOVA</t>
  </si>
  <si>
    <t>Mauricio_cordova_g@hotmail.com</t>
  </si>
  <si>
    <t>IND-139-2006</t>
  </si>
  <si>
    <t>Empresa CÓRDOVA, estudio de métodos, distribución de planta, estudio de tiempos, seguridad industrial.</t>
  </si>
  <si>
    <t>La empresa CÓRDOVA ha visto por conveniente mejorar el tiempo de producción, así como también la infraestructura y por tanto, el ambiente de trabajo en sus dos secciones. Primero se recabo la información disponible a cerca del proceso productivo, tipos de producto, la organización actual de la empresa, etc. Todo ello con el fin de ver la situación actual de la empresa, a  través de un análisis de fortalezas, oportunidades, debilidades y amenazas (FODA) de toda la planta. En función de este análisis se podrá determinar la estrategia que seguirá.También se analizó el proceso productivo en base a otro tipo de herramientas que muestran la secuencia de las operaciones y los problemas que se suscitan: demoras, cuello de botella, mala distribución de planta, etc;  mediante el uso de cursogramas sinópticos, analíticos, diagramas de recorrido, redistribución de planta, DAMON y DAME.Se registro y se observo claramente como es el método actual de trabajo en ambas secciones.En el siguiente paso se procedió a la medición de la cantidad de trabajo que se requiere para esta medición, se usara la técnica del estudio de tiempos.Con los datos recabados se procedió a la determinación  de tolerancias y suplementos para modificar tiempos de acuerdo a las distintas situaciones, se estableció el tiempo estándar o tiempo tipo de cada producto analizado, y se definieron las condiciones sobre las cuales se aplicó el tiempo estándar.Mediante un análisis de todos los datos recabados se procedió a la eliminación de tiempos ociosos, recorridos innecesarios, logrando así una mejora de la producción de la planta, así como también una nueva distribución en ésta.Posteriormente, se utilizó la metodología general del área de higiene industrial para no solo mejorar el proceso productivo sino también las condiciones del trabajador en toda la planta.Se estimó la reinversión que se propuso para las mejoras de la planta después se estimaron los costos anuales en  que incurre la empresa, además de los beneficios tangibles e intangibles que el proyecto daría, todo ello para determinar la viabilidad del proyecto a través de el método de flujo de caja diferencial que se aplica en proyectos de empresas en funcionamiento.</t>
  </si>
  <si>
    <t>https://drive.google.com/file/d/1DkRFsA-yCgT9LXrC7alSBAcH_OQxYpW3/view?usp=sharing</t>
  </si>
  <si>
    <t>https://drive.google.com/file/d/1IIfXjlQ7SAU4F7_UqHLHRf8hBQuey5SQ/view?usp=sharing</t>
  </si>
  <si>
    <t>TRIGO QUEZADA SAMUEL</t>
  </si>
  <si>
    <t>ING. CARLOS ALBERTO RODRÍGUEZ RAMÍREZ</t>
  </si>
  <si>
    <t>OPTIMIZACIÓN DEL PROCESO PRODUCTIVO Y MEJORA DE LAS CONDICIONES OCUPACIONALES EN LA LÍNEA DE PRODUCCIÓN DE GARRAFAS DE GLP EN LA FÁBRICA FANACIM SRL.</t>
  </si>
  <si>
    <t>II-2006</t>
  </si>
  <si>
    <t>sammytrigo@hotmail.com</t>
  </si>
  <si>
    <t>IND-140-2006</t>
  </si>
  <si>
    <t>Tratamiento Térmico, Asas, Tarado, Recalcificación, Balanceo,  Productividad, Riesgos, Análisis APR, Higiene Ocupacional, IBNORCA.</t>
  </si>
  <si>
    <t>La optimización en la producción de garrafas en FANACIM tanto en la línea de garrafas nuevas como recalificadas, se realizo con el fin de amentar la producción de garrafas en la fábrica y obtener mayores ingresos y benéficos que es el fin de cualquier negocio.Se realizo un diagnostico en la planta de producción, obteniéndose como resultado en dicho diagnostico retrocesos de material, mala distribución de planta, no estandarización de las operaciones y descuido en la higiene y salud ocupacional. En esta etapa se determinaron las herramientas a utilizar que son la ingeniería de métodos, reingeniería e higiene industrial con fin de mejorar la producción de garrafas de la empresa.La metodología consistió básicamente en: Estudio de métodos; que es el análisis de cada puesto de trabajos dentro la fábrica. Estudio de tiempos; que es las tomas de los tiempos de producción de cada puesto de trabajo, tanto en la fabricación de garrafas nuevas como en la recalcificación de las garrafas usadas, con el cual se determino el tiempo de ciclo de trabajo y un control de riesgos; con el cual se determinaron los riesgos inherentes a la fabricación de garrafas y los problemas que pueden causar a los trabajadores y sus efectos en al producción.Se plantearon las mejoras que consistieron en: redistribución de planta; re-ubicación de las maquinas dentro la fabrica de tal forma de mejorar la eficiencia con la reducción de retroceso de material transportado en la planta. Balanceo de línea; se balanceo las líneas de producción de garrafas con nueva distribución horaria y  tiempos extras de trabajo, con lo cual se llego a obtener mayor productividad y eficiencia en la producción de garrafas. Se propuso mejoras con respecto a la higiene industrial, en primer caso la eliminación de los riesgos específicos en varias secciones donde se presentaron estos problemas y en segundo adquisición de equipo de protección personal especificada para cada puesto de trabajo y sus formas de uso y mantenimiento.Se procedió a un análisis del impacto económico de las mejoras propuestas tanto en las inversiones necesarias, reducción de los costos, los benéficos recibidos y tiempo de implementación. Como conclusión se obtuvo una mejora de la producción de garrafas pasando en la producción de garrafas nuevas de 600 a 800 garrafas producidas en un día y de 600 a 700 garrafas recalificadas en un día, disminución de ausentismo laboral por lesiones y enfermedades con la aplicación de la higiene industrial, todo esto con el mismo numero de trabajadores y una reducción de los costos de mano de obra directa.Como ultimo se recomendó la aplicación de un programa de mantenimiento preventivo para las maquinas con el fin de reducir las perdidas de producción por falla de maquinaria, además de un de plan de incentivo y  realizar un control de la producción adecuado para la fabrica.</t>
  </si>
  <si>
    <t>https://drive.google.com/file/d/1_wqED_5Ic4aXzMrVpS1DROtH-MP8t2cA/view?usp=sharing</t>
  </si>
  <si>
    <t>https://drive.google.com/file/d/1G1pxJ0Wt_afqHjaX5IrHw3Ja-zExoUyg/view?usp=sharing</t>
  </si>
  <si>
    <t>COSSIO SILES RENE</t>
  </si>
  <si>
    <t>ING. GROVER ANTONIO VARGAS ANGÚLO</t>
  </si>
  <si>
    <t>DESARROLLO DE UN PLAN DE SEGURIDAD INDUSTRIAL E HIGIENE OCUPACIONAL PARA LA FÁBRICA DE PLANTILLAS DE ZAPATOS Y ARTÍCULOS DE POLIETILENO PAFEGAR</t>
  </si>
  <si>
    <t>ranaman51@hotmail.com</t>
  </si>
  <si>
    <t>IND-141-2006</t>
  </si>
  <si>
    <t>Plan de Seguridad, Plantillas de Zapatos, Análisis de Riesgos, Gestión de Seguridad.</t>
  </si>
  <si>
    <t>El Proyecto empezó con la investigación exhaustiva de los antecedentes la fábrica, su organización e inspección de todos los ambientes donde se realiza el proceso productivo, una vez adquirida toda esta información se pudo evidenciar la ausencia de un Plan de Seguridad Industrial el cual cumpla con las normas y leyes Bolivianas que protegen al trabajador y el medio ambiente.Para dar solución a esta falencia en PAFEGAR se procedió con el análisis de riesgos en los ambientes de producción y en cada puesto de trabajo, empleando para ello encuestas, listas de chequeo, ponderación de riesgos mediante la gravedad del riesgo basado en la ocurrencia por la consecuencia y de esta manera tipificar  riesgos en: Intolerable, Significativo, Moderado, Poco Significativo y No Significativo. Por otra parte los riesgos detectados fueron clasificados en: Riesgos Físicos (color verde), Riesgos Ergonómicos (color amarillo), Riesgos Químicos (color rojo), Riesgos Mecánicos (color azul), y Riesgos Biológicos (color marrón) para ser representados en un mapa de riesgos mediante círculos de distintos tamaños y colores según el riesgo y su gravedad.Una vez analizados los riesgos se elaboró un Plan de Seguridad e Higiene Industrial basado y respaldado con fundamentos teóricos y con las siguientes leyes y normas: Ley General del Trabajo, Ley General de Higiene y Seguridad  Ocupacional y Bienestar 16998, Ley 1333 de Medio Ambiente y Normas de IBNORCA (Instituto Boliviano de Normas y Calidad).Este plan propuesto se basa en una Gestión de Seguridad, la cual promueve integrar a todos los trabajadores hacia una cultura de seguridad por lo que se elaboró una política que contiene planes, objetivos, derechos y obligaciones tanto del empleador como de los trabajadores, métodos de control de riesgos y accidentes e indicadores de gestión para un control mas eficiente de la seguridad en PAFEGAR.Dentro  de este Plan propuesto se indican las acciones necesarias para controlar hasta eliminar los riesgos mediante la aplicación de Las 5 S Japonesas que impulsan los siguientes principios: Orden, Limpieza, Control Visual, Disciplina y Hábito, también se sugieren cambios de puestos de algunos trabajadores y maquinarias, construcción y mejoras en los ambientes de trabajo,  planes de capacitación del personal, señalización y dotación de equipos de protección personal; donde toda esta gestión de seguridad será controlada através de un comité mixto de seguridad a ser creado en la fábrica. Dando cumplimiento al objetivo general y objetivos específicos del Proyecto, se pudo concluir estimando un presupuesto anual de 8130 dólares americanos los cuales serán invertidos en: capacitación,  mejoras a la infraestructura, equipos de protección personal, equipos de protección fija y un seguro contra accidentes para todos los trabajadores.Para que la Seguridad e Higiene Ocupacional mejore inmediatamente en la fábrica, se deberán cumplir todos los requerimientos de Seguridad, donde todos estén responsabilizados con sus actuaciones sin importar el trabajo que realicen  en su accionar diario, y demuestren “hábitos seguros de trabajo”.</t>
  </si>
  <si>
    <t>https://drive.google.com/file/d/1TYvjLVrtqP0KJED-3giqaXcFu_XqKblw/view?usp=sharing</t>
  </si>
  <si>
    <t>https://drive.google.com/file/d/16wysuhD5vzV_i4NiZYL5vsUO8XVrmHXz/view?usp=sharing</t>
  </si>
  <si>
    <t>OSINAGA ALBA MARLEN MARYBEL</t>
  </si>
  <si>
    <t>DISEÑO DEL PLAN DE ANÁLISIS DE PELIGROS Y PUNTOS CRÍTICOS DE CONTROL PARA LA LÍNEA DE FRUTAS DESHIDRATADAS DE LA EMPRESA BOLIVIA'S FRUIT</t>
  </si>
  <si>
    <t>marlen7782@gmail.com</t>
  </si>
  <si>
    <t>IND-142-2006</t>
  </si>
  <si>
    <t>Fruta deshidratada, Inocuidad, Calidad, Peligro, Plan HACCP,  deshidratación, Bolivia’s Fruit</t>
  </si>
  <si>
    <t>La empresa Bolivia’s Fruit ha visto por conveniente la aplicación de un Plan de Inocuidad Alimentaria basado en los lineamientos del Sistema de Análisis de Peligros y Puntos Críticos de Control (HACCP), conscientes de que su implementación y certificación en la industria nacional será pronto un requisito obligatorio para el comercio nacional e internacional de los productos alimenticios.Es por ello que se vio por conveniente el diseño de un Plan HACCP para la empresa, el cual comenzó en primera instancia con una Investigación y recopilación de la información correspondiente a las Normas Bolivianas aplicadas en empresas deshidratadoras de frutas, además de información adecuada del Sistema HACCP, para lo cual se acudió a instituciones tales como IBNORCA y SENASAG, también se recabó información del Codex, FDA y la FAO obtenida del Internet y una extensa bibliografía. Asimismo se obtuvo información pertinente de las características de la Frutas tropicales, en instituciones como el PDAR y ARCO. Todo esto con el fin de profundizar en el tema de la Inocuidad en frutas deshidratadas.Posteriormente se llevó a cabo una Focalización e Interiorización en los procesos de la empresa, para lo cual se realizaron una serie de reuniones previas con la Dirección de la empresa que permitieron la interiorización paulatina a las actividades que desarrolla la misma, con un posterior trabajo en la línea de deshidratado.Se continuó con el posterior desarrollo de los diagnósticos para los cuales se realizó una revisión de la documentación existente de la empresa durante el primer mes. Continuando con el segundo mes se realizaron inspecciones de la empresa en general y se comenzó con el Diagnóstico general del Sistema de Gestión de la Inocuidad vigente en la Empresa a través de un cuestionario realizado a la Gerencia basado en algunos principios de un Sistema de Gestión de la Calidad. Dicho diagnóstico se complementó con el Análisis concreto del cumplimiento de las BPM, BPH y los POES en la línea de deshidratado de frutas, para lo cual se realizó un cuestionario adicional que permitió evaluar las características de dichos prerrequisitos, el cual se basó en la Norma Boliviana NB-860: Código de Prácticas de higiene para las frutas desecadas y la Norma  NB-855: Código de prácticas- principios generales de higiene de los alimentos. Para la confirmación de ambos diagnósticos se utilizaron posteriormente otras técnicas como la Observación de las actividades de la empresa, para lo cual se colaboró al personal en sus distintas funciones durante un mes de trabajo, concluyendo con una entrevista al personal de planta involucrado en el proceso de deshidratación de la empresa, de esta manera se confirmó la información proporcionada.Los resultados de los diagnósticos reflejaron que la empresa no tiene bien desarrollado su Sistema de Gestión de la Inocuidad, debido principalmente a la falta de documentación sistematizada, es decir no se tienen Objetivos y Políticas claras para la Inocuidad, no se cuentan con Manuales referentes a la Inocuidad, etc. Por otro lado se pudo observar que sus Buenas Prácticas de Manufactura e Higiene no eran cumplidas a cabalidad, tampoco se cuentan con procedimientos adecuados para la sanitización de la empresa como los POES. Estos aspectos se debieron en general a que la empresa se encontraba en una fase de traslado de sus instalaciones durante el desarrollo del proyecto.Una vez obtenidos los resultados del análisis del Sistema de gestión de la inocuidad vigente en la Empresa y los prerrequisitos del Sistema HACCP se realizaron las respectivas propuestas de mejora para los mismos, para lo cual se realizó en primera instancia la reformulación de la Misión de la empresa y se estableció una Visión para la misma, además de establecer una Política y Objetivo de la Inocuidad, todo esto con la colaboración de la Gerencia. Asimismo se procedió a la elaboración de Manuales de BPM  y BPH, así como los respectivos planes, procedimientos e instructivos que los respalden, además del diseño de los POES para la línea de deshidratado de frutas, con el fin de mejorar el cumplimiento de los prerrequisitos del HACCP en la empresa.Posteriormente y después de una serie de observaciones al proceso de deshidratado, se procedió al diseño y desarrollo del Plan HACCP, Comenzando por la formación de un Equipo multidisciplinario, que debido al tamaño de la empresa fue de cuatro personas, con las cuales se siguieron con los 12 pasos que tiene la secuencia de aplicación del HACCP, entre los cuales destaca la elaboración de un Diagrama de Flujo propuesto para la implementación de la empresa después de su fase traslado, para lo cual se esbozó un Layout para la misma. Siguiendo los restantes pasos del Plan se determinó como principal Punto Crítico de Control la etapa de Deshidratación debido a una posible permanencia de microorganismos que dañen el producto, para el cual se estableció un sistema de vigilancia, medidas correctivas, y los pasos restantes para la fase final de aplicación del Plan.Por último fueron determinados los costos en los cuales incurrirá la empresa una vez que la propuesta sea aplicada. Estos costos están asociados al mejoramiento de los prerrequisitos del Sistema HACCP, asimismo se estimaron los costos de implementación del Plan HACCP en el primer mes, para lo cual se realizó una investigación y cotizaciones en el mercado local e internacional.</t>
  </si>
  <si>
    <t>https://drive.google.com/file/d/1rOnNUik8VWXh-TFLaH1TfjGPggFzOx0I/view?usp=sharing</t>
  </si>
  <si>
    <t>https://drive.google.com/file/d/1e6h9L-zdOkdlnrFIhcUVKbi-yr9myEh8/view?usp=sharing</t>
  </si>
  <si>
    <t>PATIÑO MIRANDA SARA LUZ</t>
  </si>
  <si>
    <t>ANTEZANA FERNANDEZ WENDY</t>
  </si>
  <si>
    <t>LIC. VERÓNICA ANTEZANA</t>
  </si>
  <si>
    <t>ESTUDIO TÉCNICO, ECONÓMICO Y FINANCIERO PARA LA AMPLIACIÓN DE LA EMPRESA SOLIPLAST S.R.L., PROCESADORA DE ENVASES Y TAPAS PLÁSTICAS</t>
  </si>
  <si>
    <t>sarapm1@hotmail.com</t>
  </si>
  <si>
    <t>IND-143-2006</t>
  </si>
  <si>
    <t>Ampliación, Factibilidad, Estudio técnico-financiero</t>
  </si>
  <si>
    <t>El presente Proyecto de Grado se realizó para la empresa “SOLIPLAST S.R.L.”  ubicada en la ciudad de Cochabamba, calle Tte. Raúl Arce Nº 1313 Zona Chimba Central, el objetivo del proyecto fue el de realizar un estudio técnico, económico y financiero a nivel de factibilidad que permita determinar las bases técnicas, económicas y financieras para tomar la decisión de invertir  en la ampliación  de  la  planta procesadora de envases y tapas plásticas.En un principio, se determinó la demanda potencial tomando en cuenta las empresas que requieran envases y tapas plásticas a través de los procesos de soplado e inyección  y posteriormente se determinó el porcentaje que cubrirá el proyecto es decir la demanda propia.Se tendrá una capacidad máxima de producción de 6.401.796 (envases/ año), 4.924.459 (tapas/año) y  10.400.000  (tapones/año) a partir del tercer año hasta la conclusión de la vida útil del proyecto. La materia prima que se utilizará para la  producción de envases y tapas plásticas es polietileno y polipropileno, la cual es importada de Alemania, Estados Unidos, Brasil, Argentina, Colombia y Japón.Para la producción de los productos del proyecto se utilizarán máquinas elctromecánicas importadas, las cuales con la materia prima de calidad y personal debidamente capacitado garantizan la calidad del producto final.El proyecto requiere mano de obra calificada, este personal se hará cargo de la planificación, organización motivación e integración del personal y control de actividades  y  mano de obra  no calificada quienes serán responsables del funcionamiento correcto de la maquinaria  garantizando la continuidad del proceso productivo, cumpliendo de esta manera con los objetivos de la empresa.Para el proyecto se estima un total de 24 personas (2007-2008) y 27 personas (2009-2016), siendo una cantidad considerable de generación de fuentes de empleo.El tiempo programado para la ejecución del proyecto comprende 18 semanas, tiempo en el cual se pretende poner en funcionamiento el mismo.Como resultado de la evaluación financiera se obtuvo una TIR de 11,20% y un VAN de 164.140,79      $us. y RBC de 1,18.Según el Registro Ambiental Industrial (RAI) l proyecto pertenece a la categoría 4. Para cuidar la seguridad de los operarios se proporcionará: mandiles, guantes y audífonos de ser necesarios.</t>
  </si>
  <si>
    <t>https://drive.google.com/file/d/1i_-hFlOJFRGhG8rdxU6bAtTeIpYjwuN_/view?usp=sharing</t>
  </si>
  <si>
    <t>https://drive.google.com/file/d/1l_ianTcicC9u5wtlkPLoeAqkORAAk2PV/view?usp=sharing</t>
  </si>
  <si>
    <t>GUZMAN NOGALES MARCELO</t>
  </si>
  <si>
    <t>TAPIA CASTELLON ANA ISABEL</t>
  </si>
  <si>
    <t>ING. EDWIN MARCELO MUÑOZ QUIROGA</t>
  </si>
  <si>
    <t>PLANIFICACIÓN ESTRATÉGICA PARA LA EMPRESA INQUIBOL</t>
  </si>
  <si>
    <t>anaitc@hotmail.com</t>
  </si>
  <si>
    <t>IND-144-2006</t>
  </si>
  <si>
    <t>Planificación, Estrategia, Planeación, Diagnóstico de     Productividad</t>
  </si>
  <si>
    <t>El trabajo que se realizó fue un Plan Estratégico para la empresa INUIBOL, en el que se realizó  un Diagnostico Inicial para conocer la situación actual de la empresa, un análisis del ambiente interno para conocer la situación actual de la empresa y un análisis externo en cuatro entornos diferentes que permitieron conocer el entorno exterior de la empresa. A través de  herramientas de gestión como la Matriz MPC, MPCE y FODA, se lograron seleccionar  estrategias pertinentes en beneficio de esta empresa. Se desarrollaron también los planes propuestos, los planes operativos, las fichas de actividades y el cronograma de actividades, dichos planes serán medidos con sistemas de control propuestosFinalmente se elaboró una proyección de la situación financiera futura en tres escenarios diferentes para poder observar cual seria el panorama con el proyecto en estos tres escenarios mencionados. La realización de este proyecto pretende que la empresa fortalezca su estructura organizacional, incremente su productividad, que la dirección sea efectiva, propiciar una actitud positiva  ante el cambio, y que esta tenga un mejor control de sus actividades.</t>
  </si>
  <si>
    <t>https://drive.google.com/file/d/1SseSaVltUHWZGLQZBvZwXikseg2KO9tp/view?usp=sharing</t>
  </si>
  <si>
    <t>https://drive.google.com/file/d/1J9Y6xkEbaulLjFbvDKEaLZJ8E-loXmS3/view?usp=sharing</t>
  </si>
  <si>
    <t>ARNEZ PRADO TAMARA LIPCIA</t>
  </si>
  <si>
    <t>DR. LUCIO ALEJO ESPINOZA</t>
  </si>
  <si>
    <t>ESTUDIO DE FACTIBILIDAD PARA UNA PLANTA DE GTL</t>
  </si>
  <si>
    <t>tamy_lipcia@hotmail.com</t>
  </si>
  <si>
    <t>IND-145-2006</t>
  </si>
  <si>
    <t>Planta de GTL, Industrialización del GN, Procesos Fischer Tropsch, Diesel Sintético, Instalaciones OBL e instalaciones IBL, Requerimientos de la Tecnología, Economía de Escala, Complejo de Industrialización, Exportación, Tasa Interna de Retorno.</t>
  </si>
  <si>
    <t>En primera instancia se hace referencia a la situación actual en la que se encuentran las reservas de petróleo y  gas a nivel mundial, regional y Nacional, la magnitud de estas y el consumo esperado hasta el 2020, de esta manera se pudo identificar como y en que momento el consumo de gas rebasará al del petróleo, esto debido a las diversas posibilidades de industrialización que han desarrollado en torno al gas natural (CH4) las grandes empresas petroleras que operan en Bolivia, todo este interés reside en la ventaja competitiva que representa el bajo costo que implica usar este combustible en la generación de 1MM de BTUs. Ventaja que se trata de aprovechar para subsanar el déficit Nacional de diesel oil que el año 2005 llego a 5.103,85 BPD, apoyándose para tal efecto en la tecnología de transformación de gas a líquidos (GTL), pero como en todo proyecto se busca obtener los mayores ingresos, el estudio de mercado a nivel regional y Nacional muestra los requerimientos de combustible diesel en los países de Brasil, Chile, Perú y Paraguay, países a donde se dirige el contrabando de este insumo energético de origen Nacional ocasionando un mayor déficit en territorio Boliviano.El proceso es relativamente nuevo, pero las llamadas grandes del sector hidrocarburífero ya tienen en operación grandes plantas que se encuentran relacionadas en cadena con la explotación, separación e industrialización del gas natural, la tecnología GTL elimina los obstáculos principales para el mercadeo del gas natural: Ø  Su baja densidad de energía Ø  Los altos costos de transporte resultantes. En esta tecnología, el gas natural se convierte en un producto líquido que contiene hidrocarburos  oxigenados, existiendo tres tecnologías básicas para la transformación de gas a hidrocarburos:Ø  La tecnología gas-a-metanol.Ø  La tecnología gas-a-dimethylether (DME).Ø  La tecnología gas-a-hidrocarburos mejor conocida como proceso Fischer-Tropsch.Esta  última es  la que produce el diesel GTL de alta calidad, tecnología que consta de tres procesos importantes·       Producción del Gas de Síntesis.·       Proceso Fischer-Tropsch que mediante catalizadores produce cadenas largas de hidrocarburo sintético. ·       Proceso isocraking donde se rompen las cadenas de acuerdo al requerimiento.La tecnología y los pasos en los que se debe incurrir en la transformación del gas en combustibles líquidos son complejos pero en constante desarrollo, lo que a permitido a través de los años disminuir los costos de producción e inversión de estas plantas permitiendo su competitividad en relación a la refinación de petróleo que además de cumplir con todas las especificaciones medioambientales, que los productos refinados de petróleo no cumplen. De acuerdo a la investigación y análisis de costos es importante integrar las instalaciones a utilizar, que además de beneficiaren gran manera a la reducción de costos asegura una provisión segura de los insumos.</t>
  </si>
  <si>
    <t>https://drive.google.com/file/d/1j7aZWrSfpaw0b5AmqeUC_Hsz9-h84CPc/view?usp=sharing</t>
  </si>
  <si>
    <t>https://drive.google.com/file/d/1Gu--jA7BoSBhLio9PCXmxdmZjSAObEq5/view?usp=sharing</t>
  </si>
  <si>
    <t>MONTERO BERETTA RODOLFO PABLO</t>
  </si>
  <si>
    <t>SISTEMA DE INFORMACIÓN DE OPERACIONES BAJO LÍNEA DE CRÉDITO PARA EL BANCO BISA S.A. (REGIONAL COCHABAMBA)</t>
  </si>
  <si>
    <t>rudymontero@hotmail.com</t>
  </si>
  <si>
    <t>IND-146-2006</t>
  </si>
  <si>
    <t>Banco BISA S.A., Sistema de Información, Operaciones bajo línea de crédito, Sistema de Optimización para el sector Comercial del Banco.</t>
  </si>
  <si>
    <t>Se realizó una pasantia de 6 meses donde se observo los procedimientos de elaboración de las operaciones crediticias hasta su desembolso final, analizando y diseñando un sistema orientado al procesamiento de información de estas operaciones, ayudando en el manejo al oficial de créditos bajo línea de crédito específicamente para el área comercial de la Unidad de Negocios del Banco BISA S.A., donde se optimizó los procedimientos rutinarios manuales, control e información, por otros basados en el uso de un equipo de computación y software.Se Evaluó las necesidades de requerimientos del sistema de información, sobre la base de la observación realizada durante el tiempo de la pasantia, se elaboró el diseño lógico y físico del sistema de información y por ultimo la factibilidad del proyecto el cual incluyó el análisis técnico, operacional y económico.El análisis de los requerimientos se efectuó con la asistencia al oficial de negocios elaborando operaciones, análisis financiero, revisión de archivos y atención a clientes, elaborándose el sistema de información  donde se describieron el modelo esencial, los diagramas de flujo de datos y también el diccionario de datos, por otra parte se mostró el diseño del diálogo en línea, el diseño de las entradas y las salidas, finalizando con la factibilidad del proyecto.Este proyecto mejoró el tiempo de respuesta en la elaboración de operaciones y los pasos para su desembolso final, el sistema fue adecuado para la unidad de negocios del Banco BISA, optimizando los procesos y procedimientos existentes facilitando el trabajo a los oficiales. El análisis fue enfocado para aprovechar las fortalezas y atacar las debilidades del banco, utilizando las computadoras existentes y toda su capacidad tecnológica, mejorando la forma de elaboración del contrato de crédito que será sistematizado y no así enviado al departamento legal para su trascripción perdiendo tiempo innecesario.El diseño de la ejecución de las operaciones evito los errores repetitivos que antes existían en el ingreso de datos, minimizando los costos que antes se producían por impresiones de operaciones con observaciones.Considerando que al otorgar servicios de excelencia a los clientes, la cartera del banco se encuentre segura y pueda tender a crecer, ya que los clientes confiarán en la entidad financiera que vela por sus intereses, que brinde atención completa y optima y ofrezca servicios financieros de acuerdo a las necesidades que requieren ser satisfechas.</t>
  </si>
  <si>
    <t>https://drive.google.com/file/d/1RWb9WgPcQIkkpUBkagrRUxgXtUVGfHA1/view?usp=sharing</t>
  </si>
  <si>
    <t>https://drive.google.com/file/d/1c-qUFNnGCZkKY_-c42hlADeXiYBOtiYW/view?usp=sharing</t>
  </si>
  <si>
    <t>FABIOLA AMANDA CASTELLÓN OBANDO</t>
  </si>
  <si>
    <t>ESTUDIO DE LA REORGANIZACIÓN DE LA PLANTA PRODUCTIVA DE ASTRIX S.A.</t>
  </si>
  <si>
    <t>IND-147-2006</t>
  </si>
  <si>
    <t>Productividad, implementación, instalación, métodos,   tiempos y movimientos, rendimiento, procesos, distribución en planta, RRHH, Costos.</t>
  </si>
  <si>
    <t>Se realizó un estudio de mercado para después efectuar un análisis de la demanda, que nos llevo a interiorizarnos sobre las características y hábitos de consumo de los productos en  estudio, “Lava Vajilla OLA” y “Champú JUVENIL!”, la recolección de información fue realizada mediante una encuesta escrita en el área urbana de la ciudad, donde se encontraron las preferencias y el  porcentaje de las personas que utilizan estos productos, teniendo como resultado demandas insatisfechas para ambos productos.Se realizo un diagnostico sobre las características propias de la fábrica, tanto su ubicación geográfica, la fabricación de los productos de limpieza  para el hogar y cuidado personal, contando con más de 36 productos. Uno de los factores de mayor incidencia en la eficiencia de la fábrica, la disposición del equipo de las áreas de trabajo, una mala distribución puede limitar el uso adecuado de la producción.Efectuando un diagnostico de la línea se pudo observar que existen más puntos débiles mayores y menores que fortalezas. Mediante el estudio de métodos se combinaron la distribución y las condiciones de trabajo, materiales, equipos, herramientas y la trayectoria de los movimientos involucrados en la realización de las operaciones de los productos de “Lava Vajilla OLA” y “Champú JUVENIL”, en este proyecto se usaron los siguientes diagramas: Diagrama de procesos de la operación, Flujo de materiales, cursograma analítico, el tiempo de las actividades y el cursograma del proceso productivo; como resultado de lo desarrollado la distribución de la maquinaria en el área productiva de la fabrica no es la más optima, existiendo retornos de materiales ocasionando mayores distancias e inseguridad durante el transporte, mala ubicación de los mesones y de los trabajadores ocasionando un trafico cruzado.Una de las técnicas usadas fue el estudio de Tiempos por cronometro regreso a cero, calculando sus tiempos normales, sus tiempos estándares en los procesos de elaboración y envasado permitiendo identificar los cuellos de botella logrando calcular la eficiencias siendo esta muy bajas y no aceptables para la fábrica.En la mayoría de las tareas realizadas en el proceso de elaboración y envasado, fueron mejoradas en tiempo y espacio, las maquinarias utilizadas y los recursos existentes siendo reubicados, la implementación de las plataformas, de un montacargas, la maquina de contraído, las mesas de doble nivel y las válvulas a los tanques generando un balance del método propuesto se demostró la optimización de las operaciones logrando un impacto positivo en la eficiencia de la productividad. Con el lay-out propuesto se solucionaron los problemas de tráfico y reducción de los almacenes, implementando los programas preventivos enfocados para evitar y limitar los riesgos de trabajo dentro de la fábrica y que los trabajadores tengan compensaciones por producción y que estén satisfechos por su trabajo.Se realizo una evaluación económica con las mejores propuestas del estudio y se comparo el método actual con el método propuesto, siendo los indicadores utilizados la Tasa Interna de Retorno y el Valor Actual Neto, logrando cubrir las inversiones propuestas en la planta productiva; uno de los resultados fue lograr la disminución de los costos unitarios de producción.  Con las inversiones se beneficiaran a la mayoría de los productos qué son elaborados en la fábrica por tener similares características de procesamiento. A través de los resultados obtenidos se pudo concluir que la finalidad de la fábrica es la obtención de utilidades monetarias, las dos condiciones básicas para el cumplimiento de dicha finalidad es tener un conocimiento de las necesidades de sus clientes y orientar sus procesos al cumplimiento de las mismas, de la manera más eficiente, se recomida  implementar nuevos proyectos como: sistemas de información estandarizados de los procesos, proyecto de ampliación con el fin de mantener a la fabrica dinámica con iniciativa aprovechando sus fortalezas y oportunidades y realizar un cuadro visible que muestre la ubicación de las áreas de la planta de producción con sus respectivos nombres, suministros de agua, extinguidotes, etc.</t>
  </si>
  <si>
    <t>https://drive.google.com/file/d/1bTB4H10F7L7LCFLzE5yWjNKm2C63DAh5/view?usp=sharing</t>
  </si>
  <si>
    <t>https://drive.google.com/file/d/1EzrBUdGPdZLAOBfYd6kVMPXDFb3Vt_am/view?usp=sharing</t>
  </si>
  <si>
    <t>JORGE ARMANDO CHOQUE ORTIZ</t>
  </si>
  <si>
    <t>ARIEL ISAAC ORELLANA LLANOS</t>
  </si>
  <si>
    <t>ESTUDIO DE FACTIBILIDAD PARA LA IMPLEMENTACIÓN DE UN MATADERO Y UN CENTRO DE APROVECHAMIENTO DE CUERO Y FIBRA DE CAMÉLIDO EN LA ZONA NORTE DE AYOPAYA</t>
  </si>
  <si>
    <t>IND-148-2006</t>
  </si>
  <si>
    <t>UNEPCA, Ayopaya, camélido, fibra, APROCNA.</t>
  </si>
  <si>
    <t>La zona norte de Ayopaya es considerada como una región apta para la cría de ganado camélido, pues UNEPCA (Unidad Ejecutora de Proyectos de Camélidos) reconoce que el ganado camélido de esta región son las mas desarrolladas de todo el país, por lo cual se ha planteado tres alternativas de explotación: carne, cuero y fibra que sustentado por un estudio de mercado, estas alternativas se constituyen un potencial interesante para el mercado, que cada año crece y abre sus puertas a los productos derivados de ganado camélido, no solo a nivel nacional sino también internacional. El proyecto estará localizado en la zona norte de Ayopaya perteneciente al Municipio de Morochata. Para tal efecto se construirá una infraestructura adecuada para el faeneo y aprovechamiento de la fibra y cuero respectivamente, adquiriendo los equipos y maquinas necesarios para tal efecto.APROCNA (Asociación de Productores y Comercializadores de Carne de Camélidos Norte Ayopaya) será la encargada en cuanto a la organización de recursos humanos y asistencia técnica para el buen funcionamiento del matadero.En cuanto al impacto al medio ambiente, al implementarse el proyecto según el estudio realizado en el Capitulo X no se tendrá impactos negativos, ya que estos serán mínimos, debido al correcto aprovechamiento de los distintos subproductos que brinda el ganado camélido, los cuales no irán en detrimento del medio ambiente.</t>
  </si>
  <si>
    <t>https://drive.google.com/file/d/13YrOsuJUYfqOFdAXfkx9QNSoVo2PJZnl/view?usp=sharing</t>
  </si>
  <si>
    <t>https://drive.google.com/file/d/1ndb180bsTdfZXHrIb38CjNuUKuuL9T2W/view?usp=sharing</t>
  </si>
  <si>
    <t>CYNTHIA VIRGINIA MOLINA LEYES</t>
  </si>
  <si>
    <t>DISEÑO DE UN SISTEMA DE GESTIÓN AMBIENTAL BASADO EN LA NORMA ISO 14001:2004 PARA EMBOL S.A. COCHABAMBA</t>
  </si>
  <si>
    <t>cynthiaV_ml@hotmail.com</t>
  </si>
  <si>
    <t>IND-149-2006</t>
  </si>
  <si>
    <t>Embotelladoras Bolivianas Unidas S.A., Sistema de Gestión Ambiental, Círculo de DEMING, Pirámide documental.</t>
  </si>
  <si>
    <t>Inicialmente se realizó un diagnóstico de la situación en la que se encuentra EMBOL S.A. Cochabamba con respecto a la legislación ambiental vigente en el país, como también los requisitos corporativos procedentes de The Coca Cola Company, elaborando los respectivos documentos y tablas que permitan realizar seguimiento al cumplimiento de éstos, paralelamente se identificó los aspectos ambientales de las actividades, productos y servicios que ofrece la organización mediante el uso de Diagramas de flujo, Análisis Causa – Raíz (Diagrama de Ishikawa), para posteriormente evaluarlos a fin de determinar los impactos ambientales significativos a ser controlados .Considerando los requisitos del Sistema de Gestión Ambiental se elaboraron todos los documentos estipulados en la Norma ISO 14001 en su versión 2004, estos documentos comprenden entre otros: Manual de Gestión, Programas, Procedimientos, Formularios, Evaluaciones de aspectos  ambientales significativos y Controles operativos.Luego se realizó la caracterización, cuantificación y valorización de residuos sólidos procedentes del proceso productivo en EMBOL S.A. a fin de controlar lo que se genera y buscar oportunidades de minimización y venta en la mayoría de los casos.Posteriormente se pasó a caracterizar los residuos líquidos y gaseosos en la medida que se permitió, se elaboraron registros en los cuales se detallan los residuos empleados en cada una de las áreas de la empresa, se identificó mediante etiquetas todos los envases que contienen estos residuos, indicando entre otros el grado de peligrosidad, el equipo de protección personal necesario para su manipulación, tipo de almacenamiento requerido y afinidad con las demás sustancias. Se  identificó e implementó indicadores ambientales relacionados con el consumo de agua, energía, generación de efluentes, desechos sólidos y peligrosos, emisiones atmosféricas y otros relacionados con el Sistema de Gestión ambiental que permiten evaluar el desenvolvimiento del Sistema de Gestión Ambiental y medir los progresos en la consecución de los objetivos y metas planificadas.Finalmente se integró los Sistemas de Gestión de Calidad y Gestión Ambiental en base a las normas ISO 9001:2000 e ISO 14001:2004 respectivamente en un Manual de Gestión y se determinaron los costos del proyecto tanto de implementación como de mantenimiento, así como los beneficios cuantitativos y cualitativos de la implementación del Sistema de Gestión Ambiental.A la finalización del presente trabajo se alcanzaron los objetivos planteados tomando como herramienta principal el círculo de Deming, desarrollando todos los ítems requeridos por la Norma ISO 14001:2004  necesarios para la implementación del Sistema de Gestión Ambiental en EMBOL S.A. Cochabamba.Una vez culminado el Diseño del Sistema de Gestión Ambiental se puede concluir que éste permitirá a EMBOL S.A. Cochabamba un mayor control de los recursos empleados durante toda la cadena productiva y/o servicios que ofrece la organización, asegurando el cumplimiento tanto de requisitos legales como corporativos y una continua inspección de aspectos que afecten el desenvolvimiento empresarial, medio ambiente y sociedad en general.</t>
  </si>
  <si>
    <t>https://drive.google.com/file/d/1vhp8DJ_WszusaipVulbKXWNquCJH_xMK/view?usp=sharing</t>
  </si>
  <si>
    <t>https://drive.google.com/file/d/1ZC1trinACLD-bNiD3VZaNeiLTVpy0GMy/view?usp=sharing</t>
  </si>
  <si>
    <t>HOSSE CALLE EDGAR MARIO</t>
  </si>
  <si>
    <t>ING. M.SC. CARLOS ALBERTO RODRÍGUEZ RAMÍREZ</t>
  </si>
  <si>
    <t>DISEÑO DE UN PLAN DE MEJORAMIENTO DEL SISTEMA DE FUNCIONAMIENTO DEL PROGRAMA DE CONTROL DE CALIDAD DE ALIMENTOS Y BEBIDAS EN INDUSTRIAS DE LA UNIDAD DE SALUD AMBIENTAL - SEDES</t>
  </si>
  <si>
    <t>emhosse@hotmail.com</t>
  </si>
  <si>
    <t>IND-150-2006</t>
  </si>
  <si>
    <t>Programa de control de calidad de alimentos y bebidas en industrias (PCCABI), “Matriz de Fortalezas, Oportunidades, Debilidades y Amenazas” (FODA), Inocuidad alimentaria.</t>
  </si>
  <si>
    <t>Primeramente se realizó un diagnóstico del PCCABI, utilizando como herramientas un análisis interno con el que se identificaron los problemas y falencias, se continuo con un análisis FODA donde se obtuvo una matriz  de estrategias.El proyecto de grado estableció un plan de mejoramiento que se dividió en dos componentes: fortalecimiento y mejoramiento, donde se establecieron diferentes líneas estratégicas. Para estas líneas estratégicas se elaboro diferentes propuestas entorno al mejoramiento interno del PCCABI y a los servicios que presta a las diferentes empresas industriales de alimentos del departamento de Cochabamba.</t>
  </si>
  <si>
    <t>https://drive.google.com/file/d/1kLndPq-6BEj6dcfCvtHrNn6dNK_KrtcB/view?usp=sharing</t>
  </si>
  <si>
    <t>https://drive.google.com/file/d/1tJvTxei0MIdO97qg9eItVF9jc2TpC3ZI/view?usp=sharing</t>
  </si>
  <si>
    <t>BERMUDEZ SUAREZ FREDDY CARLOS</t>
  </si>
  <si>
    <t>ANGULO BARDALES JOAN KARLO</t>
  </si>
  <si>
    <t>ESTUDIO DE FACTIBILIDAD PARA LA IMPLEMENTACIÓN DE UNA PLANTA INDUSTRIAL PARA LA EMPRESA KORIGOMA LTDA.</t>
  </si>
  <si>
    <t>frecabersu@hotmail.com</t>
  </si>
  <si>
    <t>IND-151-2006</t>
  </si>
  <si>
    <t>KORIGAMA</t>
  </si>
  <si>
    <t>El presente proyecto se realizó con la finalidad de presentar a la empresa una alternativa de inversión, mediante la cual esta pueda consolidarse y lograr una mayor presencia en el mercado de esponja de CochabambaPrimeramente se realizó la recopilación de la información necesaria mediante la cual se pudo determinar características del mercado como ser: los clientes potenciales, sus hábitos de compra, el tipo de producto que consumen, etc. La información recabada permitió tener una idea del comportamiento y requerimientos de los consumidores de esponja en Cochabamba, así como también permitió realizar una cuantificación de la demanda total y la demanda que el proyecto cubrirá en Cochabamba.El siguiente paso fue la búsqueda de la mejor alternativa de ubicación para el proyecto, para lo cual se analizaron varias alternativas, pero la elegida fue la de la ex fábrica San Jorge debido a las ventajas inmejorables que presentaba en relación a otras, como buena ubicación, infraestructura y terreno adecuado para el proyecto, toda la maquinaria necesaria para la elaboración de esponja, bajo costo de alquiler y otras más, reduciendo así costos en inversión y operación.Posteriormente se establecieron los requerimientos de maquinaria, equipos, muebles, y personal que son necesarios para la ejecución del proyecto y adaptados a la capacidad de la fábrica a alquilar, información con la cual se determinó la inversión a realizar. De la misma manera se organizó a la empresa de acuerdo al personal requerido y se establecieron las funciones y los grados de dependencia de éstos.Finalmente se realizó la evaluación financiera del proyecto donde se estableció que para la empresa es mucho más rentable ejecutar el proyecto que seguir operando en las condiciones actuales., con lo que se recomienda la ejecución del proyecto y al mismo tiempo poner mucho énfasis en las estrategias propuestas ya que serán la base para que la empresa se consolide y gane una mayor participación en le mercado de esponja en Cochabamba.</t>
  </si>
  <si>
    <t>https://drive.google.com/file/d/14utLa0RfinEDdm5BlKSkPQgyH7FZxDT1/view?usp=sharing</t>
  </si>
  <si>
    <t>https://drive.google.com/file/d/1arrpYr-U89B7aOloBkx8ZPaJCEf4Klvf/view?usp=sharing</t>
  </si>
  <si>
    <t>GUZMAN GUZMAN CRISTIAN NOEL</t>
  </si>
  <si>
    <t>ING. ALEX D. CHOQUE FLORES</t>
  </si>
  <si>
    <t>chriss_chross@hotmail.com</t>
  </si>
  <si>
    <t>IND-152-2006</t>
  </si>
  <si>
    <t>Planificación y control de la producción, cereales procesados, molino, pronósticos, inventario, plan agregado.</t>
  </si>
  <si>
    <t>La empresa EL TRIGAL en la actualidad se encuentra en un mercado bastante competitivo, por lo cual tiene la imperiosa necesidad de desarrollar productos de calidad, adecuado servicio al cliente y mejores precios, para satisfacer los deseos y necesidades de un mercado cada vez más diverso y cambiante. De esta forma la empresa se ha dado cuenta que para aumentar su competitividad necesita aplicar nuevas tecnologías referentes a la  administración de la producción. Por lo tanto, por esta causa se desarrolló un modelo de sistema de planificación y control de la producción que permita administrar de forma más adecuada los recursos de la empresa mediante una mejor toma de decisiones, promoviendo un incremento en la productividad, eficacia y eficiencia del proceso de producción para obtener un producto de calidad, bajo costo y entregado a tiempo. Se diseño un modelo de sistema de PCP que será capaz de: Pronosticar la demanda futura en base a datos de las ventas históricas para preveer las cantidades de insumos a requerir como también las cantidades a producir, mediante un modelo de pronósticos cuantitativo siguiendo un enfoque de series de tiempo.Gestionar los inventarios actuales para preveer las cantidades a ser almacenadas, los tiempos de reorden/reabastecimiento, stocks de seguridad y los costos de inventario, mediante la aplicación del modelo EOQ (cantidad económica a ordenar) para la materia prima y un modelo propuesto en base a consideraciones y modificaciones del modelo EOQ para los productos terminados. Planificar la producción para preveer las necesidades de equipo y proporcionar un presupuesto adecuado en función a costos de mano de obra, inventarios y faltantes. Mediante un plan agregado de producción mixto que contempla las siguientes pautas: mano de obra necesaria constante, tasa de producción actual, nivel de inventario ajustado al stock de seguridad y demanda agregada uniforme.Controlar la producción en función a los factores de cantidad (materia prima y productos terminados) y calidad, mediante un sistema de códigos que permitirá codificar y organizar a la empresa por áreas de producción permitiendo que cada una de ellas se constituya en un centro de costos directos, un punto de control donde será posible efectuar un balance de materia prima y evaluar el avance de la producción, un puesto de trabajo importante para realizar un control de calidad y reporte diario de horas de producción. Finalmente, para realizar el seguimiento específico de los factores propuestos se emplearán índices de desempeño y gestión para comparar lo planificado con lo real y poder examinar las consecuencias derivadas de las decisiones anteriores, así de esta forma aprender y corregir el curso de acción del proceso de planificación y control de la producción.</t>
  </si>
  <si>
    <t>https://drive.google.com/file/d/14h--FesdzWg5kfN-s0TAVh1x8J9T0wqQ/view?usp=sharing</t>
  </si>
  <si>
    <t>https://drive.google.com/file/d/120ysn9Co-oWzBBDRWgkZ80FKwBOggydr/view?usp=sharing</t>
  </si>
  <si>
    <t>JOHN MARTÍN CORNEJO ARNEZ</t>
  </si>
  <si>
    <t>PROYECTO DE FACTIBILIDAD PARA LA IMPLEMENTACIÓN DE UNA PLANTA PRODUCTORA DE LECHE DE SOYA</t>
  </si>
  <si>
    <t>john.cornejo@gmail.com</t>
  </si>
  <si>
    <t>IND-153-2006</t>
  </si>
  <si>
    <t>Soya, Lipoxigenasa.</t>
  </si>
  <si>
    <t>Se abordó la problemática nacional de malnutrición alimentaría y se planteó una solución posible, consistente en la elaboración de un producto bebible de bajo costo y alto contenido proteico en base a soya.Para ello, se determinó la demanda de leche de soya para la ciudad de La Paz, gracias al trabajo de campo realizando encuestas en los almacenes de venta por mayor y menor, en los puestos de venta de las Unidades Educativas primarias y se desarrolló un estudio en la ciudad de Cochabamba, para, por analogía, aplicarlo en los gimnasios de la ciudad de La Paz.Se determinó la micro localización de la planta industrial del proyecto, en la zona de la carretera a Viacha de la ciudad de El Alto, así mismo, se determinó el tamaño del proyecto para producir en su máxima capacidad, 898.788 L y su absorción de materia prima durante la vida del proyecto, soya orgánica del mercado nacional.Con todos los elementos anteriores, se desarrolló y programó el proceso productivo para la planta industrial, determinando el tipo de maquinaria a emplear y su distribución en planta. Con el mismo enfoque se llegó a determinar la organización funcional del personal ejecutivo y laboral de la planta, la planificación de la ejecución del proyecto y sus acciones e inversiones en la etapa de pre operación.Se desarrollo la evaluación económica y financiera del proyecto determinándose los indicadores de rentabilidad más comunes de los que destaca la Tasa Interna de Retorno con un valor del 24%.Se realizó el estudio del Impacto Ambiental del proyecto en todas sus fases y se concluyó que es positivo socialmente e inocuo ambientalmente.</t>
  </si>
  <si>
    <t>https://drive.google.com/file/d/1JXrek18-N_p8yW227ubWfX01egeVurNL/view?usp=sharing</t>
  </si>
  <si>
    <t>https://drive.google.com/file/d/1IlHu3tvsw-EFwCODOlBplqpK8Fom8QWn/view?usp=sharing</t>
  </si>
  <si>
    <t>CLAUDIA ANDREA ORELLANA MONTAÑO</t>
  </si>
  <si>
    <t>LIC. MARCO LEDEZMA</t>
  </si>
  <si>
    <t>DISEÑO DEL PROCESO DE FACTURACIÓN DEL SERVICIO DE LARGA DISTANCIA BOLIVIATEL S.A. BASADA EN LA NORMA ISO 9001:2000</t>
  </si>
  <si>
    <t>claudiaandreaorellana@gmail.com</t>
  </si>
  <si>
    <t>IND-154-2006</t>
  </si>
  <si>
    <t>Norma, Logistic One.</t>
  </si>
  <si>
    <t>Las empresas de telecomunicaciones son de una importancia sin precedentes en el desarrollo de los países, puesto que las mismas facilitan la comunicación entre personas de distintos lugares y más importante aún, facilitan el intercambio de información.La apertura del mercado de las telecomunicaciones en nuestro país, se constituye en un verdadero desafío de competitividad para los operadores de servicio, hecho que esta en directa dependencia con la satisfacción de las demandas de clientes cada vez más exigentes, con mayores y mejores criterios del consumidor moderno, requiriendo de los suministradores un servicio moderno completo y eficiente. El  año 2001, se constituye la sociedad anónima BOLIVIATEL S.A. con el objeto de prestar Servicios de Telefonía y/o Comunicaciones de Larga Distancia, Nacional e Internacional. En este contexto nace BOLIVIATEL S.A.,el 22 de Marzo de 2001 como la Empresa Boliviana de Telecomunicaciones, especializada en el servicio de Comunicación de Larga Distancia, cuya mayor fortaleza radica en que alberga en su seno a cuatro Cooperativas de Telecomunicaciones:·       COMTECO (Cooperativa de Telecomunicaciones Cochabamba) - 80%·       COTEOR (Cooperativa Telecomunicaciones Oruro) – 10%·       COTES (Cooperativa de Teléfonos Sucre) – 8,5%·       COTEAUTRI (Cooperativa  de Teléfonos Automáticos de Trinidad) – 1,5%.La metodología utilizada en el proyecto, se inicio con la recolección de información y material bibliográfica necesaria para el diseño. Se realizo un diagnostico Inicial el cual comprende: Un diagnostico interno de la empresa, en la cual se realizo las matrices FODA (Fortalezas, Oportunidades, Debilidades y Amenazas) y  EFI ( Evaluación de los  Factores internos), seguidamente se realizo el diagnostico externo  a través de encuestas a clientes de Boliviatel . Y finalmente se realizó una auditoria de calidad basada en la Norma ISO 9001: 2000.El Sistema de Gestión de Calidad de la empresa Boliviatel esta conformada por mapas de procesos en varios niveles , los cuales describen de manera coherente y entendible los pasos a seguir.Se desarrolló documentos de calidad como ser : Manual de Calidad que describe los criterios fundamentales del sistema de acuerdo con la norma ISO 9001:2000Plan de Calidad enfocado al establecimiento de objetivos de la calidad, procesos operativos y recursos.Procedimientos de Control que ayudan a mantener controlado los procedimientos operacionales, facilitando la ejecución de los mismos. Estos son:1. Procedimiento Control de No Conformidades2. Procedimiento Control de Documentos3. Procedimiento Control de Registros4. Procedimiento Control de Registros5. Procedimiento de Auditorias6. Procedimiento de Contingencias7. Procedimiento Capacitación al personalSe realizó indicadores de calidad para medir  el cumplimiento de los procesos y el nivel de satisfacción de los clientes.Finalmente se realizo una estimación de los costos de dicha implementación  y , en contraste, se elaboró una estimación de los beneficios cualitativos que la implementación  generaría a la empresa BOLIVIATEL S.A.Concluyendo el proyecto, se puede   afirmar que la empresa de servicios de telecomunicaciones de larga distancia BOLIVIATEL S.A. cuenta  con un diseño de un sistema de calidad en el proceso de Facturación, el cual permite contar con  objetivos y políticas claramente establecidas, así como procedimientos y controles de calidad que serán de ayuda para poder emprender las acciones de calidad, medir dichas acciones constantemente y mejorar continuamente.Al implementar un sistema de calidad, la empresa BOLIVIATEL  S. A.  Contara con una herramienta  muy importante para poder  cumplir con los requisitos exigidos por los clientes y poder convertirse en una empresa competitiva y moderna, lo que podrá asegurar a la empresa, su permanencia en el mercado nacional.</t>
  </si>
  <si>
    <t>https://drive.google.com/file/d/160b5MBkGsV6IbPvTsQ5UWRptWJQVO7io/view?usp=sharing</t>
  </si>
  <si>
    <t>https://drive.google.com/file/d/1zr5iR1dOAD531SwTjNFkxFWUxB5f_JQU/view?usp=sharing</t>
  </si>
  <si>
    <t>DURAN PACHECO RAMIRO MANUEL</t>
  </si>
  <si>
    <t>MEZA MENDIETA JUAN PABLO</t>
  </si>
  <si>
    <t>ING. ROBERTO SOTO SOLIZ</t>
  </si>
  <si>
    <t>REFORMULACIÓN DEL PLAN ESTRATÉGICO DEL 2002 PARA EL CENTRO DE BIOTECNOLOGÍA DE LA FCYT DE LA UMSS</t>
  </si>
  <si>
    <t>juanpy_m@hotmail.com</t>
  </si>
  <si>
    <t>IND-155-2006</t>
  </si>
  <si>
    <t>Planificación, diagnóstico, pro-actividad, misión, visión, estrategia, proceso, FODA, matriz MCPE, planificación operativa.</t>
  </si>
  <si>
    <t>La problemática principal que se encontró, razón por la que se elaboró el proyecto, fue la ausencia de una planificación enmarcada en la realidad actual del Centro de Biotecnología, además que existió una inadecuada implementación del Plan Estratégico que se formuló el año 2002; para dar una apropiada solución a los problemas encontrados se reformuló el Plan Estratégico 2002-2007, en la que se definió el futuro del Centro, los procedimientos y acciones necesarias para alcanzarlo, con la participación continúa de los miembros del Centro en especial del grupo de planificación; luego se propusieron los medios necesarios para que exista una adecuada implementación del Plan reformulado.Primero se evaluó el Plan anterior para así poder determinar que factores llevaron a una inadecuada implementación, además también se determinaron los elementos del Plan son todavía aplicables a la actualidad del Centro, se preparo al Centro para el proceso de Planificación definiendo también un equipo de Planificación, se formuló el marco estratégico definiendo el alcance de las operaciones del Centro, el futuro deseado, las acciones, procedimientos necesarios para alcanzarlo y los valores que son elementos referentes para la toma de decisiones. Mediante la herramienta Gestión basada en procesos se determinaron las fortalezas y debilidades; una evaluación externa arrojó las oportunidades y amenazas. Se realizó un análisis de mercado, se identificaron las posibles contingencias para luego desarrollar planes contingentes, se definieron las directrices estratégicas y se llevaron a programación en planes a largo plazo, se definieron los planes operativos,  se hizo un análisis del presupuesto global de funcionamiento y se llegaron a las siguientes conclusiones:·       Un plan de difusión y control debe ser llevado a cabo para que cada  miembro dentro del Centro este conciente de la importancia del Plan y conozca el papel que va a desempeñar dentro del mismo.·       El compromiso de la dirección es fundamental tanto para el proceso de formulación como para la implantación del Plan.·       Las empresas regionales, consideran importantes los parámetros de calidad y precisión para la realización de tareas de investigación, además de tener la disponibilidad de otorgar trabajos de investigación al Centro.·       La consecución de fondos de financiamiento de organismos de cooperación y la consolidación de proyectos con el empresariado, serán fuentes de ingreso que permitirán llegar al Centro llegar a la autosostenibilidad.</t>
  </si>
  <si>
    <t>https://drive.google.com/file/d/1A_lRwRdLmTlN_ydNl3nWoUXRNwrHcVPe/view?usp=sharing</t>
  </si>
  <si>
    <t>https://drive.google.com/file/d/1hsHiQYdQkdE_78RQwmBSwKX2GqblWyU9/view?usp=sharing</t>
  </si>
  <si>
    <t>RIOS GARCIA LUIS JORGE</t>
  </si>
  <si>
    <t>PLANIFICACIÓN ESTRATÉGICA EN LA EMPRESA D' KAFFE</t>
  </si>
  <si>
    <t>jorgerios@hotmail.com</t>
  </si>
  <si>
    <t>IND-156-2006</t>
  </si>
  <si>
    <t>Planificacion Estrategica, Café, Matriz, Lineamiento Estrategico.</t>
  </si>
  <si>
    <t>La empresa DeK’ffe ha visto por conveniente realizar un analisis estrategico debido a la existencia de vision y compromiso evolutivo por parte de los directivos de la empresa de los clientes como también la infraestructura y por tanto, los ambientes y las condiciones de trabajo.Primeramente se realizó un diagnóstico de la situación actual del establecimiento y el entorno en el que desarrolla sus actividades. Se recabo la información disponible acerca de las actividades, procesos de las actividades, la organización actual del sector, etc. Todo ello con el fin de establecer el modelo actual del servicio que presta, a través del modelo general de la planificacion estrategica y el analisis de servuccion. En función a este análisis se podrá determinar las posibles soluciones al problema.También se realizó un analisis interno basado en el analisis de la empresa como un sistema de servuccion siguiendo cada actividad en base a herramientas que muestren la secuencia de las operaciones y los problemas que se susciten: demoras, acumulación de trabajo, etc.En el siguiente paso se procedió a la encuesta de la gerencia y areas administrativas, esta encuesta intentara revelar de.datos basados en la experiencia y objetividad de personas que realizan su vida entorno a estos establecimientos y sus actividades.Con los datos recabados se procedió a la determinación de fortalezas,debilidades,amenazas y oportunidades acuerdo a las distintas situaciones, se establecieron estrategias generatrices y se definieron las condiciones sobre las cuales,deberan ser aplicadas.Se calculó el costo de operación para cada actividad y se compararon estos costos con los costos historicos, planeandose inversion y fortalecimiento de la empresa por medio de estrategias sencibles a su realidad.</t>
  </si>
  <si>
    <t>https://drive.google.com/file/d/1OawofjEAMT3Px3snKyB75ObovU56qd5L/view?usp=sharing</t>
  </si>
  <si>
    <t>https://drive.google.com/file/d/1OLLMTBPX3PD88ljNJ4B2-QwS1vow_53k/view?usp=sharing</t>
  </si>
  <si>
    <t>TICONA YUCRA JOACYR ALBERTO</t>
  </si>
  <si>
    <t>PLAN DE SEGURIDAD INDUSTRIAL E HIGIENE OCUPACIONAL PARA LA FÁBRICA DE PRODUCTOS DE PLÁSTICO ALCÓCER S.R.L.</t>
  </si>
  <si>
    <t>jaty27@hotmail.com</t>
  </si>
  <si>
    <t>IND-157-2006</t>
  </si>
  <si>
    <t>Seguridad industrial, higiene ocupacional, análisis preliminar de peligros, análisis preliminar de riesgos, análisis de modo falla y efecto, árbol de fallas.</t>
  </si>
  <si>
    <t>Primeramente se realizó la identificación de los distintos ambientes de trabajo con que cuenta la fábrica se realizo la documentación respectiva, sobre las instalaciones, los procesos productivos, la maquinaria, los equipos y los materiales utilizados dentro de la fábrica. Luego se realizo el análisis por medio del método de comparación con los estándares requeridos en la ley general de higiene,  seguridad ocupacional y bienestar N 16998 de la Republica de Bolivia, sacando una eficiencia en términos de seguridad del 40 %.Para la identificación de riesgos de la fábrica se utilizo el método cualitativo del mapa de riesgos, basando esta metodología en los datos anteriormente identificados, realizando la clasificación de los riesgos en base al código de colores de los riesgos y esta información colocarla el lay-out de la fábrica.El siguiente paso fue el de realizar el análisis y la evaluación de los riesgos identificados a través del método del análisis preliminar de peligros, se completo esta información realizando una evaluación mas profundo de las áreas criticas con el método del análisis preliminar de riesgos. Después se realizo el análisis sobre los riesgos que aparecen por la falla de las maquinas por medio del análisis de modo fallas y efectos, completando con el análisis del árbol de fallas identificando de esta manera las medidas preventivas y/o correctivas necesarias para realizar el control de los riesgos. También se realizo la evaluación total de perdidas para medir la incidencia en la producción por efecto del ausentismo laboral e fallas de las maquinas encontrando que las perdidas son del 30 %.En base a las medidas preventivas y correctivas se diseño un plan de seguridad industrial formado por los siguientes programas, Programa de mantenimiento de las instalaciones, programa de capacitación, estudio del equipo de protección personal y estudio de la señalización necesaria para la fábrica todo esto se documento mediante la realización de los permisos de trabajo respectivos para cada área de trabajo. Posteriormente se diseño el plan de higiene ocupacional destinado a controlar los ambientes agresivos para los trabajadores, los programas que forman parte de este plan son el programa de control del ruido, programa de orden y limpieza, programa de control de la temperatura y humedad, programa de control de la iluminación, Al mismo tiempo se diseño el plan de emergencias constituido este por las medidas a tomar en caso de incendios, sismos, explosivos y un manual de primeros auxilios.Por ultimo se realizo el estudio de costos para la implementación de los planes realizando una comparación beneficio costo se vieron los beneficios que contraerán la implementación de los distintos planes a contraparte de los costos que deben ser considerados como una inversión.</t>
  </si>
  <si>
    <t>https://drive.google.com/file/d/1KTUTKUYBhyl9jbkdOVFqby9uT25hRvwT/view?usp=sharing</t>
  </si>
  <si>
    <t>https://drive.google.com/file/d/1NsyuDALmHj3LlCNkozXQA6ZX4hfchmtg/view?usp=sharing</t>
  </si>
  <si>
    <t>JOHNY RENE CLAROS SEJAS</t>
  </si>
  <si>
    <t>ING. CARLOS A. RODRÍGUEZ RAMÍREZ</t>
  </si>
  <si>
    <t>DISEÑO DE UN PLAN ESTRATÉGICO DE MARKETING PARA LA EMPRESA DE PANIFICACIÓN NOVA PAN</t>
  </si>
  <si>
    <t>IND-158-2006</t>
  </si>
  <si>
    <t>Diseño, Plan Estratégico, Marketing, Empresa, Panificación, Nova Pan</t>
  </si>
  <si>
    <t>La ausencia de un plan estratégico de marketing por parte de la empresa Nova pan es el motivo para que su participación en el mercado no sea la esperada, lo que se constituye al momento en su principal problema.El análisis del entorno mostró que entre las empresas se experimenta un fenómeno importante y creciente en la competitividad dentro los diferentes mercados en los que operan las empresas y particularmente en aquellos donde el nivel de exigencia es mayor y se requiere de una adecuada conducta y más agresividad empresarial.En primera instancia se hizo referencia a los antecedentes de la empresa, del como surgió y se desarrollo. Se detallo los productos comercializados y la variedad de ellos.Para el diagnóstico de la empresa se utilizo el análisis FODA. El cual va a determinar la situación actual de la empresa, considerando factores estratégicos como oportunidades, fortalezas, debilidades y amenazas.Se desarrollo el proceso de investigación de mercados. La necesidad de información estuvo relacionada con la formulación de estrategias de marketing. Los objetivos que se persiguió dentro este estudio de mercado fueron:Determinar la demanda, se estimo la demanda para los próximos años, se determinaron las características de compra de los consumidores, se determino las necesidades y expectativas de los consumidores, los canales de venta insatisfechos para desarrollar canales de distribución apropiados, se determino las características propias de los productos y servicios otorgados por la competencia y se determino el mercado meta.Se determino la información de fuentes secundarias y fuentes primarias. Fuentes secundarias, fuentes de información disponible en forma de datos internos y externos. Fuentes primarias, constituyen información generada por primera vez, mediante métodos de investigación y entrevistas.Para fines de validar la información que permitió conocer el comportamiento del mercado, se   realizo encuestas a los consumidores, para éste efecto, se determino una muestra representativa del universo de población que permita inferir datos hacia el resto de los consumidores. En el caso del personal de la empresa se realizo reuniones de trabajo y con los ejecutivos de la misma.Los resultados obtenidos de las encuestas se tabularon y se estableció las tendencias que presenta el mercado como ser: Clases de pan comprados en el mercado, tipos de panes comprados por unidad, tipos de pan en bolsa comprados, marcas usualmente compradas, unidades de pan por Bs., precio del pan en bolsa por marcas, ventajas y desventajas del pan en Bolsa, horarios de compra del pan.La propuesta planteada esta sustentada y es una consecuencia de los resultados de la evaluación y diagnóstico del negocio donde la empresa de panificación Nova Pan desempeña sus actividades, por lo tanto, el plan estratégico de marketing esta estructurado para una duración de 3 años. La misión de la empresa panificadora Nova pan esta dada a continuación:“Hacer de Nova pan la empresa líder en el rubro de la panadería, satisfaciendo plenamente los gustos de los consumidores mediante sus productos, procedimientos adecuados que aseguren la calidad de los mismos y un mejoramiento continuo de la productividad”.La principal ventaja competitiva es la calidad de nuestros productos y la amplia gama de productos en bolsa.La visión de la empresa panificadora Nova pan esta dada a continuación:“Ser la empresa industrial de panificación y pastelería líder en el mercado regional y nacional, con competencia internacional, productos de óptima calidad, resguardando la salud de nuestros consumidores y generando satisfacción para nuestros clientes”. Con la implementación del plan se pretende llegar a cumplir los objetivos de la empresa como ser:Incrementar la participación en el mercado Cochabambino. Incrementando las ventas, desarrollando productos nuevos e incrementando la cobertura de distr.Mejorar la calidad de servicio de distribución y de atención al cliente. Mediante pre-ventas y atenciones personalizadas.Incrementar  los ingresos. A través de las ventas y consecuentemente se incrementaran las utilidades de la empresa.Consolidar el posicionamiento y la imagen de la empresa. Creando en la mente del consumidor final una determinada imagen de los productos.Se diseñaron estrategias de marketing enfocados en las variables: Producto, Precio, Distribución y Promoción.Se propone en práctica el plan propuesto ajustando el mismo a medida que se vayan suscitando los acontecimientos que requieran correcciones antes de su ejecución.El estudio demostró que la empresa se encuentra encaminada a la excelencia empresarial en base a los objetivos que la empresa se ha fijado en los mercados meta como ser la satisfacción plena del cliente.Terminado el estudio, se puede aseverar que se ha cumplido con los objetivos propuestos, logrando diseñar un documento guía para Nova pan, que se ajusta a las necesidades y características de la misma.</t>
  </si>
  <si>
    <t>https://drive.google.com/file/d/1_Vo8sYv8JptuyfAKV6A9ZlpONFzYj2YE/view?usp=sharing</t>
  </si>
  <si>
    <t>https://drive.google.com/file/d/16l5lWubUNqBraPHHbt3ZhYJDLZNfDS8z/view?usp=sharing</t>
  </si>
  <si>
    <t>GARCIA RAMALLO LIMBERT</t>
  </si>
  <si>
    <t>PLAN DE SEGURIDAD INDUSTRIAL EN EL MANTENIMIENTO PREVENTIVO DE OLEODUCTOS EN EL TRAMO HUAYÑACOTA - PAROTANI</t>
  </si>
  <si>
    <t>limbert.garcia@gmail.com</t>
  </si>
  <si>
    <t>IND-159-2006</t>
  </si>
  <si>
    <t>Tramo enterrado, progresiva, derecho de vía, exceso confianza.</t>
  </si>
  <si>
    <t>Primeramente se realizo un análisis visual de las actividades, para poder identificar los pasos que se realizan en cada actividad, para poder analizar los riesgos existentes en cada subactividad. Seguidamente se realizo un recorrido del tramo que se eligió para este estudio, pudiendo identificar las lugares donde no se cumple con el derecho de vía para poder tener más cuidado en estos lugares, también se identifico los elementos que se encuentran dentro de este tramo, como ser válvulas, trampas de chancheo, etc.Una vez que se pudo identificar los riesgos existentes en cada actividad, se realiza un estudio por actividad y subactividad para identificar las causas básicas, inmediatas el riesgo al cual están expuestos, la gravedad, (entre otros) esto gracias a la ayuda del método de “Análisis Preliminar de Riesgos” conocido comúnmente como APR, el cual es muy practicado en muchas partes del mundo.Ya que tenemos el “Análisis” de riesgos, se prosiguió a evaluarlos, para esta evaluación (ya que este plan de seguridad industrial es para cualquier empresa que desee incursionar en este rubro, y por tanto no se tiene probabilidades bien definidas) se toma como base las probabilidades de una empresa que tiene un grado de implementación de un sistema de seguridad industrial medio alto. Para la evaluación de los riesgos encontrados se utiliza el método “Análisis de Árbol de Fallas” conocido como AAF, gracias al cual se puede llegar a identificar las causas básicas de un suceso no deseado.Obtenido todos los datos necesarios para poder plantear soluciones, se elabora lo que viene a ser el “Plan de Seguridad Industrial” el cual estará compuesto por varios programas para llegar a minimizar las condiciones y acciones inseguras.En este “Estudio” se puede apreciar en su totalidad como se puede implementar un “Plan de Seguridad Industrial” para lo cual lo único que se debe hacer es seguir los procedimientos y recomendaciones para su aplicación.Se realiza un “Análisis de Costos” para demostrar la viabilidad del proyecto, en este análisis se puede apreciar que no se consideran accidentes con  baja médica prolongada, esto para demostrar que no necesariamente se debe sufrir un accidente de gran magnitud para poder implementar un plan de seguridad industrial.</t>
  </si>
  <si>
    <t>https://drive.google.com/file/d/1RcXfvJeESeuAgwmv8uAPj5I1PsjnWpTx/view?usp=sharing</t>
  </si>
  <si>
    <t>https://drive.google.com/file/d/1As8eDAVgK0WOKZHimXSX5HfXuN_tCzSf/view?usp=sharing</t>
  </si>
  <si>
    <t>MENDOZA FUENTES JACQUELINE FABIOLA</t>
  </si>
  <si>
    <t>ING. MABEL GLORIA MAGARIÑOS VILLARROEL</t>
  </si>
  <si>
    <t>DISEÑO DE UN PLAN ESTRATÉGICO PARA MEJORAR EL DESEMPEÑO DEL PERSONAL DEL CONTACT CENTER DE VIVA NUEVA TEL PCS TRIBUNALES</t>
  </si>
  <si>
    <t>fabiolamendoza06@hotmail.com</t>
  </si>
  <si>
    <t>IND-160-2006</t>
  </si>
  <si>
    <t>Recursos Humanos, Centro de Llamadas, planificación, estrategia, gestión, motivación, compromiso.</t>
  </si>
  <si>
    <t>Primeramente se procedió a la recopilación de información a través de encuestas de satisfacción al Centro de Llamadas Entrantes y al Centro de Llamadas Salientes, para detectar las posibles causas de insatisfacción en el personal; asimismo se realizaron entrevistas a los principales encargados del Área como ser al Gerente y supervisores. Con toda la información  resultante se realizó el diagnóstico del área identificando las Fortalezas, Debilidades, Oportunidades y Amenazas. Para priorizar las causas de desmotivación del personal se utilizó el método de Pareto, del cual se obtuvieron como principales resultados: Para el centro de Llamadas Entrantes en primera instancia el horario (82.76 %), la falta de oportunidades de progreso (68.97), las condiciones de trabajo (58.62 %), las capacitaciones (58.62 %) y otros (23.62 %) y para el Centro de Llamadas Salientes en primer lugar las capacitaciones (55.88 %), las oportunidades de progreso (50 %) y otros (14.56 %).Posteriormente se realizó la planeación estratégica siguiendo una corriente integradora y no subordinadora, considerando al personal como el recurso más importante dentro de la organización. A través de una matriz AODF se obtuvieron las estrategias alternativas FO, FA, DO y DA, de las cuales y en base a la Matriz Cuantitativa de la Planificación Estratégica MCPE  resultaron, para el Centro de Llamadas Entrantes y Salientes: “Motivación del Personal” y “Desarrollar una Cultura de Compromiso Total”. Consecutivamente se realizó la elaboración de fichas descriptivas del plan estratégico, en primer lugar para la directriz estratégica “Motivación del Personal” se desarrollaron las fichas de los planes: gestión de horarios, desarrollo del personal, mejora de las condiciones de trabajo y salud así como el diseño de mejora del coaching; mientras que para la directriz estratégica “Desarrollar una cultura de compromiso total” se realizaron el plan de comunicación total y premiación, señalando en las fichas descriptivas los respectivos responsables, indicadores, recursos necesarios así como las principales actuaciones y los resultados a conseguir.Por ende se buscó como primera medida suprimir los puntos generadores de tensión en el personal y como segunda medida fortalecer el compromiso y motivación del mismo; por tanto se sugirió que el modelo de planificación propuesto elevaría considerablemente el nivel de desempeño del personal, dado que con una implementación adecuada, disminuye los causantes de desmotivación en el personal. Se recomendó también cumplir estrictamente todos los planes motivacionales que se sugiera a los Representantes y considerar previamente los recursos disponibles antes de hacer público mencionados planes, estar concientes de que la valorización del personal es un trabajo diario y constante. Y por último se recomendó la implementación del Proyecto,  por la importancia que representa el personal para la mejora contínua de la empresa, por los beneficios que trae consigo tener a los Recursos Humanos motivados y comprometidos.</t>
  </si>
  <si>
    <t>https://drive.google.com/file/d/1WaGzN2LpKpwh6zizLdjerD-zjzVZ1eK5/view?usp=sharing</t>
  </si>
  <si>
    <t>https://drive.google.com/file/d/1qesOU3sTjLhK0-0WkCvrGtK52AhxkIM6/view?usp=sharing</t>
  </si>
  <si>
    <t>JIMENEZ MEJIA ESCARLET GIOVANNA</t>
  </si>
  <si>
    <t>INVESTIGACIÓN PARA LA PRODUCCIÓN DE HARINA DE HOJA DE COCA</t>
  </si>
  <si>
    <t>escarlet_23@hotmail.com</t>
  </si>
  <si>
    <t>IND-161-2006</t>
  </si>
  <si>
    <t>Nutrientes, fertilizantes, análisis, hoja de Coca.</t>
  </si>
  <si>
    <t>Primeramente se realizó una reseña bibliográfica de la historia de la hoja de Coca desde la época colonial hasta nuestros tiempos, lo cual nos da un marco teórico amplio para ser analizado y como referencia, ya que estos estudios has sido realizados por personajes fuera de nuestro país, y llama la atención el motivo por el cual en Bolivia no se tienen estudios exactos de una planta que se identifica a nuestro país.Luego, se realizó una investigación minuciosa de la cantidad de cultivos de Coca a nivel andino, nacional y regional, en el cual se ve que la cantidad de cultivos en Bolivia es menor que los cultivos del Perú y Colombia, esto debido a convenios realizados entre el gobierno y los campesinos de erradicar los cultivos de Coca voluntariamente aceptando 3.200 ha., aparte de las 12.000 ha ya reconocidas por la ley 1008.A nivel nacional los Yungas de La Paz es el departamento con mayor cantidad de cultivos de Coca, luego Chapare y Apolo, la baja a nivel nacional se debe a la disminución en el Chapare específicamente en Villa Tunari, aunque este sigue siendo el mayor productor en comparación a otras regiones del Trópico de Cochabamba.Se realizó un análisis sensorial para poder recabar información de la preferencia de productos con harina de Coca en la panadería y la pastelería, y dio como resultado la  aceptación de la harina de Coca en la alimentación diaria, posteriormente se realizó un análisis de la capacidad de producción esto dependiendo de la maquinaria existente en el mercado y en base a este se investigó de todo el proceso productivo y los materiales necesarios para la producción de harina de Coca.Se hizo un análisis detallado de la  localización de la planta elaboradora de harina de Coca y el mejor lugar resultó el municipio del cercado del departamento de Cochabamba de esta manera también la mano de obra a requerir en los procesos productivos.El impacto sobre el medio ambiente que genera el proyecto fue analizado desde el nivel de los consumidores y los productores y los beneficios que este trae a nuestra sociedad.       En conclusión se viene buscando la despenalización de la hoja de Coca, realizando una propuesta del uso de la hoja de Coca para ser presentada en el 2008 en la Convención de Estupefacientes realizada por la ONU.          La harina de Coca puede ser mezclada con harinas de: trigo, cebada, quinua, plátanos, papa, etc.; aplicada en la PANADERÍA, PASTELERÍA y PASTAS, así como en la preparación de instantáneos enriquecidos para la alimentación de los niños, madres gestantes, lactantes y los ancianos.        Se recomienda efectuar un estudio químico más detallado del aporte nutricional que genera la mezcla de diferentes harinas con harina de Coca en la  panadería, pastelería y pastas, ya que por motivo de costos elevados de dichos análisis estos no fueron realizados.         Efectuar un análisis financiero-económico, determinando los costos totales de producción, elaborando un plan de inversiones y presupuestos de operación, estableciendo los indicadores económicos financieros (VAN, TIR, TMA) cuyo análisis definirá  la rentabilidad del proyecto.</t>
  </si>
  <si>
    <t>https://drive.google.com/file/d/1-_CooCdHE3E2zeWmIqfJvLjG6yDj2NOs/view?usp=sharing</t>
  </si>
  <si>
    <t>https://drive.google.com/file/d/1EMgEuSRFyjKwq56K_6i9VnZlgedTuRme/view?usp=sharing</t>
  </si>
  <si>
    <t>HERBAS USTARIZ KAREN JHOSSELY</t>
  </si>
  <si>
    <t>CANALES VILLARROEL NINEL ANDREA</t>
  </si>
  <si>
    <t>PLANIFICACIÓN ESTRATÉGICA DE MARKETING PARA INDUSTRIA DE PASTAS ALIMENTICIAS LUCIANA</t>
  </si>
  <si>
    <t>jhossely@hotmail.com</t>
  </si>
  <si>
    <t>IND-162-2006</t>
  </si>
  <si>
    <t>Planificación, Marketing, Estrategia, Fideo, Investigación De Mercados, Plan Operativo, Plan Estratégico, Pastas, Industria Luciana, Gestión Estratégica, Macroentorno, Microentorno, Cercado, Cochabamba, Bolivia, 2006</t>
  </si>
  <si>
    <t>Se ha realizado una planificación estratégica de marketing para Industria de Pastas Alimenticias Luciana, ya que ésta no dedica actividades de marketing para desarrollar adecuadamente sus actividades comerciales. Para este fin se ha seguido un proceso lógico de acciones. En primer lugar, se ha analizado la situación actual de la empresa, investigando la estructura organizativa, el capital humano, los recursos tecnológicos, los principios estratégicos (misión, visión, objetivos y valores) y el Marketing Mix (producto, precio, plaza, promoción), dando lugar a la identificación de sus fortalezas y debilidades.Luego se ha realizado una auditoría de factores del entorno, para conocer cuáles son los principales factores exógenos a la empresa y que condicionan su comportamiento, representando posibles problemas u oportunidades futuras. Para el desarrollo de esta auditoría se han distinguido dos categorías: macroentorno y microentorno. El estudio del macroentorno engloba aquellos factores que influyen en todas las empresas por igual; en cambio, el estudio del microentorno engloba aquellos factores que afectan de modo particular a las empresas del rubro de pastas alimenticias. Para este último se realizó dos investigaciones de mercado: para consumidores e intermediarios. Con el apoyo de diferentes técnicas se ha resumido y analizado la información obtenida de las dos etapas anteriores generándose estrategias alternativas viables, de las cuales la que mejor se ha adecuado a la situación de “Industria Luciana”, es Penetración en el mercado. Esta estrategia intensiva trata de conseguir una mayor participación en el mercado para el producto existente a través de un mayor esfuerzo en la comercialización. Posteriormente, se ha elaborado el direccionamiento estratégico, el plan estratégico en base a objetivos de posicionamiento y cuota de mercado, y dos planes operativos: para consumidores e intermediarios, considerando las cuatro variables del marketing mix: producto, precio, plaza y promoción, planteando para cada una, objetivo, estrategia, planes y líneas de acción a seguir. Las líneas de acción más importantes son las concernientes a la variable promoción, sin que ello signifique que el desarrollo de las demás líneas de acción sea descuidado. Las estrategias utilizadas para esta variable son aspiración (pull) y presión (push) para consumidores e intermediarios, respectivamente.Por último, se ha realizado un análisis financiero para ordenar y sistematizar la información monetaria obtenida a lo largo del proceso y concluir que la empresa es rentable con la implantación del proyecto.</t>
  </si>
  <si>
    <t>https://drive.google.com/file/d/10Ed3Ov_4eNT8snHh4CHzjdf3eQ0jSEfv/view?usp=sharing</t>
  </si>
  <si>
    <t>https://drive.google.com/file/d/1YaeEkgT9pleDuZwoAypLzuDRfgCeIZax/view?usp=sharing</t>
  </si>
  <si>
    <t>JACQUELINE QUINTEROS BOHORQUEZ</t>
  </si>
  <si>
    <t>CAROLA PINTO TABORGA</t>
  </si>
  <si>
    <t>LIC. ENRIQUE ANGULO SALINAS</t>
  </si>
  <si>
    <t>“DISEÑO DE UN MODELO INTEGRADO PARA LA OPTIMIZACIÓN DEL SISTEMA DE DISTRIBUCIÓN DE LOS PRODUCTOS DE PIL ANDINA S.A.”</t>
  </si>
  <si>
    <t>pintot@supernet.com.bo</t>
  </si>
  <si>
    <t>IND-163-2006</t>
  </si>
  <si>
    <t>Productividad, Flete, algoritmo heurístico, logística, transporte,     Problema del ruteo de vehículos con capacidad limitada.</t>
  </si>
  <si>
    <t>El Sistema de distribución de PIL Andina S.A. presenta dificultades en el manejo de recursos humanos, económicos y físicos que no le han permitido tener un nivel óptimo  de desempeño. El presente Proyecto de Grado pretende darle solución a este problema mediante el diseño de un modelo integrado que sea un apoyo a la toma de decisiones relacionadas a la logística de distribución en la empresa. Primeramente se realizó un diagnóstico de la situación actual del sistema de distribución, mediante un análisis factorial y causal que permitió determinar el nivel de eficiencia del sistema y establecer los puntos sobre los que la investigación se centró.Mediante la proyección de la demanda y una investigación descriptiva de los parámetros de pedido del Cliente Interno y Externo de la empresa, se puedo simular la cantidad de producto que cada Cliente solicita cada día a PIL Andina y la cantidad de vehículos que salen diariamente con destino nacional.La cantidad de producto que cada Cliente solicita, la distancia que existe  entre cada uno de ellos y la capacidad de los vehículos de distribución local, sirvió para determinar un nuevo plan de rutas basado en un algoritmo heurístico, cuyo objetivo es encontrar un conjunto de rutas que satisfaga el requerimiento de cada Cliente y a su vez minimice la distancia total recorrida.Como parte del apoyo a la logística de transporte, también se plantearon nuevos fletes basados en una estructura de costos de operación vehicular. Este análisis le permitirá a la empresa negociar el valor final del flete, en base al costo primo unitario, al cual se le añade un porcentaje de utilidad.La determinación del total de vehículos nacionales y locales que son servidos en almacenes de producto terminado, fue información base para formular el requerimiento mínimo de personal en esta área. A su vez esta información sirvió para crear un modelo matemático de programación lineal que permitió realizar una mejor asignación de personal en almacenes.Las tres propuestas presentadas en el proyecto harán posible que la empresa PIL Andina S.A., pueda responder a la demanda de sus Clientes, con un óptimo nivel de servicio al menor costo posible.</t>
  </si>
  <si>
    <t>https://drive.google.com/file/d/1CH8b4Ps-xdcDc93XlA268OF4TBHQRIgn/view?usp=sharing</t>
  </si>
  <si>
    <t>https://drive.google.com/file/d/1nMJiWOApltzkphG6l8bNOfs9NiPua0P2/view?usp=sharing</t>
  </si>
  <si>
    <t>APONTE GRAGEDA VERONICA ESTHER</t>
  </si>
  <si>
    <t>ESPINOZA FLORES KATHERIN SONIA</t>
  </si>
  <si>
    <t>FACTIBILIDAD TÉCNICA-FINANCIERA PARA LA INSTALACIÓN DE UNA PLANTA PILOTO DE COLORANTES NATURALES EN EL CENTRO DE TECNOLOGÍA AGROINDUSTRIAL</t>
  </si>
  <si>
    <t>kathykef@hotmail.com</t>
  </si>
  <si>
    <t>IND-164-2006</t>
  </si>
  <si>
    <t>Factibilidad, Planta Piloto, Técnica-Financiera, Centro de  Tecnología Agroindustrial CTA.</t>
  </si>
  <si>
    <t>Para el desarrollo del Proyecto se ha identificado como productos del proyecto al Rojo-Ácido Carmínico Líquido y Sólido, Anaranjado-Curcumina y Aceite de Cúrcuma, Amarillo-Bixina, Verde-Clorofila. Para demostrar la Factibilidad del proyecto, se ha analizado el comportamiento de los colorantes naturales en el Mercado Local de la Industria Alimenticia, por ello se ha tomado como población objetivo a las empresas medianas de la industria alimenticia de la ciudad de Cochabamba, se calculó una muestra de 38 empresas. Se elaboraron las encuestas dirigidas a las empresas que requieren de este insumo, para luego tabularlas en el programa SSPS, seguidamente se procedió a la interpretación de los resultados obtenidos, la comercialización de colorantes en Cochabamba está dominado por importaciones, también se observó que, tan solo el 35.3% del consumo de colorantes pertenece al consumo de colorantes naturales, y que del restante 64.7% que utilizan colorantes Sintéticos un 95% estaría dispuesto a reemplazar en su producción a los colorantes sintéticos por los naturales e incluso de este 95%, un 11% corresponde a una demanda insatisfecha que desea consumir los colorantes naturales pero por políticas de venta de las distribuidoras no ha podido acceder a este servicio. Es así que con esa información y con los índices de volumen de ventas de la industria alimenticia se ha elaborado la demanda potencial proyectada del proyecto, y tomando como referencia la capacidad de la planta se determinó el porcentaje de penetración del proyecto en el mercado. Para garantizar la penetración en el mercado del producto se ha propuesto un sistema de comercialización, donde se ha formulado estrategias para el Producto, Precio, Promoción y Plaza. Posteriormente se ha elaborado un Programa de Abastecimiento de materia Prima que garantiza el aprovisionamiento de materias Primas para los años de vida del Proyecto. Es así que con esa información se ha determinado el tamaño de la Planta Piloto de Colorantes Naturales. Para demostrar la Factibilidad desde el punto de vista técnico se ha analizado cada proceso de extracción para cada uno de los productos del proyecto, donde se han considerado las recuperaciones de los solventes para minimizar los costos de producción. En cuanto a la Organización de la planta, se elaboró de acuerdo a la conformación de la Estructura matricial del Centro de Tecnología Agroindustrial. Del Análisis de Evaluación Financiera se demostró la factibilidad del mismo, con indicadores de rentabilidad atractivos: Van = 45348 $us, Tir =27,29 % y B/C = 1,8. Concluyendo entonces que el proyecto resulto ser factible, considerando que el Centro de Tecnología Agroindustrial no para el diezmo universitario al considerarse este de facto. Por otra parte se demostró lo atractivo del proyecto pues existe una tendencia por consumir productos cada vez mas naturales, se cuenta con la tecnología adecuada,  además se demostró que no genera impactos sobre el medio ambiente de consideración, mas por el contrario se aprovechan los desperdicios y son reutilizados como alimento para animales y abono.</t>
  </si>
  <si>
    <t>https://drive.google.com/file/d/18c2ZiB1u_354roByTjAK1QXig7tZ7EJB/view?usp=sharing</t>
  </si>
  <si>
    <t>https://drive.google.com/file/d/1zeAkrPWUryXwjsL8t9OiAWMNkeh2tN-E/view?usp=sharing</t>
  </si>
  <si>
    <t>PORTANDA CONDORI JOSÉ AUGUSTO</t>
  </si>
  <si>
    <t>PECHO CHAVEZ ZAID</t>
  </si>
  <si>
    <t>DESARROLLO DE UN SISTEMA DE GESTIÓN DE RECURSOS HUMANOS PARA INDUSTRIAS LUJAN S.R.L., BASADO EN UN MODELO DE GESTIÓN POR PROCESOS</t>
  </si>
  <si>
    <t>japc_W@hotmail.com</t>
  </si>
  <si>
    <t>IND-165-2006</t>
  </si>
  <si>
    <t>Dpto. de RRHH, Sistema, Gestión, Administración de Personal, Procesos.</t>
  </si>
  <si>
    <t>El presente Trabajo estuvo dirigido al desarrollo de un Sistema de Gestión de RRHH para Industrias Lujan S.R.L., el cual se baso en un modelo de gestión por procesos, con el fin de contribuir a la mejor administración del personal de la empresa.Para la realización de este trabajo se adopto una metodología que comenzó, con la recabación de información propia de la empresa, como ser la ubicación de sus oficinas, ambientes de trabajo, equipo tecnológico con que cuenta, mercados a los que llega, proveedores que tiene, productos que fabrica, esto con el fin de introducirse en el campo en el cual se desarrollo el trabajo.Así mismo se redactó el Marco Teórico necesario que fue el respaldo científico, del trabajo desarrollado.Se vio también necesario realizar una descripción de los procesos que desarrolla la empresa, esto con el fin de conocer a grandes rasgos las actividades en las cuales incurre esta, así como las actividades que realiza el personal, el cual fue de gran ayuda en el desarrollo de los distintos manuales elaborados.El diagnostico que se desarrollo nos dio una pauta de cómo se lleva la administración del personal en la empresa, así como los aspectos en los cuales se tiene que mejorar, modificar ó implantar en la empresa.El diseño del sistema de gestión de RRHH propuesto, busca solucionar el problema de como llevar una adecuada administración de personal, esto debido al crecimiento de sus RRHH, proporcionando las herramientas adecuadas que impulsen y fortalezcan al personal de la empresa y de esta manera contribuya eficientemente al desarrollo de esta.Por último  se propone una metodología de implementación del trabajo desarrollado y se muestra una estimación de los costos en los que se incurrirá en la implementación y mantenimiento del sistema de gestión de RRHH.</t>
  </si>
  <si>
    <t>https://drive.google.com/file/d/1GU3qWtJ_ELqcWRzuuzxQIrUYe8cTtBOI/view?usp=sharing</t>
  </si>
  <si>
    <t>https://drive.google.com/file/d/1juzej0P0sEaAwoRo7jywd9q70O1SRUin/view?usp=sharing</t>
  </si>
  <si>
    <t>SARIÁN BERNARDO REINAGA AGUILAR</t>
  </si>
  <si>
    <t>ING. BORIS CHRISTIAN HERBAS TORRICO</t>
  </si>
  <si>
    <t>DISEÑO DEL SISTEMA DE GESTIÓN DE CALIDAD PARA PHOCOS LATIN AMERICA SRL SEGÚN LA NORMA ISO 9001:2000</t>
  </si>
  <si>
    <t>sarian_reinaga@yahoo.es</t>
  </si>
  <si>
    <t>IND-166-2006</t>
  </si>
  <si>
    <t>Sistemas Fotovoltaicos, Sistemas de Gestión de Calidad, Mejora Continua</t>
  </si>
  <si>
    <t>El objetivo general del Proyecto fue el de Diseñar un Sistema de Gestión de Calidad para la empresa Pocos Latin America SRL, basado en la Norma ISO 9001:2000 de manera que le permita a la Organización tener una mayor competitividad con calidad, regida por una norma internacionalmente reconocida, de tal manera que los productos que ofrece sean aceptados en cualquier medio.Para el Proyecto, inicialmente se realizó una investigación exhaustiva de los conceptos necesarios sobre calidad, los requisitos de la Norma ISO 9001:2000 y de información complementaria, necesaria para poder realizar el Diseño de un Sistema de Gestión de Calidad eficaz.Después de haber realizado la investigación y tener la base teórica sobre los aspectos de Calidad, se realizó una Auditoria al Sistema de Gestión de Calidad existente en la Organización, de acuerdo a los requisitos de la Norma ISO 9001:2000 y nos permitió establecer en que situación se encontraba la misma. Todo esto se consiguió con un trabajo cotidiano en cada sector de la Organización, con la cooperación de cada uno de los responsables de los procesos en estudio.En base al resultado obtenido en el Diagnóstico se desarrolló el Diseño del Sistema de Gestión de Calidad, referente al cumplimiento de todos los requisitos de la Norma ISO 9001:2000. Se aplicaron las herramientas de calidad y se rediseñaron, completaron y mejoraron los procesos existentes logrando que estos cumplan con los requisitos de la Norma ISO 9001:2000.Se estableció el nivel de la documentación y se elaboraron los siguientes documentos: Manual de Calidad, Manual de Procedimientos, Instructivos de Trabajo y Registros de Calidad. Cada procedimiento, instructivo de trabajo y registro de calidad, se analizó junto con los responsables de su aplicación.El desarrollo del Diseño del Sistema de Gestión de Calidad nos permitió identificar los costos de calidad referidos a una posible Implementación del Sistema diseñado como a la Certificación del mismo. La cuantificación de estos costos se realizó en función a tres categorías de costos que se identificaron, estas fueron: Costos de implementación, Costos de Mantenimiento y Mejora y Costos por Certificación.Se concluyó que el Sistema de Gestión de Calidad diseñado, puede permitir a la Organización que con lo que tiene: Infraestructura, equipamiento, producción no tecnificada, personal con experiencia en producción e interés por mejorar.Ser capaz de:-        Definir los procesos necesarios para la eficiente gestión de la organización.-        Disponer de documentación para realización de actividades productivas, comerciales y administrativas.-        Disponer de información para la toma de decisiones.-        Definir indicadores de control por proceso para su eficaz gestión.-        Producir de forma tecnificada con controles minuciosos en cada etapa.-        Concienciar al personal de la organización, que el fin de la misma es la satisfacción de los clientes.-        Mejorar la productividad global de la organización.-        Buscar mejorar continuamente como organización.Finalmente se realizó las recomendaciones necesarias para que el Sistema de Gestión de Calidad diseñado, pueda ser implementado.Estas recomendaciones van referidas a las acciones que deben tomarse no solo para que el Sistema sea implementado, sino también para que este pueda ser certificado de manera exitosa.</t>
  </si>
  <si>
    <t>https://drive.google.com/file/d/16RTVYuYCwleliYbIHCTaoNCaZlARbS5u/view?usp=sharing</t>
  </si>
  <si>
    <t>https://drive.google.com/file/d/1wswqBRGK788cdQq8TzQ-d_0DTJX1bBE7/view?usp=sharing</t>
  </si>
  <si>
    <t>MARTINEZ PAZ SERGIO ALEJANDRO</t>
  </si>
  <si>
    <t>DISEÑO DE ESTRATEGIAS DE MARKETING PARA UN SOFTWARE DE GESTIÓN EMPRESARIAL</t>
  </si>
  <si>
    <t>alexitomp@hotmail.com</t>
  </si>
  <si>
    <t>IND-167-2006</t>
  </si>
  <si>
    <t>software, sistema informático, sistema de gestión empresarial, gestión de marketing,  gestión estratégica.</t>
  </si>
  <si>
    <t>El trabajo se realizó a partir de la necesidad de una empresa de informática en consolidarse en el mercado de sistemas de gestión empresarial. El estudio se realizó dentro de una empresa privada dedicada a la programación y al desarrollo de software.Primeramente se realizó un análisis de las características del software y del servicio de asistencia técnica que proporciona la empresa y sus competidores con productos de similares características. También se realizó una investigación exploratoria la cual permitió producir ideas e identificar y familiarizarse con los problemas y oportunidades del mercado.También se determinaron los factores críticos para el éxito, a través de un análisis interno y externo, además de analizar la misión actual de la empresa.Seguidamente se realizó el análisis y la elección de estrategias que determinaron los cursos de acción que permitirán a la empresa alcanzar de la mejor manera sus objetivos, que sumados a la información obtenida en los análisis externo e interno sentaron las bases para generar y evaluar las estrategias alternativas viables.Se realizó una descripción del marketing de la empresa, a partir de esta descripción se marcaron las directrices y líneas de acción respectivas, para lograr la planificación y ejecución de los conceptos: producto, precio, plaza y promoción.Se determinaron los costos en que la empresa incurrirá para la implantación de las estrategias donde se comprobó la viabilidad del proyecto.</t>
  </si>
  <si>
    <t>https://drive.google.com/file/d/1uWoZkEaS-7V_-as3Z1uRL5eoMihEUf5T/view?usp=sharing</t>
  </si>
  <si>
    <t>https://drive.google.com/file/d/1hs8he_iSGIS9yNKjSpaPkzy4glQ-LR8j/view?usp=sharing</t>
  </si>
  <si>
    <t>DOMINGUEZ MANUEL RICHARD</t>
  </si>
  <si>
    <t>DISEÑO DE UN SISTEMA DE DIAGNÓSTICO TÉCNICO PARA PEQUEÑAS Y MEDIANAS EMPRESAS PRODUCTIVAS MANUFACTURERAS DEL SECTOR DEL CUERO</t>
  </si>
  <si>
    <t>consige@hotmail.com</t>
  </si>
  <si>
    <t>IND-168-2006</t>
  </si>
  <si>
    <t>Productos empresariales, estrategias, valor agregado, asesoría empresarial.</t>
  </si>
  <si>
    <t>Para cualquier país el aparato productivo es de vital importancia para generar desarrollo y empleo en la región, uno de los sectores más antiguos es del cuero. Bolivia se caracteriza por exportar productos con poco valor agregado a otros países y es por ello que el presente estudio está enfocado hacia productos con valor agregado que minimicen en el futuro las exportaciones de cuero de calidad y se maximice las exportaciones de productos manufacturados (calzados, billeteras, etc.) a través de la implementación de herramientas de gestión adecuadas a las características y necesidades de las PyMEs, por instituciones especializadas en la prestación de servicios de desarrollo empresarial como Idepro.Cochabamba se caracteriza por ser la región más importante en lo que respecta al subsector de calzados de cuero, ya que la mayor capacidad productiva se encuentra en está ciudad y cuenta con una ventaja comparativa importante; geográficamente la mayor parte de las MIPyMEs se encuentran concentrados en la zona sud, lo cual facilita la implementación de programas integrales de desarrollo para las empresas.El primer paso para alcanzar los objetivos del presente estudio fue investigar y analizar la situación actual del sector de cuero a nivel mundial; Oferta, demanda, precios, importaciones y exportaciones. Posteriormente el estudio fue aterrizando hacia la situación del sector del cuero en Bolivia, en toda la cadena productiva del cuero; Ganadería, curtiembre y manufactura.Al contar con la información de la cadena productiva del cuero, con apoyo de las metodologías de Análisis FODA e Identificación de Necesidades Básicas, se diseñó la Matriz de Planificación del sector del cuero y las estrategias para el subsector de curtiembres y manufactura.Para poder desarrollar “Productos” (servicios de desarrollo empresarial) puntuales y operativos que puedan ser incorporados en las PyMEs del subsector de calzados para mejorar la competitividad en el ámbito local, nacional e internacional se elaboró un diagnóstico técnico. Los resultados identificaron 6 “Productos” para ser implementados en las empresas: 1) Sistema de reclutamiento, mantenimiento y evaluación del personal. 2) Plan financiero y Sistema de Costos de Producción. 3) Programa de seguridad, orden y limpieza. 4) Diseño e implementación de un sistema de gestión de la calidad. 5) Implementación de herramientas de planeamiento y control de la producción. 6) Sistema de selección y evaluación de proveedores.Con excepción del producto dos, cada uno de los productos fue desarrollado y preparado el material necesario para implementarlo en las PyMEs. Estos productos están diseñados según las necesidades y características del subsector de calzados y por consiguiente facilita la implementación de los mismos en las PyMEs y están destinados para incrementar la competitividad de las mismas.</t>
  </si>
  <si>
    <t>https://drive.google.com/file/d/1p_jVQfbY6FaLbIXgf1XC8lfofHx6cYJO/view?usp=sharing</t>
  </si>
  <si>
    <t>https://drive.google.com/file/d/10y2v6pA_qTJ13U182GeV0VS7I0V_Iq3D/view?usp=sharing</t>
  </si>
  <si>
    <t>FLORES MAMANI HEBER</t>
  </si>
  <si>
    <t>DESARROLLO DE ESTRATEGIAS DE COMPETITIVIDAD BASADAS EN LA GESTIÓN DEL CONOCIMIENTO PARA MYPES TEXTILERAS</t>
  </si>
  <si>
    <t>heberfloresm@hotmail.com</t>
  </si>
  <si>
    <t>IND-169-2006</t>
  </si>
  <si>
    <t>Gestión del Conocimiento, MyPEs, Capacitación, Asistencia,  Técnica, Estrategias.</t>
  </si>
  <si>
    <t>El plan estratégico que se ha desarrollado para el sector de las Micro y Pequeñas Empresas Textileras de Cochabamba tiene como objetivo mejorar e incrementar la competitividad de este sector, pues este sector es el  motor de la economía, están llamadas a jugar un papel crucial en la recuperación del crecimiento económico del país. Esto lo podemos observar en los siguientes indicadores: el sector de las MyPEs logra aportar con el 80% de empleos directos en el país, hay mas de 200000 unidades empresariales pequeñas y cada una de ellas genera  seis empleos y mueven un total de $ 250 millones y aportan  con el 25% al PIB.[Fuente: Confederación Nacional de la Micro y Pequeña Empresa (Conamype) ].Para el desarrollo de las estrategias se ha realizado un análisis del sector y un análisis de atractividad de la industria textilera en el mercado interno y externo. Para el análisis del sector, mediante un trabajo de campo (encuestas), se ha determinado las Fortalezas y Debilidades en las temáticas de: infraestructura, tecnología, comercialización, recursos humanos, finanzas, producción, dirección y otros. Para el análisis de atractividad del sector, mediante información obtenida de instituciones como el  Instituto Nacional de Estadística, la Confederación de Empresarios Privados de Bolivia, Cámara Nacional de Industria y otros, se ha determinado las Oportunidades y Amenazas para el sector de las MyPEs textileras.Una vez identificado las  Fortalezas, Debilidades, Amenazas y Oportunidades se han desarrollado las estrategias aplicando la herramienta del FODA.Las estrategias que se han diseñado para el sector MyPEs textileras son:1. Modernización de los procesos productivos, a través de la adquisición de equipos de mejor  tecnología, garantizando al consumidor del mercado nacional como internacional un producto terminado altamente competitivo.2. Fortalecimiento Gerencial a los empresarios y empresarias del Sector MyPEs textileras.3. Formar e impulsar la creación  redes empresariales  articuladas.Modernización de los procesos productivos, a través de la adquisición de equipos de mejor  tecnología: El objetivo de esta estrategia es presentar al mercado nacional como internacional un producto que satisfaga las exigencias del consumidor, y ser un sector líder  en la producción y comercialización de prendas de vestir.Fortalecimiento Gerencial a los empresarios y empresarias del Sector MyPEs textileras: Cuyo objetivo es capacitar  a los empresarios del sector con conocimientos científicos que conjugados con sus conocimientos teóricos les permitan tener las herramientas necesarias para la toma de decisiones gerenciales.Esta estrategia tiene dos componentes: la capacitación y asistencia técnica.Para la capacitación se ha propuesto siete temas que son: Management, Comercio Exterior, Gestión de Calidad, Gestión en Ventas, E-business, Seguridad Industrial y Gestión en Finanzas.También realizar Asistencias Técnicas en: Planificación Estratégica, Calidad, Comercialización, Finanzas, Seguridad Industrial y Comercio Exterior.Formar e impulsar la creación  redes empresariales  articuladas: Tiene por objeto promover la conformación del Asociativismo Empresarial entre los microempresarios.Beneficios de la implantación de estas estrategias.Se ha desarrollado un conjunto de beneficios que  obtendrán los microempresarios al implantar estas estrategias las cuales son: Que le sector de las MyPEs textileras, tengan ventajas competitivas, logren nuevas oportunidades de inserción en los mercados y aumenten su capacidad de generar empleos bien remunerados y estables.Un sector con capacidad tecnológica moderna, que garantice la competitividad de sus productos.Tener un microempresario con capacidad de gestión en: Administración, Finanzas, Producción, Recursos Humanos y Comercialización.Las micro empresas, al conformar una red permitirá alcanzar los siguientes resultados.§  Reducción de costos de producción.§  Acceso a mercados de altos volúmenes de demanda (como por ejemplo: exportaciones y licitaciones).§  Aceleración del proceso de aprendizaje a través del intercambio sistemático de experiencias, mediante el proceso de gestión del conocimiento§  Ampliación en la red de contactos.§  Especialización de los procesos productivos.§  Mejora en la toma de decisiones gracias al intercambio de información e interpretación de las dinámicas económicas.En definitiva, contar con un sector altamente competitivo en el mercado nacional y con capacidad de exportación.</t>
  </si>
  <si>
    <t>https://drive.google.com/file/d/1Edgy8JDkqPhDkhe8Tfmm2BPtk7E_uQkk/view?usp=sharing</t>
  </si>
  <si>
    <t>https://drive.google.com/file/d/19482hMinqlFZih2URWgCHx_pGe-Pgi1u/view?usp=sharing</t>
  </si>
  <si>
    <t>SONAGLIA TERAN FABIOLA ANGELICA</t>
  </si>
  <si>
    <t>RONCAL FERRUFINO MARCO ANTONIO</t>
  </si>
  <si>
    <t>DISEÑO DE UN PLAN ESTRATÉGICO DE MARKETING PARA SICO SOL</t>
  </si>
  <si>
    <t>fabiola.sonaglia.t@gmail.com</t>
  </si>
  <si>
    <t>IND-170-2006</t>
  </si>
  <si>
    <t>Cercado, calefones solares, plan de muestreo, F.O.D.A., Porter.</t>
  </si>
  <si>
    <t>El trabajo que se realizo tenia como objetivo general el Diseño de un Plan Estratégico de Marketing para el posicionamiento de los calefones solares de la empresa Sico Sol, en la provincia Cercado de la ciudad de Cochabamba. El proyecto proporcionó a la empresa el material necesario para poder tener una mejora continua referida al departamento de marketing, a través de un plan estratégico que contribuya a eliminar las debilidades y afianzar las fortalezas de la empresa, así mismo aprovechar las oportunidades presentes en el mercado.La metodología utilizada fue una análisis interno de la empresa, como externo para lo cual se realizo un estudio de mercado, determinándose los requerimientos y necesidades del cliente, a la ves de las características de la competencia; en base al análisis interno y externo se elaboran las estrategias de marketing mix precio, plaza, producto y promoción.Para el estudio de mercado se determino como unidad muestral las viviendas particulares, balnearios y viviendas colectivas las herramientas utilizadas para este estudio fueron entrevistas, formularios de observación. Como resultado del estudio de mercado se obtuvo que existe una tendencia positiva de la población entrevistada a la instalación de un calefón solar.Se elaboraron estrategias de marketing en base a los requerimientos del mercado como ser: ofrecer planes de pago al cliente, desarrollo del producto, incursionar en los medios de comunicación y finalmente mejorar la comunicación interna de la empresa.Para la elaboración de las estrategias de marketing se realizó la matriz FODA, EFE, EFI y MPC y finalmente se analizaron las cinco fuerzas de Porter.Para la aplicación del plan se realizo un análisis financiero donde se determina la inversión y los gastos requeridos por el plan, llegándose a una factibilidad positiva con la aplicación del plan propuesto.Se propuso las conclusiones generales del proyecto y recomendaciones que deben ser consideradas para el mejoramiento de la empresa</t>
  </si>
  <si>
    <t>https://drive.google.com/file/d/1Kbi2JqqixPax8B2Em0auvLU7M62jguW3/view?usp=sharing</t>
  </si>
  <si>
    <t>https://drive.google.com/file/d/11sQxqsnvjACUmveCudVlSfUT95madxtO/view?usp=sharing</t>
  </si>
  <si>
    <t>MERCADO ARISPE WESLEY MARVIN</t>
  </si>
  <si>
    <t>MEJORAMIENTO DEL SISTEMA PRODUCTIVO EN PLÁSTICOS DERQUI S.R.L.</t>
  </si>
  <si>
    <t>westqm@hotmail.com</t>
  </si>
  <si>
    <t>IND-171-2006</t>
  </si>
  <si>
    <t>Sujeto, Instituciones, Objetivos, Materiales, Actividades, Agentes, Métodos, Resultados.</t>
  </si>
  <si>
    <t>La Empresa de Plásticos DERQUI S.R.L teniendo en cuenta el compromiso de abastecer el mercado cochabambino con productos de alta calidad, ve la necesidad de replantear el proceso productivo mediante el análisis de la producción en cada uno de sus componentes, para así hacer posible una adecuada aplicación de las actividades productivas.Primeramente se realizo una completa revisión bibliográfica en libros e Internet de los aspectos que van a ser tocados, se  recolecto la información necesaria  acerca de todos los procesos todo esto para poder saber en que estado se encuentra la empresa a través de recolección de datos y en función de este análisis se podrá dar solución a los distintos problemas que encontremos en nuestro estudio.Se realizo una descripción de todos los productos que brindan, materia prima e insumos que se utilizan, realizándose el seguimiento de todas las líneas de producción; con todo esto se empezó a desarrollar cada uno de los procesos  y sus respectivas capacidades de producción, efectuándose la respectiva asignación de máquinas  por procesos.Por otra parte se hizo una descripción del proceso actual para poder encontrar las falencias  de los distintos procesos y sus evaluaciones respectivas.Se observo claramente cuellos de botella, que están ocasionando retraso en la entrega de pedidos., existe una aparente necesidad de más máquinas, pero el análisis, sugiere que una mejor asignación de máquinas podría prescindir de nuevas máquinas, la planificación y asignación de máquinas, no responde a una metodología, sino a la intuición basada en eventos anteriores; las soluciones que se proponen son: Diseño de una metodología para la planificación de la producción, Capacitación al personal de producción, crear la función de asistente de producción, Disminución de los cuellos de botella y un nueva reubicación de las maquinarias, también se planteo la incorporación de una sistema informático a grandes rasgos ya que la empresa lo complementaria al que disponen.Se brindo una información completa de los costos que incurrirían en la implementación de este estudio, lo cual sugiere que a la empresa le convendría poner en marcha  esta propuesta.</t>
  </si>
  <si>
    <t>https://drive.google.com/file/d/1BhbPQw8eERJuyMdVGMSpjyS0f5Ick0ck/view?usp=sharing</t>
  </si>
  <si>
    <t>https://drive.google.com/file/d/12jwdRbxl_tFATg0QIazFm816Jv8mrj7Y/view?usp=sharing</t>
  </si>
  <si>
    <t>SHIRLEY DELGADILLO MURGUIA</t>
  </si>
  <si>
    <t>MARIA JULIA CLAVIJO QUIROGA</t>
  </si>
  <si>
    <t>PLAN ESTRATÉGICO Y OPERATIVO DE MARKETING PARA LA EMPRESA DE CALZADOS MALUCI</t>
  </si>
  <si>
    <t>maju.c.q@gmail.com</t>
  </si>
  <si>
    <t>IND-172-2006</t>
  </si>
  <si>
    <t>Plan estratégico de marketing, investigación de mercado, gestión estratégica, calzados, plan operativo.</t>
  </si>
  <si>
    <t>El proyecto tiene por objetivo realizar el diseño de un plan estratégico y operativo de marketing para la empresa de calzados MALUCI, el primer paso que se realizo para alcanzar éste objetivo es una investigación de mercados que determino las características del mercado actual donde la empresa ofrece sus productos, la participación de la empresa y el nivel de desarrollo de las variables del marketing mix.Seguidamente se realizó el análisis interno y diagnóstico externo para determinar las fortalezas y debilidades de la empresa al igual que las amenazas y oportunidades del mercado.  Comparando las variables obtenidas en la investigación de mercados con el análisis interno y diagnostico externo se obtuvo las características a reforzar y explotar del mercado, determinando las estrategias a seguir dentro del plan de marketing.Al desarrollar el plan estratégico y operativo de marketing se determinaron los objetivos y estrategias de posicionamiento, mercado, producto, precio, distribución, promoción y publicidad, dando como resultado seguir la estrategia de crecimiento intensivo sobre la cual se desarrollaron las estrategias del plan de marketing.Para el desarrollo de las estrategias se realizaron planes desglosados en líneas de acción, actividades y tareas para cada uno de los componentes del marketing mix, para el control de los planes se propone un sistema de control en base a indicadores que verifiquen el seguimiento en cada una de las etapas de las estrategias.Posteriormente se realizó  la evaluación financiera determinado así los costos de la aplicación del plan y los beneficios que se obtendrán en su implementación, el análisis financiero muestra la sensibilidad a ciertas variables que afectan en la rentabilidad.</t>
  </si>
  <si>
    <t>https://drive.google.com/file/d/1kO6wgMiV9qQjejrs3Y3f00PhbNQJglxz/view?usp=sharing</t>
  </si>
  <si>
    <t>https://drive.google.com/file/d/1MlwSWfEQi_BaQ-RbvjADdstDWa3YYjUo/view?usp=sharing</t>
  </si>
  <si>
    <t>GONZALES LARA CLAUDIA ALEJANDRA</t>
  </si>
  <si>
    <t>DR. LUCIO GONZALES CARTAGENA</t>
  </si>
  <si>
    <t>DISEÑO DE UNA PLANTA DE PRODUCCIÓN DE ANHÍDRIDO SULFUROSO EN BOLIVIA</t>
  </si>
  <si>
    <t>alegl@supernet.com.bo</t>
  </si>
  <si>
    <t>IND-173-2006</t>
  </si>
  <si>
    <t>DISEÑO</t>
  </si>
  <si>
    <t>Anhídrido sulfuroso</t>
  </si>
  <si>
    <t>El anhídrido sulfuroso o dióxido de azufre (SO2), que se pretende producir en el presente proyecto, se utiliza como antiséptico, antioxidante, antioxidásico, blanqueador, clarificante y solubilizante de compuestos fenólicos. Su actividad antiséptica protege a estos productos del desarrollo de  microorganismos (levaduras, bacterias y mohos), su acción antioxidante inhibe la oxidación enzimática y no enzimática de compuestos fenólicos y otros. Se utiliza también como agente blanqueador en las industrias del papel y los ingenios azucareros.Las materias primas utilizadas para la producción de SO2 son: el azufre, el gas natural y el aire, recursos naturales de amplia disponibilidad en nuestro país y que actualmente son vendidos sin ningún valor agregado y a través del presente proyecto se pretende darle  valor agregado. El objetivo general del presente proyecto de grado  es diseñar una planta de anhídrido sulfuroso, cuya  capacidad de producción satisface la demanda nacional.Se recopiló datos históricos de la  producción de bebidas en Bolivia y estableció la   proyección de la demanda de vinos, sidras, zumos, néctares y chicha, a partir de esta demanda determinar la capacidad de  producción de la planta de SO2.Se estudiarón las características, disponibilidad, abastecimiento de materias primas y suministros requeridos en la producción de SO2.Se  calculó, dimensionó y diseñó los equipos de: fusión del azufre, intercambiador para el calentamiento del aire, reactor de combustión, absorbedor del SO2 y desorbedor  para la separación y determinar las condiciones de licuefacción y envase.Se determinó los costos de cada uno de los equipos requeridos en el proceso productivo y los servicios necesarios en la instalación y operación de la planta.Finalmente se realizó un estudio financiero, económico y ambiental para la planta productora de SO2.</t>
  </si>
  <si>
    <t>https://drive.google.com/file/d/1LRFIdqoPThLxWXQk8Zmg8cPDbqvb0giW/view?usp=sharing</t>
  </si>
  <si>
    <t>https://drive.google.com/file/d/17keEmfDSXVVh1YUfK4v9TTKwM-DpQpC8/view?usp=sharing</t>
  </si>
  <si>
    <t>POMA CANO PRISCA SOFIA</t>
  </si>
  <si>
    <t>DISEÑO DE UN PLAN ESTRATÉGICO DE MARKETING PARA LA EMPRESA DE HAMBURGUESAS L A E X Q U I S I T A</t>
  </si>
  <si>
    <t>prisca.poma@nuevatel.com</t>
  </si>
  <si>
    <t>IND-174-2006</t>
  </si>
  <si>
    <t>Plan estratégico de Marketing, Diagnóstico, Mezcla de Mercadotecnia.</t>
  </si>
  <si>
    <t>Hamburguesas “La Exquisita” es una microempresa dedicada a la producción y comercialización de comida rápida al paso. Esta microempresa nació aproximadamente hace 20 años, la cual fue desarrollándose con éxito, logrando tener tres puntos de venta y mejorando de sobre manera sus ingresos por ventas en años anteriores.Uno de los principales problemas por las que atraviesa la microempresa “La Exquisita” es la falta de conocimiento del amplio potencial que tiene el mercado de comida rápida y los grandes beneficios económicos que este negocio significa. Y sobre todo la falta de estrategias de marketing que ayuden a mejorar los ingresos y la rentabilidad de la microempresa.En una primera instancia se realizó un diagnóstico de la microempresa para poder detectar las posibles falencias dentro de la misma, además de destacar como esta su funcionamiento y estructura organizacional principalmente en el área de comercialización y producción. Tal hecho muestra como la empresa está operando y reaccionando frente a las fortalezas y oportunidades que se posee.Concluido el diagnóstico interno se pasó a realizar el estudio de mercado, el cual es muy importante para la situación que atraviesa “La Exquisita” puesto que permite determinar primeramente un mercado objetivo al cual debe dirigirse y trazar el horizonte la empresa, posteriormente detecta cuales son las características, atributos y variables que un consumidor final considera importante a la hora de comprar una hamburguesa o comida rápida.Un aspecto muy importante que se realizó en el presente proyecto es el análisis externo, que determina cuales son los factores que influyen de manera positiva o negativa a la empresa y cual es el tipo de riesgo que representa cada uno de estos, donde gran parte de los mismos presentan riesgos medios y altos.Concluido el análisis interno y externo, además de haber realizado la investigación de mercado se pasó a formular estrategias para la empresa donde la más importante es la de penetración en el mercado puesto que el objetivo principal de la empresa es incrementar sus ventas para tener mayor utilidad en sus operaciones. También se acompaño a la mencionada estrategia anterior con la parte operativa que va relacionada con la mezcla de mercadotecnia. Por último se realizó un análisis beneficio costo para detectar la medida del incremento de las ventas frente al presupuesto destinado para implementar las estrategias, donde se observó que el presupuesto de inversión es justificable en relación a los beneficios económicos que pueden brindar las estrategias.</t>
  </si>
  <si>
    <t>https://drive.google.com/file/d/1pmT8nKuz6QWiMfl8YPFJJytlbRbCIZOB/view?usp=sharing</t>
  </si>
  <si>
    <t>https://drive.google.com/file/d/1n2_Nu-G0-SLYoXQWCDCBLVneropJUeMl/view?usp=sharing</t>
  </si>
  <si>
    <t>PEÑA TRUJILLO MARCIA</t>
  </si>
  <si>
    <t>MEDRANO ZEBALLOS INGRID</t>
  </si>
  <si>
    <t>ING. RÓMULO GRÁGEDA TRUJILLO</t>
  </si>
  <si>
    <t>ESTUDIO TÉCNICO ECONÓMICO PARA EL APROVECHAMIENTO DEL BANANO EN EL PROYECTO DE DESARROLLO DE ÁREA (PDA) AZIRUMARCA</t>
  </si>
  <si>
    <t>igui_pepita@hotmail.com</t>
  </si>
  <si>
    <t>IND-175-2006</t>
  </si>
  <si>
    <t>Proyecto de Desarrollo de Área (PDA), convencional, matas vecinas, vitro plantas, Azirumarca, Visión Mundial, nemátodos.</t>
  </si>
  <si>
    <t>El trabajo que se realizó para el proyecto de desarrollo de área (PDA) Azirumarca fue un estudio técnico económico al nivel de factibilidad, dicho estudio permitió obtener  elementos de razón para determinar la conveniencia de implementar los productos (banano higo y harina de banano) en la planta.Para la elaboración del proyecto se obtuvo información a través de fuentes primarias (encuestas realizadas, trabajo de campo) e información  secundaria como ser: Internet, periódicos, bibliotecas, INE, CEDIB, SENASAG, FAO, CHF, PDAR, UNABANA, KOCHALITA, ARCOS, IBTA Chapare, TAC y otros, de la cual  se realizó una clasificación de los datos necesarios para el presente estudio.El desarrollo del  proyecto se realizó mediante el uso de las herramientas de investigación de  mercados,  proceso  industrial, métodos de selección para proveer maquinarias, determinación el tiempo de ejecución, obtención de indicadores de rentabilidad los cuales ayudaron a determinar la viabilidad del proyecto y por último la determinación del impacto ambiental.Con el proyecto se proporcionó al PDA Azirumarca los mercados seleccionado para sus  nuevos productos, los procesos a seguir para la obtención de los mismos, la cantidad de mano de obra necesaria, la inversión requerida  para su implementación y los indicadores de rentabilidad e impacto ambiental que manifestará el proyecto  durante la vida útil.Por ultimo se planteó que la planta debe ampliar su mercado a las provincias para el caso del banano higo,  en cambio para la harina de banano conviene negociar alianzas estratégicas de venta con los PDAs restantes que conforman el departamento de Cochabamba.</t>
  </si>
  <si>
    <t>https://drive.google.com/file/d/10ccm2qv3Bezfu7i86vkB0bx2KVndH-3O/view?usp=sharing</t>
  </si>
  <si>
    <t>https://drive.google.com/file/d/186Kgjdo3c6bTavjv-iHHCLHecc__3C2j/view?usp=sharing</t>
  </si>
  <si>
    <t>ZUNA MARZE ROSEMARY</t>
  </si>
  <si>
    <t>MAIZA CALLE CARMEN</t>
  </si>
  <si>
    <t>ING. CESAR ALBERTO QUIROGA BELTRÁN</t>
  </si>
  <si>
    <t>DESARROLLO DEL PLAN ESTRATÉGICO DE MARKETING PARA LA EMPRESA ILVA (CISC LTDA.)</t>
  </si>
  <si>
    <t>carmenmaiza@hotmail.com</t>
  </si>
  <si>
    <t>IND-176-2006</t>
  </si>
  <si>
    <t>Empresa ILVA CISC Ltda, Lácteos, Marketing Mix, Plan Estratégico, Investigación de mercado.</t>
  </si>
  <si>
    <t>Se hace un breve resumen del contenido del proyecto, “Desarrollo del plan estratégico de marketing para la empresa ILVA”,  donde se describen los puntos más importantes, para que el lector pueda tener una visión global del alcance del presente proyecto.Se realizó un estudio de la situación actual de la empresa. Se evaluó las diferentes áreas funcionales como ser: administración, producción, marketing y ventas. Luego se realizó el diagnóstico general de la empresa mediante el análisis FODA, lo que permitió identificar las principales fortalezas, debilidades, oportunidades y amenazas que tiene la empresa.Consecuentemente se realizó un estudio de mercado, partiendo de la población determinada por el Centro de Estudio Poblacional (CEP), se efectuó la segmentación demográfica de la Provincia Cercado de  Cochabamba dividida en sus 14 distritos. Luego se calculó el tamaño de muestra para la población de consumidores y establecimientos. También se elaboró el cuestionario y el  análisis de cada una de las preguntas, para su posterior recolección de información en el mercado.  De la información obtenida en la investigación de mercado se analizaron e  interpretaron los resultados. En esta investigación se efectuó  un análisis de la competencia, se identificaron las percepciones del consumidor hacia la marca y se sugirieron estrategias.Seguidamente se hace un análisis de marketing mix donde se examinaron las variables: producto, precio, plaza y promoción; para los principales productos de la empresa, también se plantearon los objetivos estratégicos para cada una de estas variables. Una vez planteados los objetivos estratégicos se elaboró la descripción operativa de los mismos y finalmente el presupuesto operativo de cada una de las estrategias. Posteriormente se desarrolló el análisis financiero para tomar una decisión sobre la vialidad o no del proyecto. Se realizó un estado de resultados con y sin plan, un flujo con y sin plan para poder  calcular la TIR y el VAN.</t>
  </si>
  <si>
    <t>https://drive.google.com/file/d/1f8B7JjmnTf-BMKgYAG9X2oaJnqHth2_I/view?usp=sharing</t>
  </si>
  <si>
    <t>https://drive.google.com/file/d/1kQ9okv9715rTdlfWJVfiNDttbegk5tJy/view?usp=sharing</t>
  </si>
  <si>
    <t>ABEL CHAMBI CALVI</t>
  </si>
  <si>
    <t>ANÁLISIS DE LA INVERSIÓN EN EL ESTUDIO DE FACTIBILIDAD PARA LA FABRICACIÓN DE MERMELADA Y DULCE DE DURAZNO</t>
  </si>
  <si>
    <t>abel_chc@Hotmail.com</t>
  </si>
  <si>
    <t>IND-177-2006</t>
  </si>
  <si>
    <t>Procesamiento de fruta, Simulación, Impacto, evaluación, Crystal Ball, Ficha Ambiental.</t>
  </si>
  <si>
    <t>La planta procesadora de fruta que se diseño tiene una característica semi industrial (artesanal), en la  que se procesa el durazno en mermelada y dulce, alcanzando una capacidad máxima de producción de 42 tn/año.El levantamiento de datos a través de la investigación descriptiva reflejado en las encuestas personales realizadas, muestra después de su análisis, la preferencia de productos naturales con características específicas, así mismo una demanda insatisfecha determinada por proyección en base a datos obtenidos de fuentes secundarias y que es cubierta en un 9% por el proyecto, con un producto diseñado en base a las preferencias de los consumidores, productos comercializados en los mercados siguiendo una plan operativo de comercialización , otros datos levantados de precios de materias primas e insumos han sido proyectados para determinar los costos de operación en los que incurre el proyecto, así mismo el precio de venta de los productos del proyecto ha sido determinado por comparación de los precios de los principales ofertantes del mercado, considerando la utilidad para el proyecto.En base a resultados obtenidos de preferencias de los consumidores y establecido el producto a ofertar por proyecto, se ha realizado un estudio de las características la materia prima y del producto diseñado para alcanzar a su formulación e identificar los costos inmersos en su proceso de producción.La instalación de la planta esta ubicada en los predios dispuestos por los promotores del proyecto, cuenta con una tecnología de producción en línea, propuesta realizada en función a las posibilidades de expansión a procesar otras frutas y en la cual se hace un alto uso de mano de obra no capacitada, se identifico además que la capacidad de producción un factor limitante para el desarrollo del proyecto.Con los indicadores económicos, como el VAN, la TIR, la Relación Costo Beneficio, aplicada al Flujo de Caja del Proyecto, a su vez también se utilizo un software el Crystal Ball, basado en la simulación Monte Carlo la que se aplico al VAN del proyecto, realizándose además la sensibilización de factores críticos como el precio y cantidad de venta, los resultados del análisis de sensibilización y simulación han establecido la alta sensibilidad del proyecto a cambios en estos dos factores identificados, es que el proyecto es factible financieramente.La elaboración del Modelo de Ficha Ambiental y Matriz de Impactos del proyecto, aplicada según las especificaciones de la Ley 1333, donde se identificaron los impactos negativos y positivos del proyecto al medio ambiente, y que después de su análisis se ha establecido que es necesario solo medidas de mitigación y un plan de seguimiento ambiental, alcanzándose de esta manera a categorizar al proyecto en una categoría 3 según Ley, concluyéndose de esta manera que el proyecto es factible medioambientalmente.</t>
  </si>
  <si>
    <t>https://drive.google.com/file/d/1WwNpKDMEFMEt4XYfWw7RTjg9X9t00Spe/view?usp=sharing</t>
  </si>
  <si>
    <t>https://drive.google.com/file/d/1nUfCvgEQnRZh83ht4gScEkc8MqEulvCH/view?usp=sharing</t>
  </si>
  <si>
    <t>GANDARILLAS BALDELOMAR VERONICA</t>
  </si>
  <si>
    <t>SANZETENEA POPPE ROUSS LEE</t>
  </si>
  <si>
    <t>DISEÑO DE UN SISTEMA DE GESTIÓN DE CALIDAD BASADO EN LA NORMA ISO 9001:2000 PARA LA FINCA INDATROP S.A.</t>
  </si>
  <si>
    <t>verito742@hotmail.com</t>
  </si>
  <si>
    <t>IND-178-2006</t>
  </si>
  <si>
    <t>Sistemas de Gestión de Calidad, ISO 9001:2000, INDATROP.</t>
  </si>
  <si>
    <t>La empresa INDATROP por la exigencia de sus consumidores finales de palmito toma la decisión de desarrollar un diseño de un sistema de Gestión de Calidad basado en la norma ISO 9001:2000 para su FINCA.Para el desarrollo del proyecto se comenzó con un diagnostico inicial de la empresa donde se utilizo una lista de verificación de auditoria, que ayudo a determinar no conformidades mayores, menores y observaciones las cuales fueron subsanadas en el transcurso de la elaboración del proyecto.Se conformó el comité de Calidad integrado por el Jefe Agrícola, encargado de la Finca, Extensión Agrícola, Encargada de cabecera y Encargada de Calidad. Se procedió a la fase de elaboración del Mapa de Procesos donde se identificaron los procesos estratégicos, operativos y apoyo o soporte y la interrelación de los mismos. También se procedió a la elaboración de todos los documentos exigidos por la norma como: Manual de Calidad, Procedimientos, Instructivos de Trabajo y Registros, etc.Se determino los costos de Calidad, y la inversión para obtener la certificación con el ente certificadote IBNORCA.Finalmente se concluyo que la elaboración de este proyecto es una muestra mas para que las empresas tomen en cuenta que si bien hace algunos años los modelos de calidad ISO 9001:2000 determinaron tan solo un cierto estatus e imagen de las empresas hacia un mercado, con el pasar del tiempo se han convertido en una muy útil herramienta de gestión y de supervivencia. De ahí con el incremento constante de la competitividad y la globalización, solo subsistirán las empresas tal vez para un futuro no tan lejano, sirva como medio de subsistencia y de confiabilidad este tipo de modelos de calidad.</t>
  </si>
  <si>
    <t>https://drive.google.com/file/d/1YySbPqXAVKG3s_R2QWvEmg3X7EwWlPeC/view?usp=sharing</t>
  </si>
  <si>
    <t>https://drive.google.com/file/d/1tyfgXpJ9RZYSAXSFonL9LILJ_bWT3vvL/view?usp=sharing</t>
  </si>
  <si>
    <t>ING. EDGAR DELGADO</t>
  </si>
  <si>
    <t>SISTEMA DE GESTIÓN EN SEGURIDAD Y SALUD OCUPACIONAL BASADO EN LA NORMA OHSAS 18001 PARA LA EMPRESA SABSA</t>
  </si>
  <si>
    <t>sanzetenea@hotmail.com</t>
  </si>
  <si>
    <t>IND-179-2006</t>
  </si>
  <si>
    <t>Sistema de Gestión en Seguridad y Salud Ocupacional, OHSAS 18001, Seguridad Industrial, Salud Ocupacional.</t>
  </si>
  <si>
    <t>Primeramente se analizo la Seguridad Industrial y Salud Ocupacional según las normas OHSAS 18000 en las industrias del medio en general y en SABSA en particular, sobre el cual se planto el ámbito de estudio, los objetivos y la metodología.Se realizó un diagnostico de situación actual de la empresa SABSA, “Servicio de Aeropuertos Bolivianos S.A.” en las Jefaturas de Mantenimiento y Operaciones, se diagnostico el marco institucional, los riesgos a los que están expuestos los trabajadores en cuanto a factores humanos, materiales y ambientales.Con los datos obtenidos del Diagnostico Inicial se procedió a la elaboración del la Política de Seguridad y Salud Ocupacional, en coherencia con la misma se elaboraron objetivos en Seguridad y Salud Ocupacional, posteriormente se elaboro el manual de Seguridad y Salud Ocupacional siguiendo la secuencia de los puntos de la Norma OHSAS 18001.Posteriormente en relación al Manual de Seguridad y Salud Ocupacional se elaboro todos los procedimientos necesarios para el sistema de gestión y en relación a estos procedimientos se elaboraron los formatos de los registros necesarios útiles para las revisiones futuras del desempeño del Sistema de gestión.Con el fin de que el sistema sea más eficaz se elaboro un manual de operaciones aeroportuarias, planes de emergencia, instructivos de trabajo para las diferentes actividades de las Jefaturas de mantenimiento y operaciones, un manual de primeros auxilios y finalmente  se elaboro una base de datos de riesgos.Se presenta el Sistema de Seguridad Industrial y Salud Ocupacional según las normas OHSAS 18000 constando de un conjunto de planteamientos para minimizar los riesgos identificados de origen humano y material.Se estimaron los costos en los que se incurriría en caso de implementación y certificación del sistema de gestión de seguridad y salud ocupacional según las normas OHSAS 18001.Se elaboraron conclusiones finales emergentes del análisis desarrollado en cada uno de los capítulos del presente trabajo en función de los objetivos planteados.Se elaboraron las recomendaciones en base a los resultados obtenidos de las conclusiones finales con énfasis en los trabajos posteriores que deberán ser ejecutados para profundizar los conocimientos.</t>
  </si>
  <si>
    <t>https://drive.google.com/file/d/1OMjhlFphWRu4B2LSuQBzipb24CjJ1qZ1/view?usp=sharing</t>
  </si>
  <si>
    <t>https://drive.google.com/file/d/1kMIY2VWfq-HqPuKdObl9Z25koTdmlCDI/view?usp=sharing</t>
  </si>
  <si>
    <t>AVILA MERIDA MAGDIEL ARELI</t>
  </si>
  <si>
    <t>PROYECTO DE FACTIBILIDAD DE LA OLEORRESINA DE PIMIENTA PARA EL TRÓPICO DE COCHABAMBA</t>
  </si>
  <si>
    <t>I-2007</t>
  </si>
  <si>
    <t>magdiel_avila@hotmail.com,</t>
  </si>
  <si>
    <t>IND-180-2007</t>
  </si>
  <si>
    <t>Planta de extracción sólido-líquido de Oleorresina de Pimienta, Factibilidad, evaluación financiera, evaluación ambiental, estudio de mercado, tamaño de planta, organización, planificación.</t>
  </si>
  <si>
    <t>El trabajo que se realizó, sobre el proyecto Oleorresina de Pimienta para el trópico de Cochabamba, se hizo con la finalidad de contar con una herramienta confiable para la implementación futura de una planta de extracción de oleorresina de pimienta, a través, de la evaluación financiera y ambiental del mismo.Con el proyecto, se proporciona un estudio de la materia prima, del mercado de la oleorresina de pimienta, del tamaño y la localización, de la ingeniería del proyecto, de la organización de la mano de obra, de la planificación y ejecución del proyecto, la evaluación financiera y la evaluación ambiental.El texto se realizó básicamente con la revisión de información secundaria, con la revisión de bibliografía clasificada, consulta a Internet en variados temas, desde la revisión de temas bibliográficos hasta la formación de bases de datos de importación y exportación de oleorresinas, con la revisión de materia avanzada en la carrera y con la experiencia del tutor del proyecto; y la conformación de datos de información primaria, a través del levantamiento y llenado de encuestas con productores de pimienta del trópico de Cochabamba así como con empresas de producción de productos cárnicos de las ciudades de Cochabamba, Santa Cruz y La Paz.</t>
  </si>
  <si>
    <t>https://drive.google.com/file/d/1ygXxVNdu3z6JMBAJnIk4FOvVYDnLcsI1/view?usp=sharing</t>
  </si>
  <si>
    <t>https://drive.google.com/file/d/1YD73oJ6scy1xfQoVQNo5TK9j5WUVo8l7/view?usp=sharing</t>
  </si>
  <si>
    <t>COLOMA BUSTILLOS ARTURO ALEJANDRO</t>
  </si>
  <si>
    <t>DISEÑO Y PLANIFICACIÓN ESTRATÉGICA DE MARKETING DE EXPORTACIÓN PARA LA EMPRESA TEXTIL ALFACH JEANS</t>
  </si>
  <si>
    <t>acoloma@hotmail.com</t>
  </si>
  <si>
    <t>IND-181-2007</t>
  </si>
  <si>
    <t>Planificación Estratégica, Estudio de Mercado, Publicidad y Marketing, Diseño, Moda, Regimenes de Exportación e Importación.</t>
  </si>
  <si>
    <t>El trabajo que se realizo para la asignatura Taller de Tesis II de la carrera de Ingeniería Industrial, se hizo con la finalidad de contar con un documento que sirva como respaldo para la implementación futura de estrategias de marketing de exportación para la empresa textil Alfach Jeans. Con el proyecto se proporciono al empresario un estudio a modo de diagnóstico de la situación interna de la empresa y de las características del rubro, junto con un estudio de mercado objetivo, que guíen en la toma de decisiones para el desarrollo positivo de la misma. Como parte de la propuesta se incluyo un análisis financiero que refleje la realidad económica y posibilidades de inversión. El material de apoyo consiste en: un estudio de mercado objetivo con datos que permitan valorar la estrategia propuesta, y documentación de apoyo para la implementación de técnicas de merchandising en puntos de venta.El desarrollo del proyecto se realizó mediante el uso de bibliografía clasificada, consulta a internet y con la orientación de docentes de la materia.</t>
  </si>
  <si>
    <t>https://drive.google.com/file/d/17SQhDBkzGp7XRrTej2VAYSA19W35DTXc/view?usp=sharing</t>
  </si>
  <si>
    <t>https://drive.google.com/file/d/1uWZI8_DQzF9dHVtZ5RezpZhhzLYI11gZ/view?usp=sharing</t>
  </si>
  <si>
    <t>VARGAS SANDOVAL KAREN MABEL</t>
  </si>
  <si>
    <t>VARGAS TAMES ESCARLE ALISON</t>
  </si>
  <si>
    <t>DISEÑO DE UN PLAN DE SEGURIDAD E HIGIENE OCUPACIONAL PARA LA “CURTIEMBRE VALENZUELA”</t>
  </si>
  <si>
    <t>escarle_vt@hotmail.com</t>
  </si>
  <si>
    <t>IND-182-2007</t>
  </si>
  <si>
    <t>Plan de Seguridad e Higiene Ocupacional,  ley General de Higiene y Seguridad Ocupacional y Bienestar, Resolución Administrativa 038/01, Señalización, Equipos de Protección Individual.</t>
  </si>
  <si>
    <t>El Plan de Seguridad e Higiene Ocupacional para la CURTIEMBRE VALENZUELA  fué diseñado mediante el Método Lógico Inductivo Completo debido a que la conclusión fue sacada del estudio de cada puesto de trabajo del área de producción. El diseño de dicho Plan estuvo orientado a la prevención de riesgos de accidentes de trabajo y enfermedades ocupacionales para que de esta manera se logre la calidad en las condiciones de trabajo.Se evaluó las condiciones de trabajo con el propósito de identificar los riesgos  y se analizó el ambiente físico, los hábitos y conductas de los empleados, para proponer las medidas preventivas que se reflejaron en el Plan de Seguridad e Higiene  Ocupacional,  que sigue los puntos establecidos por el Ministerio de Trabajo en la Resolución Administrativa  038/01 y en base a la Ley General de Higiene y Seguridad Ocupacional y Bienestar, Decreto Ley 16998 del 2 de agosto de 1979.En el análisis de riesgos se identificó Riesgos químicos y biológicos debido a la carga contaminante de las aguas residuales y las partículas de cuero en suspensión debido a los procesos de rebajado y lijado; Riesgos ergonómicos por el peso de las pieles mojadas; Riesgos mecánicos por  el contacto de los operarios con las maquinas.En base al análisis, evaluación, y tipo de  riesgo se realizó la elaboración: de Medidas Preventivas, el Plan de Prevención de Accidentes, el Manual de Procedimientos en caso de Accidentes. Plan de Prevención de Incendios, Manual de Procedimientos en caso de incendios y Manual de uso de extintores.En base al análisis del ambiente físico que se realizó se propuso cambios en las instalaciones como: aislamiento del proceso de lijado, instalación de señalización extintores, señalizaciones de prohibición, señalización de las salidas de emergencia, señalización del botiquín de primeros auxilios , cambio del material de la cubierta de los canales y cambio de vidrios en la oficina de gerencia.Se realizó la designación de algunos cargos y funciones dentro del comité mixto dejando el resto de cargos a elección de los trabajadores. Se elaboraron planillas de Equipos de Protección Individual, las cuales contienen el modo de uso, mantenimiento y  puestos de trabajo donde deben utilizarse.Debido a que la empresa no cuenta con normas internas estas se propusieron en base a la Ley General de Higiene y Seguridad Ocupacional y Bienestar. Y al no existir un registro de accidentes, se propuso el formato de uno, el cual contiene datos de la empresa, clasificación de daños y descripción de estos.En cuanto a la capacitación se propuso como contenido mínimo los siguientes temas: Buenos Hábitos dentro de la empresa, Manejo de productos químicos, Manejo de Equipos de Protección Individual, Prevención y Control de incendios, Primeros Auxilios y Levantamiento de cargas, que es un factor que a la larga puede traer muchos problemas de espalda a los trabajadores;  dicha capacitación se dejó a consideración de la empresa si serán de forma directa o indirecta. También se realizo el análisis de ruido por medio de un ente externo, y se concluyó que los procesos con mayor riesgo son: la Divididora, Plancha y Rebajadora. Se finalizo realizando la estimación de costos para la implementación del Plan  de Seguridad e Higiene Ocupacional. Dichas estimaciones se realizaron por secciones y según al número de empleados, estas cotizaciones fueron realizadas en las empresas de EMCOSIM y FERROBLACK.</t>
  </si>
  <si>
    <t>https://drive.google.com/file/d/1BZYpBUY054kFXeVsg0Nc-gg11X9LErnu/view?usp=sharing</t>
  </si>
  <si>
    <t>https://drive.google.com/file/d/1ZbdjakFkQB0utThML5EtytrkWP6PZjX3/view?usp=sharing</t>
  </si>
  <si>
    <t>CARLOS ALBERTO ZUBIETA CHOQUE</t>
  </si>
  <si>
    <t>ING. CESAR MARTÍNEZ ANDRADE</t>
  </si>
  <si>
    <t>ESTUDIO DE FACTIBILIDAD PARA LA INSTALACIÓN DE UNA PLANTA DE ENVASADO DE TÉ, PARA LA INDUSTRIA “AGROTE”</t>
  </si>
  <si>
    <t>carlos_beto22@hotmail.com</t>
  </si>
  <si>
    <t>IND-183-2007</t>
  </si>
  <si>
    <t>Factibilidad, Té negro, Té verde, AGROTE.</t>
  </si>
  <si>
    <t>El presente proyecto de factibilidad, tiene como objetivo general obtener una base técnica y financiera, que permita valorar u obtener los suficientes elementos de juicio como para determinar la conveniencia en efectuar  inversiones en la instalación de una envasadora de té, para realizar el envasado del producto producido por la industria AGROTE.Donde los objetivos específicos que busca este estudio, resaltan los siguientes:1) Estudiar el mercado de oferta, 2) Determinar la utilidad que genera el proyecto, 3) Determinar estimaciones de costos de maquinas y equipos necesarios, 4) Elaborar los procesos de producción adecuados, 5) Determinar la inversión total a realizarse en el proyecto,6) Determinar la factibilidad económica, técnica y financiera del proyecto.Para poder alcanzar todos estos objetivos planteados, la metodología empleada es la siguiente: 1) Identificación del problema 2) Recolección de la información 3) Análisis de la información4) resultados obtenidos 5) Interpretación de resultados. Estos resultados de la metodología empleada, son: diagnostico de la industria AGROTE, cuantificación de la demanda – oferta del té, procesos y etapas que comprenden el envasado desde la llegada de la materia hasta el almacenado de productos terminado, además determinar la factibilidad del proyecto.Con todo lo mencionado anteriormente se desarrollo un estudio de mercado enfocado en los comercializadores y consumidores, en el cual se identifico lo siguiente: la demanda del té negro en la gestión 2006 fue aproximadamente de 72.939 Kg/año y del té verde fue 2.504 Kg/año, estos solo para el Cercado. Existe una variabilidad del tipo de té que se consume según el estrato social. El producto más aceptado por parte de los consumidores es el té en saquitos filtrantes, por lo que se plantea ingresar al mercado con una diversificación de productos relacionados con el té negro y verde, en diversas presentaciones.Para la obtención de los productos propuestos en el proyecto, se plantea seguir un proceso productivo semiartesanal, por que se emplearan maquinas semiautomáticas durante el envasado para concluir con los demás procesos de forma manual por parte de los operarios.Se sugiere localizar la planta en la carretera Cercado – Sacaba o en las inmediaciones de este. Se ha considerado una inversión total de 216.830 $us. De los cuales la inversión en activos fijos es de 156.666 $us, la inversión en activos diferidos es de 2.100 $us y por ultimo el capital de trabajo asciende a un total de 58.064 $us.Utilizando la metodología, se llega ala conclusión de que el proyecto es factible y esta respaldado por los siguientes indicadores financieros: VAN = 133799 $us, TIR = 34 %, y B/C = 3.9 $us, esto considerando al proyecto con financiamiento bancario, siendo esta opción la mas atractiva y rentable para el proyecto.Luego de una evaluación ambiental se puede afirmar que el proyecto es ecológicamente compatible, y con efectos ambientales menores, de acuerdo alas disposiciones del BID.Por todos los aspectos mencionados se sugiere a la empresa AGROTE, realizar el envasado de su producto, mediante la instalación de una envasadora de té, por ser técnica, económica, financiera y ecológicamente factible.</t>
  </si>
  <si>
    <t>https://drive.google.com/file/d/1NOdsII0ckJvbSnDDDxnNyxagRWP9H_Km/view?usp=sharing</t>
  </si>
  <si>
    <t>https://drive.google.com/file/d/1bJd-LZpAr7GVwfSQS67-IHSlIqSxFh-R/view?usp=sharing</t>
  </si>
  <si>
    <t>MURIEL LEYTON RUBEN ISRAEL</t>
  </si>
  <si>
    <t>ESTUDIO DE INGENIERÍA DE MÉTODOS PARA LA PRODUCCIÓN DE MADEJAS DE HILADO DE LANA DE ALPACA EN LA EMPRESA FOTRAMA LTDA.</t>
  </si>
  <si>
    <t>rubico_inytemh@hotmail.com</t>
  </si>
  <si>
    <t>IND-184-2007</t>
  </si>
  <si>
    <t>Fotrama Ltda., Estudio de Métodos, Estudio de Tiempos, Redistribución de Planta, Productividad, Producción Estandarizada, Control de Producción.</t>
  </si>
  <si>
    <t>El Proyecto se elaboró con la finalidad de satisfacer al Departamento del Producción con la necesidad de contar con un Proceso Productivo Estandarizando en tiempo y peso y además Controlado en todos los procesos que comprenden la producción de madejas en base al hilado de lana de alpaca en los Títulos 2/4 y 3/10, otro alcance del Proyecto fue el de proponer a la Empresa una redistribución física de Planta que mejore el flujo de Materiales actual disminuyendo de esta manera la carga laboral en cada proceso. El objetivo general y los objetivos específicos fueron los siguientes:Objetivo General.Proponer  mejoras en la elaboración de madejas de hilado de lana de alpaca en el proceso productivo de la empresa “FOTRAMA Ltda.” orientadas a los Títulos 2/4 y 3/10 del color base blanco.Objetivos Específicos.Los objetivos específicos para este estudio fueron los siguientes:1.     Identificar el proceso productivo, sus operaciones, puestos de trabajo y métodos actuales usados en todos los procesos que comprenden la producción de madejas de hilado de lana de alpaca del color base blanco.2.     Determinar el tiempo estándar actual de todas las actividades identificadas.3.     Realizar un análisis de balance de masas en todos los procesos de inicio a fin del proceso productivo.4.     Proponer mejoras para solucionar el problema de estandarización en tiempo y peso de los productos obtenidos en la producción de madejas de lana de alpaca.  5.     Diseñar una nueva distribución física de planta que ordene el flujo de materiales en el proceso productivo.6.     Diseñar herramientas de control en cada uno de los procesos identificados.7.     Determinar el índice de productividad actual y en base a la propuesta de mejora en cada uno de los procesos analizados. Metodología del Proyecto.La metodología que se siguió se muestra a continuación en la siguiente figura:Fase 1: Descripción del Producto.En la primera fase se realizó una descripción de las madejas de hilado de lana de alpaca de color base blanco en ambos títulos producidos, esto nos permitió identificar nuestro producto final.Fase 2: Identificación de Procesos y Flujo de Materiales.En ésta etapa se describió la secuencia de procesos por las que pasa la lana de alpaca desde el momento en que sufre su primera transformación hasta obtener las respectivas madejas de color base blanco, se utilizó diagramas de distribución de planta para reflejar el flujo de materiales actual con el que cuenta la empresa.Fase 3: Análisis de Operaciones y Puestos de Trabajo.Todos los procesos se los analizo por medio de herramientas de un Estudio de Métodos como ser: Diagramas Sinópticos, Cursogramas Analíticos, Diagramas Múltiples Operario-Máquina identificando las diversas operaciones y actividades efectuadas. Fase 4: Estudios de tiempos.Se determinó en ésta fase los tiempos estándar de cada una de las actividades  dentro de la producción de madejas. Se dividió el Estudio de Tiempos en: Tiempos de Alistamiento de Máquinas, Tiempos de Operaciones, Tiempos por Demoras, Tiempos de Maquinado y Tiempos por transportes.Fase 5: Balance de masasEl objetivo de esta fase se  efectuó un balance de masas que permita establecer porcentajes de entrada de materia prima, salida y merma extraída a lo largo del proceso de lana color blanca.Fase 6: Propuestas de mejora.En esta fase se realizó las propuestas de mejora para el proceso actual de producción de madejas de hilado de lana de alpaca en “FOTRAMA LTDA” logrando todos los objetivos trazados Fase 7: Evaluación de las propuestas de mejora.Una evaluación de las propuestas realizadas plasmó el beneficio en los costos, tiempos de producción y productividad que se obtendrá mediante la aplicación de los métodos propuestos.Fase 8: Recomendaciones y Conclusiones.Finalmente en esta fase se elaboró un informe final con las correspondientes recomendaciones y conclusiones sobre los resultados obtenidos a lo largo del proyecto realizado.Una de las principales conclusiones fue que en caso de la implementación de cualquiera de los dos Métodos Propuesto por el Proyecto, es necesario efectuar una capacitación y orientación a los empleados que pertenecen al área productiva de la empresa para que la implementación no aparente una imposición, es indispensable contar con el apoyo de los empleados ya que serán ellos quienes hagan realidad cualquier Proyecto bajo el Mando del Plantel Ejecutivo de la Empresa “FOTRAMA LTDA.”</t>
  </si>
  <si>
    <t>https://drive.google.com/file/d/1bCO7ZOdBT1QztOmES33sF5nMSX-YNXFf/view?usp=sharing</t>
  </si>
  <si>
    <t>https://drive.google.com/file/d/1t369QGA4dfj5xdtd0cK5-WNpXu9SFkw5/view?usp=sharing</t>
  </si>
  <si>
    <t>TERCEROS ALTAMIRANO MAURO</t>
  </si>
  <si>
    <t>DESARROLLO DE UN PLAN DE MARKETING PARA LA INDUSTRIA BOLIVIANA DE TEJAS Y COMPLEMENTOS INBOLTECO S.A.</t>
  </si>
  <si>
    <t>mauroterceros@hotmail.com</t>
  </si>
  <si>
    <t>IND-185-2007</t>
  </si>
  <si>
    <t>Plan de marketing, Marketing Mix.</t>
  </si>
  <si>
    <t>Se ha visto por conveniente comenzar este análisis observando algunos datos generados durante los últimos años, por las diferentes actividades económicas que se desarrollan en el país. Dado que la empresa se dedica a la fabricación de productos cerámicos se prestará mayor atención a la actividad de construcción. La “Industria Boliviana de Tejas y Complementos”  INBOLTECO se halla ubicada en la Av. Chapare s/n Km. 5 ½  a Sacaba. Con el desarrollo del presente proyecto se pretende logar un mayor manejo de recursos humanos como económicos del área comercial con una mayor participación de mercado consolidando a la empresa INBOLTECO como una empresa líder en el mercado de tejas y complementos.Se efectúa un análisis de la empresa y su entorno para identificar las condiciones en las que se encuentra con respecto a sus competidores, considerando aspectos como el posicionamiento, las características de los productos y así como los de la competencia. Se recurrirá a la recolección de información que tiene como finalidad recabar datos de los distintos tipos  de segmentos que existen en la ciudad y que son motivo de interés para la presente investigación El levantamiento de las encuestas permite evidenciar cuál es la percepción que tienen las personas sobre la empresa, a la vez, se podrá identificar cuáles son los factores  y motivos por los cuales una persona decide optar por una  determinada empresa.La investigación de mercados abarca desde la encuesta y el estudio minucioso del mismo hasta la elaboración de estadísticas para analizar las tendencias.En los puntos siguientes se efectúa una descripción de la metodología que se sigue en el desarrollo y el proceso de investigación, detallándose aspectos relacionados con la población objeto de estudio y determinación del tamaño de la muestra.Con la investigación de mercados también se podrá determinar los medios más adecuados para lograr el posicionamiento deseado, conociendo los mecanismos más efectivos para la difusión y promoción de los productos de la empresa, aprovechando al máximo todos los recursos con los que se cuenta. El análisis y la selección de estrategias determinan los cursos alternativos de acción  que permitirán a la empresa alcanzar de la mejor manera su misión, visión y objetivos.Los objetivos y la misión que tiene la empresa sumados a la información de las auditorías externa e interna, sientan las bases para evaluar las estrategias alternativas viables. Para la formulación de estrategias se estudiarán cinco técnicas que son las siguientes: la matriz FODA estratégico, la matriz PEYEA, la matriz IE, y la matriz de la gran estrategia. Estas técnicas dependen de la información que se desarrolló en las oportunidades y amenazas con respecto a las fortalezas y debilidades. Este ajuste de estos elementos no ayuda a formular las estrategias.  Las estrategias propuestas tienen el propósito de mejorar el posicionamiento de la empresa, y que además servirán de aporte para la adecuada formulación de políticas y estrategias a aplicar en las decisiones comerciales, las propuestas están conformadas en base a las principales variables controlables de un mercado, y cuya aplicación es el resultado de un estudio de las características de los compradores y tanto como de los que no compran a la empresa. Se tomara el escenario con el proyecto para el presente estudio, entonces realizar las estrategias es totalmente rentable para la unidad de negocio, por lo tanto se recomienda realizar el plan estratégico, lo que ayudará a superar los problemas que tiene la unidad y elevar los niveles de competitividad.Entre las principales oportunidades que se pueden destacar están las siguientes: crecimiento de la demanda potencial, alta rentabilidad de la industria. Entre las principales amenazas que se logró detectar se encuentran: Ingreso de nuevos competidores, la competencia está ganando mercado, y la mala situación económica que atraviesa el país. Entre las principales fortalezas que tiene la unidad podemos citar: calidad del producto, imágen corporativa. Entre las debilidades que no cuenta con un buen clima laboral, no cuenta con cobertura a nivel nacional y baja calidad promoción y atención al cliente. La UEN tiene que usar las fuerzas internas para aprovechar la ventaja de las oportunidades y reducir las amenazas externas, y debe superar las debilidades internas aprovechando las oportunidades.Tiene que haber un seguimiento a los indicadores de las estrategias, y a los indicadores de desempeño de los objetivos estratégicos, para saber el grado de avance o retraso en cada uno de los elementos que integran la estrategia y de esta manera lograr una aplicación efectiva de las estrategias.Se debe evaluar el comportamiento del entorno, es decir, el comportamiento del mercado, la competencia y la economía nacional, los responsables de realizar esta evaluación son la alta dirección con algunos colaboradores, la evaluación se la puede realizar cada seis meses.</t>
  </si>
  <si>
    <t>https://drive.google.com/file/d/1EfNLWIe4iBzNladYH0PKF4BhtcuzoQft/view?usp=sharing</t>
  </si>
  <si>
    <t>https://drive.google.com/file/d/1ErynPhUknoN4t6_ujAHbsnACt01iPaCO/view?usp=sharing</t>
  </si>
  <si>
    <t>IGMAR ALBERTO MONTAÑO QUINTEROS</t>
  </si>
  <si>
    <t>PLANTA INDUSTRIAL PRODUCTORA DE METANOL A PARTIR DE GAS NATURAL BOLIVIANO” (INGENIERÍA BÁSICA).</t>
  </si>
  <si>
    <t>igmar14@gmail.com</t>
  </si>
  <si>
    <t>IND-186-2007</t>
  </si>
  <si>
    <t>Metanol, petroquímica, industrialización del gas natural, tecnologías GTL, hidrocarburos en Bolivia.</t>
  </si>
  <si>
    <t>La Historia nos ha demostrado en distintas ocasiones, el error económico de no añadir agregar a nuestros recursos naturales. Por esta razón la estrategia hidrocarburífera nacional pasa definitivamente por la industrialización del gas natural.Bolivia tiene una superficie de 1´098.581 km2, de los cuales 535.000 km2 aprox. conforman el área de interés hidrocarburífero, esto significa que casi el 50% del territorio nacional es potencial para el desarrollo de actividades de exploración y explotación de hidrocarburos. Particularmente, se destaca la reserva de gas natural, que es la segunda más grande en Sud América después de Venezuela convirtiéndose en un recurso estratégico para el desarrollo económico y social.Ante esa problemática se planteó realizar la Ingeniería Básica de una Planta Industrial productora de Metanol utilizando gas natural boliviano considerando el entorno de la industria petroquímica mundial y el contexto nacional.Para este fin se determinaron: la cuantificación la demanda insatisfecha del mercado internacional del metanol, la capacidad productiva adecuada de la planta, la localización óptima de la planta, la selección la tecnología adecuada, el proceso productivo y sus características más importantes; y su viabilidad financiera (Costos de producción e inversión del proyecto y los indicadores de económicos).Los resultados mas importantes que se determinaron son:1) Demanda insatisfecha en mercados tradicionales del metanol de 2,1 millones de toneladas métricas anuales para el 2010 y la demanda de mercados emergentes aumentará la demanda mundial  2) La capacidad propuesta es de 2.500 TM/día 3) La tecnología adecuada para dicha capacidad es el proceso a baja presión Synetix LPM (ICI) 4) La localización optima del proyecto es la localidad de Cototo en Villamontes, Dpto. de Tarija 5) El proyecto tiene un TIR de 54%.El reto histórico como actores del presente de agregar valor a nuestros recursos hidrocarburíferos implica atravesar un camino de aprendizaje tecnológico, cambiar paradigmas organizacionales y sobre todo formar líderes con elevado conocimiento técnico y compromiso con Bolivia.</t>
  </si>
  <si>
    <t>https://drive.google.com/file/d/11Pv0xrKXGmZibOxgXe9Cn1202DbA6K21/view?usp=sharing</t>
  </si>
  <si>
    <t>https://drive.google.com/file/d/16LKvTmVWyEc3f7YlU94ijf9dFdWb-zaP/view?usp=sharing</t>
  </si>
  <si>
    <t>TORRES HEREDIA CLAUDIA VERONICA</t>
  </si>
  <si>
    <t>PLAN DE NEGOCIOS PARA LA VIABILIDAD Y SOSTENIBILIDAD DE LA UNIÓN DE PRODUCTORES DE ACHIOTE DEL TRÓPICO DE COCHABAMBA ACHIOTE - EXPORT</t>
  </si>
  <si>
    <t>claudita_th@hotmail.com</t>
  </si>
  <si>
    <t>IND-187-2007</t>
  </si>
  <si>
    <t>Planta Procesamiento de semilla achiote, Extracción de Bixina y Norbixina, Plan de Negocios.</t>
  </si>
  <si>
    <t>El trabajo se baso en la elaboración de un Plan de Negocios que fue estructurado de manera sencilla  el mismo que tuvo el objetivo de impulsar y promover la consolidación del cultivo del achiote en la región, del Trópico de Cochabamba tomando en cuenta el enorme potencial que tiene el achiote como cultivo alternativo, dado su rendimiento en la zona y los crecientes mercados, no sólo nacionales sino también internacionales.Primeramente se elaboró una lista de verificación para el diagnóstico empresarial de ACHIOTE –Export donde se tomó en cuenta las áreas más críticas y las susceptibles a mejorar. Así mismo se vio  por conveniente realizar un breve pero completo análisis del sector industrial en el cual se desenvuelve La Unión de Productores de achiote del Trópico de Cochabamba ACHIOTE – Export, esto con el propósito de definir el campo donde se encontraba la Unión.Como primer paso para el desarrollo del plan, se realizó, un diagnóstico inicial de la empresa que abarca todas sus áreas de trabajo.Posteriormente se realizó la descripción de la empresa en cuanto a la organización, estructura, establecimiento legal y producción.La planificación del posicionamiento estratégico para la Unión consistió antes que nada en crear una definición concisa del propósito que tratará de lograr la empresa en la sociedad (visión y misión), determinar los objetivos de mercado, definir el posicionamiento estratégico y la cultura necesaria para lograr sus metas.Por otro lado, se realizó un análisis de las principales variables del mercado: el producto, el precio, el sistema de comercialización y la mezcla promocional y también se efectúo una proyección de las ventas y una definición de estrategias para el óptimo funcionamiento de la asociación a través del tiempo. Finalmente, se revisó y desarrollo aspectos estratégicos como la determinación de ventajas competitivas, factores críticos de éxito, análisis FODA y definición de las estrategias genérica y de crecimiento.Tanto en el diagnóstico como en el plan propuesto se consideraron las siguientes áreas de trabajo: Administración, Producción, Comercialización y Ventas, Finanzas, Investigación y Desarrollo, Recursos Humanos y Sistemas de Información.Uno de los factores críticos fundamentales que se observó para el éxito de ACHIOTE - Export tiene que ver con el hecho de que los proveedores de la materia prima son miembros de la Unión. Se  vio que este factor podría convertirse en una ventaja competitiva si se gestiona de manera eficaz.En la parte financiera se considero además tres escenarios propuestos donde se planteó el procesamiento de bixina con interesantes niveles de liquidez, lógicamente, se vio que cuanto mayor sea el volumen de semilla que se procese, mayor será el beneficio.Como resultado del diagnostico se estableció que la calidad de los productos de la Unión, sea en forma de semilla o como bixina o norbixina, debe ser homogénea y cumplir los requisitos especificados por los clientes, sobre todo los de exportación que son los mercados donde se pensó en llegar.Se observó también que para la comercialización en mercados internacionales, es aconsejable la subcontratación de las operaciones, contratando expertos como broker especializados o buscando alianzas con socios estratégicos como ser industrias de alimentos, textiles, farmacéuticas, ya establecidas. A partir de la información que se recopiló durante el trabajo de campo, y en vistas de mejorar las debilidades encontradas, se concluyó  desarrollar una estrategia de investigación y desarrollo, con el fin de mejorar la productividad y la calidad. Diseñar o mejorar la estrategia de comunicación hacia el campo. El agricultor muestra poco o moderado interés en el cultivo porque desconoce las oportunidades y ventajas del negocio.Enfocar las labores agrícolas hacia una producción orgánica. Se tienen bien establecidas las normas para certificar los productos orgánicos; una vez obtenida la certificación, sería posible negociar mejores precios. El achiote, por ser la cuenca amazónica su centro de origen, tiene menos tendencia a desarrollar problemas con enfermedades y plagas, factor que favorecería la producción orgánica. Enfocar el manejo de campo orientándolo a la industrialización de la semilla, homogeneizando la poda y las variedades sembradas, mejorando la densidad y, al mismo tiempo, el rendimiento de las plantas y previniendo la futura mecanización de la producción. Orientar la producción de achiote hacia la extracción y procesamiento de bixina.</t>
  </si>
  <si>
    <t>https://drive.google.com/file/d/1nKOBYlaagnUAhEmlKpXnIF1UKdXHXqTr/view?usp=sharing</t>
  </si>
  <si>
    <t>https://drive.google.com/file/d/1cocXVkOPz0yG_zoaFny4MnZAbOOnIR7N/view?usp=sharing</t>
  </si>
  <si>
    <t>GUARAYO PEREDO ALVARO MAURICIO</t>
  </si>
  <si>
    <t>LIC. BORIS CALANCHA</t>
  </si>
  <si>
    <t>MODELAMIENTO DE UN SISTEMA DE INFORMACIÓN PARA LAS LÍNEAS DE PRODUCCIÓN DE EMBOL S.A.</t>
  </si>
  <si>
    <t>maurigi1@gmail.com</t>
  </si>
  <si>
    <t>IND-188-2007</t>
  </si>
  <si>
    <t>Líneas de producción, EMBOL S.A., Modelar, Sistema de Información, Análisis Estructurado.</t>
  </si>
  <si>
    <t>Primeramente se realizó un análisis de las líneas de producción para conocer las actividades que se desarrollaban usando las técnicas de recolección de datos. Comenzando por la línea de menor tamaño para poder comprender cuales eran las tareas que se desarrollaban en esta y luego pasando a la línea de producción más grande. En ambas se identifico los lugares en los cuales se producían mermas de envases, se intento hacer mediciones por cada sector sin tener resultados, después de haber identificado los lugares de las mermas de envases se definió cuales eran los lugares en los cuales se necesitaba colocar contadores de botellas para cuantificar las mermas. La definición de la ubicación de contadores tomo en cuenta la ubicación de los equipos y pantallas de inspección de las líneas de producción. De la misma manera se identifico los lugares en los cuales se deseaban conocer las temperaturas de los tanques de lavado. Con toda la información se procedió al uso de la metodología del análisis estructurado para el desarrollo de sistemas de información organizacional usando los diferentes modelos de los que esta compuesto. Después de haber definido la lógica del sistema para registrar y generar reportes de cantidades de mermas, velocidades de equipos y pantallas de inspección, tiempos de paradas y temperaturas de equipos se comenzó a elaborar la tabla de diseño del modelo del sistema, considerando los recursos físicos que se necesitaría en caso de implementar el sistema, acompañando esta con un presupuesto. A continuación se definió las actividades y un cronograma en caso de implementación del sistema.</t>
  </si>
  <si>
    <t>https://drive.google.com/file/d/1qPwFb0cLt1wUblG6MAOTfqR3xYmj5S8Y/view?usp=sharing</t>
  </si>
  <si>
    <t>https://drive.google.com/file/d/1KfXjqqq06QwXmafkl6NHFoffaBles5ZQ/view?usp=sharing</t>
  </si>
  <si>
    <t>PABLO GUILLERMO JESÚS LÓPEZ</t>
  </si>
  <si>
    <t>MEJORAS TECNOLÓGICAS PARA LA PLANTA DE FABRICACIÓN DE LA CERÁMICA ROJA DIPAFEX.</t>
  </si>
  <si>
    <t>pablo_gjl@hotmail.com</t>
  </si>
  <si>
    <t>IND-189-2007</t>
  </si>
  <si>
    <t>Mejoras tecnológicas, Planta de producción de la cerámica roja Dipafex, Capacidad productiva, Mercado potencial.</t>
  </si>
  <si>
    <t>El estudio ha sido realizado en la Cerámica Roja Dipafex, una empresa mediana que opera y comercializa sus productos en el departamento de Potosí; el problema identificado en la mencionada empresa, es la reducida capacidad de producción, debido a tres factores limitantes como: Infraestructura Industrial obsoleta, Obsolescencia en la maquinaria y una Distribución de planta no secuencial.En cuanto a la materia prima, la empresa no presenta dificultades en ese aspecto, puesto que en los últimos diez meses la misma realizó una petición minera, mediante solicitud al SETMIN. Los yacimientos tienen una extensión de 5.000 m2 y una altura promedio de 4,5 metros, que mediante cálculos realizados presenta una capacidad de 27.563 TM de arcilla.El objetivo principal del presente proyecto planteado fue: “Cambiar el Proceso Productivo Actual por Lotes a uno Continuo”, de tal manera que permita incrementar los volúmenes de producción de cerámica roja estructural y paralelamente a ello una mayor participación del Mercado Potencial de la Ciudad de Potosí.El Estudio de Mercado se ha realizado con fines de determinar el mercado potencial de ladrillo de 6 huecos, mediante datos obtenidos de la oficina de control urbano, el mercado presenta una demanda potencial el año 2007 de 14,94 millones de piezas cerámicas y un crecimiento anual del 37%  En cuanto a la producción, la planta tiene una capacidad de 20.000 piezas a la semana, que llega a ser una producción demasiado baja, por las cualidades que presenta el mercado y por la carencia de oferentes regionales. Es por ello que se ve necesario realizar cambios profundos en los aspectos limitantes ya mencionados anteriormente. Como Infraestructura Industrial, se planteó la implementación de un secadero de cámaras de 52 metros de largo, que ofrece como ventajas una mayor producción de 917 piezas cerámicas a la hora, reducción de trabajos como el trasiego y manipuleo de las piezas cerámicas, otra de las ventajas que ofrece este tipo de secadero es el aprovechamiento de las calorías generadas en la zona de enfriamiento. Así también se planteo la implementación de un horno túnel de 92 metros de largo, una sección de 1,59 x 1,47 m que permite llegar a conseguir una cocción uniforme y un mayor producción de 747 piezas cerámicas a la hora. En cuanto a la maquinaria se planteó implementar nueva maquinaria de tecnología extranjera y la que mencionamos a continuación: Desterronador, Mezclador, Cajón Alimentador, Laminador de Refinación, Extrusora, Mesa de Corte, Cintas de Transporte, Recirculador, Quemadores Venturi y entre los equipos se encuentran la estantería y las vagonetas de quema. La distribución de planta es otro aspecto que se mejoró, el diseño de la planta adopta una forma de U con propósitos de reducir las distancias entre las infraestructuras industriales y de este modo conseguir una planta mucho más compacta y secuencial. Las distancias de recorrido reducen en un 64,4%.</t>
  </si>
  <si>
    <t>https://drive.google.com/file/d/1u3OThFxyFMmIu3wXT6esDo2y2i_4Brj2/view?usp=sharing</t>
  </si>
  <si>
    <t>https://drive.google.com/file/d/1Ys54NcFtlviCrX6Db9B4m7Gj2iyc6gV0/view?usp=sharing</t>
  </si>
  <si>
    <t>FERNANDEZ BASCOPE PATRICIA MICAELA</t>
  </si>
  <si>
    <t>PLAN DE NEGOCIOS PARA LA EXPORTACIÓN DE MUEBLES INTERIORES DE MADERA AL MERCADO DE LOS ESTADOS UNIDOS</t>
  </si>
  <si>
    <t>patriciaferbas@yahoo.es</t>
  </si>
  <si>
    <t>IND-190-2007</t>
  </si>
  <si>
    <t>Plan de Negocios. Incoterms, Nicho de Mercado</t>
  </si>
  <si>
    <t>Primeramente se realizó un análisis de la situación actual de la empresa el cuál nos permitió determinar la capacidad productiva actual y real de la misma, posterior a esto se realizó el estudio de mercados externos en este caso el de los Estados Unidos primeramente para detectar las ventajas y características del mismo, al mismo tiempo se llegó a un nicho de mercado el cuál fue California por las diferentes ventajas que este presentaba de la misma manera se hizo el estudio de todas las características que tenia que tener nuestro producto a ser exportado y todas las normas que este debía cumplir ya sea en la parte productiva como en la parte para la exportación.Al finalizar el estudio de mercado se llevó a cabo todas las inversiones del proyecto ya sea en terreno, maquinaria, insumos, mano de obra, etc. necesarios para poder determinar el monto total de la inversión el cuál en 45% será aporte del propietario y el restante será financiado.Seguidamente se hizo la evaluación del proyecto para determinar si este era rentable o no, se elaboraron flujos con un incremento del costo variable, con una disminución del precio de venta del producto y finalmente con un arancel del 6% en todos los casos nos salió factible la exportación y gracias a este resultado pudimos llegar a la conclusión de que era factible la exportación ya que esta presentaba viabilidad legal, técnica y operativa y viabilidad financiera por tanto si podíamos realizar un plan estratégico de marketing y ventas.Por último se realizó el plan estratégico el cuál primeramente tuvo por objeto realizar el análisis FODA para detectar todas las fortalezas, amenazas, oportunidades y debilidades de la empresa las cuáles nos dieron como resultado dos planes: uno el de introducción al mercado exterior y otro el de permanencia que a la vez pudimos desarrollar sus diferentes líneas de acción de los mismos.</t>
  </si>
  <si>
    <t>https://drive.google.com/file/d/1pGubSlmoe-MdmCewsVngjajK8M3d1dfu/view?usp=sharing</t>
  </si>
  <si>
    <t>https://drive.google.com/file/d/1Qefkk9nlNj0YUK0pej6A30hXogmc9ioG/view?usp=sharing</t>
  </si>
  <si>
    <t>JUAN ELVIS TAPIA LAZARTE</t>
  </si>
  <si>
    <t>ESTUDIO DE FACTIBILIDAD PARA LA IMPLEMENTACIÓN DE UN CRIADERO DE GANADO PORCINO</t>
  </si>
  <si>
    <t>elvis_ind@hotmail.com</t>
  </si>
  <si>
    <t>IND-191-2007</t>
  </si>
  <si>
    <t>Factibilidad, Criadero, Ganado Porcino, Implementación, Reproducción.</t>
  </si>
  <si>
    <t>El trabajo que se realizo tenia como objetivo general de realizar un estudio de  viabilidad Técnica, Económica y Financiera  de un Criadero de Ganado Porcino, que coadyuve en la toma de decisión para invertir en la implementación a corto plazo. Para que así se logre de esta manera incrementar la producción agropecuaria del país.La metodología que se utilizo para la realización del presente proyecto se analiza todos los problemas que tiene el propietario buscando un proyecto que resuelva tanto su situación económica como el  adecuado uso de sus propiedades. Se realizo una visita a todas las granjas del departamento de Cochabamba  para la obtención del mejor plantel reproductor y de esta manera cubrir la demanda. Siendo la demanda proyectada de carne de cerdo  para el año 2006 es de 2437 Tn. para producir  este volumen  de carne se requieren  sacrificar  alrededor de 6000 cerdos mensuales. Con el fin de realizar  un proyecto  de tamaño  mediano se decidió dimensionar el criadero  de tal manera  de cubrir  el 3.1 % de esta cantidad, lo que significa  obtener  una producción  mensual  de 180 cerdos  de 100Kg y un precio estimado  para el proyecto es de 1.1 $us/Kg. para la venta.  La localización de la granja es en la comunidad de San Juan de Liquinas del Municipio de Cliza de la provincia German Jordan del departamento de Cochabamba. Realizando así el tamaño que tendrá la planta de producción con todas las características que tendrá el plantel reproductor y así de esta manera se creo el ciclo reproductivo para la producción del cerdo de 100 Kg. de peso vivo. Posteriormente se busco a la importadora NUTREX que facilito toda la información para las dietas en las diferentes etapas del cerdo, para producir  el alimento balanceado. También se realizo una recopilación bibliográfica de la productividad del cerdo y la parte sanitaria. A trabes de las visitas realizadas a las granjas donde se realizo la compra del plantel reproductor se obtuvieron datos  para la planificación  de la construcción de toda la obra civil del criadero y la cantidad de personal que  se requirió para el funcionamiento del criadero de ganado porcino.Los montos más representativos para la inversión en el proyecto están conformados por los costos de la maquinaria 12400 $us. y el costo del terreno e infraestructura es de 50000 $us. Luego de realizar la evaluación financiera del proyecto se demostró la viabilidad para su ejecución, al ofrecer una rentabilidad desde dos puntos de vista: Análisis Financiero sin Financiamiento: Muestra un VAN (17%) = 55,756.06 $us, una TIR = 24 %, Relación Beneficio/Costo = 1.70 y el Periodo de Recuperación  = 5.92 Años a una tasa de descuento del 17% (TMA). Análisis Financiero con Financiamiento: Muestra un VAN (17%) = 84,762.40 $us, una TIR = 31 %, Relación Beneficio/Costo = 2.42 y el Periodo de Recuperación  = 4.44 Años a una tasa de descuento del 17% (TMA).</t>
  </si>
  <si>
    <t>https://drive.google.com/file/d/1gTQlJMcZJKUPxKBrXkPaTGwla0xY1I08/view?usp=sharing</t>
  </si>
  <si>
    <t>https://drive.google.com/file/d/1mnkF20ObHhUgK1BKPfQXBE3B6rOXkHc5/view?usp=sharing</t>
  </si>
  <si>
    <t>ROCHA ZERDA GINA ELVIRA</t>
  </si>
  <si>
    <t>ROJAS HERBAS MARCELA</t>
  </si>
  <si>
    <t>ING. NELSON HINOJOZA</t>
  </si>
  <si>
    <t>ESTUDIO DE MERCADO Y DISEÑO DE UN PLAN ESTRATÉGICO DE MARKETING PARA LA COMERCIALIZACIÓN DE SAPONINAS OBTENIDAS DEL ESCARIFICADO DE QUÍNUA</t>
  </si>
  <si>
    <t>GinaRo35@hotmail.com</t>
  </si>
  <si>
    <t>IND-192-2007</t>
  </si>
  <si>
    <t>Saponinas, Tensoactivos, Demanda, Oferta, Marketing Mix, Planta Piloto, Evaluación Financiera.</t>
  </si>
  <si>
    <t>La quinua es un cereal nativo de la parte andina de América. El grano para ser consumido, previamente debe ser desprovisto de su cáscara, porque le confiere un sabor amargo, esto se debe a la presencia de saponinas; este elemento tiene aplicaciones industriales, como ser en la elaboración de bebidas, de detergentes y champúes  y otros.El país es el primer productor de quinua a nivel mundial, aproximadamente en promedio se cultiva una superficie de 35,8 mil hectáreas de quinua, esta actividad agrupa a más de 70.000 familias productoras. El Centro de Tecnología Agroindustrial observando las características de esta actividad vio la necesidad de fortalecer la cadena productiva de la quinua, mediante el aprovechamiento del residuo del escarificado; para lo cuál esta realizando el desarrollo tecnológico y para dar un respaldo a esta iniciativa surge el proyecto del Estudio de mercado y Diseño de un Plan Estratégico para la Comercialización de Saponinas Obtenida del Escarificado de Quinua.El estudio de mercado de este proyecto ha comprendido la determinación del mercado para las saponinas y la identificación de los canales de comercialización; también comprende el sondeo del mercado externo. Para la cuantificación de la demanda primero se ha seleccionado al sector consumidor, siendo el sector industrial de Productos de Limpieza y Cuidado Personal, porque este sector es el único que consume productos similares a las saponinas y está formado por un número significativo de empresas. Los productos similares que consume el mercado meta son los tensoactivos, por lo tanto la demanda de saponinas se ha definido en función a la demanda de tensoactivos. Se ha generado información propia a través de las entrevistas personales basadas en una encuesta; se ha realizado estas entrevistas a  todas las empresas de este sector industrial de los departamentos de La Paz y Cochabamba. Las empresas del sector consumidor elaboran principalmente detergentes y champúes, y en menor cantidad cremas para el cuerpo y/o cabello  y/o geles; el tensoactivo principal que emplean es el LESS (Lauril Eter Sulfato de Sodio) . Adquieren estos insumos en estado líquido o pastoso, en turriles de plástico de 150 Kgr y de un consumidor a otro varía el grado de concentración en que adquieren, estos productos son de industria alemana e inglesa. Se proveen de tensoactivos de comercializadoras establecidas en el país y algunas empresas importan. El 67% de las empresas encuestadas están dispuestas en adquirir las saponinas de la quinua siempre que el producto este caracterizado, sea estándar y el precio sea atractivo. Se pretende desplazar a los tensoactivos en el primer año (2006) en un 10% y de ahí crecer un 5% hasta el año 7 (2012), siendo el primer año la demanda de saponinas 18 Ton.Para determinar la oferta de saponinas, se ha cuantificado el escarificado de quinua;; esta cuantificación se ha realizado en las plantas industriales de quinua. Se ha generado información propia a través de las entrevistas realizadas a todas las empresas de este sector, que se ubican en los departamentos de La Paz y Oruro.  El escarificado es resultado de una de las operaciones del método combinado que es del la vía seca, actualmente este residuo se encuentra en las plantas disponible y sin uso, para determinar el escarificado se ha relacionado la cantidad de quinua procesada y el porcentaje promedio de escarificado obtenido de una cierta cantidad; siendo el escarificado disponible en las procesadoras para el año 2005 de 663,10 Ton. El Centro ha realizado investigaciones y resultado de esto es que de 1 Kgr de escarificado de quinua se obtiene 2 Kgr de saponinas en solución, la oferta de saponinas que el Centro va a poder realizar  a nivel planta piloto va a estar en función a la demanda; por lo tanto el primer año va a ofertar 18 Ton de saponinas en solución, y de ahí crecerá en un 5% anual hasta el año 7 (2012). El precio de las saponinas va a ser de $u$/Kg 1,90, él cual está determinado en función a los costos de producción.El plan de marketing, va a estar dirigido por la estrategia de Penetración de mercado; para lo cuál se ha planteado como estrategia de marca entrar con el nombre de saponinas de la quinua Real, en la estrategia de Promoción establecer y luego consolidar relaciones con los clientes, la estrategia de publicidad se la va a realizar en las páginas amarillas de las cooperativas telefónicos, periódicos (domingos), ediciones especiales de las cámaras de industrias departamentales y la asistencia alas ferias internacionales departamentales. Los indicadores de rentabilidad indican que el proyecto es rentable, siendo el VAN(TMA=12%) = $us10.943 , TIR = 41%  y la Relación Beneficio / Costo de  3,6.</t>
  </si>
  <si>
    <t>https://drive.google.com/file/d/19M46PiPeLlqKe0UdwgsoGUsjtsO6ObFH/view?usp=sharing</t>
  </si>
  <si>
    <t>https://drive.google.com/file/d/1ZTJbRs1DSIJZh6VCMIcNrN9651uHqPNT/view?usp=sharing</t>
  </si>
  <si>
    <t>https://drive.google.com/file/d/1l2Kg_aRdskd9BMo5cBMkZbQXLMJEOKMQ/view?usp=sharing</t>
  </si>
  <si>
    <t>SALINAS MENDOZA CESAR ALBERTO</t>
  </si>
  <si>
    <t>ING. JUAN CARLOS MENDOZA</t>
  </si>
  <si>
    <t>PLANIFICACIÓN DE UN SISTEMA DE GESTIÓN DE LA CALIDAD SEGÚN LAS NORMAS ISO 9001:2000 Y UN PLAN HACCP PARA LA LÍNEA DE CAFÉ DE LA EMPRESA BOLIVIA'S FRUIT</t>
  </si>
  <si>
    <t>c_albert_s@hotmail.com</t>
  </si>
  <si>
    <t>IND-193-2007</t>
  </si>
  <si>
    <t>Calidad, HACCP, ISO, café, alimentos.</t>
  </si>
  <si>
    <t>Primeramente se realizó una búsqueda de toda la información secundaria referente a las normas de calidad ISO 9001:2000 y al sistema de calidad HACCP como a sus prerrequisitos, se buscó toda información de aspectos generales del café y de aspectos generales del café de los Yungas. En una segunda fase se hizo el acercamiento a todas las actividades de la empresa, para conocer el funcionamiento de sus diferentes procesos, su documentación, definir sus problemas y planificar un futuro análisis exhaustivo. En conclusión se tuvo que, el punto critico de control más importante en la elaboración del café es en la recepción del café ver,</t>
  </si>
  <si>
    <t>https://drive.google.com/file/d/1jwn3I9Esefv03jtdIwjPUhkP3RL7ebae/view?usp=sharing</t>
  </si>
  <si>
    <t>https://drive.google.com/file/d/1WKecSBnC6cf1VSxgtN28GcLlcervlI5T/view?usp=sharing</t>
  </si>
  <si>
    <t>https://drive.google.com/file/d/1cL01SF0N59froTpaUwg7LqFf7QPJ7UCX/view?usp=sharing</t>
  </si>
  <si>
    <t>WILLAMS RICARDO SAAVEDRA CHACON</t>
  </si>
  <si>
    <t>ING. ROBERTO JUAN MANCHEGO CASTELLON</t>
  </si>
  <si>
    <t>DISEÑO DE UN MODELO ADMINISTRATIVO PARA LA MEJORA DEL FUNCIONAMIENTO DE LA EMPRESA DE SERVICIOS ELÉCTRICOS DEL TRÓPICO</t>
  </si>
  <si>
    <t>willamsss2002@yahoo.com</t>
  </si>
  <si>
    <t>IND-194-2007</t>
  </si>
  <si>
    <t>EMSET, ELFEC, Proceso Administrativo, Electrificación, Diagnóstico de Productividad, Sistema de Información, Costos.</t>
  </si>
  <si>
    <t>El trabajo realizado tuvo por objeto allanar el vacío existente ante la carencia de un adecuado sistema administrativo, de manera de promover la eficiencia de las operaciones, actividades y tareas administrativas, asegurar la obtención de información confiable y oportuna, establecer los medios de control de sus operaciones y lograr el cumplimiento de los planes y programas planteados por la empresa.En realidad la metodología consistió primeramente en tener un conocimiento cabal de las actividades y operaciones que desarrolla la empresa, mismo que fue elaborado en base a la observación y entrevistas no estructuradas realizadas al personal en el quehacer cotidiano de sus actividades. Posteriormente se realizó un diagnostico, identificando los problemas al interior de la empresa y determinado las causas de los mismos, a partir de la cual se definieron la visión, misión y los objetivos estratégicos.Obtenidos los resultados del diagnóstico y realizada la planificación según a las características de la empresa y el mercado en el que desarrolla sus actividades, se procedió a establecer la nueva estructura organizativa, manuales de funciones y  de procedimientos, proceso que posteriormente requirió el diseño de formularios para documentar las operaciones y actividades de una manera estructurada.Una vez definida la organización formal de la empresa y de haber definido claramente las responsabilidades del personal,  se procedió a desarrollar la gestión de los elementos de control, misma que constó de dos partes; la primera en la cual se consideró necesario contar con un control de los materiales requeridos por los diferentes proyectos, tanto en su gestión como en sus costos, proceso realizado mediante el diseño de un sistema de información y el sistema de control de costos por ordenes de trabajo específicas, que aprovecha las ventajas del sistema de información en la determinación de los costos de los materiales, referida la segunda parte del control.Luego de haber planteado los objetivos de la empresa, habiéndose organizado y dotado de los elementos de control de la misma, se establecieron las políticas de dirección en cuanto al liderazgo y motivación de los empleados, de manera de otorgar un ambiente apto para desarrollo de las actividades y operaciones que componen su trabajo.Finalmente se realizó un análisis costo – beneficio, con la finalidad de determinar la conveniencia del trabajo realizado, para lo que se identificaron los costos a ser incurridos y beneficios cualitativos generados por la implantación del modelo. Independientemente del modelo se elaboro un análisis costo – eficiencia acerca de la construcción del sistema de información</t>
  </si>
  <si>
    <t>https://drive.google.com/file/d/1cvu-9oMg6aYMVnBgTS4mwzptoL4cVIz5/view?usp=sharing</t>
  </si>
  <si>
    <t>https://drive.google.com/file/d/1fYmG7v5OsIh7uRuMSFyQpaIasxVAdQM_/view?usp=sharing</t>
  </si>
  <si>
    <t>https://drive.google.com/file/d/1ZjainpIFjQpPUD0GBy0voY0Pwrf39XjX/view?usp=sharing</t>
  </si>
  <si>
    <t>SAN MIGUEL TERAN CLAUDIA KARINA</t>
  </si>
  <si>
    <t>DISEÑO DE UN MODELO DE GESTIÓN DE INVENTARIOS EN COBOCE CERAMIL</t>
  </si>
  <si>
    <t>claudiasmiguel@yahoo.com</t>
  </si>
  <si>
    <t>IND-195-2007</t>
  </si>
  <si>
    <t>COBOCE CERAMIL, Gestión de Almacenes, EOQ, EPQ, MRP, Pronósticos, Cerámica Roja.</t>
  </si>
  <si>
    <t>Primeramente se realizó un diagnóstico de la eficiencia de las diferentes funciones de la empresa y su contribución a la deficiencia de la función de Gestión de Stocks y se recabo la información disponible acerca de las actividades, procesos de las actividades, la organización actual de la empresa. Todo ello con el fin de establecer su situación inicial, a través del diagrama de causas y efectos. En función a este análisis se podrá determinar las posibles soluciones al problema.A continuación se realizo un estudio de los procesos que se siguen para la gestión de cada almacén que muestre la secuencia de las operaciones y los problemas que susciten: desabastecimiento, nivel de stocks elevados, demoras de pedidos, tiempos de entrega largos, calidad de la producción; mediante el uso de cursogramas analíticos y sinópticos. Se describe detalladamente el método actual de trabajo de la sección. Se segmentó el trabajo por almacenes de productos terminados y materia prima. En el siguiente paso se procedió a determinar la demanda de cada almacén y determinar los niveles de Stock óptimos, y sus factores relacionados, usando los métodos de EPQ para productos terminados y EOQ para materia prima. Con los datos recabados se procedió a la determinación de Niveles de Stocks de seguridad, costos relacionados, días de cobertura, Numero de pedidos por periodo. Con los resultados obtenidos se determino que existe la posibilidad de disponer de recursos invertidos en stocks de materia prima, para invertirlos en  otras áreas sin afectar las funciones de producción de la empresa. Además siendo en la empresa la función de Producción la mas influyente, se han ido modificando procesos que permitieron que la producción sea actualmente de Primera Calidad, reduciendo los niveles de stock en almacén de productos terminados casi en su totalidad.</t>
  </si>
  <si>
    <t>https://drive.google.com/file/d/1wLQflT2cyfQlDw-cED1WWuWPSbu6jpUo/view?usp=sharing</t>
  </si>
  <si>
    <t>https://drive.google.com/file/d/1t1EVgoUilcmtgpPIdrHImwRcci3EnFRJ/view?usp=sharing</t>
  </si>
  <si>
    <t>https://drive.google.com/file/d/1ltN-wx5B2Kp6g3W85qfY1PfaYYCZC2rO/view?usp=sharing</t>
  </si>
  <si>
    <t>TATIANA UREÑA BORDA</t>
  </si>
  <si>
    <t>ESTUDIO DE FACTIBILIDAD PARA LA IMPLEMENTACIÓN DE UNA NUEVA LÍNEA DE ALIMENTO BALANCEADO EN LA EMPRESA ALBASA</t>
  </si>
  <si>
    <t>tatiana103@gmail.com</t>
  </si>
  <si>
    <t>IND-196-2007</t>
  </si>
  <si>
    <t>El trabajo que se realizo tenia como objetivo general de realizar un estudio de vialidad Técnica, Económica y Financiera para el molino Albasa, que coadyuve en la toma de decisión para invertir a corto plazo  en una nueva línea de alimento balanceado en Pelets.Previamente al Estudio de Mercado, se realizo una prueba experimental entre los dos tipos de alimentos el alimento tradicional y el alimento peletizado, se selecciono a lazar un determinado numero de pollitos y de lechoncitos y se los alimento con alimento peletizado, la diferencia en cuanto crecimiento y peso muy grande en comparación de los pollos y cerdos que son alimentados con alimento tradicional. El estudio de merado se determino que el producto es aceptable tanto en productores de cerdos, asi como en productores de pollos.La demanda potencial de alimento peletizado que se determino en pollos es de 2421 Tn/Ano y en cerdos 510 Tn/ ano. El precio de venta estimado para pollos es 0.32 $ por Kg., y de cerdos 0.31$ por Kg.La localización de la ampliación de la planta es en la localidad de Sacaba, el equipo del proceso principal que se selecciono es una maquina peletizadora de la marca INCOMAQ, Serie 559 de industria Argentina.El análisis financiero muestra un VAN  de 86.317,08 $us, un TIR 31%, un periodo de recuperación de 3.72 anos, Relación Beneficio Costo de 2.35, a una tasa de descuento del 10% (TMA) para el caso de proyecto con financiamiento. En el caso de proyecto con inversión propia el análisis financiero muestra un VAN de 65.942.97 $us, un TIR 22%, un periodo de recuperación de 5 anos, Relación Beneficio Costo de 1.76 a una tasa de descuento de 10% (TMA).Se determino que el proyecto esta dentro de la categoría 4 de la Ley 1654 de Medio Ambiente Clasificación Industrial por Riesgo de Contaminación 15530 (no causa ningún tipo de contaminación)</t>
  </si>
  <si>
    <t>https://drive.google.com/file/d/15gyvbGXT1qKCwstkdeq55b0mk2wnowFq/view?usp=sharing</t>
  </si>
  <si>
    <t>PANIAGUA ORTEGA ROBERTO</t>
  </si>
  <si>
    <t>DR. RAFAEL TERRAZAS PASTOR</t>
  </si>
  <si>
    <t>MODELO DE PLANIFICACIÓN Y CONTROL DE LAPRODUCCIÓN PARA LA EMPRESA P.A.I.A. PLÁSTICOS Y ANEXOS S.R.L.</t>
  </si>
  <si>
    <t>robert_179@hotmail.com</t>
  </si>
  <si>
    <t>IND-197-2007</t>
  </si>
  <si>
    <t>Modelo, M.R.P., Productividad, Pronósticos, Capacidad y Mantenimiento de Máquina, Políticas, Calidad.</t>
  </si>
  <si>
    <t>Primeramente se realizo la descripción de la empresa y sus procesos productivos, realiza un análisis de capacidad de máquinas determinando la capacidad actual, instalada y rendimiento de las maquinarias que tienen P.A.I.A. Luego se realizo el diagnóstico haciendo uso del método más común como es el FODA principalmente en la zona productiva de la empresa.A través del proyecto se ha logrado coordinar y mejorar la Planificación y Control de la Producción tanto de la zona productiva como las diferentes áreas de la empresa, disminuyendo los tiempos de producción y amentando la productividad de la empresa P.A.I.A. plásticos y anexos.Mediante los datos históricos de cada producto analizado y después de observar el respectivo comportamiento de la demanda de las líneas productivas se ha procedido a la realización de los pronósticos de las ventas futuras y sus respectivos errores.Con la cantidad de materia prima y productos terminados de la última gestión, los  cuales fueron clasificados de acuerdo a su importancia económica y de acuerdo a esta elaborar un modelo de inventario más adecuado económicamente.La planificación, programación de la producción fue constituida y seleccionada de varios planes y del cual se ha elegido el plan con menor costo para la empresa. De igual manera se elaborar el Plan de Requerimiento de Materiales con los pronósticos futuros hallados y las cantidades necesarias para su producciónEl control de producción e indicadores de permiten monitorear el cumplimiento y corrección oportuna antes, durante y después de los planes y programas dentro de las diferentes áreas de la empresa principalmente la zona productiva.</t>
  </si>
  <si>
    <t>https://drive.google.com/file/d/1Q_B9uFP8KKTmyevRAdJBsnZlrVXIKaYR/view?usp=sharing</t>
  </si>
  <si>
    <t>https://drive.google.com/file/d/1eCfHr2LSaGqvmSWgzINGaQRu6l_YwSgC/view?usp=sharing</t>
  </si>
  <si>
    <t>https://drive.google.com/file/d/12c0G_n37LvddZKLw_a5qdFu7MXXkMOyA/view?usp=sharing</t>
  </si>
  <si>
    <t>CABANA ORELLANA ROBERTO CARLOS</t>
  </si>
  <si>
    <t>ING. EDUARDO ZAMBRANA MONTÁN</t>
  </si>
  <si>
    <t>DISEÑO DE UN PLAN ESTRATÉGICO DE PRODUCCIÓN PARA LA MICROEMPRESA ZAMBRANA</t>
  </si>
  <si>
    <t>robertcabana3@gmail.com</t>
  </si>
  <si>
    <t>IND-198-2007</t>
  </si>
  <si>
    <t>Productividad, Porter, Estrategia, Delphi, Calidad, JIT, Software, Tecnología, Innovación, Ciclo de Vida, Flexibilidad, Proceso.</t>
  </si>
  <si>
    <t>Inicialmente se realizó un diagnóstico al interior de las instalaciones de la Microempresa Zambrana, logrando, en una primera instancia, identificar los procesos internos con los cuales contaba la Microempresa, éstos procesos fueron los de Dirección, Diseño, Suministros, Producción, Comercialización, Desarrollo del Talento Humano y Finanzas, que posteriormente fueron evaluados de forma individual, como también de forma integral, logrando identificar que los procesos con una mayor deficiencia son los de Producción, Comercialización y Suministros.Posteriormente se realizó un análisis externo a la empresa, donde se pudo identificar una serie de factores económicos, políticos, demográficos, tecnológicos y competitivos que incidían de alguna manera en la continuidad de la empresa en el tiempo.Como resultado de la información obtenida del interior y el exterior de la Microempresa, fue formulado el Perfil Estratégico y las Estrategias generales de la Organización, éstas ultimas fueron desarrolladas en lo que fuera el Plan Estratégico 2007-2011, en el cual se llego a desarrollar tres distintos planes, donde a su vez cada plan perseguía un objetivo y también contenía líneas estratégicas enfocadas a dicho objetivo. Cada plan fue diseñado de tal manera que refleje los responsables de su ejecución, las fechas de su realización y el presupuesto necesario para que el mismo pueda ejecutarse. Posteriormente a la realización del Plan Estratégico 2007-2011, se realizó un Plan Estratégico de Producción que permita lograr la consecución de los objetivos de la Microempresa mediante proyectos de innovación tecnológica, tanto en procesos como en productos, logrando así afianzar aun más, una estrategia de diferenciación.Por ultimo para poder evaluar de forma económica la aplicación del Plan Estratégico de Producción, se realizó un Proyecto de Innovación Tecnológica, cuyo resultado fue positivo logrando un incremento en las ganancias de la empresa, de algo mas de Bs. 52.938 con un costo de oportunidad del 10%. Este resultado refleja la importancia de su implementacion y de los enormes beneficios que se lograría de los distintos proyectos que se deriven del Estratégico de Producción. Por otro lado también se recomienda desarrollar estudios relacionados con el diseño de un Plan Estratégico de Marketing y de Logística, que permitan complementar y fortalecer el Plan Estratégico 2007-2011 de la Microempresa Zambrana.</t>
  </si>
  <si>
    <t>https://drive.google.com/file/d/1_pHfqJcknBc6viCG9mZ0v8gSRTSzp7ue/view?usp=sharing</t>
  </si>
  <si>
    <t>https://drive.google.com/file/d/1DpgiFeMPbCJkt8GYr2foQ-tirUtFCc6n/view?usp=sharing</t>
  </si>
  <si>
    <t>https://drive.google.com/file/d/11XR8YaLmD3rYCc13IO3wzOg2Mg9hQdNd/view?usp=sharing</t>
  </si>
  <si>
    <t>PEREZ ROBLES HERNAN EDZON</t>
  </si>
  <si>
    <t>DISEÑO Y PLANIFICACIÓN DE UN MODELO DE GESTIÓN Y TRATAMIENTO DE RESÍDUOS SÓLIDOS PARA LA CIUDAD DE PUNATA</t>
  </si>
  <si>
    <t>edzon_perez@yahoo.com</t>
  </si>
  <si>
    <t>IND-199-2007</t>
  </si>
  <si>
    <t>Residuos sólidos, humus, lombricultura, Punata, selección en origen.</t>
  </si>
  <si>
    <t>Primeramente se realizó un diagnostico de la situación actual del Municipio de Punata para poder estudiar y analizar los hábitos y costumbres que tiene la población de la ciudad de Punata en cuanto al manejo de residuos sólidos. Es de esa manera que se pudo realizar la proyección de los habitantes de esa ciudad hasta el horizonte del proyecto, que se tomo de 7 años. Posteriormente se pasó a realizar el diagnostico del sistema de manejo de residuos sólidos que realiza la Alcaldía de Punata, esto para conocer las condiciones de trabajo de los empleados municipales, así como conocer la metodología de trabajo que tienen ellos para realizar la recolección de los residuos sólidos y conocer la cobertura de servicio que se tiene. Todo este diagnostico se realizó utilizando la “Guía para la Gestión de Residuos Sólidos Municipales” de la Dra. Doreen Brown Salazar.Conociendo el estado del manejo de residuos sólidos en la ciudad de Punata, se pasó a realizar la caracterización de los residuos sólidos siguiendo la norma boliviana de manejo de residuos sólidos NB-743. Como resultado de esta caracterización, se obtuvieron los siguientes resultados: Una producción per-cápita de residuos sólidos de 0.393 Kg/Hab-Día y un peso volumétrico de 235 kg/m3. En la composición física de residuos sólidos se pudo evidenciar que predominan los residuos alimenticios y residuos de jardinería con un 60%. Con toda esta información se continuó con la parte de la ingeniería del proyecto diseñando los subsistemas de barrido, recolección, recuperación de los residuos orgánicos, también se planteo  programas de educación ambiental en los centros educativos como para los ciudadanos de esta ciudad.  Para el sistema de barrido se calculo el número de barrenderos que se iba a requerir obteniendo un número de 7 barrenderos y 3 recolectores de residuos que se va a generar por la limpieza de vías y áreas públicas. Para la recolección de residuos sólidos se calculó el número de rutas y las frecuencias de recolección que se necesitarían para cubrir el 80% de la ciudad. Asimismo se llego a la conclusión de que se necesitará un camión recolector de 13 m3 de capacidad para atender los requerimientos de la población. También se identifico el sitio potencialmente adecuado para la ubicación del relleno sanitario, por el método de selección de factores o pesos.    Se demostró que económica y financieramente el proyecto es viable ya que se obtuvo un TIR del 13%. También se calculo las tasas de aseo que se debería implementar en la comunidad.</t>
  </si>
  <si>
    <t>https://drive.google.com/file/d/1bnk_TMrdfpLQPaSBzhPw3adWxc47HZVs/view?usp=sharing</t>
  </si>
  <si>
    <t>https://drive.google.com/file/d/1aLn_eyY3WUWm19XZ8MzbC9GKkY3d8YDB/view?usp=sharing</t>
  </si>
  <si>
    <t>https://drive.google.com/file/d/1vmaTFyroT_f8sRqoJIL4BAEYKyZFbRO1/view?usp=sharing</t>
  </si>
  <si>
    <t>MICHAEL MARCO HOLGUÍN PEREDO</t>
  </si>
  <si>
    <t>PLAN DE MEJORAMIENTO DEL ÁREA DE PRODUCCIÓN PARA LA EMPRESA METAL MECÁNICA ÁLVAREZ.</t>
  </si>
  <si>
    <t>soloparamiguelito@hotmail.com</t>
  </si>
  <si>
    <t>IND-200-2007</t>
  </si>
  <si>
    <t>Metal Mecánica Alvarez, Productividad, Estandarización, Caracterización, Plan de Mejoramiento de la Productividad (PMP).</t>
  </si>
  <si>
    <t>Primeramente se realizó una caracterización de la empresa a nivel técnico, económico y administrativo, que permitió conocer a fondo las características propias de  la metal mecánica, para de esta forma llevar a cabo planteamientos acordes con la realidad de la empresa.De acuerdo a las líneas de productos fabricados, se analizaron el tipo y cantidad de material empleado para cada producto, posteriormente se hizo un análisis de todas las operaciones del proceso identificando las causas de los retrazaos (cuellos de botella) de productos en proceso, como también el método de transporte de materiales y piezas y productos.Con el estudio de métodos de trabajo y de herramientas como: diagrama de proceso de operaciones, diagrama de flujo del proceso y diagramas de recorrido empleados para la identificación de problemas se logrará optimizar tanto las operaciones como la distribución de la planta y las secciones de trabajo.Posteriormente se procede a la medición del trabajo, para lo cual se emplea el método de estudio de tiempos; calculando los tiempos requeridos para cada elemento de operación, realizando luego un balance de línea que permite conocer le eficiencia de la línea y las cantidades reales de producción, identificando las operaciones que ocupan tiempos de ciclo relativamente grandes.Con los estudios realizados anteriormente descritos se procedió al planteamiento de un Plan de Mejoramiento para el área de producción, consistiendo este en lo siguiente:Se planteó un nuevo organigrama para la empresa acorde a los requerimientos encontrados y de la optimización de procesos; teniendo un personal con un tiempo ocioso tendiente a cero, debido al mejor aprovechamiento de los recursos humanos con los que la empresa cuenta.Se propone la implementación de nuevos métodos de trabajo con la instalación de herramientas mejoradas que acortan los tiempos de operación y facilitan la manera de realización de las operaciones, tal el caso de las operaciones de corte de barras-platinas y perforado de papel, logrando así un proceso optimizado y más eficiente.Se estimó la inversión, calculando el costo real de la mano de obra, estimando el costo del plan propuesto y comparándolo con el método actual de producción, determinando la rentabilidad del plan mediante el Periodo de Recuperación de la Inversión.</t>
  </si>
  <si>
    <t>https://drive.google.com/file/d/1nJHp_8mJbh5TP_o9XUw-ARX1RgmTc1xx/view?usp=sharing</t>
  </si>
  <si>
    <t>https://drive.google.com/file/d/1szkVgrqOgTv3MXNtaUzAufXbOzYSTNRw/view?usp=sharing</t>
  </si>
  <si>
    <t>https://drive.google.com/file/d/1W8jimbFKgPC1rSHDkP9ZkevgvqA-au58/view?usp=sharing</t>
  </si>
  <si>
    <t>CECILIA ANDIA MONTES</t>
  </si>
  <si>
    <t>ANA ISABEL AGUAYO TORRICO</t>
  </si>
  <si>
    <t>APLICACIÓN DE UN MÉTODO DE REDUCCIÓN DE TIEMPOS PARA OPTIMIZAR LAS OPERACIONES DE CAMBIOS DE CALIBRE EN EL SECTOR DE ENVASADO DE LA CERVECERÍA BOLIVIANA NACIONAL S.A. - PLANTA TAQUIÑA.</t>
  </si>
  <si>
    <t>anelita_83@hotmail.com</t>
  </si>
  <si>
    <t>IND-201-2007</t>
  </si>
  <si>
    <t>Cervecería Bolivia Nacional - Planta Taquiña, Miniplanta de Envasado, Línea Botellas, Cambio de Calibre, Sistema SMED</t>
  </si>
  <si>
    <t>La exigencia de numerosos cambios de calibre, en la línea de botellas de la Miniplanta de Envasado de la Planta Taquiña, conlleva a que se vean afectados indicadores como ser la disponibilidad de línea, disminuyendo así la eficiencia de la misma y al no existir un procedimiento estándar se cometen una serie de errores que incrementan el tiempo de recambio en la línea.    Primeramente, se describió y analizó, en forma detallada, el proceso actual de cambio de calibre para identificar las máquinas con los tiempos y actividades críticas sobre las que se aplicó el proyecto, también se estableció el orden de aplicación en las máquinas.Se determinó un equipo de trabajo para cada máquina. Posteriormente, se evidenció a través de una cámara filmadora, una cámara fotográfica y registros de análisis de recambio, el procedimiento de cambio de calibre en cada turno de trabajo de la línea de botellas.Se analizó, con el equipo de trabajo, todos los recursos recabados y se procedió a elaborar un procedimiento, con pasos consecutivos que el grupo de trabajo consideró más lógica y eficiente, para las actividades de recambio para cada máquina, después de haber identificado, separado y convertido las actividades internas y externas.Se realizaron mejoras técnicas en el área de modo que faciliten el proceso de recambio y se mejoren las condiciones de trabajo.Se obtuvieron grandes mejoras a la conclusión del proyecto, esperándose mayores reducciones del tiempo de cambio de calibre y el incremento de la disponibilidad de línea una vez completada la implementación del proyecto.</t>
  </si>
  <si>
    <t>https://drive.google.com/file/d/1GNdyf77kbuHYZDPe4iVhz0BLmDeiU3K2/view?usp=sharing</t>
  </si>
  <si>
    <t>https://drive.google.com/file/d/1R-kcDYX2KGZcDa9aw5mkzMDV64WpRkl4/view?usp=sharing</t>
  </si>
  <si>
    <t>https://drive.google.com/file/d/16gWFS0gPOeRZJ2hjuHee0ANwHt5IQmfW/view?usp=sharing</t>
  </si>
  <si>
    <t>PEÑARANDA VARGAS JUAN PABLO</t>
  </si>
  <si>
    <t>ORTIZ LEIGUE LENNY PATRICIA</t>
  </si>
  <si>
    <t>ESTUDIO DE FACTIBILIDAD PARA LA IMPLEMENTACIÓN DE UNA PLANTA DE POSTES DE CONCRETO EN ELFEC S.A.</t>
  </si>
  <si>
    <t>p_ortiz2000@yahoo.com</t>
  </si>
  <si>
    <t>IND-202-2007</t>
  </si>
  <si>
    <t>Planta de postes de concreto, Proyecto de factibilidad, consumo propio de ELFEC y la viabilidad del proyecto.</t>
  </si>
  <si>
    <t>El continuo crecimiento demográfico, en la ciudad de Cochabamba, implica el aumento de la demanda en los servicios básicos, y el consumo de energía eléctrica es uno de ellos. Para poder tender la red de distribución de dicho servicio, es necesario el uso de postes, ya sean estos de madera y pretensados (de concreto). En ese contexto el presente proyecto de grado, planteo Ejecutar un Estudio de Factibilidad para la implementación de postes de concreto en ELFEC S.A.; dicha empresa es la encargada de suministrar, el mencionado servicio. Fue importante conocer la Visión de esta institución, que busca Ser Líder en la Comercialización de Servicios Públicos en Bolivia.Para emprender tal estudio: primeramente se realizo un análisis de las características del uso de estas dos alternativas. Encontrando que los postes de concreto presentaron las siguientes características: una durabilidad en más del 150%, costos de mantenimiento tendientes a cero, este último respaldado por la Durabilidad del hormigón armado; y por último la disponibilidad de materiales e insumos para la fabricación de los postes pretensados. Toda esa diferencia, respecto a los postes de madera, que presentan desventajas económicas (costos de mantenimiento), ambientales (desforestación).Este proyecto se realizo en 4 líneas de acción, fundamentales: estos fueron: el estudio de mercado, técnico, financiero y la identificación del impacto ambiental.  El resultado de dicha acción, permitió el conocimiento de la demanda de postes, por parte de ELFEC S.A., para los siguientes diez años, los ofertantes y el costo unitario de producir postes de concreto.La parte técnica permitió conocer cuatro pilares que son: materiales e insumos, el Tamaño de la Planta y su Localización, la Ingeniería de Proyecto, su Organización y por último su Ejecución.La parte financiera dio a conocer, el monto de la inversión total, costos, el Plan de Pagos de la inversión y finalmente se concluyo que el TIR (Tasa Interna de Retorno) que fue mayor respecto al TMA (Tasa Mínima de Atractividad).Se encontró que el Proyecto, no afectara al Medio Ambiente; ya  que pertenece a la Categoría 3 según el RAI (Registro Ambiental Industrial), que solo se debe describir el Proyecto y un Plan de manejo ambiental.Se concluyo que dicho estudio de factibilidad es: Técnica, Financiera y Ambientalmente Factible.</t>
  </si>
  <si>
    <t>https://drive.google.com/file/d/1C0zHmGsVHHybCX8XTg9LDPDLB6QHk-RJ/view?usp=sharing</t>
  </si>
  <si>
    <t>https://drive.google.com/file/d/1xPMkDZ5uBXJZKy2VTQ4ZkEHumhbu4sWe/view?usp=sharing</t>
  </si>
  <si>
    <t>https://drive.google.com/file/d/168J8HF5jhCI5yyp9-bNKgwrzfu9GCUT0/view?usp=sharing</t>
  </si>
  <si>
    <t>QUINTEROS SEJAS JUAN</t>
  </si>
  <si>
    <t>DISEÑO DE UN SISTEMA INTEGRADO DE GESTIÓN BASADO EN OHSAS 18001:2003 E ISO 14001:2004 PARA LA PLANTA DE ENVASES PLÁSTICOS PILPLAST DE PIL ANDINA S.A.</t>
  </si>
  <si>
    <t>gato162@hotmail.com</t>
  </si>
  <si>
    <t>IND-203-2007</t>
  </si>
  <si>
    <t>Planta de Envases Plásticos “PILPLAST”, Sistema Integrado de gestión MA - SySO, Ciclo de Mejora Continua, Indicadores, Gestión, Documentación, BPM, PML.</t>
  </si>
  <si>
    <t>Primeramente, luego de un periodo de tiempo de observación en la Planta de Envases Plásticos “PILPLAST”, se vió la necesidad de realizar un Proyecto  de Grado en temas referidos al cuidado del medio ambiente y en cuanto a la seguridad y salud ocupacional, ya que existían riesgos ambientales y ocupacionales como ser: emisiones de gases y ruido principalmente, no se realizaban la respectiva gestión de residuos (clasificación y disposición final), no existían un buen uso de energía eléctrica (apagado si no esta en uso), y agua (fugas de agua, circuito abierto en enfriamiento de molde inyección), en algunas áreas productivas no se cumplían con el tema de orden y limpieza, como también existían maquinas que no contaban con un plan de mantenimiento preventivo si no solo lo realizaban recién cuando existía alguna falla, además de ello lo realizaba solo una persona allegada a la jefatura, y no se disponían de todas las herramientas, por lo anteriormente dicho se podían haber producido caídas, tropiezos, golpes, stres, monotonía, y otros peligros.  Para empezar el estudio se reunió toda la documentación posible acerca de los temas ambientales y de seguridad ocupacional (leyes, revistas, periódicos, etc.).Posteriormente se elaboró una Lista de Verificación, donde se fue complementando de acuerdo a las observaciones objetivas, para evaluar los aspectos ambientales y los riesgos laborales se tomaron como referencia los límites permisibles de la legislación respectiva y algunos estipulados en otras normas como ANSI y OSHA; esto se complementa con un resumen mediante el mapa de riesgos. De la lista de verificación se puede extraer lo siguiente la inexistencia de documentación (procedimientos, registros, manuales, etc), identificación de otros riesgos adicionales ya sea ambientales y de seguridad ocupacional. De donde mediante la ayuda y conocimiento de nuevas tecnologías como Producción Mas Limpia (PML), Buenas Practicas de Manufactura (BPM), 5S y otros, se dieron algunas propuestas (acciones correctivas/Preventivas) de mejora, se diseñó la totalidad de la documentación y además un plan de implementación del Sistema Integrado de Gestión (MA – SySO). También como complemento se realizo un estimado de costos en los que incurriría PILPLAST, en poner en marcha su Sistema Integrado de Gestión (MA – SySO); para ello se visitaron empresas, farmacias, e instituciones para poder contar con los valores precisos actuales de sus servicios y productos, y determinar de esta manera el costo total. E aquí también se describen algunos costos ocultos (indemnizaciones, multas, seguros caros, pérdida de M.P., despilfarro de recursos, mercados cerrados, etc.Finalmente, se recomienda llevar a cabo las estrategias propuestas, para mejorar en gran medida la gestión ambiental y la gestión de seguridad ocupacional en la Planta de Envases Plásticos “PILPLAST”. También se recomienda implementar, certificar y mantener el Sistema Integrado de Gestión (MA – SySO) de acuerdo a lo estipulado por el ciclo de la mejora continua.</t>
  </si>
  <si>
    <t>https://drive.google.com/file/d/1m28egjfYXDjxQCwRLoZ-NIGgjD033YlP/view?usp=sharing</t>
  </si>
  <si>
    <t>https://drive.google.com/file/d/1Z8qp_VkbgQDjFBTy6M_sugqx2LOsgxtZ/view?usp=sharing</t>
  </si>
  <si>
    <t>https://drive.google.com/file/d/1ejgY8y6hFd-He5-LJ2nfZrfxSG02nMCh/view?usp=sharing</t>
  </si>
  <si>
    <t>AREVILLCA QUISPE JUAN SALVADOR</t>
  </si>
  <si>
    <t>ING. ALEX DANGELO CHOQUE FLORES</t>
  </si>
  <si>
    <t>PLAN DE SEGURIDAD E HIGIENE INDUSTRIAL PARA LA EMPRESA DE PLÁSTICOS INALPLAS S.R.L.</t>
  </si>
  <si>
    <t>II-2007</t>
  </si>
  <si>
    <t>s_arevillca143@hotmail.com</t>
  </si>
  <si>
    <t>IND-204-2007</t>
  </si>
  <si>
    <t>Plan de Seguridad, Análisis y Evaluación de Riesgos, Extrusión, Mapa de Riesgos, Reglamento General de Higiene y Seguridad Industrial.</t>
  </si>
  <si>
    <t>Primeramente se recolectó información mediante visitas a la planta de producción de INALPLAS, para realizar el diagnóstico se utilizó cuatro herramientas: la “evaluación de riesgos” del “Instituto Nacional de Seguridad e Higiene en el Trabajo de España”, se adaptó a la realidad de la empresa con criterio propio, previamente a la evaluación se describió los procesos de producción (cursogramas sinópticos, descripción de las actividades de los trabajadores); la “Ley General de Higiene y Seguridad Ocupacional y Bienestar”, el cumplimiento de la misma es de importancia para el proyecto; una “Encuesta de Diagnóstico” dirigida a los trabajadores, con la misma se identificó riegos que se ocultan a la observación como dolores de garganta en la sección reimpresión, calor en la sección de cortado, etc. ; y “Estudio del Ruido”, esto una vez que se determinó al ruido como el riesgo mas frecuente en todas las secciones de la planta de producción.El diagnóstico dio como conclusión un 54% de riesgos electro-mecánicos, 16% físicos, 16% químicos, y 14% ergonómicos. Entre los riesgos mas frecuentes se encontraron al ruido con 16%, cortes 13%, riesgos de incendio y aplastamiento con 9% cada una, quemaduras 7%, otros riesgos 48%. A partir de la evaluación de riesgos se realizo un Mapa de Riesgos según la clasificación (Electro-mecánico, físico, químico, y ergonómico) y el grado de riesgo, este mapa es una representación cualitativa de los riesgos en la planta de producción. Se puso énfasis en eliminar o reducir  los riegos con mayor riesgo (Altamente Crítico, Crítico), no obstante también se propusieron medidas para los riesgos menos críticos (Moderadamente Crítico, No Critico),  Con el diagnóstico se estructuro el Plan, partiendo con un marco estratégico donde se redacto la “Política de Seguridad” como herramienta para gestionar la seguridad, también se planifico el plan para su gestión. Para eliminar o por lo menos disminuir el grado de los riegos se determinaron doce líneas de acción: 1) Director de Seguridad que se encargara de administrar la seguridad, se propuso al gerente general para que ocupe las funciones del director para dar mas seriedad al Plan y contar con todo el respaldo de la gerencia  2) Organización de un Comité Mixto de Seguridad e Higiene, este comité administra la seguridad junto al director de seguridad, el comité también es útil para tener el interés de los trabajadores  3) Investigación y registro de lesiones y enfermedades para llevar estadísticas y poder concluir el costo en el que incurren la inseguridad, se conformó un equipo de investigación que esta conformado por el director de seguridad, el comité mixto, y el jefe de cada área 4) Curso de Capacitación en Seguridad e Higiene, para evitar actos inseguros de los trabajadores, este curso cuenta con diez capítulos básicos de seguridad e higiene industrial 5) Curso de Primeros Auxilios, se propuso la inscripción de dos trabajadores de cada área a un curso que se dictan en la UAGRM para tener una verdadera practica 6) Programa de Mantenimiento Preventivo, este programa propuso para tener un procedimiento ordenado, continuo y programado para evitar accidentes por máquinas o ambiente en mal estado 7) Medidas de Mejora, se propusieron medidas especificas para cada sección, entre las mas notables están el rediseño activación de la troqueladora, el rediseño de las tolvas de las picadoras, la construcción de un nuevo ambiente para los molinos, etc.8) Programa Contra Incendios, en este programa se prepara a los trabajadores mediante: la conformación de un Equipo de Seguridad Contra Incendios; normas evacuación; equipamiento contra incendios; y un curso contra incendios que puede ser dictado por el cuerpo de bomberos de Santa Cruz. 9) Programa Contra Incendios, donde se planifico el uso de las 5’s japonesas, este programa se propuso como el empiezo de la mejora continua dentro de la empresa 10) Mejora de Elementos de Protección Personal, como ultima instancia para proteger a los trabajadores, estos EPP son certificados por organismos competentes, estos elementos son: respirador para la sección de impresión, protector auditivo tipo copa para los molineros y el amolador, tapones auditivos para la operadora de la troqueladora de pedal, guantes para las secciones de inyectado, soplado y ensamble, por ultimo lentes para la secciones de molinos e impresión 11) Programa de Señalización, para la cual se elaboraron carteles según las normas IBNORCA (Instituto Boliviano de Normas y Calidad), este programa esta orientado a trasmitir precaución ante los riesgos, para complementar la comunicación de los peligros también se propuso la etiquetar de los disolventes mediante el sistema NFPA 704, otro forma de comunicación de peligros el cual se contempla en el curso de seguridad son las hojas de seguridad (MSDS) 12) Aplicación del Reglamento General de Higiene y Seguridad, para evitar actos inseguros e instruir a los trabajadores.Con las propuestas de las medidas de mejora y los programas se dio cumplimiento a la L.G.H.S.O.B. Cada jefe de área es responsable de vigilar el cumplimiento de los procedimientos de seguridad y normas del reglamento. El costo total de inversión del proyecto es de 4978$, una cifra que nos muy alta tomando en cuenta los beneficios de la Seguridad e Higiene como un ambiente con menor grado de riesgos, esto genera mas tranquilidad en los trabajadores, claramente esto repercute en la productividad de los mismos. Se recomienda gestionar la seguridad como una estrategia de competitividad, la evaluación de riesgos se debe realizar periódicamente en especial cada que se introduzca nuevos procesos u operaciones, evaluar los riegos  para llegar a tener una verdadera cultura de seguridad</t>
  </si>
  <si>
    <t>https://drive.google.com/file/d/1itqIYjSOR_cDNjvL0Nd3tyTRcr0MTF7k/view?usp=sharing</t>
  </si>
  <si>
    <t>https://drive.google.com/file/d/1scl69OkyBf3j_OJVkzv6DAp8-OaCYx1w/view?usp=sharing</t>
  </si>
  <si>
    <t>FLORES VARGAS JUAN CESAR</t>
  </si>
  <si>
    <t>VIDAL COCA NIVARDO</t>
  </si>
  <si>
    <t>ESTUDIO DE FACTIBILIDAD PARA EXPORTACIÓN DE QUÍNUA AL MERCADO DE EUROPA</t>
  </si>
  <si>
    <t>jc-fv@hotmail.com</t>
  </si>
  <si>
    <t>IND-205-2007</t>
  </si>
  <si>
    <t>Exportación, Quinua Real, Mercado, Europa, Desaponificado,     Evaluación Financiera.</t>
  </si>
  <si>
    <t>Al evidenciar que existe una gran cantidad de demanda en el mercado internacional de productos orgánicos y naturales, se presenta la oportunidad de efectuar un proyecto agroindustrial de manera de poder generar nuevas alternativas de desarrollo para el sector del altiplano boliviano. Frente a ello surge el presente proyecto, que estará encaminado al  aprovechamiento del cultivo de la quinua real, esta empresa deberá estar dedicada al beneficiado de la quinua real  y su exportación a mercados internacionales.Primeramente se efectuó el diagnostico del sector quinuero para conocer las deficiencias en la exportación de sus productos hacia el mercado europeo. El análisis gira en torno al tipo de organización; al apoyo que reciben de parte del gobierno y otras organizaciones, si tienen conocimiento de los canales actuales de comercialización y si realizan investigación de mercados para la exportación de quinua.También se realizo el estudio de mercado de la demanda y oferta de la quinua real, en la oferta se analizo los datos históricos de producción de la quinua real determinando que Bolivia es el principal productor de quinua real del mundo, la demanda que hay en el mercado de Europa analizando las importaciones de cada país, los hábitos de consumo, tendencias de los consumidores, precios de la quinua real, análisis socio- económico de los posibles mercados de exportación para luego seleccionar el mercado objetivo que es el país de Francia.En el siguiente paso se realizo un sistema de plan de comercialización  para la exportación, se analizaron los siguientes puntos: 1.     Canal de distribución adecuado será la utilización de agentes comerciales Broker por ser una de los canales que llega al consumidor final a un costo mas bajo.2.     Precios de exportación de quinua real, para determinar se toma en cuenta los costos de producción, comercialización, administración y de exportación.3.     Producto se analizaron las ventajas competitivas que tiene la quinua real como son los atributos intangibles, externos e intrínsecos respecto a los demás cereales.4.     Promoción se lo realizara en ferias nacionales como internacionales para dar a conocer las características y bondades que tiene la quinua real.5.     Analizaran los aspectos generales para la exportación como son los requisitos arancelarios, exigencias fitosanitarios documentos principales para la exportación.También se realizo un análisis del proceso por los cuales debe pasar la quinua para obtener el grano listo para exportar. También se describirán cuales son las maquinarias y equipos adecuados para tal proceso, los costos de cada una de ellas y el análisis para la localización de la empresa.Se tiene  una organización dinámica y flexible para el proyecto teniendo cada trabajador un manual de funciones.Se realizo una evaluación financiera identificando las inversiones y centros de costos como son de producción, administración y comercialización, ingresos por ventas. Llegando a la conclusión que el proyecto es viable por los indicadores  TIR. VAN.</t>
  </si>
  <si>
    <t>https://drive.google.com/file/d/1RAVS2oW7m2650nxAhS1wNJ_GEhV3fA34/view?usp=sharing</t>
  </si>
  <si>
    <t>https://drive.google.com/file/d/1RiSao3vCSbKiYbplHoZ7zZnh36qxV-iw/view?usp=sharing</t>
  </si>
  <si>
    <t>https://drive.google.com/file/d/1oWjYJqScNRzZiCiW4XT62jueAPedGHgw/view?usp=sharing</t>
  </si>
  <si>
    <t>MARTINEZ BRAÑEZ MARIA RENE</t>
  </si>
  <si>
    <t>CESPEDES POLO JOSE ANTONIO</t>
  </si>
  <si>
    <t>ESTUDIO DE FACTIBILIDAD DEL PROCESO DE TRANSFORMACIÓN DE LATEX PARA LA UNIÓN DE AGRUPACIONES DE PRODUCTORES DE GOMA SIRINGA TROPICAL</t>
  </si>
  <si>
    <t>ja_polo@hotmail.com</t>
  </si>
  <si>
    <t>IND-206-2007</t>
  </si>
  <si>
    <t>Siringa Tropical, Productividad, Sernamby, Caucho Crepe</t>
  </si>
  <si>
    <t>El uso del caucho en diferentes productos, es masivo; ya que muchas industrias usan como parte de su materia prima para la elaboración y desarrollo de sus productos. Para la elaboración del caucho se lo realiza del Látex que se extrae de los árboles de Siringa, esta forestación se concentra en las regiones donde el clima es cálidamente húmedo, como es el caso del Chapare, ubicado en el departamento de Cochabamba. Dicho sector, se encuentra agrupado para producir caucho, de forma artesanal.La producción de caucho artesanalmente, no brinda calidad, en tal situación no es competitivo el producto.En tal contexto, el presente proyecto de grado fue enfocado a realizar un Estudio de factibilidad del proceso de transformación de Látex para la unión de agrupaciones de productores de goma  “SIRINGA TROPICAL.El estudio considero la implementación de tecnología, para ello se realizó un trabajo de campo, en cual determino, conocer a detalle el proceso de producción de caucho en el mencionado sector Tropical. Conocido el proceso de producción se pudo determinar en que procesos se debían implementar tecnología con el fin de tener un producto de calidad, que sea requerido por el amplio mercado con el que tenía y tendrá, el caucho, en el mundo.   Se determino la tecnología requerida con el detalle del monto de inversión, el financiamiento, la nueva estructura organizacional, la ingeniería del proyecto, requerimientos de materia prima e insumos, tamaño y localización de la planta y finalmente se realizo un estudio de impacto ambiental, que el proyecto generaría en su ejecución y puesta en marcha del la Planta Productora de Caucho.</t>
  </si>
  <si>
    <t>https://drive.google.com/file/d/1da5dCt6wmQfv1wrP3FgtFYO6rvDJzae5/view?usp=sharing</t>
  </si>
  <si>
    <t>https://drive.google.com/file/d/1_-qtcwiJqmxeFZgX9OTxWs98TAv5iIXk/view?usp=sharing</t>
  </si>
  <si>
    <t>https://drive.google.com/file/d/1jmIpr6flgKHwJc3Bdpw5KEuOwZmlpQdQ/view?usp=sharing</t>
  </si>
  <si>
    <t>QUISPIA MAITA PAOLA DANIELA</t>
  </si>
  <si>
    <t>PROYECTO DE IMPLEMENTACIÓN DE UN MAPA DE RIESGOS PARA LA DIVISIÓN DE PLANTA EXTERNA DE COMTECO LTDA.</t>
  </si>
  <si>
    <t>danitaqm@hotmail.com</t>
  </si>
  <si>
    <t>IND-207-2007</t>
  </si>
  <si>
    <t>División Planta Externa COMTECO Ltda., Análisis de Riesgos, Esquema de Orientación, Mapa de Riesgos.</t>
  </si>
  <si>
    <t>El proyecto se llevó a cabo en la División de Planta Externa de COMTECO Ltda., Institución que presta servicios integrales de Telecomunicaciones en el Departamento de Cochabamba.Como parte del Proceso de Mejora Continua de la División, se pretende implementar el Sistema de Seguridad y Salud Ocupacional (SGSYSO); como uno de los elementos básicos, que coadyuvará dicho Sistema, se elaboró un Mapa de Riesgos para cada una de las Unidades de Trabajo de la División de Planta Externa (Redes Telefónicas, Redes Coaxiales e Instalación y Mantenimiento).Se realizó trabajo de campo en cada Unidades de Trabajo, con el objetivo de recopilar información relativa a actos y condiciones subestándares, de esta manera Identificar los Peligros existentes para la posterior Estimación del Riesgo, etapas que comprenden el Análisis de Riesgos.Como parte de este análisis se determinaron características en cada Unidad de Trabajo, referentes a las funciones desempeñadas, horarios de trabajo, preparación del personal, edad promedio, y sexo, además de clasificar las actividades de trabajo en procesos y procedimientos, en los cuales se determinaron las herramientas y materiales empleados, los métodos, el tiempo y esfuerzos requeridos.Posteriormente se determinó la Magnitud de los Riesgos en base a la Probabilidad de materialización de los peligros y consecuencia que se tendrían de materializarse los mismos.El Análisis de Riesgos representa el cimiento para el Diseño del Mapa de Riesgos, ya que en función a la valoración realizada se determinó el Grado del Riesgo (Bajo, Medio y Alto).Por la naturaleza del trabajo en la División de Planta Externa el Mapa de Riesgos fue adaptado, el mismo no puede ser plasmado en el Lay Out del Predio de la División, ya que todas las actividades se realizan en las diferentes zonas del Departamento de Cochabamba, por donde se extiende la Red Telefónica y la Red Coaxial (televisión por cable).El Mapa de Riesgos diseñado, está comprendido por la clasificación de los peligros identificados (físicos, químicos, biológicos, ergonómicos y eléctricos), los peligros, la valorización del riesgo, una escala de importancia (determinada en función de la magnitud del riesgo al materializarse el peligro), fotografías que ilustran cada procedimiento de trabajo y simbología que acompaña a cada uno de los peligros que ayudarán a familiarizar al trabajador con los riesgos existentes.Se concluye que el Mapa de Riesgos se constituye en un esquema de orientación para los trabajadores, mejora la comunicación ayudando a localizar y controlar los riesgos existentes, además de plasmar los peligros desde el punto de vista del trabajador.Como resultado de las inspecciones, se determinó la deficiencia en cuanto a capacitación y adiestramiento previo a los trabajadores nuevos, situación que los deja expuesto a peligros potenciales, además de la resistencia al empleo de dispositivos de seguridad por parte de los trabajadores antiguos.Por representar una herramienta útil para la prevención eficaz y efectiva de los riesgos, se recomienda la implementación del Mapa de Riesgos.Para orientar de forma apropiada a los trabajadores, el mapa de riesgos se caracteriza por ser una herramienta sistemática y actualizable, es decir, deberá ser modificada ante la implementación de nuevas medidas preventivas.Se recomienda además la capacitación y adiestramiento en materia de Seguridad e Higiene Industrial al personal de Planta Externa. Así como también el mantenimiento de los Equipos y Herramientas de trabajo.Por último se recomienda promover la Seguridad e Higiene Industrial en la División de Planta Externa.</t>
  </si>
  <si>
    <t>https://drive.google.com/file/d/1c4UfIyN0gcejLk3hvJoXkEQpJamo08ZJ/view?usp=sharing</t>
  </si>
  <si>
    <t>https://drive.google.com/file/d/1HStO_NfLMrnM3GdNmJF-8n2v6b1nn3RU/view?usp=sharing</t>
  </si>
  <si>
    <t>https://drive.google.com/file/d/1dQHeF1r8iK40qGBJRXUSO9a5ID7zWo8W/view?usp=sharing</t>
  </si>
  <si>
    <t>QUIROZ CAZON JAQUELINE</t>
  </si>
  <si>
    <t>MALLON CESPEDES ELDY ROCIO</t>
  </si>
  <si>
    <t>ING. IVÁN MÉNDEZ VELÁSQUEZ</t>
  </si>
  <si>
    <t>ACTUALIZACIÓN DE LA AUTOEVALUACIÓN Y DESARROLLO DE UN PLAN ESTRATÉGICO PARA LA CARRERA DE INGENIERÍA ELÉCTRICA</t>
  </si>
  <si>
    <t>eldy_ro@hotmail.com</t>
  </si>
  <si>
    <t>IND-208-2007</t>
  </si>
  <si>
    <t>Ing-eléctrica, actualización, autoevaluación, Plan estratégico, recolectar.</t>
  </si>
  <si>
    <t>El trabajo que se realizo tenia como objetivo general el de diseñar un Plan Estratégico para la Carrera de Ingeniería Eléctrica, a partir de la Actualización de la Autoevaluación.Con el proyecto se proporciona a la Carrera conocer la situación actual en la que se encuentra la Carrera, estableciendo un diagnóstico para posteriormente definir estrategias de mejoramiento en perspectiva de lograr la acreditación de la Carrera. La Actualización de la Autoevaluación, toma en cuenta los objetivos por cada institución, y los resultados de la evaluación se expresan en la valoración de esos procesos y resultados internamente definidos, sobre cuya base se formulan planes de mejoramiento y recomendaciones que mejoren el curso de acción en el. Ámbito  Institucional. La Planificación Estratégica constituye para el propósito mencionado, una herramienta útil que permite materializar y guiar el proceso de transformación, además de servir como mecanismo de control, supervisión y referencia para detectar oportunamente desviaciones que en unos casos pueden llevar a introducir modificaciones y en otros casos adoptar las correspondientes medidas correctivas. La metodología a utilizar fue la siguiente: 1) Buscar, acumular y seleccionar información relacionada al proyecto. Esta etapa involucra: recopilación de información sobre Autoevaluación en: Libros especializados en el tema, revistas, Internet y otros, seleccionar de la información acumulada, análisis y validación  teórica y técnica de la información seleccionada. 2) Difundir las actividades de Autoevaluación. Esta etapa comprende la sensibilización de la comunidad de la Carrera  acerca de la importancia de la Autoevaluación, con la finalidad de promover en esta una activa participación. Para cumplir con el acometido de esta etapa se enviaron cartas informativas a cada uno de los miembros del plantel docente de la carrera. 3) Iniciar la puesta en marcha del proceso de Autoevaluación y de las actividades que este conlleva, es decir: recopilar y procesar la  información obtenida. Concluido el proceso de la Actualización de la Autoevaluacion se  elabora el Plan de Desarrollo Estratégico con las recomendaciones y propuestas tendientes al perfeccionamiento de la Carrera de Ingeniería Eléctrica. El proceso de evaluación realizado en la Carrera de Ing. Eléctrica permitió el análisis de distintos aspectos internos, considerados relevantes para la continua mejora. Se pudo definir y analizar claramente tanto aspectos positivos como negativos, tomando como premisa la necesidad de contar con un estudio detallado de la realidad actual de la Carrera.Es necesario poner a discusión el Plan de Desarrollo Estratégico propuesto ya que su inexistencia no posibilito la definición precisa de objetivos y un accionar coherente.</t>
  </si>
  <si>
    <t>https://drive.google.com/file/d/1sMFvcibog36dCxPkg5Sq_FeUXOLkjINK/view?usp=sharing</t>
  </si>
  <si>
    <t>https://drive.google.com/file/d/183KAT4DvmTA9Kt9jpE59ou7PyRffdhf4/view?usp=sharing</t>
  </si>
  <si>
    <t>PEÑA FLORES LUIS</t>
  </si>
  <si>
    <t>PROPUESTA DE UN MODELO DE GESTIÓN DE RESÍDUOS SÓLIDOS DOMICILIARIOS PARA EL MUNICIPIO DE SANTIVAÑEZ</t>
  </si>
  <si>
    <t>luisp242@gmail.com</t>
  </si>
  <si>
    <t>IND-209-2007</t>
  </si>
  <si>
    <t>Modelo, Gestión de Residuos Sólidos, Ambienta, Contaminación, Procesos, Tratamientos Disposición Final.</t>
  </si>
  <si>
    <t>En Cochabamba la generación de residuos sólidos en municipios pequeños como Santiváñez ha tenido un crecimiento de 50% en los últimos 10 año, esto son depositados en el relleno de Urpi Pampa y Jatun Mayu actual relleno sanitario, en condiciones que contribuyen al problema ambiental, ante la deficiente gestión del municipio este proyecto propone un  modelo de gestión de residuos sólidos que contemple la alternativa de reusos, compostaje, para el municipio de Santiváñez.Inicialmente se realizo un diagnostico de la gestión de residuos sólidos en el municipio, para aSe realizo el análisis del la tasa promedio per cápita concluyendo que es de  0.41 Kg./Habitante – día, así mismo se determino las composiciones de los residuos sólidos.También se realizo un a proyección de material reciclable asta el año 2017  como ser catón, papel, vidrio, metales, plásticos.En el proyecto se propone alternativas nuevas de manejo de residuos en origen, formas de recolección y tratamiento de los residuos restantes así mismo esta la ubicación de contenedores equipos horarios frecuencia de recolección y personal.Adicionalmente del proyecto se analizó la evaluación de impacto ambiental producida por el proyecto en todas sus fase de implementación.En la culminación del proyecto se detalla la evaluación  de inversión para la aplicación del proyecto, costos de recolección y una propuesta de recuperación de la inversión en cuatro años.</t>
  </si>
  <si>
    <t>https://drive.google.com/file/d/18PkQegEhR3NX_DFVp1TPW1FZFRMPepA3/view?usp=sharing</t>
  </si>
  <si>
    <t>https://drive.google.com/file/d/1giH03qx2mg_ufCvpGvunb51-FX5Y9rz6/view?usp=sharing</t>
  </si>
  <si>
    <t>https://drive.google.com/file/d/1dfij-7nLzEmjtA1prxvYse3mvgmBVIcj/view?usp=sharing</t>
  </si>
  <si>
    <t>FERRUFINO CRUZ ELISA FAVIANA</t>
  </si>
  <si>
    <t>ING. JAIME ANTONIO GUTIÉRREZ PÉREZ</t>
  </si>
  <si>
    <t>DISEÑO DE UN SISTEMA DE GESTIÓN DE LA CALIDAD BASADO EN LA NORMA ISO 9001:2000 PARA RECICLADORA MENDOZA (RECME)</t>
  </si>
  <si>
    <t>favianitawisa@hotmail.com</t>
  </si>
  <si>
    <t>IND-210-2007</t>
  </si>
  <si>
    <t>Sistema de Gestión de la Calidad, Estandarización, Auditoría, Documentos, Registros, Instructivos de Trabajo.</t>
  </si>
  <si>
    <t>Se diseñó el Sistema de Gestión de la Calidad en la Recicladora Mendoza basado en la norma ISO 9001:2000, en busca de mejorar la calidad de los procesos y satisfacer al cliente. Para tal efecto, se seguió la siguiente secuencia de pasos:-        Para realizar el Diagnóstico, se procedió a aplicar cuestionarios para determinar la situación actual en la empresa, los datos obtenidos fueron de: Gerencia General, Seleccionadora Líder y Área de Control de Calidad. Se prosiguió con el análisis de los datos reflejados a través de: Diagrama de Pareto y un Diagrama Causa – Efecto.-        Se elaboró el organigrama correspondiente y las responsabilidades de las personas involucradas en el Sistema de Gestión de la Calidad así mismo la Política de Calidad y los Objetivos de la Calidad, la Responsabilidad de la Dirección, Gestión de los Recursos, Realización del Producto y finalmente la Medición, Análisis y Mejora.-        Se diseñaron, también, los respectivos registros, instructivos de trabajo, documentos y procedimientos que son necesarios e indispensables para cumplir con los requisitos de la norma.-        De esta manera es que se logra diseñar el Manual de la Calidad, el que cumple con todos los puntos que exige la norma ISO 9001:2000.Finalmente se efectuó un análisis de costos que involucra la implementación del Sistema de Gestión de la Calidad, en el cual se analizaron dos tipo de costos:-        Costos por Fallas Internas-        Costos por Fallas ExternasY también se consideró el costo por certificación</t>
  </si>
  <si>
    <t>https://drive.google.com/file/d/1CkSCpwpI4Q6qtzIEPotJYPXVvvsPhbG8/view?usp=sharing</t>
  </si>
  <si>
    <t>https://drive.google.com/file/d/1Pyhv0P2y2yV3jnFWQcS_5s5OwDhPDUtG/view?usp=sharing</t>
  </si>
  <si>
    <t>https://drive.google.com/file/d/1R0mFQwUcbHfkdfxqE9fatEUK55x-gapH/view?usp=sharing</t>
  </si>
  <si>
    <t>CANDIA AYALA MARCELO JUAN</t>
  </si>
  <si>
    <t>SEGARRUNDO CONDORI EDDY EDWIN</t>
  </si>
  <si>
    <t>ING. CARLOS ALBERTO RODRÍGUEZ RAMIREZ</t>
  </si>
  <si>
    <t>MANEJO DE RESÍDUOS SÓLIDOS PARA EL CENTRO POBLADO DE TIRAQUE</t>
  </si>
  <si>
    <t>marccan_fors@hotmail.com</t>
  </si>
  <si>
    <t>IND-211-2007</t>
  </si>
  <si>
    <t>Residuos sólidos, caracterización, generación per-cápita, reducción, reuso, reciclaje, compostaje, concientización, acopio.</t>
  </si>
  <si>
    <t>El trabajo que se realizó tenia como objetivo general el de elaborar  un plan de manejo de los residuos sólidos para el centro poblado de Tiraque, planteando un sistema de recolección, separación, selección, reciclado y reuso de los mismos y  proponer un modelo de campaña de capacitación, y además realizar un estudio de factibilidad de un centro de acopio de residuos sólidos reciclables.Con el Proyecto se proporcionó al Municipio un diagnóstico de la situación actual del servicio de aseo urbano, la caracterización de la basura. Se planteó un sistema de recolección de residuos sólidos. Se planteó también  un manejo de selección, reciclado, y reuso de los mismos, se elaboró un modelo de campaña de capacitación en el manejo de residuos sólidos. Se concientizó a la población para la  reducción de residuos sólidos. Se hizo la evaluación económica de un centro de acopio de residuos sólidos reciclables para el Municipio. La metodología empleada fué la siguiente:1) Análisis sobre el sistema de recolección de residuos sólidos, 2) Se realizó la caracterización de la basura, 3) Planteó un sistema de recolección y reuso  de residuos sólidos, 4) Propuso un plan de disposición de los residuos; 5) Elaboró un modelo de campaña de concientización en el manejo de los residuos sólidos, 6) Se realizó un Estudio de mercado para residuos sólidos reciclables, 7) y además de determinar la factibilidad técnica-económica de un centro de acopio de residuos sólidos reciclables.Conclusiones y RecomendacionesEl Proyecto presentado es un instrumento que sirve como una herramienta frente a la problemática del manejo de residuos sólidos y sus alternativas de solución. El Trabajo realizado se recomienda como una fuente de referencia para estudiantes, profesionales y técnicos de nuestro medio que trabajan con residuos sólidos y el medio ambiente.</t>
  </si>
  <si>
    <t>https://drive.google.com/file/d/1PlXaN0ML2UHdF1JOtnC6aeS9hFiokALB/view?usp=sharing</t>
  </si>
  <si>
    <t>https://drive.google.com/file/d/1LbkfWfuhsgCLY_fxYYf_hoid1QkdpA3-/view?usp=sharing</t>
  </si>
  <si>
    <t>https://drive.google.com/file/d/1N_C7KqmzSYv-4Jo5z_XZNejBk_IE86zs/view?usp=sharing</t>
  </si>
  <si>
    <t>WENDY LUCIA VILLARROEL MONTOYA</t>
  </si>
  <si>
    <t>VICTOR EDUARDO RAMOS ANTEZANA</t>
  </si>
  <si>
    <t>ING. CARLOS ALBERTO RODRÍGUEZ R.</t>
  </si>
  <si>
    <t>ESTUDIO DE FACTIBILIDAD PARA LA IMPLEMENTACIÓN DE UNA PLANTA DESHIDRATADORA DE HABA DESTINADA PARA LA EXPORTACIÓN</t>
  </si>
  <si>
    <t>vico_ramitos@hotmail.com</t>
  </si>
  <si>
    <t>IND-212-2007</t>
  </si>
  <si>
    <t>Haba, deshidratación, factibilidad, ejecución.</t>
  </si>
  <si>
    <t>El proyecto que se realizó, tenía como objetivo general el de desarrollar un estudio de factibilidad para la implementación de  una planta deshidratadora de haba destinada para la exportación, con el fin de aprovechar los grandes volúmenes de haba que se cultiva en la zona altiplánica y la inexistencia de una planta deshidratadora de haba en el departamento de Oruro.  Con el proyecto se proporciona a la Prefectura de Cochabamba y Oruro, el material con toda la información necesaria que se obtuvo de la metodología, para dar su visto bueno, y dar así ejecución ha dicho proyecto. Dentro de esta información se encuentran factores de vital importancia como ser: oferta, demanda, precios compra-venta, etc. Estos factores fueron analizados de manera minuciosa ya que son una herramienta determinante al momento de tomar decisiones concretas y acertadas.En realidad la metodología fue primero la de observación de la producción de haba, luego el levantamiento de datos tanto de oferta de haba deshidratada de Oruro, como la demanda de Japón, luego la clasificación de información según su importancia, el análisis de la información con la ayuda de herramientas como MPC, datos experimentales, boletines, etc., luego el plantear la propuesta de desarrollar una planta deshidratadora de haba en el departamento de Oruro y finalmente obtener los resultados que nos ayudaron a concluir la factibilidad del proyecto y recomendar su ejecución.</t>
  </si>
  <si>
    <t>https://drive.google.com/file/d/1qnAgN-H4NIl8975rlLBwHnGMRvAv-UGQ/view?usp=sharing</t>
  </si>
  <si>
    <t>https://drive.google.com/file/d/1_5whrAIho4x5ha2VNQbIl_ZBEZdLJW5l/view?usp=sharing</t>
  </si>
  <si>
    <t>https://drive.google.com/file/d/1jDZ8D64b5ClTkZlk3iwSOcApf1jZ3H25/view?usp=sharing</t>
  </si>
  <si>
    <t>CLAROS MERCADO NIKY OSCAR</t>
  </si>
  <si>
    <t>DR. OMAR ARZABE MAURE</t>
  </si>
  <si>
    <t>GESTIÓN DE PROYECTOS DE INVESTIGACIÓN CONCURSABLES EN LA DIRECCIÓN DE INVESTIGACIÓN CIENTÍFICA Y TECNOLÓGICA</t>
  </si>
  <si>
    <t>Niky_claros@hotmail.com</t>
  </si>
  <si>
    <t>IND-213-2007</t>
  </si>
  <si>
    <t>Dirección de Investigación Científica y Tecnológica (DICyT), Universidad Mayor de San Simón (UMSS), Gestión de Proyectos de Investigación, Seguimiento de Proyectos, Evaluación de proyectos, Matriz de Marco Lógico.</t>
  </si>
  <si>
    <t>Se realizó un estudio de la gestión de proyectos Concursables lanzados por la Dirección de Investigación Científica y Tecnológica (DICyT) de la Universidad mayor de San Simón (UMSS), financiados por la Agencia Sueca de Cooperación Internacional para el Desarrollo Asdi/SAREC, convenio firmado en dos oportunidades: primera y segunda fase.  El convenio firmado en su segunda fase con una duración del año 2003 al 2006.En ése periodo, la Dirección de Investigación Científica y Tecnológica ha lanzado cuatro convocatorias: Convocatoria 2003, Convocatoria 2004, Convocatoria 2005 y la Convocatoria 2006.  Los proyecto de investigación de las tres primeras convocatorias ya se ejecutaron, mientras que las propuestas de la convocatoria 2006 se encuentra en la etapa de tramitación y/o selección, las propuestas ganadoras o seleccionadas se ejecutarán con fondos del convenio Asdi-UMSS en su tercera fase. Además se realizó un estudio de casos de proyectos concursables de investigación, teniendo como base el Sistema de Gestión de Proyectos de Investigación (SIGESPI) y el marco conceptual de proyectos; es decir, a lo largo del ciclo de vida de los proyectos (Preparación de la ejecución, Control de la ejecución y Término del proyecto).Para dicho estudio se consideró varios documentos existentes en la Dirección de Investigación Científica y Tecnológica, entre ellos: el Plan de Acción, el Sistema de Gestión de Proyectos de Investigación, las Convocatorias a Proyectos Concursables, la Valoración del Potencial Científico de la UMSS y otras bibliografías, tales como el Fondo de Fomento al Desarrollo Científico y Tecnológico de Chile, Universidad de Concepción de Chile, Universidad Austral de Chile, Instituto Universitario Italiano de Rosario de Argentina.Posteriormente se definió y mejoró criterios de la estructura de propuestas con la adición de la Matriz de Marco Lógico, en la etapa de tramitación del Sistema de Gestión de Proyectos de Investigación: criterios de Evaluación de la Calidad Científica, Evaluación de la Pertinencia y la adición de la fase de Jerarquización.En la etapa de ejecución de proyectos de investigación se implementó el cronograma de actividades para su posterior seguimiento de avance de actividades, los cuales se realizarán semestralmente o de acuerdo a la importancia de la(s) actividad(es) que se plantean en la propuesta y posteriormente se definió los criterios de evaluación de proyectos de investigación, los cuales nos permiten mayor control en la ejecución de proyectos (planificación, coordinación, control de avance de actividades) y la finalización de los proyectos de investigación (evaluación del logro de objetivos: productos, propósitos).Finalmente se realizó una corrida de la propuesta a manera de ejemplo con un proyecto de investigación ya ejecutado con financiamiento Asdi-UMSS y administrada por la Dirección de Investigación Científica y Tecnológica de la Universidad Mayor de San Simón.</t>
  </si>
  <si>
    <t>https://drive.google.com/file/d/1jobpWknnE8Ja5PVfKVGxQihg0GRKjcY1/view?usp=sharing</t>
  </si>
  <si>
    <t>https://drive.google.com/file/d/1TGRoKpa21mWMrh--lHp6oeU7P3v1r8h6/view?usp=sharing</t>
  </si>
  <si>
    <t>https://drive.google.com/file/d/1_f_SRUKKz7TlWvaoZeef-g1zcs5SAXp0/view?usp=sharing</t>
  </si>
  <si>
    <t>NEGRETE LOPEZ DAVID JUSTINIANO</t>
  </si>
  <si>
    <t>MEJORAMIENTO DE LA GESTIÓN POR PROCESOS EN UNA EMPRESA DE TRANSMISIÓN ELÉCTRICA</t>
  </si>
  <si>
    <t>david.negrete@gmail.com</t>
  </si>
  <si>
    <t>IND-214-2007</t>
  </si>
  <si>
    <t>Revisión de las fichas descriptivas, Diagnostico de productividad, Norma ISO 9001:2000, Mapa de Procesos, Actualización, Simulación.</t>
  </si>
  <si>
    <t>El presente Proyecto tiene como finalidad dotar a la Empresa de transmisión eléctrica de una herramienta de control que le permita llevar un buen seguimiento de sus actividades, para que de ésta manera garanticen la mejora continua a la cual se han enfocado en el momento de certificar su sistema de gestión de calidad según la norma ISO 9001:2000.Para tal efecto se ha llevado a cabo la revisión y actualización de ésta herramienta, la cual se la conoce con el nombre de Mapa de Procesos, siendo uno de los primeros pasos el estudio y entendimiento de la estructura de diseño sobre la cual fue elaborada. Donde se encontró que ésta, está conformada por 15 procesos.En una primera etapa se revisó la información contenida en cada proceso del Mapa, trabajo que fue realizado juntamente con el personal de la Empresa mediante entrevistas y observación indirecta, donde se observaron que muchas de las informaciones estaban desactualizadas o incompleta, lo cual afectaba a toda la cadena de información que se generaba en los procesos. También se evaluaron sus indicadores, con el fin de conocer el porcentaje de Influencia Dinámica y Estática que circulaba por los procesos, siendo esta última la de mayor influencia, lo que da lugar a pensar que estamos frente a un sistema de procesos en su gran mayoría cerrado.Durante la segunda etapa se identificó toda la información faltante de cada proceso y se verificó la ya existente. Se recurrieron a distintas fuentes de información propias de la Empresa, tales como toda la documentación asociada a su Sistema de Gestión de Calidad Integrada, Indicadores de Gestión y Entrevistas realizadas al personal. Con toda esta información reunida, se procedió a la actualización del documento del Mapa de Procesos, el cual incluye un proceso más de soporte y otras mejoras menores.Estas mejoras menores implican cambios en el formato de diseño de las fichas descriptivas, así como la adición y sustracción de actividades que valor. Dentro los procesos estratégicos se fusionaron dos subprocesos en uno solo, también se traslado un subproceso de los procesos de soporte a otro, por la relación de sus objetivos.Por último, se simuló la dinámica de la información de actividad en actividad, la cual consolidó la completa integración de los procesos mediante sus salidas y entradas. Este último paso pretende mostrar una herramienta conceptualmente solida y lista para ser informatizada, de tal manera que le permita a la Empresa una fácil adaptación a cualquier cambio o mejora que se den dentro de sus procesos con el transcurso del tiempo.El Mapa de Procesos documentados, también es uno de los requisitos especificados para presentar en la re-certificación de la Norma ISO 9001:2000, lo cual aporta al cumplimiento de esta.</t>
  </si>
  <si>
    <t>https://drive.google.com/file/d/10VS0zbjmASDbby4OwfNiDazU438x6Bwq/view?usp=sharing</t>
  </si>
  <si>
    <t>https://drive.google.com/file/d/1aj1P1rAL040qxshM_0MNhvLhlQKsXbeU/view?usp=sharing</t>
  </si>
  <si>
    <t>SEJAS BERNAL RILMAR</t>
  </si>
  <si>
    <t>MANOLO ENRIQUE TRUJILLO ARANDO; PH D.</t>
  </si>
  <si>
    <t>ESTUDIO PARA LA REORGANIZACIÓN DEL PROCESO PRODUCTIVO EN LA EMPRESA MANUFACTURERA ENTORNO</t>
  </si>
  <si>
    <t>rilmar_sb@hotmail.com</t>
  </si>
  <si>
    <t>IND-215-2007</t>
  </si>
  <si>
    <t>Producción, Sábanas Térmicas, surjeteado.</t>
  </si>
  <si>
    <t>Primeramente se realizó el diagnóstico de la situación actual de la empresa, mediante la aplicación de las herramientas PEST, FODA y Diagrama de Causa y Efecto determinando las variables políticas, económicas, sociales, tecnológicas de la empresa; identificando también las fortalezas, oportunidades, debilidades y amenazas que tiene la organización.Luego se aplico la Ingeniería de Métodos a través de la realización del estudio de tiempos y movimientos. Para el estudio de tiempos se utilizó los siguientes materiales: un tablero, una hoja preimpresa para la toma de tiempos, un cronómetro y una calculadora; el método que se empleo para la toma del tiempo cronometrado es el  regreso a cero. Para el cálculo del factor de nivelación se empleo la escala inglesa y en la determinación de los tiempos estándares se empleo la fórmula de tiempo estándar es igual al tiempo normal  más uno y la sumatoria de suplementos que se encuentran en la tabla de la Organización Internacional del Trabajo (OIT). Con los datos de los tiempos estándares de las diferentes operaciones se procedió a realizar el balanceo de línea determinando el tiempo de ciclo actual que esta dada por la operación de surjeteado, se calculó la eficiencia y el rendimiento de la línea de producción llegando a la conclusión de incrementar un puesto más en el proceso de surjeteado.Se realizó el estudio de movimientos empleando el diagrama bimanual que es una forma de registro y análisis de un trabajo manual, nos muestra todo el detalle de los movimientos que efectúan ambas manos del operario; eliminando las operaciones innecesarias.Se realizó un registro de métodos a través de la elaboración de cursogramas analíticos y sinópticos.  Se realizó el diagrama de recorrido de la empresa optimizando el desplazamiento que tiene el material en proceso a través de la eficiente distribución de planta realizada.Luego se procedió a elaborar los manuales de funciones y procedimientos, los manuales de funciones se elaboraron para todos los puestos de trabajo de la empresa, identificando la descripción del puesto,  relación de autoridad, descripción genérica, descripción específica, características del trabajo y especificaciones del puesto. El manual de procedimientos contiene el objetivo, alcance, definición, reportes y el diagrama de flujo.   Posteriormente se procedió a determinar el total de las inversiones de mejora para el proyecto, se determino el costo de producción, calculando el material directo, la mano de obra directa y los costos indirectos. Se procedió a calcular la utilidad incremental con el método propuesto, se realizó el cálculo del costo total, punto de utilidad mínima esperada que esta dada por el costo fijo dividido por el costo fijo unitario, también se determino el precio de venta en fábrica y el precio de venta al consumidor, se procedió a realizar el cálculo de los ingresos estimados de la organización y por ultimo se determino el periodo de recuperación de la inversión a realizarse</t>
  </si>
  <si>
    <t>https://drive.google.com/file/d/1jdrn2aIXr3FxrDd5EzB5ReviVL3OEanP/view?usp=sharing</t>
  </si>
  <si>
    <t>https://drive.google.com/file/d/1yNCUlmhDFpPIfvfIr0LcdfMdVooPo5oZ/view?usp=sharing</t>
  </si>
  <si>
    <t>https://drive.google.com/file/d/1ZUnyMLLWfPokQ1A7O8DOaAqdR0wQH-9i/view?usp=sharing</t>
  </si>
  <si>
    <t>VILLA GOMEZ DAVALOS RICHARD EDUARDO</t>
  </si>
  <si>
    <t>DISEÑO DE UN SISTEMA DE GESTIÓN DE LA CALIDAD ISO 9001:2000 PARA MOPAR S.A.</t>
  </si>
  <si>
    <t>richyvgd@gmail.com</t>
  </si>
  <si>
    <t>IND-216-2007</t>
  </si>
  <si>
    <t>Metalmecánica, Auditoría, ISO 9001:2000, Sistema, Gestión, Diseño, Procedimiento, Instructivo, Especificación Técnica.</t>
  </si>
  <si>
    <t>El proyecto de diseño del sistema de gestión de la calidad basado en la norma ISO 9001:2000, tuvo inicio una vez que la Vicepresidencia de MOPAR S.A. se mostró convencida de los beneficios contractuales que la implementación de un sistema de gestión de la calidad representan.Posterior al compromiso asumido por MOPAR S.A., con la calidad, se procedió a investigar y profundizar en el tema, inicialmente se consiguió identificar la metodología de implementación que más se adecuara a MOPAR S.A y a las necesidades contempladas en el alcance del Proyecto. La metodología seleccionada consta de  las siguientes etapas:§  Investigación§  Interiorización§  Diagnóstico Inicial§  Diseño del Sistema de Gestión de la CalidadLa etapa de investigación comprendió todas aquellas actividades necesarias para identificación, estudio e interpretación de los requisitos de un Sistema de Gestión de la Calidad ISO 9001:2000.La interiorización representa el período de inserción a MOPAR S.A., destinado a adquirir conocimiento de los procesos y productos que elabora la organización. Esto destinado a recabar la información suficiente, para su análisis dentro la fase de diagnostico.La etapa de diagnóstico tuvo la característica de una auditoría de calidad, destinad a evaluar objetivamente el grado de cumplimiento que MOPAR S.A. tiene con los requisitos de la norma ISO 9001:2000 aplicables a MOPAR S.A, cuyo resultado nos permitió determinar las deficiencias y potencialidades en las que se basó el diseño del Proyecto. La evaluación inicial se realizó en base a un cuestionario básico y que puede ser aplicado a cualquier tipo de organización.El diseño del sistema de Gestión de la Calidad  tomo como información de entrada, toda aquella recopilada durante las etapas anteriores y comprendió en el desarrollo de una estructura documental adecuada a MOPAR S.A. basada en los 8 principios necesarios para una gestión eficaz en la organización.El trabajo de diseño del sistema de gestión de la calidad ISO 9001:2000 se acompaño de un plan que guiará el trabajo de implementación del Sistema hasta la certificación, y una estimación de los costos correspondientes. Se consideró al Instituto Boliviano de Normalización y Calidad – IBNORCA, como la opción más conveniente para la certificación del Sistema.</t>
  </si>
  <si>
    <t>https://drive.google.com/file/d/1VhqMuXKcOsFuGc34bR5tWTB9LTYmvFlP/view?usp=sharing</t>
  </si>
  <si>
    <t>https://drive.google.com/file/d/1iO5rbI_VE8LDnnSUDoLCxhgXkW1GYDHM/view?usp=sharing</t>
  </si>
  <si>
    <t>https://drive.google.com/file/d/1OcbT5mIKpPdGruMwNbLmtYyIzZUlsa3J/view?usp=sharing</t>
  </si>
  <si>
    <t>TRIVEÑO GUTIERREZ XIMENA CARMEN</t>
  </si>
  <si>
    <t>ING. OMAR JALDÍN HERBAS</t>
  </si>
  <si>
    <t>DESARROLLO DE UN SISTEMA CAD/CAPP PARA EL DISEÑO Y EL CÁLCULO DEL COSTO DIRECTO DE PRODUCCIÓN DE ENVASES CILÍNDRICOS EN LA FÁBRICA BOLIVIANA DE ENVASES S.A.</t>
  </si>
  <si>
    <t>xtriveno@hotmail.com</t>
  </si>
  <si>
    <t>IND-217-2007</t>
  </si>
  <si>
    <t>CAD, CAPP, TLO, Optimización y Diseño.</t>
  </si>
  <si>
    <t>Primeramente se realizó un estudio de todos los envases cilíndricos de hojalata y los accesorios producidos por FABE S.A. y se recabó información acerca de las especificaciones técnicas, la secuencia de operaciones, tiempos de producción, mano de obra directa y material directo utilizado en la producción de cada un de ellos. Tomando en cuenta toda la información para el diseño de un envase nuevo se desarrolló la aplicación CAD haciendo uso de la metodología TLO, que consta de 7 pasos, para lo cual fue necesario establecer todos los tipos de envases que son posibles producir con la tecnología actual de la empresa.Esta aplicación dio como resultado la visualización del envase en 3D antes de su fabricación y una serie de variables en función del tipo de envase requerido por el cliente, que fueron almacenadas en archivos temporales para luego ser recuperadas.Posteriormente se hizo un análisis de la capacidad de producción de cada línea de producción y con éste y las variables resultantes de la aplicación CAD, la información recabada acerca del proceso productivo y de los recursos necesarios para la fabricación del envase se desarrolló la aplicación CAPP, que básicamente consiste en la estandarización de los procesos de tal forma que el sistema sea capaz de generar la planificación de procesos dependiendo del envases diseñado.Con la utilización del sistema CAD/CAPP se logró obtener la información de diseño, la planificación de procesos, la asignación de recursos y el costo directo de producción antes de la fabricación del producto, y se logró optimizar el tiempo de respuesta al cliente en más de un 90%. Además de permitir la optimización del costo directo de producción, mediante el manejo flexible de los recursos disponibles.Se recomienda ampliar el sistema CAD/CAPP a otras líneas de productos y definir niveles de acceso a usuarios dada la cantidad de información confidencial manejada en la aplicación., actualizar permanente los costos de materia prima, mejorar continuamente el sistema e incluirlo dentro de los procesos certificados bajo las normas ISO-9001.</t>
  </si>
  <si>
    <t>https://drive.google.com/file/d/1kN2v_CGShvXsigZVDAhKbWCD12T_14AO/view?usp=sharing</t>
  </si>
  <si>
    <t>https://drive.google.com/file/d/1k7QJrJ1By4HsSbPam9fnQA4t6ZkDVVuB/view?usp=sharing</t>
  </si>
  <si>
    <t>https://drive.google.com/file/d/1WNEGkvYz45h1F7cyODILNJ6P3V_ypsoV/view?usp=sharing</t>
  </si>
  <si>
    <t>DANNY ALEJANDRO ARZE LEÓN</t>
  </si>
  <si>
    <t>DISEÑO DEL SISTEMA DE SEGURIDAD INDUSTRIAL E HIGIENE OCUPACIONAL EN INBOLTECO S.A.</t>
  </si>
  <si>
    <t>danny-arze@hotmail.com</t>
  </si>
  <si>
    <t>IND-218-2007</t>
  </si>
  <si>
    <t>Plan, seguridad, industria, higiene, responsabilidad</t>
  </si>
  <si>
    <t>El “Diseño del sistema de seguridad industrial e higiene ocupacional en INBOLTECO S.A.”, es una herramienta para personas que deseen implementar un sistema de este tipo en sus industrias. El proyecto pretende dar condiciones de trabajo más seguras y mejores. El objetivo general del trabajo fue:Diseñar el sistema de seguridad industrial e higiene ocupacional en la Industria Boliviana de Tejas y Complementos Sociedad Anónima INBOLTECO S.A.Los objetivos específicos eran los de realizar un diagnostico de la situación actual de la Empresa, plantear una nueva organización de la Empresa dando énfasis en la seguridad e higiene ocupacional, elaborar un plan de higiene y seguridad ocupacional, elaborar un manual de primeros auxilios y un plan de contingencias, y realizar un análisis de beneficios.En el Diagnóstico se realizó la observación de las condiciones de trabajo, ambientes, instalaciones de la Planta, capacitación del personal, se entrevisto al Gerente de Operaciones y se realizaron análisis de riesgos, definiendo las características del plan de seguridad industrial e higiene ocupacional, manual de primeros auxilios y plan de contingencias.En el plan de Seguridad Industrial e Higiene Ocupacional se definió las vías de acceso y comunicación, vías de transito de vehículos pesados, lugares de acumulación de servicios, capacitaciones referentes a incendios y evacuación del personal, usos de equipos de protección personal, señalización de la planta, registros de accidentes laborales y estadísticas, y se constituye el comité mixto de INBOLTECO, estando presidido por el Gerente de Operaciones.En el Manual de Primeros Auxilios se establecieron los pasos a seguir en caso de accidente o emergencia necesarios para: reanimación cardiopulmonar, tratamiento contra hemorragias externa e interna, tratamiento de quemaduras, tratamiento de fracturas y luxaciones, tratamiento de electrocución, tratamiento de intoxicaciones y traslado de accidentados.En el Plan de Contingencias se determinaron las acciones a seguir ante los desastres naturales: inundaciones y sismos, eventualidades industriales: incendios y eventualidades ocupacionales: accidentes, etc., describiendo las responsabilidades para cada una ellas.Se solicitaron las respectivas cotizaciones de equipos de protección personal, letreros de señalización, mediciones de ruido, mediciones de luminancia, sistemas de alarma, y otros, estos datos serán utilizados en la evaluación de la inversión a realizar.Para la implementación del sistema de seguridad e higiene ocupacional de INBOLTECO S.A. se requiere una inversión de 8.497 $us. en el primer año, la inversión es recuperada en el primer año con un beneficio de 79.335 $us.</t>
  </si>
  <si>
    <t>https://drive.google.com/file/d/11Fc2datTQ2zSdTNYE_PTbckIPEe38TR4/view?usp=sharing</t>
  </si>
  <si>
    <t>https://drive.google.com/file/d/1wa2kRZBLXtGvPPh0E35tNbVtShWMMtrB/view?usp=sharing</t>
  </si>
  <si>
    <t>https://drive.google.com/file/d/1BTdAtEDgdUkYs8TrUQfDJ1v3ImUDf9B6/view?usp=sharing</t>
  </si>
  <si>
    <t>ROCHA VARGAS RENE RICARDO</t>
  </si>
  <si>
    <t>VARGAS TAMES HENRY DANIEL</t>
  </si>
  <si>
    <t>DISEÑO DE UN PLAN ESTRATÉGICO DE MARKETING PARA LA EMPRESA EMCOPAIVI S.R.L.</t>
  </si>
  <si>
    <t>riolito@hotmail.com</t>
  </si>
  <si>
    <t>IND-219-2007</t>
  </si>
  <si>
    <t>EMCOAPIVI, MARKETING, PRODUCTO, PRECIO, PLAZA, PROMOCIÓN, DISTRIBUCIÓN.</t>
  </si>
  <si>
    <t>La Empresa EMCOPAIVI debido a ser una Empresa relativamente joven, su capacidad de producción, se ve frenada por la ausencia del departamento de comercialización, ya que esta actividad no es desarrollada de manera eficiente y por tanto no existe estrategias para enfrentar el mercado.Primeramente se realizó un diagnóstico de la situación actual de la Empresa, y se recabó la información disponible acerca de las actividades, procesos de las actividades, la organización actual del sector, etc. Todo ello con el fin de establecer el modelo actual de la situación actual en que se encuentra la Empresa, a través del análisis del entorno y el análisis IDEFO podemos determinar las posibles soluciones a los problemas que tiene.También se realizó una investigación de mercado para determinar las características principales que tienen este tipo de productos en el mercado y la determinación de la competencia.Después, realizado el diagnóstico y la investigación de mercado se procedió a la formulación de las estrategias a tomar para alcanzar nuestros objetivos, esto referente a estrategias de marketing.En el siguiente paso se procedió al análisis de factibilidad del proyecto tomando en cuenta las estrategias planteadas, en cuanto a las estrategias de posicionamiento, mercado, producto, plaza, precio y promociónCon esto se concluyo y se dio las respectivas recomendaciones para la ejecución del proyecto</t>
  </si>
  <si>
    <t>https://drive.google.com/file/d/18H9UyWRIx_58XPCvGZ4KiOb1oOC2U6fn/view?usp=sharing</t>
  </si>
  <si>
    <t>https://drive.google.com/file/d/1zwcDEW6lXzaAqA79KEDpqvjLNzi7F8kT/view?usp=sharing</t>
  </si>
  <si>
    <t>https://drive.google.com/file/d/1-55wwzpx9mRmEtVAh36i2UiIjj3CqUT8/view?usp=sharing</t>
  </si>
  <si>
    <t>ROMAN ESPINOZA LUIS FERNANDO</t>
  </si>
  <si>
    <t>ING. MARY IVIA GONZALEZ EGUEZ</t>
  </si>
  <si>
    <t>OPTIMIZACIÓN DE LOS PROCESOS DE INSTALACIÓN Y ATENCIÓN DE RECLAMOS DEL SERVICIO DE INTERNET BANDA ANCHA PARA LA COOPERATIVA DE TELECOMUNICACIONES CBBA. COMTECO LTDA.</t>
  </si>
  <si>
    <t>luisfertre@hotmail.com</t>
  </si>
  <si>
    <t>IND-220-2007</t>
  </si>
  <si>
    <t>Procesos de instalación y atención de reclamos de Internet banda ancha COMTECO, Mejoramiento, eTOM, Ishikawa, Pareto</t>
  </si>
  <si>
    <t>Se observó que dentro de este servicio se presentaban un número elevado de reclamos, por lo que se hizo un diagnóstico, como primer paso. Producto de este diagnóstico se obtuvieron tiempos promedios para los dos procesos, así como también, se encontraron problemas. Los problemas que se encontraron eran varios, pero se decidió analizar tres problemas, que eran: problemas con los procedimientos, problemas con los vehículos, problemas con herramientas. Estos problemas eran problemas que afectaban en gran medida el funcionamiento de los dos procesos en estudio. Se encontraron otros problemas graves, pero para ser solucionados se necesitaba conocimientos en ingeniería de telecomunicaciones.Para empezar a solucionar el problema de los procedimientos, se elaboró un mapa de procesos de nivel 0 basado en el modelo eTOM, el cual es un modelo especial para empresas de Telecomunicaciones el cual es tecnológicamente neutral, sobre la base de este mapa de nivel 0, se hicieron dos mapas de procesos de nivel 1, en los cuales se identificaron los principales procedimientos que hacen funcionar el servicio de instalaciones y atención de reclamos. Con los mapas de procesos de nivel 1 se pasó a redactar los procedimientos, los cuales ayudarán a que los dos procesos funcionen de manera más ordenada, también ayudarán a disminuir el número de reclamos.Los procedimientos redactados funcionan de manera conjunta con indicadores, los cuales ayudan a controlar el buen funcionamiento de los procedimientos, ya que tienen establecidos parámetros de aceptabilidad y no aceptabilidad.También se vio que era posible mejorar los procedimientos redactados mediante la eliminación de desperdicios, vale decir: transportes innecesario, inventarios, demoras e inspecciones innecesarias, la eliminación de estos desperdicios ayudan a ahorrar tiempo. Posteriormente se analizó las causas de los problemas que se tenían con los vehículos y herramientas, estos problemas generaban tiempos muertos. Se plantearon soluciones a estos problemas mediante la adquisición de equipamiento básico para los vehículos y la adquisición de herramientas. Y para finalizar se hizo un análisis de los costos del trabajo y los beneficios que este daría a la empresa.</t>
  </si>
  <si>
    <t>https://drive.google.com/file/d/1YV6AMC8QvBKv3GU6x93Xzs1_Y_SYjlgs/view?usp=sharing</t>
  </si>
  <si>
    <t>https://drive.google.com/file/d/1Vq-VvSz-RvGIMmqqaMqA__K3g5MtN9JW/view?usp=sharing</t>
  </si>
  <si>
    <t>HERBAS SEJAS BLADIMIR JOHNNY</t>
  </si>
  <si>
    <t>ESTUDIO DE MÉTODOS Y TIEMPOS DE LA CURTIEMBRE Y MANUFACTURA CURMA S.R.L.</t>
  </si>
  <si>
    <t>bjhsunic@hotmail.com</t>
  </si>
  <si>
    <t>IND-221-2007</t>
  </si>
  <si>
    <t>Ingeniería de Métodos, Estudio de Tiempos, Método Actual, Método Propuesto, Balanceo de Línea, Optimización de la Producción.</t>
  </si>
  <si>
    <t>El Estudio se desarrollo en la Curtiembre y Manufactura CURMA S.R.L., El Estudio contempla  realizar una serie de propuestas de mejora en los puestos de trabajo y la planta de producción para las Líneas de producción de Napa y Mable, con el fin de “Aumentar la productividad de la empresa, la confiabilidad del producto, reducir tiempos de fabricación y costos por unidad, mejorando procesos para lograr menor fatiga laboral, cuidando la calidad  del producto”.En la primera parte del proyecto se presenta los aspectos generales de la empresa, luego se identifica los problemas relevantes y propone alternativa de solución más adecuada y pertinente. El Estudio del Trabajo, a través de Estudio de Métodos y Estudio de Tiempos, constituye las herramientas principal utilizadas para conocer las actividades de planta y detectar los principales problemas que afectan el proceso de producción.Partiendo del análisis del proceso de producción las falencias más importantes se debe a la operación más lenta o cuello de botella que es el planchado que establece el ritmo de la producción, la mala distribución de planta, transportes excesivos, operaciones innecesarias, demoras en el proceso productivo.Para solucionar estos problemas se propone propuestas de mejoras en diferentes puestos de trabajo y una nueva redistribución de planta, para optimizar y reordenar las operaciones críticas del proceso productivo, adicionalmente se realiza el balanceo de línea para equilibrar la producción y eliminar los cuellos de botella.Con aplicación de las propuestas de mejora  para las operaciones críticas y adicionalmente a estas se realiza el balance y optimización del proceso productivo para eliminar los cuellos de botella, logrando incrementar la producción en un 243.05 %. De la evaluación económica se obtiene los indicadores económicos, el Valor Actual Neto es de 15.152.082 Bs., y la Tasa Interna de Retorno es del 38 %.</t>
  </si>
  <si>
    <t>https://drive.google.com/file/d/1t5fQaqCdwtroCYdjmUBV7mf_bYbRKOFd/view?usp=sharing</t>
  </si>
  <si>
    <t>https://drive.google.com/file/d/1yvSkipm-R77ukdIHJYXj9y3mhrKH8RlN/view?usp=sharing</t>
  </si>
  <si>
    <t>https://drive.google.com/file/d/1IHqqLOmIpZ1aLslZNN2ViRzxvQHOeod3/view?usp=sharing</t>
  </si>
  <si>
    <t>CARDOZO ARRAYA LUZ ELIANA</t>
  </si>
  <si>
    <t>TORO COCA JACKELINE NANCY</t>
  </si>
  <si>
    <t>PROYECTO DE FACTIBILIDAD PARA LA IMPLEMENTACIÓN DE UNA PLANTA PROCESADORA DE JUGOS DE FRUTA DE NARANJA, PIÑA Y MARACUYA PARA SER COMERCIALIZADOS COMO DESAYUNO ESCOLAR</t>
  </si>
  <si>
    <t>jackytop19@hotmail.com</t>
  </si>
  <si>
    <t>IND-222-2007</t>
  </si>
  <si>
    <t>Nutrientes, Desayuno Escolar, Unidades Educativas Públicas, Municipios, Distribución, Calidad</t>
  </si>
  <si>
    <t>El presente trabajo buscó la implementación de una planta procesadora de jugos de frutas tropicales para el mercado del Desayuno Escolar. El objetivo principal del mismo fue demostrar técnica y financieramente la implementación de la planta, establecer el alcance del proyecto así como determinar los procesos tecnológicos a utilizarse para la fabricación. Durante el estudio de mercado se evaluó el número de estudiantes inscritos  en las unidades educativas públicas de los Municipios de Cercado, Sacaba y Quillacollo, para de esta manera obtener el mercado potencial de Desayuno Escolar.Con los datos de producción y demanda fue posible elaborar el pronóstico para la implementación de la planta que busca abastecer el Municipio de Sacaba con la ración líquida en el Desayuno Escolar. Establecida la futura demanda se procedió a determinar el alcance del proyecto, dimensionar la planta y localizarla en la Provincia de Sacaba.  La materia prima es naranja, piña y maracuyá, los insumos requeridos son: hipoclorito de sodio y ácido cítrico.Por medio de la ingeniería de proyecto se determinaron los procesos a ser utilizados en el procesamiento de frutas, identificándose los diferentes equipos, maquinarias e infraestructura con los requerimientos exigidos por el mercado. Para la conclusión del trabajo se establecieron las funciones del personal y el organigrama de la futura empresa.Establecida la maquinaria, equipo, personal y materia prima, se establecieron los costos de funcionamiento de la planta así como los ingresos proyectados a obtenerse. Con estos valores se determinaron un VAN = 18.679  y un TIR = 28 %, donde se concluye que la implementación de la planta es desde el punto de vista financiero y técnico factible en nuestro país.</t>
  </si>
  <si>
    <t>https://drive.google.com/file/d/1uasAO1YrclpPDLjnraQMACc-HP5pBfKB/view?usp=sharing</t>
  </si>
  <si>
    <t>https://drive.google.com/file/d/1xTCQhQDJBVDSniaY1E30UQU5OBWoNDfp/view?usp=sharing</t>
  </si>
  <si>
    <t>https://drive.google.com/file/d/1-kaViW6NRC2Sbg6wc3SexeW0nbCEqI4I/view?usp=sharing</t>
  </si>
  <si>
    <t>RONALD MARCELO RODAS RODAS</t>
  </si>
  <si>
    <t>ARIANNA VALENCIA BORDA</t>
  </si>
  <si>
    <t>MGR. ING. PABLO GERARDO ARDAYA CUEVAS</t>
  </si>
  <si>
    <t>PLANIFICACIÓN ESTRATÉGICA PARA “MUEBLERÍA NOBLEZA”.</t>
  </si>
  <si>
    <t>IND-223-2007</t>
  </si>
  <si>
    <t>Planificación Estratégica Mueblería Nobleza Gestión Estudio Mercados Administración Camas.</t>
  </si>
  <si>
    <t>El trabajo que se realizó tenía por objetivo mejorar la competitividad de la Mueblería Nobleza así como de asegurar sus sostenibilidad a largo plazo. Con estas bases se comenzó a elaborar la recolección de información bibliográfica.Las fuentes bibliográficas utilizadas fueron libros, Internet y adicionalmente se realizaron encuestas al personal de la empresa de manera que se tuviera la información necesaria para tener una idea  cabal de la situación de la empresa en el momento en el que se realizó el Proyecto.  Para analizar la situación financiera se utilizaron los Estados de Resultados y Balances generales de la empresa desde el 2004 al 2006 con estos datos se logró determinar si la empresa es rentable y solvente financieramente.Recurriendo a Internet se buscaron detalles específicos de los diversos factores externos que podrían afectar el desenvolvimiento de la empresa. Se utilizaron los datos más actuales en lo posible.La Investigación de Mercados fue realizada de manera personal se logró encuestar a una gran cantidad de personas de la provincia de Cercado del Departamento de Cochabamba. Así mismo se realizaron viajes para lograr encuestar a los distribuidores de la empresa que se encontraban en los diversos departamentos de Bolivia.Posteriormente la elaboración y evaluación de las estrategias se realizó con la colaboración del Tutor. De igual manera las fichas descriptivas de los planes estratégicos y de los planes operativos fueron elaboradas con ayuda del mismo. Una vez elaborados los planes y calculados sus presupuestos se elaboró un Estado de Resultados Proyecto buscando tener una idea del impacto del Proyecto en la ventas de la empresa.  Finalmente se pudo evidenciar el estado interno y externo en el que encontró la empresa al momento de la elaboración de este Proyecto y en base a esos factores se propusieron Planes Estratégicos que buscaron aprovechar las ventajas que posee la empresa y contrarrestar los factores negativos que la amenazan, siempre tomando en cuenta la misión, visión y objetivos que se propuso.</t>
  </si>
  <si>
    <t>https://drive.google.com/file/d/1vn5_b-A6unMj6CDEwhc3VC8riQ522gd_/view?usp=sharing</t>
  </si>
  <si>
    <t>https://drive.google.com/file/d/1wLPYjR1k325U_Nt7QOQkQFgfeYOLTTwx/view?usp=sharing</t>
  </si>
  <si>
    <t>https://drive.google.com/file/d/1aYvNq393EbJVAuXRe5RdsR7rHexI0egm/view?usp=sharing</t>
  </si>
  <si>
    <t>SANCHEZ PINTO OSCAR EDUARDO</t>
  </si>
  <si>
    <t>AIREYU MOSQUERA LUIS ALBERTO</t>
  </si>
  <si>
    <t>ING. JUAN CARLOS RODRÍGUEZ OSTRIA</t>
  </si>
  <si>
    <t>ESTUDIO DE FACTIBILIDAD TÉCNICO-ECONÓMICO PARA LA FABRICACIÓN DE CEMENTO COLA</t>
  </si>
  <si>
    <t>kaluys84@hotmail.com</t>
  </si>
  <si>
    <t>IND-224-2007</t>
  </si>
  <si>
    <t>Cemento cola, arena silícea, permisos de la construcción, tamizadores en la construcción</t>
  </si>
  <si>
    <t>El trabajo que se realizo tenia como objetivo general realizar un estudio Técnico Económico para producir Cemento Cola debido a que la empresa IMPRIS carece de un proceso con una capacidad productiva tal que le permita abastecer nuevos mercados para su producto en etapa de crecimiento en el mercado Cochabambino.Con el proyecto se pretende ver aquellas opciones tecnológicas que mas se adecuen a los parámetros manejados, tanto económicos como funcionales. La  metodología a seguir  fue, primero realizar una investigación de mercados que nos permita dar un entendimiento de los factores que influyen en la compra del producto, saber la cantidad demandada a nivel Cochabamba y la participación actual en el mercado de la empresa, para luego dar proyecciones de demanda para nuestro producto .Una vez obtenidos los resultados se realizo la ingeniería del proyecto donde se puso en consideración tres alternativas tecnológicas realizando la respectiva comparación, elegida la mejor alternativa se procedió a la representación del esquema productivo y la demanda energética del mismo. Establecidos los parámetros de diseño se vio la mejor alternativa de localización en base a criterios de orden cualitativo y cuantitativo, para después ver los requerimientos de Recursos Humanos, Aspectos de calidad y Logística.Como todo proyecto se consideró el impacto ambiental que pueda ocasionar el nuevo proyecto así como  las acciones necesarias para reducirlas junto con la seguridad Industrial. Finalmente se realizó la evaluación financiera donde se vio en base a los costos operativos a incurrir y los ingresos futuros posibles,  viendo la rentabilidad del proyecto con un VAN = 210.161 Bs. y un TIR =15.04%</t>
  </si>
  <si>
    <t>https://drive.google.com/file/d/18ZzyEKzD4SE72bpVCYkwlFETtyYqX721/view?usp=sharing</t>
  </si>
  <si>
    <t>https://drive.google.com/file/d/1cl3io5bt8Ew9X_baX8DijwzRRvQLnTNX/view?usp=sharing</t>
  </si>
  <si>
    <t>https://drive.google.com/file/d/17Li-aOWSN3SQvNf82h_STkX8uP_Vk82U/view?usp=sharing</t>
  </si>
  <si>
    <t>GARCIA AROZQUETA OSCAR</t>
  </si>
  <si>
    <t>ESTRATEGIAS DE MARKETING Y ACCIONES COMERCIALES PARA IMPULSAR EL CRECIMIENTO EMPRESARIAL DE LA CURTIEMBRE TOMY LTDA.</t>
  </si>
  <si>
    <t>oky51@latinmail.com</t>
  </si>
  <si>
    <t>IND-225-2007</t>
  </si>
  <si>
    <t>Estrategia, mix promocional, Matriz MPC, Res, Costra, Wet Blue.</t>
  </si>
  <si>
    <t>Inicialmente se explica en forma general los aspectos mas importantes de la unidad de estudio, a partir de una nueva evaluación interna se llega a conocer los problemas principales y de esta manera centrarlos en un solo planteamiento. Posteriormente se llegan a definir los Objetivos Específicos y General, notando que cada objetivo específico es exclusivamente dependiente del sistema. Algo muy importante que se debe mencionar es la utilización de técnicas de recopilación de datos como ser: la observación, entrevista, cuestionarios y recopilación documental, siendo esta última la más utilizada.Diferentes definiciones ayudan a conocer con mayor propiedad las técnicas de una determinada área, en este caso herramientas de Marketing y Gestión Estratégica. Durante el desarrollo del presente capítulo se mencionan una serie de definiciones que puedan ayudar a reunir aquellas piezas necesarias para completar la idea de que una empresa debe ser ideal si reúne los requisitos mencionados, las mismas que se explican en el Marco Teórico.El resultado obtenido en el trabajo de campo, plasmado en el Modelo Real,  un resultado que ayuda a conocer la situación actual que vive la empresa en cuanto a su competencia y a sus clientes, los recursos disponibles así como la Misión y Visión de la misma. Otro aspecto importante es el resultado del análisis matricial FODA para proponer y recomendar alternativas estratégicas, además de análisis de la MPC y las fuerzas competitivas de Porter.La propuesta se basa en estrategias necesarias y útiles, las cuales serán expuestas en el Modelo Propuesto, el cual es el reflejo sistemático del Modelo Real pero en función a las necesidades identificadas para que de esta manera exista una coherencia entre lo que se quiere para la empresa y entre lo que se dispone de la misma, entre estas tenemos: estrategias para los productos, precios, plaza, distribución, e incluso en forma mas especifica, la promoción, donde se muestra una breve cantidad de productos que resultan ser de interés para el cliente. No se puede dejar de lado el presupuesto necesario para cumplir con este objetivo, en este caso se habla de un presupuesto publicitario y de promoción, donde se muestra la cantidad económica necesaria para que Tomy Ltda. pueda incrementar sus ventas en un 25% en 6 meses, dicha cantidad es definida en un monto que asciendo a $us. 6.818, como inversión total para lograr el Objetivo General propuesto.</t>
  </si>
  <si>
    <t>https://drive.google.com/file/d/1grzeAkrpfPOnwHKLJvdRdFhwf8Q2AvKH/view?usp=sharing</t>
  </si>
  <si>
    <t>https://drive.google.com/file/d/1wZuKx-9BMketwpi_ps1msVFS6aamOaw6/view?usp=sharing</t>
  </si>
  <si>
    <t>https://drive.google.com/file/d/19Ae9PcFSWd5uqLFXEyzn_TDdKLO09kfZ/view?usp=sharing</t>
  </si>
  <si>
    <t>MERIDA ZARATE ARIEL HENRRY</t>
  </si>
  <si>
    <t>DISEÑO DE UN PLAN DE SEGURIDAD E HIGIENE OCUPACIONAL PARA EL ASERRADERO SAN JOAQUIN</t>
  </si>
  <si>
    <t>arielin25@hotmail.com</t>
  </si>
  <si>
    <t>IND-226-2007</t>
  </si>
  <si>
    <t>Plan de Seguridad e Higiene Ocupacional,  Ley General de Higiene y Seguridad Ocupacional y Bienestar, Resolución Administrativa 038/01, Señalización, Equipos de Protección Individual,</t>
  </si>
  <si>
    <t>El Plan de Seguridad e Higiene Ocupacional para el ASERRADERO SAN JOAQUÍN fue diseñado mediante el Método Lógico Inductivo Completo debido a que la conclusión fue sacada del estudio de cada puesto de trabajo del área de producción. El diseño de dicho Plan estuvo orientado a la prevención de riesgos de accidentes de trabajo y enfermedades ocupacionales para que de esta manera se logre la calidad en las condiciones de trabajo.Se evaluó las condiciones de trabajo con el propósito de identificar los riesgos  y se analizó el ambiente físico, los hábitos y conductas de los empleados, para proponer las medidas preventivas que se reflejaron en el Plan de Seguridad e Higiene  Ocupacional,  que sigue los puntos establecidos por el Ministerio de Trabajo en la Resolución Administrativa  038/01 y en base a la Ley General de Higiene y Seguridad Ocupacional y Bienestar, Decreto Ley 16998 del 2 de agosto de 1979.En el análisis de riesgos se identificó Riesgos químicos y ergonómicos debido al peso y la carga repetitiva de las tablas de madera y las partículas de madera (aserrín y viruta) en suspensión debido a los procesos de la sierra sin fin, sierra circular y la moto sierra; Riesgos mecánicos por  el contacto de los operarios con las maquinas.En base al análisis, evaluación, y tipo de  riesgo se realizó la elaboración: de Medidas Preventivas, el Plan de Prevención de Accidentes, el Manual de Procedimientos en caso de Accidentes. Plan de Prevención de Incendios, Manual de Procedimientos en caso de incendios y Manual de uso de extintores.En base al análisis del ambiente físico que se realizó se propuso cambios en las instalaciones como: instalación de almacenes para leña y aserrín, instalación de casilleros, instalación de un inodoro, un urinario, una ducha y un lavamanos, instalación de señalización extintores, señalizaciones de prohibición, señalización de las salidas de emergencia, señalización del botiquín de primeros auxilios.Se realizó la designación de algunos cargos y funciones dentro del comité mixto dejando el resto de cargos a elección de los trabajadores. Se elaboraron planillas de Equipos de Protección Individual, las cuales contienen el modo de uso, mantenimiento y  puestos de trabajo donde deben utilizarse.Debido a que la empresa no cuenta con normas internas estas se propusieron en base a la Ley General de Higiene y Seguridad Ocupacional y Bienestar. Y al no existir un registro de accidentes, se propuso el formato de uno, el cual contiene datos de la empresa, clasificación de daños y descripción de estos.En cuanto a la capacitación se propuso como contenido mínimo los siguientes temas: Buenos Hábitos dentro de la empresa, Manejo de Equipos de Protección Individual, Prevención y Control de incendios, Primeros Auxilios y Levantamiento de cargas (tablas de madera), que es un factor que a la larga puede traer muchos problemas de espalda a los trabajadores;  dicha capacitación se dejó a consideración de la empresa si serán de forma directa o indirecta. También se realizo el análisis de ruido por medio de un ente externo, y se concluyó que los procesos con mayor riesgo son: sierra sin fin y la sierra circular. Se finalizo realizando la estimación de costos para la implementación del Plan  de Seguridad e Higiene Ocupacional. Dichas estimaciones se realizaron por secciones y según al número de empleados, estas cotizaciones fueron realizadas en las empresas de EMCOSIM y FERROBLACK.</t>
  </si>
  <si>
    <t>https://drive.google.com/file/d/1-XSmTlUbkzZS55OSa9JEt8-Or0RyYfMX/view?usp=sharing</t>
  </si>
  <si>
    <t>https://drive.google.com/file/d/1V98pEWkEcyrIWTK8bJBL-YvX6B5vwTJC/view?usp=sharing</t>
  </si>
  <si>
    <t>https://drive.google.com/file/d/17DuhN7AS5uO5C_tYMtyQLotbaZPeuxff/view?usp=sharing</t>
  </si>
  <si>
    <t>BERMUDEZ RIVERA DAVID</t>
  </si>
  <si>
    <t>ING. MABEL MAGARIÑOS R.</t>
  </si>
  <si>
    <t>ESTUDIO DE LA VIABILIDAD TÉCNICA FINANCIERA PARA UNA PLANTA PROCESADORA DE YOGOURT CON HARINA DE YACÓN (SMALLANTHUS SONCHIFOLIUS)</t>
  </si>
  <si>
    <t>davi.bermudez@gmail.com</t>
  </si>
  <si>
    <t>IND-227-2007</t>
  </si>
  <si>
    <t>Factibilidad, yogur, leche, yacón, raíz, Smallanthus Sonchifolius, deshidratación, deshidratado, harina de yacón.</t>
  </si>
  <si>
    <t>Se realizó encuestas, para obtener la información de la frecuencia y compra de los consumidores para luego determinar la demanda propia del proyecto (161 Tn/año de yogur).Se hizo pruebas de degustaciones organolépticas para encontrar el mejor prototipo o producto en base a variables sensoriales (yogur 100% con harina de yacón).Se describió la materia prima (La leche fluida) e insumos (Harina de yacón, cultivo láctico y el azúcar) para la elaboración del yogur, además se estimó los costos de producción de la materia prima e insumos.Luego se elaboró el proceso productivo del yogur con harina de yacón, además se hizo gráficamente la distribución de la planta y por último se estimó los costos de maquinaria, oficina y otros.Después se paso hacer la ubicación y emplazamiento de la planta y se definió la zona por el método de calificación por puntos con factores cualitativos (en sacaba se emplazó la planta).Se organizó y administró la planta de acuerdo a las direcciones verticales y horizontales, para controlar y administrar la planta en forma eficiente.Por último se hizo las evaluaciones financiera (TIR = 68,15%, VAN = $us 27567 y R B/C = 1,13), económica (TIRE = 63,8%, VANE = $us 201299 y R B/C = 1,25) y ambiental (se clasifica en categoría III el proyecto, por cuál no ocasiona daños severos al medio ambiente), por todo esto el proyecto es técnica, financiera, económica y ambientalmente viable y ejecutable cuando el promotor (Empresa láctea LADEA) disponga del aporte propio para el proyecto. .</t>
  </si>
  <si>
    <t>https://drive.google.com/file/d/1eycpGvFxJZlV2n1nxw-tGmI_NZ6O5kgD/view?usp=sharing</t>
  </si>
  <si>
    <t>https://drive.google.com/file/d/1KWSEWAgMdJ3DW3YCY7tPEq8ShfWPYGJg/view?usp=sharing</t>
  </si>
  <si>
    <t>FLORES ABREGO LUZMILA</t>
  </si>
  <si>
    <t>INTURIAS VALENCIA PASTOR</t>
  </si>
  <si>
    <t>MSC. INGRID TRIGO ROCHA</t>
  </si>
  <si>
    <t>PLANIFICACIÓN, PROGRAMACION Y CONTROL DE LA PRODUCCIÓN PARA LA OBTENCION DE EXTRACTOS DE LAS ESPECIES LLAVE T` IKA (TRIPODANTHUS ACUTIFOLIUS) Y LOCOTO (CAPSICUM PUBESCENS)</t>
  </si>
  <si>
    <t>wila_253@hotmail.com</t>
  </si>
  <si>
    <t>IND-228-2007</t>
  </si>
  <si>
    <t>Universidad Mayor de San Simón (UMSS), Llave T’ika, locoto, planificación, programación, producción, procesos.</t>
  </si>
  <si>
    <t>El desarrollo del presente proyecto se inicio con el diagnostico del Centro de Tecnología Agroindustrial (CTA), donde se ha indicado la forma de organización del centro, la infraestructura con la que cuenta, la tecnología para la producción a escala piloto, los recursos humanos disponibles, con todo ello se evidencio la necesidad de contar con una planificación y control de la producción, para que ayuden en la toma de decisiones y un control de producción sustentado en fechas de entrega del producto al cliente.Para este propósito se han establecido objetivos centrado en la planificación y las herramientas que se requiere para llevar a cabo una planificación sistemática y concurrente orientada a la producción justo a tiempo.Para justificar la producción se realizo el estudio de mercado para los dos nuevos productos como son la oleorresina y el extracto floral; la oleorresina es a base de locoto (Capsicum pubescens), que es producido en cultivos agrícolas en las comunidades de Tablas Monte, San José y Locotal del municipio de Colomi Segunda Sección de la Provincia Chapare del Departamento de Cochabamba, donde la producción anual alcanza a 7000 toneladas, siendo el origen de la materia prima para la producción de la oleorresina, producto que se comercializa en el mercado interno para la producción farmacéutica de un gel, indicado para dolores musculares y articulares, y otras aplicaciones como gas lacrimógeno, repelente de hongos y microorganismos junto a otros componentes.El producto es nuevo en su genero debido a que solo Perú y Bolivia poseen la producción agrícola de esta especie y en cantidades menores los países del eje andino que se extiende desde México hasta chile, siendo el principal competidor con productos sustitutos la Republica Federal de México. La materia prima para la producción del extracto floral, son las flores de la especie silvestre llamado comúnmente llave llave o llave t’ika, corpus (Argentina), hierva de pajarito (Brasil), siendo su nombre científico Tripodanthus acutifolius, siendo los lugares de recolección las comunidades de Jurina, Chiuchi, Ura Pampa y Mataral del municipio de Pocona, Tercera Sección de la Provincia Carrasco.El producto es una sustancia semi - sólida amarillenta, destinada a la industria perfumera, cosmética y aromaterapia, es de aroma agradable.   La demanda de ambos productos es ampliamente requerido por ser natural, y la creciente madures de la sociedad que tiende a la tendencia de consumo de productos naturales en sustituto de los tradicionales productos químicos.El canal de comercialización se desarrolla directamente del productor al consumidor, no se cuenta con un canal de distribución propia para los diferentes productos que oferta el CTA.Con la capacidad instalada en planta piloto para procesos por extracción solvente, que comprende la producción de oleorresina, extracto floral y piretro que comparten sistema de producción con leves modificaciones en cuanto a flujo de proceso se ha planificado producir 27 Kg. De oleorresina en los meses de octubre, noviembre y diciembre y 30 Kg. de extracto floral en los meses de mayo, junio y julio, siendo el cuello de botella la concentración en rotavapor, por ser este un equipo de laboratorio y no así de planta piloto. La programación de la producción se realiza de acuerda al demanda del producto, una vez iniciado la producción  se abastece de los recursos necesarios para la determinada cantidad a producir, el control de proceso se realiza con los diagramas PERT de seguimiento.Los controles de calidad se realizan por lotes de producción que abarca la producción de 1 Kg. de extracto u oleorresina aproximadamente, con un espectrofotómetro de gases y líquidos. La evaluación económica realizada reporta flujo negativo en un escenario 1 para lo cual se desarrollo el análisis numérico de la producción para determinar el umbral de rentabilidad se encontró que para que los ingresos y egresos de producción queden nulos es necesario producir tres lotes de oleorresina y tres lotes de extracto floral, adicionalmente se tiene que producir 7 lotes de piretro para que la línea de producción de extractos por solvente no tenga perdidas. Los escenarios 2,3 y 4 generan utilidades para el CTA.Con la evaluación de matriz de impacto ambiental se determino que el sistema de producción de extractos por solventes esta en la categoría del nivel cuatro lo cual no requiere de evaluación de impacto ambiental.</t>
  </si>
  <si>
    <t>https://drive.google.com/file/d/1ccr9WNquN-2KqrhUPSOjFdqSxI7TGa7v/view?usp=sharing</t>
  </si>
  <si>
    <t>https://drive.google.com/file/d/1OQrkI4CYMj8HFeyMidV42gIKEa0RcDTV/view?usp=sharing</t>
  </si>
  <si>
    <t>https://drive.google.com/file/d/1JehO0-BJorVdQcFyGrMr_C6El_N_b3ib/view?usp=sharing</t>
  </si>
  <si>
    <t>NERGIO ALBERTO ALCÁZAR TERÁN</t>
  </si>
  <si>
    <t>ANDRÉS OSCAR LUNA CUELLAR</t>
  </si>
  <si>
    <t>ING. CYNTHIA MOLINA LEYES</t>
  </si>
  <si>
    <t>DISEÑO DE UN SISTEMA DE GESTIÓN DE LA CALIDAD BASADO EN LA NORMA ISO 9001:2000 PARA LA EMPRESA MURANO S.R.L.</t>
  </si>
  <si>
    <t>andreslunac@hotmail.com</t>
  </si>
  <si>
    <t>IND-229-2007</t>
  </si>
  <si>
    <t>Sistema de Gestión de Calidad (SGC), Representante de la Alta Dirección (RAD), Mejora Continua, Enfoque en Procesos, Enfoque al Cliente.</t>
  </si>
  <si>
    <t>La empresa Murano S.R.L. ha visto por conveniente realizar el Diseño de un Sistema de Gestión de la Calidad basado en la Norma ISO 9001 versión 2000, deseando alcanzar los beneficios que trae la implementación de dicho sistema, de manera externa se quiere lograr una mayor confianza y satisfacción del cliente, diferenciarse de la competencia en el mercado, poder competir en igualdad de condiciones en mercados externos y lograr mejor imagen al contar con una certificación internacional; logrando además de manera interna un ordenamiento interno en los diferentes procesos de la empresa, una toma de decisiones en base a datos, medición, control y seguimiento de todos los procesos en base a parámetros internos definidos, dirección comprometida y personal motivado y mejoramiento continuo y búsqueda constante de innovaciones.Para hacer esto se procedió primeramente a la recopilación de información de la Norma ISO 9001:2000, verificando si esta versión sigue vigente, el contenido de la misma y las actividades necesarias para su utilización e implementación.Luego de dicha recopilación se procedió a la elaboración del Diagnóstico de la empresa, en el que se realizo una comparación de los requisitos de la Norma contra la Empresa, para averiguar cuanto y cuales son los requisitos que cumple la empresa. Terminado este diagnostico se elaboro un resumen de la cantidad de No Conformidades Mayores y Menores que presenta la empresa, para basar en estos el desarrollo del Sistema de Gestión de la Calidad.Para el desarrollo del Sistema de Gestión de la Calidad se procedió primeramente a la identificación de los procesos que conforman la empresa, para esto se determino un Responsable de Proceso, los Subprocesos que este pueda tener, las Actividades que realizan el proceso y sus subprocesos y determinando también las salidas y entradas de los mismos. Así mismo se crearon los procesos de Gestión de la Calidad y el de RR.HH, creándose así el puesto de Encargado de Gestión de la Calidad y RR.HH.. Luego contando con el conocimiento de los procesos se procedió a la elaboración de los documentos necesarios, como ser: Política de la calidad, Objetivos de la Calidad, Manual de Calidad, Manual de Procedimientos e Instructivos de Trabajo; los cuales contarán con un formato establecido y formarán parte del Sistema de Gestión de la Calidad, procediendo después a redactar como la empresa cumple cada uno de los requisitos que plantea la norma.Se procedió luego a la elaboración de Planes Operativos para la Implementación del Sistema y la Certificación de la Empresa, definiendo claramente en cada uno de ellos las líneas de acción a seguir y las actividades determinadas para cada una de ellas, indicándose además el nivel que deben de alcanzar a la fecha de su culminación. Además el plan contiene los costos de cada una de las Líneas de Acción y Actividades descritas.Mediante un Análisis Beneficio – Costo, se procedió a elaborar y determinar los costos de la Calidad y la Mala calidad que afectan al desempeño de la empresa actualmente, y que sucedería con ellos el momento de la implementación de un Sistema de Gestión de la Calidad y también cuando se alcance una certificación.</t>
  </si>
  <si>
    <t>https://drive.google.com/file/d/1xlgSI-I0BMz0RFgSzVg38vGOGK9_xjUt/view?usp=sharing</t>
  </si>
  <si>
    <t>https://drive.google.com/file/d/1npdqZ_WlY12NOXWhM7bVc9hIg3sXVImg/view?usp=sharing</t>
  </si>
  <si>
    <t>LOZA LOPEZ MILENKA ROCIO</t>
  </si>
  <si>
    <t>MSC. ING. OMAR DAVID PÉREZ FUENTES</t>
  </si>
  <si>
    <t>ELABORACIÓN DE UN PLAN ESTRATÉGICO PARA EL COLEGIO DE INGENIEROS MECÁNICOS COCHABAMBA</t>
  </si>
  <si>
    <t>loza.milenka@gmail.com</t>
  </si>
  <si>
    <t>IND-230-2007</t>
  </si>
  <si>
    <t>Colegio de Ingenieros Mecánicos Cochabamba, Planificación Estratégica, diagnóstico, Matrices, Seminario-Taller, metodología meta plan, POA.</t>
  </si>
  <si>
    <t>Para su realización este proyecto se ha organizado en cuatro importantes etapas. La primera consiste en la recolección de información que se realizó a través de diferentes tipos de herramientas e instrumentos,  para el desarrollo de los diagnósticos interno y externo, con el propósito de obtener de la mejor manera toda la información relevante del CIMC y su entorno. Para esta etapa se adoptó una metodología participativa, reflejada en la participación de los afiliados en la fase de diagnóstico.En la segunda etapa, se realizó el análisis conjunto de los diagnósticos interno, externo y la información obtenida sobre el CIMC. Con esa base se definió las estrategias orientadas al desarrollo del colegio, para después, mediante diferentes matrices, realizar la selección de las directrices estratégicas más importantes que el CIMC tienen que seguir para que pueda alcanzar sus metas trazadas.La tercera etapa de desarrollo de este proyecto es la realización de la propuesta en la que se contempla la declaración de misión, visión, valores estratégicos y la generación de directrices estratégicas para las que se han establecido líneas de acción que cuentan con actividades, los respectivos responsables e indicadores para verificar su cumplimiento. Desarrollando también un cronograma de actividades. En la última etapa se realizo un análisis de costo y beneficio.Siguiendo las anteriores etapas se realizó este proyecto:Con la información recabada se realizó un diagnostico de la situación interna del CIMC, el cual permitió el análisis de distintos aspectos, como ser las debilidades con las que cuenta el colegio, las cuales estancan su desarrollo, encontrando también fortalezas que sirven para afrontar y contrarrestar las diferentes situaciones que se presentan. En la realización del diagnóstico externo se pudo definir y analizar claramente tanto aspectos positivos como negativos, como ser las oportunidades que se presentan al CIMC, las cuales tienen que se aprovechadas y las amenazas que presenta el entorno que afecta al desarrollo normal del colegio. Para la realización de los diagnósticos se utilizó diferentes herramientas de recolección de información, entre las más relevantes se puede mencionar la entrevista estructurada y el seminario – taller, estas herramientas permitieron la participación de los miembros del CIMC, lo que permitió que éstos se sientan partícipes y comprometidos con la elaboración del Plan Estratégico.En base a la realización del análisis conjunto del diagnóstico interno, externo y toda la información recabada del CIMC y su entorno, se logro obtener la situación actual en la que se encuentra éste, lo que sirvió para el análisis y la formulación de las estrategias que guiarán al colegio.Se realizó el análisis y formulación de las estrategias utilizando diferentes herramientas las cuales ayudaron a rescatar las estrategias más adecuadas e imprescindibles para el CIMC, se utilizaron la matriz EFI, la matriz EFE, la matriz FODA, la matriz IE y por último la matriz MPEC de las cuales se obtuvo tres directrices estratégicas: “Fortalecimiento Organizacional del CIMC”, “Rol Institucional” y “Incursión Nacional y Regional en la Ingeniería Mecánica”. Se verifico que las estrategias elegidas respondan con la realización de la misión y visión del CIMC. Estos fines estratégicos fueron formulados y redactados en el seminario – taller con la participación de los miembros del colegio.Obtenido el análisis y la formulación de las estrategias que guiaran al CIMC se prosiguió con el  diseño del POA para la gestión 2008 que permitirá dar cumplimiento cabal del Plan, en esta propuesta se desarrollaron los lineamientos estratégicos y actividades para poder desarrollar cada directriz estratégica, así mismo se definieron los responsables y el respectivo control, el cual esta sujeto a indicadores diseñados para este cometido. Se elaboró el cronograma por lineamientos estratégicos para un año, desplegados en meses para su respectiva realización.Se elaboró un análisis de costos el cual permitió estimar los diferentes costos de cada línea de acción y en conjunto el costo por directriz estratégica, estimándose un costo de 2685 $us/año, para la implementación del Plan Estratégico.</t>
  </si>
  <si>
    <t>https://drive.google.com/file/d/1fR-X25Ss6WUQIca984RN5U7GI59YoYz_/view?usp=sharing</t>
  </si>
  <si>
    <t>https://drive.google.com/file/d/1-h03VQGC2cQNAT7JSmaoVaAHrx3QL6eb/view?usp=sharing</t>
  </si>
  <si>
    <t>https://drive.google.com/file/d/1nHdbJfmFmBvKjIRdfRRm2wIVydkUGncV/view?usp=sharing</t>
  </si>
  <si>
    <t>CONDORI GUZMAN EDDY WILDER</t>
  </si>
  <si>
    <t>DISEÑO DE UN SISTEMA DE GESTIÓN DE CALIDAD PARA PLANTA EXTERNA DE TELEFONÍA BÁSICA PARA LA EMPRESA COMTECO COCHABAMBA EN BASE A LA NORMA ISO 9001:2000</t>
  </si>
  <si>
    <t>leonlee243@gmail.com</t>
  </si>
  <si>
    <t>IND-231-2007</t>
  </si>
  <si>
    <t>Cooperativa de telecomunicaciones Cochabamba “COMTECO”, Manual de calidad, Manual de Procedimientos, Instalación telefónica, Mejora continua.</t>
  </si>
  <si>
    <t>Primeramente se reviso la documentación e información relativa al tema de investigación (versiones de la norma ISO 9001:2000, norma TL 9000, tipos de redes telefónicas, normas en instalaciones telefónicas, partes de la planta telefónica, formas de sistemas de gestión de calidad) para conocer el funcionamiento teórico de una central telefónica y tener una idea sobre la forma de diseño de un sistema de gestión de calidad, fue importante  visitar las diferentes áreas que eran parte del proceso de instalación y mantenimiento (conmutación , mesa de pruebas, centro de operaciones) para conocer en forma real el funcionamiento del trabajo técnico y administrativo que se realizaba, el método usado en esta primera parte de la investigación fue la observación de la realización de las diferentes tareas, y la investigación de aquellas terminologías técnicas  mediante preguntas directas al personal que trabajaba en las diferentes áreas y revisión de bibliografía respecto al tema.Con la base sobre el  funcionamiento de la central telefónica y los requisitos de un sistema de gestión de calidad ISO 9001:2000, se realizo un cuestionario de diagnostico en base a la norma ISO para conocer cuales eran los puntos con los que la empresa no cumplía en ese momento para una certificación ISO, el método utilizado para encontrar la información fue la entrevista y la observación a las diferentes tareas y personas que trabajaban en las diferentes áreas, como segunda parte del diagnostico fue importante la realización de una auditoria de calidad al área que  mostraba mas problemas (instalación y mantenimiento) se procedió a salir con los técnicos de este sector por una semana para verificar la forma de trabajo, obteniendo importantes conclusiones y observaciones para el diseño de gestión de calidad.Con los resultados obtenidos en el diagnostico se procedió al diseño del sistema de gestión de calidad, una primera parte importante fue la realización de los mapas de procesos, COMTECO contaba con  un mapa de procesos corporativo, que fue la base para realizar los demás mapas de procesos nivel I y II que no existían en ese momento, con estos mapas se tubo una idea clara del  funcionamiento y la interacción de los proceso de telefonía básica en COMTECO. Como segunda parte se elaboro la   documentación que no existía y que la norma ISO especificaba que tenia que existir, lo primero que se elaboro fue el manual de procedimientos para lo cual se verifico la forma de realizar las tareas en las diferentes áreas (conmutación, mesa de pruebas, instalaciones y mantenimiento), el método utilizado fue observación y entrevistas,  se observo que en instalaciones y mantenimiento la forma de trabajo variaba según el lugar donde fuera realizado y que no existía una forma general de realizar el trabajo, se realizo un procedimiento que trate de adaptarse a estas condiciones de forma general, cuando el manual de procedimientos fue terminado, se procedió a realizar procedimientos que fueran mas específicos en aquellos lugares donde el trabajo no fuera muy comprendido esto por la complejidad técnica, la realización de procedimientos mediante video fue la mejor opción ya que un procedimiento escrito no hubiera sido muy claramente captado , esto por  el tipo de trabajo técnico realizado en este sector.La realización del manual del calidad se elaboro con la ayuda del personal de gestión de calidad, pero fue adaptado mediante los datos obtenidos en el diagnostico en base a la norma ISO 9001:2000, luego de este trabajo se procedió a realizar los indicadores de calidad utilizando de base la norma TL 9000 ”métricas de los sistemas de gestión de calidad”, estos indicadores  fueron desarrollados para controlar cada procedimiento. Luego se realizo los procedimientos de control que exigía la norma ISO 9001 tenían que existir (control de no conformidades, control de documentos, control de registros, auditoria de calidad, contingencias, capacitación de personal). Se identificaron los registros que hacían falta para poder controlar  los diferentes procesos.Finalmente se realizo el análisis de costos de la calidad y costos de certificación para tener una aproximación de cuanto constaría implantar el sistema de gestión de calidad a COMTECO, se utilizo un análisis financiero para esta etapa donde se tubo que revisar bibliografía respectiva a costos de calidad.</t>
  </si>
  <si>
    <t>https://drive.google.com/file/d/1ZGxlpgRbyl9BWk798mnyVxDnMpJvFRJo/view?usp=sharing</t>
  </si>
  <si>
    <t>https://drive.google.com/file/d/1knA4Ed4mq5FJ5HOmBzbt7pJ23N-hbPBv/view?usp=sharing</t>
  </si>
  <si>
    <t>https://drive.google.com/file/d/1om1v9_B3UMuYcceQ_qspwmAtJ3llC9pj/view?usp=sharing</t>
  </si>
  <si>
    <t>URIZAR ACARAPI IVAN REYNALDO</t>
  </si>
  <si>
    <t>ING. JIMMY CARLOS PRADO VILLARROEL</t>
  </si>
  <si>
    <t>DISEÑO DE UN PLAN DE SEGURIDAD OCUPACIONAL EN LAS INSTALACIONES DE LA CURTIEMBRE CURVECO</t>
  </si>
  <si>
    <t>ivan_urizar@hotmail.com</t>
  </si>
  <si>
    <t>IND-232-2007</t>
  </si>
  <si>
    <t>Curtiembre CURVECO.</t>
  </si>
  <si>
    <t>Primeramente se realizó una observación de las distintas áreas del proceso productivo de la Curtiembre, luego se  analizo y evalúo las condiciones de trabajo y el ambiente físico, en base a esto se lograron identificar los riesgos a los que estaban expuestos los trabajadores en su área de trabajo.Según el análisis y evaluación se logro el desarrollo del Plan de Seguridad Ocupacional, en base a la Ley General de Higiene y Seguridad Ocupacional y Bienestar (Decreto Ley Nº 16998 del 2 de Agosto de 1979).En el Plan se estableció las funciones y la estructura de un comité mixto de seguridad, se propuso la instalación de la señalización de los Equipos de Protección Personal, ubicación de los extintores, evacuación y señales de prohibición.En el Plan de Seguridad Ocupacional se logro establecer manuales de prevención de accidentes, Manual de procedimiento en caso de accidentes, Manual de primeros auxilios,Manual de procedimientos para el levantamiento de objetos, Manual de utilización de extintores y una planilla para cada equipo de equipos de protección personal.Se llego a determinar el costo que representa la implementación del Plan de SeguridadOcupacional que es de 3,114.75 $us. el cual no era alta ya que este plan esta dirigido a la integridad física del personal por lo que cabe recalcar que en una empresa los recursos humanos son los más importantes.</t>
  </si>
  <si>
    <t>https://drive.google.com/file/d/128voKZ4XGamFR_joN1AuwQinzFDVyYR9/view?usp=sharing</t>
  </si>
  <si>
    <t>https://drive.google.com/file/d/1EMbzWhEXSylmulWqRDfTJU2fFsGx56Ng/view?usp=sharing</t>
  </si>
  <si>
    <t>https://drive.google.com/file/d/1O4FQfin2kwhzKj1New-UKkih5tZEQwED/view?usp=sharing</t>
  </si>
  <si>
    <t>ORSI DORADO GINA SUZETTE</t>
  </si>
  <si>
    <t>ING. FERNANDO XAVIER ROCHA PEREZ</t>
  </si>
  <si>
    <t>DISEÑO DE UN SISTEMA DE GESTIÓN DE CALIDAD BASADO EN LA NORMA ISO 9001:2000 PARA LA EMPRESA IMPRESO S.R.L.</t>
  </si>
  <si>
    <t>argemita@hotmail.com</t>
  </si>
  <si>
    <t>IND-233-2007</t>
  </si>
  <si>
    <t>Calidad, Gestión de calidad, ISO 9001:2000</t>
  </si>
  <si>
    <t>El Proyecto que se realizo tenía como objetivo principal  diseñar un sistema de gestión de calidad basado en la norma ISO 9001 en su versión 2000, para la empresa IMPRESO s.r.l. con el propósito de que la empresa cuente con una herramienta estratégica que beneficie a la organización interna como al merchandising en el mercado nacional e internacional.La metodología que se siguió comienza con un diagnóstico inicial en cuanto a la documentación con que cuenta la empresa referente a su organización, la calidad del servicio y la opinión de los empleados referente a otros aspectos importantes en la provisión de servicio  Una vez obtenida la información se  identifican o determinan los procesos que forman parte del servicio y los que formaran parte del sistema de gestión de calidad a través de un mapa de procesos y luego se  procede a desarrollar los diferentes procedimientos, los procedimientos requeridos por la norma ISO 9001:2000 y los procedimientos necesarios para la realización del servicio, así como los registros correspondientes a cada procedimiento y finalmente las listas maestras donde se almacenan digitalmente diversa información.Finalmente se diseña un plan, un cronograma y una estimación de los costos a los que se incurriría en caso de que la empresa decida implementar el sistema de gestión de calidad.Como conclusiones se tiene el diseño del sistema de gestión de calidad basado en la norma ISO 9001:2000 para la empresa IMPRESO s.r.l., así como el desarrollo de los procedimientos y registros requeridse por la norma como los necesarios para el servicio y por ultimo  recalcar la importancia de contar con un sistema de gestión de calidad basado en la norma ISO 9001:2000  que genere beneficios internos como el ordenamiento de la organización , como beneficios externos, tales como, constituirse como punto inicial hacia una próxima certificación de la empresa.Por último, se recomienda que se implemente el sistema de gestión de calidad en la empresa y que se capacite a todo el personal, desde la alta gerencia hasta el último empleado en todo lo que se refiere a mejora de procesos como a la gestión de calidad según la norma ISO 9001:2000.</t>
  </si>
  <si>
    <t>https://drive.google.com/file/d/1xkEypq14WeDauJH0-pFqOWMCJygyhDGF/view?usp=sharing</t>
  </si>
  <si>
    <t>https://drive.google.com/file/d/1IB8E4DarMj_b_yyI8-qHMCSStifd5cgw/view?usp=sharing</t>
  </si>
  <si>
    <t>https://drive.google.com/file/d/1TeHDnw4890NgrbNG47JTyZqdV_SzftG2/view?usp=sharing</t>
  </si>
  <si>
    <t>CORONEL TRUJILLO MIGUEL ANTONIO</t>
  </si>
  <si>
    <t>PROYECTO DE FACTIBILIDAD PARA LA MODERNIZACIÓN DE LA IMPRENTA DE LA UMSS</t>
  </si>
  <si>
    <t>mactcoronel@hotmail.com</t>
  </si>
  <si>
    <t>IND-234-2007</t>
  </si>
  <si>
    <t>Imprenta de la U.M.S.S., impresión tipográfica, impresión offset, procesos productivos.</t>
  </si>
  <si>
    <t>Cuando la imprenta de la UMSS fue instalada  cubría la demanda de papel impreso de acuerdo a la cantidad y calidad que para ese entonces se requería. Con el pasar de los años, la Universidad fue creciendo y junto con ella sus requerimientos en cuanto a cantidad, calidad y variedad de papel impreso.La imprenta de la Universidad Mayor de San Simón, realiza  trabajos utilizando tecnología tipográfica. La composición del texto, se realiza en forma manual, colocando los tipos movibles de tal manera que forman las líneas y estas a su vez las “planchas”, las que finalmente sirven para reproducir el impreso deseado.En la Imprenta falta  ventilación en casi todas las  secciones de producción, existe peligro de incendio, por la falta de extintores y la distribución en planta no adecuada con el crecimiento que se pretende para el proyecto.La imprenta cuenta con máquinas de impresión tipográficas que no cubren trabajos de impresión con degradación de colores, que cumplan con las exigencias actuales, además que no se imprimen figuras y dibujos que solo lo realizan las maquinas offset, los problemas detectados son: La  Heidelberg Cilíndrica tiene un alto costo operativo; dos fotocopiadoras marca RICOH, modelo FT7870 y una  Impresora digital Priport SS 915, marca RICOH podrían ser reparadas; la linotipo trae problemas de contaminación. (la jornada de quien trabaja con esta máquina no puede ser mayor a seis horas). En el presente estudio se utilizaron dos fuentes de información: la fuente primaria que es el censo que se realizo en las Secretarias Académicas de cada Facultad de la U.M.S.S; como fuente secundaria se tiene aquella información impresa existente en el departamento de Contabilidad de la U.M.S.S., acerca de los gastos que cada facultad tiene anualmente en trabajos de imprenta.El precio es la característica que más interesa a las facultades para elegir una imprenta. También consideran la calidad y la puntualidad. No les interesa la creatividad en los trabajos.De acuerdo a los datos obtenidos se determinó que las facultades requieren la mayor cantidad de trabajos de impresión a principios de cada semestre. La imprenta tendría un intenso trabajo al principio de cada semestre y luego disminuiría sustancialmente.Los trabajos más solicitados a la imprenta de la U.M.S.S. por parte de las Unidades Académicas en orden de importancia son: Recibos, membretes, comprobantes, talonarios, formularios y tarjetas.Los servicios externos que  requieren las facultades en orden de importancia, son los siguientes: Encuadernación, afiches, impresión de libros, recibos, talonarios membretes, comprobantes, formularios, tarjetas y papeletas de VotaciónLa materia prima en este proyecto es: Papel, tinta y BarnicesEntre los materiales e insumos se puede señalar: Placas positivas, sustancias químicas y material de escritorio.El proyecto tendrá una capacidad de 2240000 copias/mes.Las máquinas y equipos para la primera fase a utilizar en la Imprenta son los siguientes: Quemadora, impresora Offset 4 oficios, offset GTO doble oficio, Heilderberg Minerva,  Heildelberg Cilíndrica, grapadora industrial, guillotina polar, mesa de diseño, equipo de computación y mesa de compaginadoEl proceso de impresión en artes gráficas tiene las siguientes etapas productivas: Creación y montaje del diseño, trabajo con el negativo o positivo, impresión y proceso de acabado.En el presente trabajo se plantea una organización lineal, con un nivel de decisión y otro de operación. El nivel de decisión está conformado por el directorio o consejo de la editorial y el director de la imprenta; el nivel de operación esta conformado por las distintas áreas que realizan el proceso productivo. La ejecución de las actividades previas al funcionamiento del proyecto se realizarán en aproximadamente siete meses.Los indicadores de rentabilidad muestran que el presente proyecto es financieramente atractivo.Después  de realizada la evaluación de impacto ambiental se puede concluir que el proyecto provoca un impacto negativo irrelevante (el proyecto esta en la categoría 4), ya que se pueden reducir estos impactos, realizando buenas prácticas de gestión ambiental. Por lo tanto se descarta que el proyecto traiga consigo impactos negativos.A través de los resultados obtenidos se pudo concluir que:ð  La maquinaria, con la que cuenta actualmente la imprenta universitaria, es obsoleta; además de haberse producido la paulatina reducción de personal por el beneficio de la jubilación. ð  La distribución en planta actual de la imprenta no es adecuada con el crecimiento que se pretende para el proyecto, porque el espacio físico en la actualidad es reducido.ð  Se ha logrado determinar los trabajos de imprenta más solicitados por las facultades de la U.M.S.S.ð  Se ha definido las características que toman en cuenta las facultades para elegir y contratar los servicios de una imprenta externa a la UMSS, donde el precio es el factor que más les interesa. ð  La inversión estimada en maquinaria en su primera fase es de $us 110.000,oo.ð  La superficie  necesaria para la puesta en marcha del proyecto es  de 269,00 m2,ð  La inversión total de la primera fase del proyecto asciende a $us 180.140,oo.ð  El proyecto no provoca impacto negativo relevante para  el medio ambiente ni representa un riesgo para la salud de la población universitaria.ð  Los indicadores de rentabilidad muestran que el presente proyecto es financieramente atractivo y factible, ya que la tasa interna de retorno es de 33% y presenta un rendimiento mayor a la tasa de oportunidad en este caso 14%, generando un capital de $us 16.682,oo, a partir del quinto periodo de actividad productiva.Se debe tomar en cuenta: Desarrollar un sistema informatizado para la imprenta, se propone reubicar  la imprenta en el sector de la Facultad de Ciencias y Tecnología, y la obligatoriedad de que los trabajos de impresos de los estamentos de la UMSS se realicen en la Imprenta Universitaria.</t>
  </si>
  <si>
    <t>https://drive.google.com/file/d/1SmrKVDcxFpytiAQ9HFBzWxucLP21U-TA/view?usp=sharing</t>
  </si>
  <si>
    <t>https://drive.google.com/file/d/1ikPpJr2JnfkB8HejbA7wqBpQL8zP5gRS/view?usp=sharing</t>
  </si>
  <si>
    <t>https://drive.google.com/file/d/14HKYw3y_cHFv0ZuQ625cJxHC2ka3x0L9/view?usp=sharing</t>
  </si>
  <si>
    <t>CASTRO ALBA ENZO MARCIAL</t>
  </si>
  <si>
    <t>DESARROLLO DE UN MODELO DE TRABAJO PARA LA ADMINISTRACIÓN DE RECURSOS HUMANOS DE COMTECO</t>
  </si>
  <si>
    <t>Enzo.Castro@gmail.com</t>
  </si>
  <si>
    <t>IND-235-2007</t>
  </si>
  <si>
    <t>Recursos Humanos, modelo esencial, gestión por procesos, mejora continua.</t>
  </si>
  <si>
    <t>La administración de recursos humanos de COMTECO, ha quedado poco adecuada debido a las exigencias y a crecimiento de la empresa, por lo cual se vio necesario desarrollar y realizar una descripción de las actividades realizadas y reformulación, tomando en cuenta la estructura orgánica e implementando mejoras consensuadas con el personal que realiza estas actividades, también se encontró por conveniente la realización de un modelo esencial para un sistema informático.Se realizó una descripción de las actividades que se realizaban en la administración de recursos humanos, identificando que varias de estas actividades no se encontraban coordinadas entre si, originándose información y documentación que no se utilizaba.En coordinación con el personal que realizaba estas actividades, se reestructuraron las tareas en procesos interrelacionados entre si y que interactúan, de manera que los resultados de estos sirvan de entradas a los demás procesos, además de definirse indicadores para llevar un control del comportamiento de estos.Durante la reestructuración de las actividades en procesos se identifico que varias de estas podrían ser realizadas de una manera mas rápida y adecuada utilizando un sistema informático, puesto que no se contaba con ninguna base de datos del personal, con excepción de la parte de planillas, debiendo realizarse los reportes e informes de manera manual, lo cual consume mucho tiempo del personal de recursos humanos.Se desarrollo un modelo de entorno y comportamiento para las actividades que requerían soporte de un sistema, tomando en cuenta los requerimientos del personal para que este sea más amigable para su uso, también se diseñaron las interfaces. El modelo esencial interrelaciona la información del personal, capacitaciones, evaluaciones, programas de motivación, manuales de funciones y perfiles de cargo,  de manera que los datos se mantengan actualizados permanentemente.Con la implementación del sistema se espera que las actividades del personal requieran menor tiempo para su realización, lleve un registro actualizado de las actividades realizadas, un acceso rápido y oportuno a los datos solicitados.</t>
  </si>
  <si>
    <t>https://drive.google.com/file/d/1XSidMwPSsDpLpZWh7G5AeYVDOHVCSZ9P/view?usp=sharing</t>
  </si>
  <si>
    <t>https://drive.google.com/file/d/1bbe_McAmyXoSuJ5IrJdYuwijDAvSoAk5/view?usp=sharing</t>
  </si>
  <si>
    <t>https://drive.google.com/file/d/1HGq3HmbG-Be1YtlBNoiNlllqi7x6dJRs/view?usp=sharing</t>
  </si>
  <si>
    <t>GOMEZ AREVALO EVERTH ELVIS</t>
  </si>
  <si>
    <t>ESTUDIO TÉCNICO-ECONÓMICO PARA INSTALAR UNA PLANTA FUNDIDORA DE LATÓN MEDIANTE EL PROCESAMIENTO DE COBRE Y ZINC EN LA F.B.M.</t>
  </si>
  <si>
    <t>everth_elvis@yahoo.com</t>
  </si>
  <si>
    <t>IND-236-2007</t>
  </si>
  <si>
    <t>Planta Fundidora de Latón, munición, cobre, cinc, FF.AA., Metalurgia, Estudio técnico económico, yacimientos mineros, F.B.M.</t>
  </si>
  <si>
    <t>El escenario en el que se realizo el estudio fue las instalaciones de la Fábrica Boliviana de Munición (F.B.M.), ubicada en la localidad de Cotapachi, provincia de Quillacollo del departamento de Cochabamba.El problema central objeto del estudio fue el aprovisionamiento inoportuno de materia prima básica para la fabricación de munición del cal. 7,62x51 y 5,56x45 mm. (copas de bala y vaina), lo que ocasiona constantes retrasos en la entrega del producto a los clientes de la F.B.M.La solución al problema planteado fue procesar latón militar (materia prima para la fabricación de copa bala y copa vaina) en las instalaciones de la F.B.M. Para tal efecto, se realizo un: “Estudio técnico-económico para ver la factibilidad de instalar una planta de fundición dedicada a la producción de latón militar, a partir del procesamiento de cobre y zinc electrolítico”Primeramente se hizo una descripción de la materia prima y el mercado (latón militar), para posteriormente realizar una descripción del proceso de obtención de cobre y cinc; para ello, se identificaros diferentes yacimientos para el aprovisionamiento de mineral. En el caso del cobre se trabajo con minerales oxidados con leyes mayores o iguales al 5% proveniente de las minas; Corocoro, Veta Verde, Pucara y Chacarilla. Referente al cinc, se trabajo con concentrados de cinc (ley mayor al 40%) provenientes de las minas: Bolívar, Turco o San Cristóbal.La Planta Fundidora de Latón fue dividida en 4 secciones: Chancado, Lixiviación, Electro-recuperación y Fusión; obteniendo como producto final barras o lingotes de latón con un ritmo de producción de 200 kg por día.El área destinada a la Planta fue de 700 m2, con una inversión total de: $us. 250.581, dividida en tres partes: Activo Fijo, Capital de trabajo y Activo Diferido. La tasa interna de retorno TIR fue del 40,6% (50% de financiamiento), demostrando de esta maneta la viabilidad económica del proyecto con un periodo de recuperación de 2,5 años.Por último, se realizo un estudio del impacto ambiental y aspectos legales, donde se determinó que la Planta debe estar enmarcada bajo las normativas de la Ley 1333 (ley del Medio Ambiente) y la Ley 1008 (Ley de sustancias controladas).</t>
  </si>
  <si>
    <t>https://drive.google.com/file/d/1uzyNlkotz59OXp4G43Z8XFMcxCHWT4hz/view?usp=sharing</t>
  </si>
  <si>
    <t>https://drive.google.com/file/d/1FApZZSmQG5BK3J606_pAzr3ik169aQKU/view?usp=sharing</t>
  </si>
  <si>
    <t>https://drive.google.com/file/d/12dNef7kOnHcXwgQmWWg9YeWANPXfjihm/view?usp=sharing</t>
  </si>
  <si>
    <t>BECERRA QUINTANA SHEILA LIZETH</t>
  </si>
  <si>
    <t>TAPIA COCA NOELIA</t>
  </si>
  <si>
    <t>ESTUDIO DE FACTIBILIDAD PARA LA CREACIÓN DE UNA PLANTA PROCESADORA DE LECHE Y SUS DERIVADOS EN EL DEPARTAMENTO DE COCHABAMBA</t>
  </si>
  <si>
    <t>sheilalizeth@hotmail.com</t>
  </si>
  <si>
    <t>IND-237-2007</t>
  </si>
  <si>
    <t>Planta Procesadora de Leche, Factibilidad, Haccp, BPM, Estudio Ambiental Sistema de Calidad.</t>
  </si>
  <si>
    <t>El estudio de factibilidad para la creación de una planta procesadora de leche y sus derivados en el departamento de Cochabamba tiene como objetivo fundamental estudiar la factibilidad técnica y financiera para obtener los suficientes elementos de juicio como para determinar la conveniencia de efectuar inversiones en la instalación de la Planta.Primeramente se realizó un Estudio de Mercado en el cual nos permitió identificar y ubicar a las principales empresas de productos lácteos, así también determinar las tendencias de consumo y el perfil del consumidor final del presente proyecto.También se determino la localización y emplazamiento de la planta, se estableció la mano de obra necesaria para el funcionamiento del proyecto.En Ingeniería del proyecto se determino la capacidad de la planta, se estableció el proceso productivo de todos los productos a elaborar, la determino la tecnología necesaria para la elaboración de productos lácteos, la infraestructura necesaria y la distribución de la planta.Se estableció un sistema de gestión de calidad para asegurar la inocuidad y calidad de los alimentos.Mediante el Estudio Financiero se llego a la conclusión de que el proyecto es factible y es mas atractivo el proyecto con financiamiento, esta respaldado por los siguientes indicadores financieros: VAN = 248.922 $us, TIR = 22 %,  B/C = 1.97 $us.  la inversión total del proyecto es 901.769 $us. Contando con un aporte propio de 270.531 $us. 631.238 La venta de los productos se realizara en forma indirecta a través de minoristas y serán comercializados a los siguientes precios: leche entera de 1 litro a 3.2  Bs., Yogurt de 1 litro a 7.20 Bs., queso de 1 kg. a 11 Bs. y Crema de Leche  de 500 gr. a 15 Bs.Se realizo un estudio de Impacto Ambiental en el cual se determino que la categoría a la cual pertenece el Proyecto según el anexo 1 del RASIM es categoría 4, no requiere de Evaluación de Impacto Ambiental, plan de manejo Ambiental ni descripción del proyecto.</t>
  </si>
  <si>
    <t>https://drive.google.com/file/d/1iKUkbUdmd_4kPhkuAS5sAbKMrWl-CfQL/view?usp=sharing</t>
  </si>
  <si>
    <t>https://drive.google.com/file/d/1GYBdyOQPOYBrgvqopiJx5zf1AJTo1AiS/view?usp=sharing</t>
  </si>
  <si>
    <t>https://drive.google.com/file/d/1MMuVHKJIyGDocIi_vUitKIsCk_voS53y/view?usp=sharing</t>
  </si>
  <si>
    <t>CUENCA MENDOZA MARCELO RAUL</t>
  </si>
  <si>
    <t>LIC. RAMIRO ZAPATA B.</t>
  </si>
  <si>
    <t>PLAN DE NEGOCIOS PARA EL JUGO DE CAMU CAMU</t>
  </si>
  <si>
    <t>mrcuenca_1@hotmail.com</t>
  </si>
  <si>
    <t>IND-238-2007</t>
  </si>
  <si>
    <t>plan financiero, marketing, globalización, mercado meta</t>
  </si>
  <si>
    <t>Primeramente se realzo un estudio minucioso de  lo que es el fruto en si, cuales son su principales propiedades  y los beneficios que podrá brindar a la sociedad, se detecto que se tiene grandes propiedades y beneficios como por ejemplo alto contenido de acido ascórbico, vitamina C, además de ser un adelgazante natural, es astringente, anti oxidante, etc.Para luego realizar una investigación de mercado en el cercado- Cochabamba, la cual nos arrojo resultados importantes en los cuales se plasma que no existe primero conocimiento del fruto, segundo no existe un consumo del mismo, con dicha investigación se centra en las estrategias de mercado a realizar, tomando en cuenta la mezcla de mercadotecnia, o mas conocida como marketing mix.Se basa en la promoción y publicidad del jugo que se pretende comercializar en el cercado, se pretende ingresar en el desayuno escolar por ser una opción importante para la comercialización de dicho producto a producir.Pero como se pretende contar con una organización s le tiene que dotar de una estructura organizacional la cual se centra en un gerente general el cual dirigirá, coordinara, y planificara junto con los de mas mandos medios de la organización, a demás de contar con programa de producción en la cual se tiene que hacer énfasis en lo que es una seguridad industrial, la cual se plantea dentro de lo que es la producción.Dentro de lo que es la parte organizacional ya mencionada con anterioridad, agroindustrias Tunari  será conformada como una empresa unipersonal compuesta por socios los cuales tendrán a su cargo la parte del financiamiento.Y como último paso realizado dentro de lo que se refiere al plan de negocios y tal vez uno de los más importantes y también uno de los más álgidos es la parte financiera en la cual se realizo en primer lugar la selección de los costos fijos y costos variables , luego se estableció las depreciaciones.Luego se estableció el financiamiento por el cual se tendrá socios y además prestamos de entidades financieras.</t>
  </si>
  <si>
    <t>https://drive.google.com/file/d/1rlgWI06dQH7IWgFGi58CK9Rf_sSOogGN/view?usp=sharing</t>
  </si>
  <si>
    <t>https://drive.google.com/file/d/1O3kxDYXe497QfoqnfW1zTyMXLM5jVpE3/view?usp=sharing</t>
  </si>
  <si>
    <t>https://drive.google.com/file/d/1OomekRxhG-wDiz_wkLDprNZGuq3L6OdU/view?usp=sharing</t>
  </si>
  <si>
    <t>FLORES GONZALES MARIA MAGDALENA</t>
  </si>
  <si>
    <t>ING. ERNESTO EDWIN LÓPEZ LIMACHI</t>
  </si>
  <si>
    <t>ESTUDIO TÉCNICO ECONÓMICO PARA LA EXPLOTACIÓN INTENSIVA DE MIEL DE ABEJA EN LA LOCALIDAD DE BELLA VISTA</t>
  </si>
  <si>
    <t>Gatobebe@hotmail.com</t>
  </si>
  <si>
    <t>IND-239-2007</t>
  </si>
  <si>
    <t>Apicultura, miel, microempresa rural, colmenas, análisis de riesgo.</t>
  </si>
  <si>
    <t>El objetivo del proyecto fue realizar un estudio de factibilidad para la instalación de un apiario en la zona de Bella Vista, al norte de la ciudad de Quillacollo.Los productos de la colmena son: la miel, el polen, propóleos, jalea real, cera, material genético y veneno de abeja. Se determinó que la productividad de la colmena esta asociada al nivel de población y la flora apicola del lugar. La miel solo es responsable por el 60% de los ingresos potenciales.Los factores críticos, tomados en cuenta, para el desarrollo del apiario fueron: la aleatoriedad de la productividad de las colmenas, el numero de colmenas limitado a un máximo de 40 en un solo apiario en un radio de 3 kilómetros, las típicas limitantes rurales de acceso al crédito, la tecnología de manejo de colmenas, mercados poco desarrollados.El estudio de mercado solo consideró la miel, como producto para el consumidor final. Los demás productos de la colmena serian colocados con los acopiadores o a pedido. El consumo de miel tendría una estacionalidad clara en los meses de invierno coincidente con los brotes de infecciones respiratorias.La frecuencia de consumo fue considerada como baja. Los rangos de precios demostraron ser dispersos. El consumidor reconoció a la miel como un manjar medicinal. Se vendería principalmente en la cancha y a granel. La dosificación consumida en las pruebas de mercado no excedió los 27 gramos por vez.La tecnología elegida fue la de la colmena Langstroth de cuadros móviles. Los equipos de manufactura no consumirían energía eléctrica. El agua, la alimentación con jarabe de azúcar, los tratamientos sanitarios y la capacitación del apicultor fueron considerados como factores clave para la mejora de la productividad. En términos de costos fueron los menos significativos.El número de colmenas para el apiario quedo establecido en 35 unidades. El estudio determino un valor más probable de productividad de 35 kilogramos de miel por colmena por año, mientras que el promedio en los valles de Cochabamba esta por los 25.Las condiciones climáticas en la zona de Bella Vista fueron consideradas aptas para la apicultura. Se observo ciertos niveles de contaminación por herbicidas y aguas de desechos humanos no tratadas. El inicio de operaciones debería planificarse como máximo hasta el mes de septiembre, que es cuando los núcleos de las nuevas colmenas estarían disponibles comercialmente.El proceso de manufactura de la miel es simple pero por ser un alimento de consumo humano, se propuso la implementación de normas del codex alimentarius en el diseño de la infraestructura, así como en los procedimientos de buenas prácticas de manufactura y producción. El único residuo establecido como recuperable fue la cera, todo lo demás debe ser incinerado y enterrado.La empresa fue clasificada como unipersonal o familiar, debería acogerse a los beneficios del Régimen Agropecuario Unificado. La inversión total alcanzo los 67,932 bolivianos. Los flujos del proyecto fueron evaluados en moneda nacional y a precios constantes. Los factores clave para los rendimientos financieros fueron las condiciones del crédito, el riesgo asociado a la tasa de descuento del inversionista y la productividad alcanzada. La probabilidad de alcanzar un VAN y un TIR aceptable supero el 85%.</t>
  </si>
  <si>
    <t>https://drive.google.com/file/d/13NMf76vlY5l6WsmIBvPniyMb9iXky1ai/view?usp=sharing</t>
  </si>
  <si>
    <t>https://drive.google.com/file/d/1BJpqYBTwVysrzJXheZqcN3-LYKOunxRH/view?usp=sharing</t>
  </si>
  <si>
    <t>https://drive.google.com/file/d/1Jvy4wjhCFh8KtisI87Ke5tSqHA4HtPix/view?usp=sharing</t>
  </si>
  <si>
    <t>DORADO SALAZAR FABIANA</t>
  </si>
  <si>
    <t>ING. DERLY FAVIANA GUTIÉRREZ RÔA</t>
  </si>
  <si>
    <t>FORMALIZACIÓN DE MODELO PARA EL MANEJO DE LOS RECURSOS HUMANOS Y FINANCIEROS EN EL LABORATORIO DE GEOTECNIA DE LA UNIVERSIDAD MAYOR DE SAN SIMÓN</t>
  </si>
  <si>
    <t>fabianadorado@hotmail.com</t>
  </si>
  <si>
    <t>IND-240-2007</t>
  </si>
  <si>
    <t>Formalización, Laboratorio de Geotecnia, mejora continua.</t>
  </si>
  <si>
    <t>Formalización proviene del verbo formalizar, y se refiere a establecer el procedimiento y contenido de cada objetivo planteado, acorde a disposiciones legales y reglamentarias que norman las actividades de las instituciones del sector público; de tal manera que el Laboratorio de Geotecnia desempeñe sus actividades dentro de un marco normativo y práctico; la formalización se realiza sobre la base de un proceso de mejora. La Formalización de Modelo para el Manejo de Recursos Humanos y Financieros en el Laboratorio de Geotecnia de la Universidad Mayor de San Simón, se ha desarrollado con el fin de aportar a tareas de estructura organizacional y de apoyo, tareas que corresponden a un cronograma de actividades desarrollado por el Laboratorio, para el cumplimiento de requisitos de la Norma NB ISO 17025:2005.La elaboración de este trabajo, se inició con el conocimiento del las actividades que se realizan en el Laboratorio de Geotecnia, exploración de información y disposiciones legales que permiten cumplir los objetivos.En consecuencia, se coadyuvó para un mejor desenvolvimiento de los recursos humanos y en el ámbito financiero se proveyó las herramientas que le permiten divisar su situación financiera y una estructura de costo adecuada para la prestación de servicios; lo cual contribuye a administrar sus recursos eficientemente y recaudarlos de tal manera que se saldan los costos operativos y de prestación de servicios.</t>
  </si>
  <si>
    <t>https://drive.google.com/file/d/1gHekA40lICgEWSB95XMjsiN52KqIERXO/view?usp=sharing</t>
  </si>
  <si>
    <t>https://drive.google.com/file/d/1ckkiivEitKSUwPmJemNBlk7wVFf4pMGn/view?usp=sharing</t>
  </si>
  <si>
    <t>https://drive.google.com/file/d/1jf1MHT8AwZYLeQAawLVjnDV2qtTfhWMU/view?usp=sharing</t>
  </si>
  <si>
    <t>VARGAS VEIZAGA EDUARDO MARCELO</t>
  </si>
  <si>
    <t>VILLARROEL COVARRUBIAS WILSON RAUL</t>
  </si>
  <si>
    <t>MODELO DE UN SISTEMA DE GESTIÓN PROACTIVO PARA LA PREVENCIÓN Y CONTROL DE RIESGOS LABORALES EN EMPRESAS MANUFACTURERAS</t>
  </si>
  <si>
    <t>superchelo_ss@hotmail.com</t>
  </si>
  <si>
    <t>IND-241-2007</t>
  </si>
  <si>
    <t>Prevención, Riesgos Laborales, Sistema  de Gestión, Modelo       proactivo.</t>
  </si>
  <si>
    <t>El proyecto contempla el Diseño de un Sistema de Gestión Proactivo para la Prevención y Control de Riesgos Laborales (SGPCRL) en un centro de producción manufacturera, con un promedio de 10 a 100 personas según el reglamento para la conformación de Comités Mixtos de Higiene y Seguridad Ocupacional, Cap. III, Art. 5. De la Ley General del Trabajo, establecido por el Ministerio de Trabajo.Para la creación de dicho SGPCRL se ha tomado como base la norma de reconocido prestigio NB OHSAS 18001 (Occupational Health and Safety Management Systems). Se ha realizado una evaluación inicial en las empresas en el área de prevención, seguridad y salud laboral, analizando su grado de adecuación a la Legislación Boliviana,  así como el funcionamiento del  Departamento de Higiene y Seguridad Ocupacional, normado por la Ley General de Higiene y Seguridad Ocupacional (LGHSO).  A continuación se ha diseñado un Modelo de un Sistema de Gestión adecuado a la empresa, que recoja la política preventiva, la organización necesaria, los controles a los procesos preventivos y su integración en el centro de producción.</t>
  </si>
  <si>
    <t>https://drive.google.com/file/d/1qNKqPFnMw396r99ItNgM_ezbrv-Sm9zF/view?usp=sharing</t>
  </si>
  <si>
    <t>https://drive.google.com/file/d/1Zl6XYZ0wklgf-kM9ZJQGXEYNY4TJc8Pq/view?usp=sharing</t>
  </si>
  <si>
    <t>https://drive.google.com/file/d/1WVuew0mQKR8qIHr6CQGFXj8vpu90qsTU/view?usp=sharing</t>
  </si>
  <si>
    <t>FUNES ZEBALLOS CLAUDIA JIMENA</t>
  </si>
  <si>
    <t>ING. OSCAR JOSÉ ROJAS VILLARROEL</t>
  </si>
  <si>
    <t>MODELO DE GESTIÓN PARA MEJORAR LA PRODUCCIÓN DE ALIMENTO BALANCEADO PARA TRUCHA EN LA UNIDAD PRODUCTIVA CARITAS</t>
  </si>
  <si>
    <t>I-2008</t>
  </si>
  <si>
    <t>claudiajfz@gmail.com</t>
  </si>
  <si>
    <t>IND-242-2008</t>
  </si>
  <si>
    <t>Planta de alimento balanceado Caritas, Modelo de Gestión, Gestión por Procesos, Mejora del Proceso Productivo de Alimento Balanceado para trucha.</t>
  </si>
  <si>
    <t>Primeramente se realizó un análisis de mercado del departamento de Cochabamba, tomando en cuenta el consumo de pescado en la población, la producción de trucha en la región y la demanda de alimento balanceado de los respectivos criaderos. En dicho análisis se identificó un déficit en el consumo de pescado de 10,88 kilogramos por año y por persona. Asimismo, se observó un incremento gradual en la producción de trucha y en la demanda del alimento balanceado.Seguidamente se evaluó a los productores de trucha, que adquieren alimento balanceado de “Caritas”; con el objetivo de conocer los puntos del proceso que se deben mejorar y satisfacer las exigencias y necesidades del cliente.Posteriormente se realizó un análisis de la situación actual, para conocer con detalle el funcionamiento, capacidad de la planta y los productos elaborados; asimismo se evaluó cada uno de los procesos y parámetros de control respectivos que intervienen en la fabricación, desde el ingreso de la materia prima hasta la salida del producto terminado; con el fin de mejorar el proceso productivo de la empresa y conocer los puntos críticos que inciden en la calidad del productoLa recolección de datos es resultado de acciones relacionadas a: a)     Entrevista directa con el responsable de la planta procesadora.b)     Observación directa de los procesos que intervienen en la fabricación c)     Evaluación de datos históricos. En esta parte del proyecto se elaboró el cursograma analítico actual del proceso en el que se observó que el 65% de las actividades no agregan valor, tan solo costo. Luego se realizó la descripción de los principales procesos que intervienen en la elaboración del producto, y se identificaron los principales problemas en la producción, que afectan la calidad del alimento y ocasionan costos adicionales en la empresa. Así mismo se indicaron los principales puntos de control, para su posterior análisis.Posteriormente se proporcionaron soluciones a los problemas considerados, por el responsable de producción, como los más importantes para garantizar la calidad del alimento y mejorar la productividad de la planta. Las mejoras sugeridas hicieron referencia principalmente al cumplimiento de normas de operación de los equipos que intervienen en los procesos y en algunos casos se requirieron además inversiones pero de carácter marginal.A continuación, se aplicó un modelo de gestión por procesos, para controlar y mejorar el proceso. El sistema objeto de estudio, en el cual se aplicaron los conceptos proporcionados por dicho modelo, fue el proceso de producción de la planta. Como parte procedimental se establecieron las siguientes acciones: a)     Identificar los elementos del sistema a estudiar y los factores críticos de éxito que permitan garantizar la calidad del producto durante el proceso. b)     Realizar el análisis de cada uno de los subprocesos que lo componen, estableciendo sistemas de control de sus respectivos indicadores para una mejora continua en producción. c)     Evaluar la productividad del proceso en base a la evaluación de los factores críticos e indicadores.Como resultado el proceso de producción indica una señal de alerta, ya que tiene una productividad del   44 % y una deficiencia del 56 %. Esto nos indica que el proceso productivo esta siendo afectado por las deficiencias y limitaciones detectadas. Se detectó que el desempeño del proceso de producción se encuentra por debajo del límite de aceptabilidad, razón por la cual es necesario aplicar las acciones correctivas propuestas en cada subproceso, de modo que se incremente la productividad y se establezca una cultura de mejora continua en la planta procesadora. Seguidamente dentro el cursograma analítico propuesto elaborado se observó que con la eliminación del 40% de las actividades que no agregan valor al producto y con los cambios sugeridos para garantizar la calidad en el proceso productivo, es posible reducir el tiempo de producción de 1462 min a 317 min.A continuación se realizó un análisis de costos, en el que se presenta el costo total unitario actual de cada tipo de alimento elaborado por la empresa costo total unitario propuesto, respecto a una cantidad promedio anual estimada, que resulta del incremento en ventas generado por la compra más frecuente de los clientes actuales y por la incorporación de nuevos clientes que buscan una garantía de calidad del producto que adquieren.El aporte de mejoramiento contribuyó a la reducción del 3 y 4 % respecto al costo unitario de producción, sin significancia en el cálculo por unidad, sin embargo el ahorro será mayor a medida que el volumen de producción se incrementa en la planta.Asimismo se realizó la evaluación de la relación beneficio/costo (B/C), que muestra la cantidad de dinero actualizado que recibirá el proyecto por cada unidad monetaria invertida. Se determina dividiendo los ingresos brutos actualizados (beneficios) entre los costos actualizados. El costo de las mejoras propuestas, fue incluido en cada uno de los componentes  del costo total de producción. Asimismo, los beneficios se ven reflejados en el ingreso por ventas obtenido en el mismo periodo de tiempo.La relación costo beneficio dió como resultado 1.34, valor mayor a 1, lo que justifica incorporar las mejoras propuestas en planta.A través de los resultados obtenidos se pudo concluir que todas las medidas propuestas, permitirán mejorar significativamente la productividad de la empresa y las utilidades consiguientes. Ello, sin contar con la posibilidad de una mayor utilización de la capacidad instalada posible con una mayor producción y/o la fabricación de otros alimentos. Ambas posibilidades, sin embargo, requieren estudios de mercado (promoción, publicidad, distribución) que están fuera del alcance de este estudio.</t>
  </si>
  <si>
    <t>https://drive.google.com/file/d/1gxAi3PYje9E6wrEcClZkg2jIylAVbi-J/view?usp=sharing</t>
  </si>
  <si>
    <t>https://drive.google.com/file/d/1oBm-dVTZVyDeeWgOzfTbVEXhmSUhL6pR/view?usp=sharing</t>
  </si>
  <si>
    <t>https://drive.google.com/file/d/10u1dMNo7GFWFNYw_GiNyIILTDCOuulIX/view?usp=sharing</t>
  </si>
  <si>
    <t>ARNEZ AGREDA JOSE MAURICIO</t>
  </si>
  <si>
    <t>PLAN DE MARKETING DE LA CORPORACIÓN DILLMANN PARA SU LÍNEA DE MERMELADA HOGAR</t>
  </si>
  <si>
    <t>marnez23@hotmail.com</t>
  </si>
  <si>
    <t>IND-243-2008</t>
  </si>
  <si>
    <t>Plan de Marketing, Mermelada Hogar, CORDILL, Matriz FODA, Matriz Perfil Competitivo, Matriz Porter, Plan de Acción.</t>
  </si>
  <si>
    <t>La realización del proyecto comenzó con la realización del diagnóstico general en que se analizó los factores externos e internos que influyen a la empresa, de tal forma se pudo obtener las fortalezas, debilidades, oportunidades y amenazas. Elaborando la matriz FODA. Además se realizó el análisis de las fuerzas competitivas de Porter, de las cuales se obtuvieron las siguientes conclusiones:·       La rivalidad entre competidores es media, debido a que son pocas las empresas que realizan estrategias que marcan la diferencia dentro el sector. ·       La entrada potencial de nuevos competidores al sector de mermeladas es media, debido a que las barreras de entrada en el sector no son muchas y el costo de producción no es elevado. La capacidad negociadora con los clientes es regular, debido a que el cliente busca un producto que le brinde satisfacción en su sabor y un plus natural.La capacidad de negociación con los proveedores de materia prima e insumos por parte de la empresa es media.·       La cantidad de productos sustitutos es elevada, puesto que la presencia de los productos sustitutos en el mercado lo vuelve un escenario más competitivo.Posteriormente se realizó la investigación de mercados para conocer las características que posee el sector de mermeladas. Para realizar el procedimiento de recolección de datos se recurre a la investigación descriptiva a través de encuestas personales, también se utilizó el método de la observación del sector de mermeladas, de esta manera se obtuvo un panorama más claro de cuales son los competidores de la empresa en los distintos puntos de venta.Posteriormente se procedió a realizar la recolección de datos en los mercados, ferias zonales y centros de abasto. De los distritos y municipios del estudio.De la observación realizada del sector de mermeladas se concluye que:Las marcas que tienen mayor presencia en los distintos puntos de venta son las marcas: DEL VALLE, ARCOR, ORIETA, DILLMANN y HOGAR.Los envases en los que son presentados la marca de mermelada HOGAR de la empresa son similares a los de su competencia directa, como son las marcas CANDY y DEL VALLE. Las etiquetas que presentan a la marca de mermelada HOGAR de la empresa son poco llamativas.La publicidad y promoción que realiza la competencia es agresiva.También se pudo apreciar que en el sector de mermeladas se están introduciendo nuevas líneas de mermeladas, como ser mermeladas “LIGHT”.Una vez realizada la investigación de mercado en los distritos de la ciudad de Cochabamba y los municipios de Quillacollo y Sacaba se presentaron los siguientes resultados.La marca de mermelada HOGAR se encuentra en una posición expectable en el mercado.Los factores que motivan a los consumidores finales a realizar su compra son principalmente: el sabor a fruta, la pulpa de fruta, precio, envase, y en algunos  casos la tradición de su marca. ·       Los sabores de Frutilla y Durazno son los que poseen mayor preferencia por parte de los consumidores finales. El 40 % del total de los encuestados conoce la marca HOGAR, por lo cual la marca tiene un nivel regular de posicionamiento en el mercado. El 21 % de los encuestados que conocen la marca HOGAR aseguran que la característica que no les agrada de la marca es el envase y la tapa. Se pudo apreciar que la mermelada posee una gran adaptabilidad con otros productos al momento de ser consumidos debido a la versatilidad que posee la mermelada. De la matriz de perfil competitivo se concluyo que las empresas DEL VALLE y ARCOR, son las principales empresas competidoras de CORDILL, y estas empresas tienen una leve ventaja competitiva debido a que realizan promociones y un constante apoyo a la marca a través de campañas publicitarias.Durante el plan de acción se propuso las siguientes líneas de acción como ser: la presentación del producto, distribución y políticas de comercialización.Por tanto se plantearon los objetivos para alcanzar el éxito comercialModificar el producto en lo que refiere al desarrollo de la calidad, nuevos envases y etiquetas de las mermeladas.Mejorar y organizar el sistema de distribución de los productos, en lo que respecta a calendarios de entrega y pedidos. Conseguir una relación de beneficio mutuo con proveedores.Apoyar a la marca a través de campañas publicitarias y promociónales, fortaleciendo la imagen de la marca.  Conseguir una participación de mercado del 5,77 % en el departamento de Cochabamba a través del tiempo de vida del proyecto de cinco años.Las estrategias planteadas se desarrollan a continuación.Estrategias IntensivasEstrategia Intensiva de Penetración en el Mercado: Se elige esta estrategia con la finalidad de lograr una mayor participación en el mercado.Estrategia Intensiva de Desarrollo del Producto: Buscando alcanzar mayores ventas, se propone la estrategia de modificación del producto.Estrategias IntegrativasEstrategia de Integración Hacia Delante: Con la finalidad de alcanzar un mayor control y mejorar los canales de distribución.Estrategia de Integración Hacia Atrás: Buscando mantener y firmar nuevos convenios de beneficio mutuo con los proveedores.Otras Estrategias·       Estrategia de Promoción de Venta y Publicidad: Con la finalidad de posicionarse en la mente de los consumidores.Durante la evaluación financiera se aprecio la viabilidad del proyecto, las consideraciones que se tomaron para calcular dichos indicadores son un TMA del 12 %, precio se mantiene invariable durante los cinco años de vida del proyecto, valor residual del 10 %. Proporcionando los siguientes resultados:VAN = 26536 $usTIR = 23 %B/C = 1,46Estos valores calculados demostraron la viabilidad del proyecto demostrando ser un proyecto económicamente rentable.</t>
  </si>
  <si>
    <t>https://drive.google.com/file/d/1tMD4BwWnlkJa8mL2t9pD8gUmTvKM5asB/view?usp=sharing</t>
  </si>
  <si>
    <t>https://drive.google.com/file/d/1EO-44qkzegih5SbHpwpgk_iCIiYT8rkO/view?usp=sharing</t>
  </si>
  <si>
    <t>RUBENS ALBERTO ARTEAGA VILLARROEL</t>
  </si>
  <si>
    <t>ING. JUVENAL CARRILLO MAMANI</t>
  </si>
  <si>
    <t>GUÍA INTERNA DE GESTIÓN DE SEGURIDAD INDUSTRIAL EN LA CADENA DE ESTACIONES DE SERVICIO EL MANANTIAL EN EL RUBRO DE GAS NATURAL VEHICULAR.</t>
  </si>
  <si>
    <t>Havanaheavy@msn.com</t>
  </si>
  <si>
    <t>IND-244-2008</t>
  </si>
  <si>
    <t>O´ring, virolas, conectores, requitar</t>
  </si>
  <si>
    <t>La estación de servicio el Manantial comercializadora de GNV e hidrocarburos como la gasolina y diesel. Ha permitido realizar un modelo de guía interna de gestión de seguridad industrial, debido a la existencia latente de situaciones potenciales de alto riesgo que puede paralizar  el servicio de comercialización que ofertan.Primeramente se dispone la división del proyecto por capítulos en función a la definición que engloba la seguridad industrial que identifica tres tipos de recursos (humanos, materiales y financieros). Cada uno de estos debe contemplar con una protección  activa y protección pasiva  para ello tomamos medidas internas que es el tema del proyecto y medidas externas.Para posicionarse e identificar la situación actual se realiza la gerencia de riesgo. Evaluando e identificando riesgos aplicando el método  de mapa de riesgos, Posteriormente   aplicamos análisis preliminar de riesgo para identificar causa, efecto y medida preventiva y/o correctiva, que es la que alimenta el manual de operaciones de la guía. Una vez identificado que un falla en el compresor inhabilita el servicio de la estación se realiza un análisis de evento indeseado con el método de análisis de árbol de fallas.En cuanto  a la seguridad industrial importantes es definir la declaración de principios y realizamos los lineamientos de las políticas para lograr el alcancé de estos.Dentro la seguridad contra incendios identificamos situaciones potenciales de riesgo (almacenamiento de depósitos, falta de permisos para trabajos con riesgos,  ausencia de sensores de detección automáticos, Falta de capacitación en operabilidad de extintores según la  clase del incendio, Inexistencia de sistemas de enfriamiento hidrante). Valoramos todas bajo el principio de las 5-s generando una comisión de emergencias de reacción inmediata  hasta la llegada de socorro exterior.El capitulo de intrusión y robo define el organigrama del personal de seguridad asignando responsabilidades y funciones, además realiza el lineamiento de la seguridad interna dentro la empresa y Capacita para  la conducta a seguir en caso de asaltos o vandalismo.    Dentro lo que engloba la normativa de seguridad en el trabajo  realizamos un sistema de gestión de seguridad realizando un análisis global por el método de APR y previsión de seguridad en los temas de riesgos eléctricos, desorden en la empresa deficiente iluminación, falencias en la señalización. Riesgos mecánicos por el funcionamiento del compresor y el requerimiento de medios humanos para baja la intensa carga de otros. Con un formación previa. La higiene industrial es la ciencia de la anticipación, la identificación, la evacuación y el control de los riesgos que se originan en el lugar de trabajo o en relación con él, que pueden poner en peligro la salud y el bienestar de los trabajadores de contaminante químicos, biológicos y fiscos.La gestión  medio ambiental se basa en el cumplimiento de la ficha ambiental  Para obtener la declaratoria de impacto ambiental DIA y la declaratoria de adecuación ambiental DAA respectivamente supervisadas por la unidad de gestión ambiental La relación costo beneficio concluye dando vialidad al proyecto para su implementación.</t>
  </si>
  <si>
    <t>https://drive.google.com/file/d/1Ppvvr3Lwbw7ElIRvbQEow-GzfwJbabkk/view?usp=sharing</t>
  </si>
  <si>
    <t>https://drive.google.com/file/d/1F-zCJPVfqiO_2MWQORsjnPSFuq0zJmLN/view?usp=sharing</t>
  </si>
  <si>
    <t>https://drive.google.com/file/d/1tOtEuDlCXmbsUdbGVrY-GXWQgog8SLeg/view?usp=sharing</t>
  </si>
  <si>
    <t>JHONNY DAVID QUISPE MOYA</t>
  </si>
  <si>
    <t>DANAE EBOLI FUENTES GARCÍA</t>
  </si>
  <si>
    <t>DESARROLLO DE UN PLAN ESTRATÉGICO DE COMERCIALIZACIÓN PARA LA EMPRESA FLORÍCOLA EROS.</t>
  </si>
  <si>
    <t>dananushka@hotmail.com</t>
  </si>
  <si>
    <t>IND-245-2008</t>
  </si>
  <si>
    <t>Empresa Florícola, Comercialización, Diagnóstico, Desarrollo de Estrategias, Exportación, Rosas.</t>
  </si>
  <si>
    <t>El objetivo del proyecto fue desarrollar una propuesta estratégica de comercialización para la Empresa Florícola EROS, la cual responda a características existentes en la dinámica comercial florícola en los principales puntos del mercado local, contemplando además la comercialización de sus productos en mercados extranjeros.Lo primero que se hizo fue realizar un Diagnóstico General de la Empresa en cada una de sus áreas funcionales, donde se identificó las principales fortalezas y debilidades de la empresa con la utilización de la Matriz de Evaluación de los Factores Internos; además de las principales Oportunidades y Amenazas que enfrenta la empresa con la Matriz de Evaluación de los Factores Externos. Se determinó que la empresa presenta grandes debilidades en el área de Comercialización, debido fundamentalmente a: un limitado poder de negociación y cobertura de mercado a razón de contar con una sola cliente, decisiones comerciales y de producción en base a experiencia y simple observación, falta de políticas de comunicación, promoción y publicidad.Es así que era necesario e imprescindible desarrollar una investigación del mercado a nivel local para conocer las características y situación del sector florícola para así orientar una respuesta de la empresa mediante un plan estratégico de comercialización.Seguidamente como complemento a la investigación de mercados del sector florícola, se realizó un análisis en lo referente a información sobre el contexto internacional para identificar los posibles mercados extranjeros en los que la empresa podría iniciar actividades dirigidas a concretizar exportaciones. Como resultado del análisis se concluyó que los mercados de Estados Unidos, Paraguay y Chile presentan situaciones y condiciones favorables para la una negociación internacional positiva. Como dato adicional se tiene que el mercado mundial de Flores de Corte está creciendo a una tasa de 6% cada año.En base la información adquirida anteriormente se desarrolló el Plan Estratégico de Comercialización que cuenta con una serie de nueve estrategias orientadas a: Producto, Precio, Distribución y Comunicación, las cuales contienen treinta y siete líneas de acción que permiten concretizar los objetivos del plan, cada una de ellas cuenta con su indicador de control y seguimiento que permitirá a sus responsables de área controlar la funcionalidad de cada estrategia; por último, se ha elaborado un plan operativo anual. Estos elementos desarrollados responden a los objetivos genéricos de la empresa, su misión y visión establecidosFinalmente se realizó un análisis y evaluación financiera que muestra de manera clara y concisa los beneficios que devolverá el proyecto a lo largo de los 5 años de la misma, demostrándose no solo la viabilidad del plan, sino además los beneficios económicos y de desarrollo empresarial que conlleva la implementación del plan estratégico propuesto.</t>
  </si>
  <si>
    <t>https://drive.google.com/file/d/1pBrOR7Snf1qz5EBsqrRQ6YriJF2xyqA_/view?usp=sharing</t>
  </si>
  <si>
    <t>https://drive.google.com/file/d/1yUN6Sv0MY5T1ZuTjwWoCpa9rIZpCGEWl/view?usp=sharing</t>
  </si>
  <si>
    <t>https://drive.google.com/file/d/1zMdH0k9G_f-PMZQ6dW9E8nE5Ural4V5T/view?usp=sharing</t>
  </si>
  <si>
    <t>VERA MALDONADO JOSE LUIS</t>
  </si>
  <si>
    <t>ESTUDIO DE FACTIBILIDAD TÉCNICA Y FINANCIERA PARA LA IMPLEMENTACIÓN DE UNA FÁBRICA DE ACCESORIOS PARA COLCHÓN: RESORTES, ESPIRAL Y ALGODÓN ARTIFICIAL PARA LA EMPRESA OMOFLEX</t>
  </si>
  <si>
    <t>adiomonte_04@yahoo.com</t>
  </si>
  <si>
    <t>IND-246-2008</t>
  </si>
  <si>
    <t>Fábrica de accesorios de colchón OMOFLEX, Factibilidad, Valor  actualizado neto, Tasa interna de retorno, Relación beneficio costo.</t>
  </si>
  <si>
    <t>El trabajo que se realizo tenia como objetivo realizar un estudio de la implementación de una fábrica de resorte, espiral y algodón artificial para la empresa Omoflex. Para así, determinar la factibilidad técnica y financiera de producir estos accesorios y ayudar en la toma de decisión de invertir en esta iniciativa.Para el Proyecto se realizaron un estudio de mercado, un estudio técnico, un estudio organizacional y un estudio financiero.Se determino que el mercado objetivo del Proyecto son las fábricas de colchones que no están conformes con sus actuales proveedores de resorte, espiral y algodón artificial, siendo el 45 por ciento de las fábricas en Cochabamba y Santa Cruz.Se determino que estos accesorios serán producidos con maquinaria diseñada y fabricada por el Programa de Desarrollo de Tecnologías  de Fabricación de la Universidad mayor de San Simón.El requerimiento de personal para la fábrica fue calculado en 21 empleados, que se distribuyen en los departamentos de dirección, administración, producción y comercialización.También se determino que la construcción y montaje de fábrica será realizado en 37 semanas y su ubicación sea en Jaihuayco, zona sur de la ciudad de Cochabamba.Finalmente se realizó un análisis del Proyecto mediante indicadores de rentabilidad, lo cual demostró que la implementación de una fábrica de resorte, espiral y algodón artificial es técnica y financieramente rentable, siendo factible la realización de este Proyecto.</t>
  </si>
  <si>
    <t>https://drive.google.com/file/d/1q7enTkf9dPKh9y3RPsxogzzOSQuMIdZl/view?usp=sharing</t>
  </si>
  <si>
    <t>https://drive.google.com/file/d/1LouPSjal7928Lpa9wuTOExNyYOpF6g8f/view?usp=sharing</t>
  </si>
  <si>
    <t>https://drive.google.com/file/d/1OCAWDMYvFhgKV2xWgfPUvqAU4JhzmVKZ/view?usp=sharing</t>
  </si>
  <si>
    <t>JUAN SALVADOR HERBAS ANDRÉ</t>
  </si>
  <si>
    <t>ING. LUCIANO MONTELLANO ABASTO</t>
  </si>
  <si>
    <t>ELABORACIÓN DE UN PLAN ESTRATÉGICO DE MARKETING PARA INDUSTRIAS ALIMENTICIAS LA MODERNA S.R.L</t>
  </si>
  <si>
    <t>charango_23@hotmail.com</t>
  </si>
  <si>
    <t>IND-247-2008</t>
  </si>
  <si>
    <t>Planificación, Marketing, Estrategia, Fideo, Investigación De Mercados, Pastas, Industria, Bonabelli, La Moderna, Modelo, Sistema Viable, Cochabamba, Bolivia, 2008</t>
  </si>
  <si>
    <t>El objetivo del trabajo realizado fue desarrollar un plan estratégico de marketing en base a un diagnóstico de la empresa, en esta etapa se empleo el Modelo de Sistema Viable que permite observar a la empresa desde la perspectiva del enfoque de sistemas; paralelamente se recopiló información primaria y secundaria del entorno de las industrias productoras de pastas alimenticias. La metodología empleada permitió la identificación de factores críticos de éxito traducidos en oportunidades, amenazas, fortalezas y debilidades, posteriormente se formularon estrategias destinadas a aprovechar condiciones favorables del mercado y tomar medidas defensivas sobre las desfavorables.El plan de marketing fue desarrollado en base a objetivos estratégicos y de posicionamiento, ambos se hicieron operativos a través de planes y líneas de acción que tomaron como punto de partida las estrategias desarrolladas.Finalmente el proyecto del plan de marketing fue sometido a una evaluación financiera y a un análisis de sensibilidad haciendo uso del software Crystal Ball versión 7.2.2 académica, que permitió identificar las mejores alternativas para el desarrollo del plan.</t>
  </si>
  <si>
    <t>https://drive.google.com/file/d/1-RUUxyktlBSrjrRnvBuuapio6F13f66C/view?usp=sharing</t>
  </si>
  <si>
    <t>https://drive.google.com/file/d/1kWPCPl_JXfb0bEWFFMKr-5V4oYR0tF1O/view?usp=sharing</t>
  </si>
  <si>
    <t>https://drive.google.com/file/d/1PIfJpqPCRcaKziwQC2sYJEhZTh2ZgrFP/view?usp=sharing</t>
  </si>
  <si>
    <t>CAMPOS SALINAS JOSE DAVID</t>
  </si>
  <si>
    <t>ING. MSC. JUAN CARLOS LUJAN SOLIZ</t>
  </si>
  <si>
    <t>ESTUDIO DE VIABILIDAD PARA LA IMPLEMENTACIÓN DE UN PLAN DE NEGOCIOS EN LA PRODUCCIÓN DE HORTALIZAS EN INVIERNO PARA EL SINDICATO VILLA ROSARIO DE YAPACANI - SANTA CRUZ</t>
  </si>
  <si>
    <t>leodavidjose@gmail.com</t>
  </si>
  <si>
    <t>IND-248-2008</t>
  </si>
  <si>
    <t>plan de negocios, hortalizas de invierno, Yapacaní, APAVIR.</t>
  </si>
  <si>
    <t>Los Productores Agrícolas “Villa Rosario” (APAVIR) identificaron la oportunidad de cultivar hortalizas (Tomate, Pimentón, Zapallo y Choclo) en temporada de invierno, debido a la escasez de las mismas lo que origina incremento en los precios. Es por esta razón que se estructuró el plan de negocios identificando la principal competencia en el mercado y las amenazas existentes en este rubro, además de analizar el mercado directo del proyecto, identificando los principales mayoristas, por medio de entrevistas estructuradas en los principales mercados de abasto de Cochabamba.En base al análisis del mercado y los clientes se desarrolló el proceso completo del cultivo de todas las hortalizas, sus características y especificaciones técnicas, además de los insumos requeridos, la maquinaria, el cultivo de la tierra y los recursos humanos necesarios con su respectivo costo.Se elaboró la estructura orgánica que sustentará el manejo operativo de APAVIR, especificando sus respectivos sueldos y salarios.Se determinó los principales riesgos inherentes del proyecto y las medidas que se tomarán para minimizarlos, asimismo se definió un plan de implementación para poner en marcha el plan de negocios. Todo esto se sustentó con estados financieros que reflejan la atractividad y factibilidad del proyecto.</t>
  </si>
  <si>
    <t>https://drive.google.com/file/d/1pNtoKScJA1rjQklzTivmDS2zejW06uNb/view?usp=sharing</t>
  </si>
  <si>
    <t>https://drive.google.com/file/d/1_pjFRkGUMX0wWIMjGOH9KYv5rtZ1ulnP/view?usp=sharing</t>
  </si>
  <si>
    <t>NINA MAMANI GONZALO</t>
  </si>
  <si>
    <t>ESTUDIO TÉCNICO ECONÓMICO PARA EL REPOTENCIONAMIENTO DEL FÚSIL GARAND M-1 CAL.7.62 X 62MM</t>
  </si>
  <si>
    <t>Ing_nina_gonzalo@hotmail.com</t>
  </si>
  <si>
    <t>IND-249-2008</t>
  </si>
  <si>
    <t>Estudio técnico económico, Repotenciamiento, Mantenimiento de armas a nivel IV Escalón.</t>
  </si>
  <si>
    <t>La FBM. cuenta con una Planta de Mantenimiento de Armas a Nivel IV Escalón con tecnología europea y medios necesarios para el mantenimiento y  repotenciamiento de armas de pequeño calibre, que a partir del año 2002 hasta la fecha se encuentra fuera de funcionamiento, por  falta de demanda de trabajos de mantenimiento de armas por parte de las FF.AA., por lo cual la FBM. se ve en la necesidad de buscar alternativas para poner nuevamente en funcionamiento la planta y dar aprovechamiento a las instalaciones y equipos existentes.Por lo mencionado anteriormente se realizo el presente estudio técnico económico para repotenciamiento del Fusil Garand M-1 Cal. 7.62 X62 mm. Debido a que cuenta con similares características técnicas y tácticas que el fusil Fal Cal. 7,62X51 mm. Siendo una buena alternativa para su uso en la instrucción de los soldados. Estas armas de fabricación Americana se encuentran dotadas a las FF.AA. por los años 1964 y 1966, por los pocos años de vigencia en uso, en su mayoría estas armas se encuentran en óptimas condiciones para su utilización. Se encuentran almacenados como material Obsoleto y/o Deposito, una cantidad de 5600 Fusiles “GARAND” M-1 calibre 7.62x62 mm. por falta de munición para su empleo.Primeramente se realizó un diagnóstico de las posibilidades de la FBM para prestar los servicios de repotenciamiento de armas a nivel IV escalón, se recabo información de las plantas donde se realiza el mantenimiento “Planta de IV Escalón, Maquinas Herramientas y Carpintería” Información disponible acerca de las actividades, maquinaria, RR.HH., capacidad de producción, etc. Todo ello con el fin de determinar las posibilidades de prestar los servicios.También se realizó un estudio de mercado con el fin de determinar la necesidad actual en la dotación de armamento para el entrenamiento e instrucción del soldado.Se realizo el análisis de datos de las cantidad de efectivos tanto de soldados como de pre-militares y la existencia de fusiles existentes en el ejercito, se pudo determinar  que actualmente las FF.AA llega a cubrir un  65% de la demanda de armamento para la instrucción militar, con el trabajo de repotenciamiento de los 5.600 Fusiles Garand M-1 se lograra cubrir un 10% mas de la demanda, logrando incrementar a un 75% la dotación de armamento por parte de las FF.AA.Posteriormente se realizo la Ingeniería del proyecto centrada en el análisis del reacondicionamiento de cada uno de los elementos que compone el fusil Garand M-1, para lo cual se inicia con el diseño del fusil posteriormente la identificación de los elementos a reacondicionar y finalmente las mejoras a efectuarse de manera técnica. Se realizo la programación de la producción en serie de los 5600 Fusiles, para todo el proceso de repotenciamiento incluyendo el reacondicionamiento de sus elementos “cambio de calibre 7,62x62 a 7,62x51”Se determino el costo por operación en cada una de la Plantas donde se realizara la readecuación con el fin de determinar el costo por unidad producida así como también el costo por los 5600 fusiles dando un resultado favorable.Con el repotenciamiento de los 5600 Fusiles se lograra reanudar operaciones de en la Planta de IV Escalón, generando ingresos económicos que contribuirán al desarrollo de la institución  fabrica.</t>
  </si>
  <si>
    <t>https://drive.google.com/file/d/14DP_vjIQQFdx2I8rBtfRSlWqOCOIldL7/view?usp=sharing</t>
  </si>
  <si>
    <t>https://drive.google.com/file/d/1b70eX0XTfCrJlGF5OV1tB3O_DK-RSeB2/view?usp=sharing</t>
  </si>
  <si>
    <t>https://drive.google.com/file/d/1Dz93BHUWLev2pLr6o2GQfkuCn-_WBsjM/view?usp=sharing</t>
  </si>
  <si>
    <t>ASTETE VARGAS ROCIO</t>
  </si>
  <si>
    <t>ESTUDIO PARA LA REFORMULACIÓN DE LA NORMA BOLIVIANA PARA CEMENTO</t>
  </si>
  <si>
    <t>rocio_astete@yahoo.es</t>
  </si>
  <si>
    <t>IND-250-2008</t>
  </si>
  <si>
    <t>Normalización, Cemento, Sistemas Normativos, Mortero, Metodología de ensayos mecánicos, IBNORCA.</t>
  </si>
  <si>
    <t>Primeramente se realizó una investigación descriptiva para recoger la información necesaria de manera independiente de cada sistema de normalización y así poder identificar el alcance de cada una.Después se realizó un estudio de la evolución de la normativa boliviana para el cemento, desde su propuesta original en 1972, los cambios que esta sufrió, hasta llegar a la versión vigente que fue revisada y puesta en vigencia el año 2005. Esto con el fin de conocer las modificaciones que se realizaron a la misma.También se hizo una investigación a las cementeras que actualmente trabajan en nuestro territorio, para poder conocer la capacidad productiva que tienen; con el estudio se pudo identificar que por la creciente demanda de cemento que se tiene, es necesario que las cementeras realicen ampliaciones a sus instalaciones y mejoren sus métodos productivos; lo que nos lleva a concluir que es necesario apresurar la reformulación de la normativa actual que estas adecuen sus instalaciones a la nueva normativa. Luego se realizó un estudio a los principales estándares para cemento, que son los esqueletos para la mayoría de las normas que son ASTM, EN y BS, que dada la acogida que se les da a las dos primeros estándares mencionados, han desplazado al tercero, solo se profundizó el estudio en las norma americanas y europeas. Al revisar los orígenes de la norma europea para el cemento, vemos que esta se fue desarrollando desde el periodo en el cual España entraba en la Comunidad Económica Europea, con el propósito de suprimir las trabas en el comercio de los países miembros. En esta normativa se especifican tres categorías de resistencia para los cementos comunes (32.5, 42.5, 52.5 MPa) a los 28 días, con sus variantes normal-ordinaria “N” y normal-elevada “R” a edades cortas (2 o 7 días). En la norma UNE-EN 197-1:2000, establece los tipos de cementos, los subtipos y las adiciones acompañantes del clínker Portland, y resultan así 27 tipos cementos. Según la norma UNE196-1:2005, el tipo de mortero que se utilizar para realizar las mediciones de resistencia mecánica es un prima de 40x40x160mm, en el cual el área de contacto para realizar la prueba es de 40x40mm.La norma americana para el cemento, empezó su desarrollo en 1902. En la norma ASTM C 150 se especifican la clasificación de los ocho tipos de cementos Portland que presentan resistencias tempranas (7 días), en la ASTM C 595, define las especificaciones para las cinco clases de cementos Portland hidráulico con sus respectivas adiciones. En la norma ASTM C 109 se especifica el método de realizar la medición de la resistencia del concreto y también se especifica el tipo de mortero a utilizarse (50x50x50mm). Lo más importante es que la categoría de resistencia que se especifica para estos cementos varía de 25 a 28 MPa a los 28 días.Con lo indicado anteriormente se puedo ver con claridad que los dos sistemas de normas son independientes entre si porque utilizan  diferente tipo de mortero para medir la resistencia a la compresión y categoría de resistencia a los 28 días, por lo que es necesario buscar un factor de conversión. El problema radica que en la normativa nacional, se encuentran vigentes las dos metodologías de medición.Finalmente se investigó a los países que adoptaron como base a estas normativas, se los comparó con la norma boliviana, y ya con toda la información recopilada se pudo identificar el sistema normativo más estable bajo el cual se debería reestructurar la normativa nacional y así eliminar los problemas que esta provoca.</t>
  </si>
  <si>
    <t>https://drive.google.com/file/d/1uB3QzI6USCauWRykd07fMpJoz5ZzdnBi/view?usp=sharing</t>
  </si>
  <si>
    <t>https://drive.google.com/file/d/1rPxcrI2i6AOkZwL7by2yjiUOoZc4DeUN/view?usp=sharing</t>
  </si>
  <si>
    <t>https://drive.google.com/file/d/14_O8Wn6pfaGM32f8yfah-5K5-LzNikJL/view?usp=sharing</t>
  </si>
  <si>
    <t>JHAMILL FERRARO MOYA ROCABADO</t>
  </si>
  <si>
    <t>ING. FELIPE PANIAGUA OCAMPO</t>
  </si>
  <si>
    <t>ESTUDIO TECNICO PARA EL DESARROLLO DE UNA ALTERNATIVA DE MITIGACION DE IMPACTO AMBIENTAL DE LOS RIL EN LA SECCION DE LITOGRAFIA DE LA FABRICA BOLIVIANA DE ENVASES</t>
  </si>
  <si>
    <t>jhamillmoya@gmail.com</t>
  </si>
  <si>
    <t>IND-251-2008</t>
  </si>
  <si>
    <t>Microplanta de reciclaje de solventes, Litografía, FABE S.A., Mitigación de impacto ambiental, Desarrollo Sostenible.</t>
  </si>
  <si>
    <t>La Fábrica Boliviana de Envases FABE S.A. es una empresa que se dedica a la fabricación de diversos tipos de envases metálicos, canastillos plásticos y maquinaria industrial para numerosas fábricas de Bolivia.En el proceso de fabricación, específicamente en la elaboración de envases metálicos la FABE S.A. emplea pinturas, lacas, barnices, recubrimientos especiales y disolventes para que sus productos adquieran los colores y características necesarias según pedido de los clientes con que cuenta.Es así que en este proceso se generan residuos líquidos industriales (riles) que en su composición contienen mayoritariamente disolventes con pinturas, barnices, lacas y otros. Lo preocupante de esto no son en sí los residuos, sino que estos son vertidos y/o incinerados en los predios de la misma fábrica generando así un impacto ambiental en el entorno de la fabrica.Este proyecto de grado analizó varias alternativas destinadas a mitigar el impacto ambiental que se genera y desarrolla la alternativa mas factible y viable para reducir el impacto ambiental que genera la sección de litografía de la FABE S.A., sector “clave” en la emisión de riles.Estas alternativas de mitigación de impacto ambiental analizadas están: cambios de proceso, cambio de tecnología y materias primas, como también la reducción de los residuos en fuente, y la de reutilización de los residuos.Entre los cambios de tecnología se analiza otros métodos de litografía como son: por pulverización, electroforesis, y las de cambiar las prensas litográficas mucho mas modernas. Pero este cambio de tecnología representa una fuerte inversión ademas que se perdería mucho tiempo en la capacitación de los empleados en la tecnología como para conseguir los mismos acabados del producto que actualmente tiene; y esto representa parar la producción, Entre los cambios en materias primas se analiza el cambio de materias primas, es decir cambiar la pintura en base a solventes, por pinturas en base a agua. Como en la anterior alternativa esto también implicaría cambiar el proceso, puesto que estas pinturas al ser en base a agua necesitan de temperaturas de curado superior a las que actualmente se opera, implicando, mayor consumo de energía, y por otro lado también representaría no tener el mismo acabado en los productos en cuanto a la variación de colores. En cuanto a la reducción de residuos en fuente es una tarea difícil puesto que al ser la producción muy variable, diversa y de acuerdo a los requerimientos de los clientes, es casi imposible hacer el calculo exacto de el material que se usará y los operadores siempre usan más materiales de los que se emplean esto para no cortar la producción generando siempre residuos líquidos.  En el proyecto se establece que la opción más factible y viable es el de la reutilización de los desechos por medio de destilación, esto por las características de operación de la FABE, como también las características de los residuos.Dentro de el desarrollo de esta alternativa, se propone la instalación de una micro planta de destilación, para lo cual se realizo el diseño de la planta, al elección del predio de ubicación tomando en cuenta la factibilidad técnica, como las consideraciones legales para la implementación de esta.El estudio comprende un análisis para la elección del tipo de destilador que se usará e incluye un estudio de evaluación económica de esta alternativa demostrando que se puede evitar contaminar y generar ahorros para la empresa al mismo tiempo.Dando como resultado que la inversión  se puede recuperar en menos de dos años, ya sea en un escenario en el que el proyecto sea financiado o se realice con aporte de capital propio.</t>
  </si>
  <si>
    <t>https://drive.google.com/file/d/1Qo8xx1-4Aejy_P-iR4y5OmxVf9PbmybP/view?usp=sharing</t>
  </si>
  <si>
    <t>https://drive.google.com/file/d/1U3gCaNtxRpGwHxo67YNUih9zjTMvZSEx/view?usp=sharing</t>
  </si>
  <si>
    <t>https://drive.google.com/file/d/1jcnzMBKdKSnEboIpt2X6HJjHbxDgIP3b/view?usp=sharing</t>
  </si>
  <si>
    <t>RICARDO HEREDIA QUISPE</t>
  </si>
  <si>
    <t>DESARROLLO DE UN SISTEMA DE GESTIÓN DE LA CALIDAD BASADO EN LA NORMA ISO 9001 VERSIÓN 2000 PARA LA EMPRESA D.R. SERVICIOS TÉCNICOS Y VERIFICACIÓN.</t>
  </si>
  <si>
    <t>ricardofacu1@hotmail.com</t>
  </si>
  <si>
    <t>IND-252-2008</t>
  </si>
  <si>
    <t>Trazabilidad, Productividad, DEMING, Programa de Mejora Continua.</t>
  </si>
  <si>
    <t>El Proyecto se ha elaborado para la Empresa D.R. Servicios Técnicos y Verificación, que ofrece el servicio de verificación de la mercancía en ZOFRACO. Se planteo como objetivo del Proyecto: el  Desarrollo de un Sistema de Gestión de la Calidad basado en la norma ISO 9001 versión 2000 para la Empresa D.R. Servicios Técnicos y Verificación.Para iniciar el Proyecto, se realizó un análisis de la situación actual de la empresa, en la que se determino su organización, el servicio que ofrece, además se realizo un diagnostico de la calidad, para determinar el grado de cumplimiento de la empresa con los requisitos de la norma ISO 9001:2000 e identificar las causas raíces de los problemas que presenta la Empresa.Determinada la situación actual de la Empresa, se inicio con el mapeo de procesos, para poder identificar y desarrollar la interacción de los procesos de la Empresa, una vez comprendido el servicio que la Empresa proporciona, se identificaron los distintos procesos, los estratégicos, los de apoyo y los más importantes, los procesos operativos.   Una vez desarrollado el mapa de procesos de la Empresa, se inicio con el desarrollo del Sistema de Gestión de la Calidad, se elaboro y desarrollo el Manual de la Calidad de la Empresa, que cumple los requisitos de la norma en aplicación.  Se elaboraron los manuales de Procedimientos, instructivos de trabajo, fichas de especificaciones, registros de calidad, todos los documentos mencionados fueron elaborados con la participación activa del personal.Una vez concluida la elaboración de la documentación del Sistema de Gestión de la Calidad se elaboro el Manual de Funciones para los distintos cargos, los cuales intervienen en la calidad del servicio.Se elaboro un capitulo completo de costos de calidad, donde se presentan los costos en tres escenarios distintos: el actual, el año de implementación y el año de mantención del Sistema de Gestión de la Calidad. Para concluir se desarrollo el programa para implementar el Sistema de Gestión de la Calidad, en el que se describen los pasos a seguir para la implementación.</t>
  </si>
  <si>
    <t>https://drive.google.com/file/d/1FfQM-4mnrin07v7_qTqzlu2R1HMAR5rb/view?usp=sharing</t>
  </si>
  <si>
    <t>https://drive.google.com/file/d/1RmV6rukUGtuLVadKrhl5xwVa0GvpD4_6/view?usp=sharing</t>
  </si>
  <si>
    <t>QUILO BORDA ELIAS NOEL</t>
  </si>
  <si>
    <t>HUARITA GALLINATE JAHEL KATHERINE</t>
  </si>
  <si>
    <t>ING. NEYLA CHOQUE SANDOVAL</t>
  </si>
  <si>
    <t>MODELO DE UN SISTEMA DE GESTIÓN DE SEGURIDAD Y SALUD OCUPACIONAL EN BASE A LAS NORMAS NB-OHSAS 18001 PARA LA FÁBRICA BOLIVIANA DE MUNICIÓN</t>
  </si>
  <si>
    <t>noelido_death@hotmail.com</t>
  </si>
  <si>
    <t>IND-253-2008</t>
  </si>
  <si>
    <t>OHSAS “occupational health and safety assissment series”.</t>
  </si>
  <si>
    <t>La Fábrica Boliviana de Munición ha visto por conveniente realizar la implementación de un sistema de gestión de seguridad y salud ocupacional debido a que actualmente se cuenta con el sistema de gestión de calidad y se desea contar con un sistema de gestión integrado, además de poder generar un ambiente seguro y saludable a todo el personal implicado en el proceso de fabricación de munición.Primeramente se realizó un diagnóstico de la situación actual de la Planta de Munición (Taller de Balas, Taller de Vainas Y Taller de Cargamento) de la F.B.M., y se recabo la información disponible acerca de las actividades, procesos de las actividades, la organización, riesgo inminentes, peligros, estado actual de los EPP’s , etc. Todo ello con el fin de establecer los riesgos a los cuales está sometido el personal de la Planta, a través de consultas directas, cuestionarios, etc. En función a este análisis se podrá determinar las posibles soluciones al problema.También se realizó el estudio de las Normas NB-OHSAS 18001, para determinar los lineamientos que deben seguirse para su implementación, así también concertar las similitudes que existe entre la norma NB-ISO 9001, para así a futuro concretar el Sistema de Gestión Integrado.Seguidamente se realizo la determinación de las normas, procedimientos y registros que deben cumplirse para realizar el modelo del Sistema de Gestión de Seguridad y Salud Ocupacional.Posteriormente se realizo la evaluación de riesgos en los diferentes talleres de la Planta de Munición y de esta manera se obtuvieron las directrices para la gestión de riesgos, el cual contempla los riesgos, causas, posibles daños o efectos y por último las medidas preventivas para disminuir el riesgo. Mediante un análisis de todos los datos recabados se procedió a la elaboración del manual de procedimientos con sus respectivos registros, así también se elaboro un mapa de riesgos por cada taller, para así  determinar los EPP’s requeridos, medidas preventivas y correctivas, señalización que corresponde a cada taller y por ultimo concretar un plan de seguridad para la planta de munición.Por ultimo se realizo un análisis presupuestario donde se detalla cuales son los costos para implementar el sistema, de certificación, y de mantenimiento del sistema, este ultimo se considera muy importante, ya que este proyecto se basa en la mejora continua, es decir que es necesario la revisión y actualización de todo el sistema en función a los resultados obtenidos en cada gestión.</t>
  </si>
  <si>
    <t>https://drive.google.com/file/d/10Qd8lXCtW3O5KATBshraSbEiVHa9QPGS/view?usp=sharing</t>
  </si>
  <si>
    <t>https://drive.google.com/file/d/1ICz03o43X3qzVVJHOUIdjStM6RBr289Q/view?usp=sharing</t>
  </si>
  <si>
    <t>https://drive.google.com/file/d/11pFbV69gaAaKCYy9DIzgswbTE42YV-t-/view?usp=sharing</t>
  </si>
  <si>
    <t>DANIELA ANTONIA ZAMBRANA MUZÑER</t>
  </si>
  <si>
    <t>ING. ETHEL ANDREA PAREDES ILLANES</t>
  </si>
  <si>
    <t>DESARROLLO DE UN SISTEMA DE GESTIÓN DE CALIDAD BASADO EN LA NORMA ISO 9001:2000 PARA LA LÍNEA DE PAN MOLDE DE LA EMPRESA “LA FRANCESA”</t>
  </si>
  <si>
    <t>daniela.zambrana@hotmail.com</t>
  </si>
  <si>
    <t>IND-254-2008</t>
  </si>
  <si>
    <t>La Francesa, pan molde, desarrollo del sistema de gestión de calidad, diseño, planificación, implementación, certificación, mejora continua.</t>
  </si>
  <si>
    <t>El diseño del Sistema de Gestión de Calidad para la línea de pan molde de “La Francesa”, se realizó siguiendo una serie de etapas:1.     Interiorización y conocimiento de la empresa. Los jefes de cada departamento brindaron información acerca del personal y del funcionamiento de su departamento, para así tener una visión completa de la forma de operar de la empresa.2.     Asignación del representante de la Dirección y conformación del Comité de Calidad. El representante de la Dirección y el Comité de Calidad coordinaron, apoyaron, controlaron y realizaron un seguimiento al diseño del Sistema de Gestión de Calidad.3.     Diagnostico inicial de la empresa. Usando un cuestionario elaborado en base a los requisitos de la Norma ISO 9001:2000,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9001:2000. Como resultado de este diagnóstico, se identificaron las fortalezas, debilidades y oportunidades de mejora de la empresa. 4.     Construcción del mapa de procesos. Para organizar el mapa de procesos, lo que se hizo fue identificar los procesos de la empresa y agruparlos en procesos estratégicos, procesos clave u operativos y procesos de apoyo.5.     Determinación de las necesidades de documentación. Para determinar los documentos que garanticen que los procesos se lleven a cabo de la forma deseada y se establezca una adecuada estructura documental, se realizó un análisis para determinar el grado de cumplimiento de la documentación existente en la empresa, con relación a los documentos exigidos por la Norma ISO 9001:2000 y los documentos requeridos por la empresa para estandarizar sus procesos.6.     Elaboración de los documentos.  Se elaboró los documentos requeridos por el Sistema de Gestión de Calidad y por la empresa, tomando en cuenta los requisitos y la estructura documental de la Norma ISO 9001:2000.7.     Cumplimiento de los requisitos de la Norma ISO 9001:2000. Se procedió a explicar la manera en que la empresa cumple con todos y cada uno de los requisitos exigidos por la Norma ISO 9001:2000.8.     Establecimiento de la Política y de los Objetivos de Calidad. Se elaboró la Política y los Objetivos de Calidad, además se presentaron las características y los aspectos considerados al momento de dicha elaboración.9.     Elaboración del Manual de Calidad. Se establecieron y presentaron las secciones principales del Manual de Calidad.Una vez finalizado el diseño del Sistema de Gestión de Calidad, se elaboró un plan para la implementación de dicho Sistema, donde se determinaron las tareas o actividades, los recursos necesarios y el tiempo programado para dicha implementación. Las actividades programadas fueron:*       Reunión de inicio*       Capacitación de todo el personal*       Implementación del Sistema de Gestión de Calidad*       Divulgación de la Política y de los Objetivos de la Calidad*       Capacitación de auditores internos*       Prueba del nuevo sistema durante un corto tiempo*       Realización de la auditoria interna*       Corrección de no conformidades de la auditoria interna*       Revisión por parte de la Dirección*       Auditoria de tercera parte y certificaciónDentro de este plan de implementación, se determinó el tiempo necesario y el costo total para realizar la implementación del Sistema de Gestión de Calidad.Finalmente se determinaron los costos de calidad (costos de prevención, costos de evaluación, costos por fallas internas y costos por fallas externas) en tres escenarios distintos, los cuales fueron:*       Sin contar con un Sistema de Gestión de Calidad*       El primer año de implementación del Sistema de Gestión de Calidad*       El segundo año a partir de la implementación (primer año de funcionamiento)</t>
  </si>
  <si>
    <t>https://drive.google.com/file/d/1FF_STascGSzqIjzh419Y20IDU9oKG-4p/view?usp=sharing</t>
  </si>
  <si>
    <t>https://drive.google.com/file/d/10-bxFS-rTu7oyjrgwcR7oCH04wMqwkQi/view?usp=sharing</t>
  </si>
  <si>
    <t>https://drive.google.com/file/d/1upGSXuP6uDJfJgTcSn1kGBhhjwDq0uM_/view?usp=sharing</t>
  </si>
  <si>
    <t>VARGAS PONCE LIMBERTH MARTIN</t>
  </si>
  <si>
    <t>PLAN DE HIGIENE Y SEGURIDAD OCUPACIONAL PARA EL COMPLEJO AMANECER</t>
  </si>
  <si>
    <t>limberthmax@hotmail.com</t>
  </si>
  <si>
    <t>IND-255-2008</t>
  </si>
  <si>
    <t>Diagnostico, Prevención de Riesgos, Análisis por observación, Plan de Higiene y Seguridad Ocupacional.</t>
  </si>
  <si>
    <t>El Objetivo principal de este proyecto fue el de realizar un “Plan de Higiene y Seguridad Ocupacional para el Complejo Amanecer”, tal que permita reducir los niveles de riesgos a los que están expuestos los trabajadores de los distintos rubros (Carpintería, Metal-mecánica y Panadería), y de esta manera se podrá prevenir todas las probables lesiones y enfermedades profesionales mediante una eficiente administración en línea que garantice un lugar de trabajo seguro e higiénico.La Metodología seguida para resolver el problema de seguridad en el complejo, esta basada fundamentalmente en la ejecución de un Diagnostico sobre Seguridad e Higiene Ocupacional en los distintos ambientes de producción del complejo. Los datos del diagnostico, permiten el análisis de riesgos, identificando deficiencias en la infraestructura, las instalaciones y los equipos con los que cuenta el Complejo Amanecer. Por otra parte se formulo el diseño de un departamento de seguridad e higiene Ocupacional, previo análisis de cargos y sus actividades. Finalmente se procedió al cálculo del costo de implementación del sistema de seguridad e higiene Ocupacional.CONCLUSIONES Y RECOMENDACIONES: Se puede concluir que existe un escaso conocimiento sobre las leyes y normas de seguridad e higiene Ocupacional, tanto por parte de los empleados como de los empleadores. En el Complejo Amanecer se presentan riesgos moderados, tanto en los procesos productivos, como en el ambiente de trabajo. Es necesaria la implementación de este plan de Seguridad e Higiene Ocupacional dentro del Complejo Amanecer, el que deberá contar con dos instancias orientadas a la seguridad, un departamento de Seguridad e Higiene Ocupacional y un Comité de Seguridad.</t>
  </si>
  <si>
    <t>https://drive.google.com/file/d/1kVQs2nxSN-tG6nN_NPVP0kjLtGm5fW_c/view?usp=sharing</t>
  </si>
  <si>
    <t>https://drive.google.com/file/d/1FrEmONwlTdjGicbnQcknr8QdUo2ZjaxS/view?usp=sharing</t>
  </si>
  <si>
    <t>https://drive.google.com/file/d/16Z-OpgxEnOgMqnAJ5VEK_Ac0ZHNOMZPz/view?usp=sharing</t>
  </si>
  <si>
    <t>BUSTAMANTE RUEDA JOAQUIN FERNANDO</t>
  </si>
  <si>
    <t>ING. ABDÓN QUIROZ</t>
  </si>
  <si>
    <t>ESTUDIO DE FACTIBILIDAD DE FACTIBILIDAD PARA LA IMPLEMENTACIÓN DE LA EMPRESA GALVANIZADORA GALVAN S.A.</t>
  </si>
  <si>
    <t>ferbustacho@hotmail.com</t>
  </si>
  <si>
    <t>IND-256-2008</t>
  </si>
  <si>
    <t>Empresa Galvanizadora, Estudio de Mercado, Galvanización, Estudio Organizacional, Localización, Análisis económico-financiero, sostenibilidad ambiental y social.</t>
  </si>
  <si>
    <t>La realización estudios de factibilidad de proyectos, son  métodos que nos proveen de parámetros de decisión, para poder escoger entre diferentes alternativas consiguiendo de alguna manera la maximización de resultados o minimización de uso de recursos. En este caso se trata de una empresa de galvanización.Los objetivos pretendidos son de determinar el  mercado probable que el proyecto cubre con los nuevos productos, por medio del estudio de mercado, seleccionar la tecnología más adecuada, proponiendo un adecuado programa de producción, determinando también los distintos costos de producción,  obtener los parámetros económicos y financieros del proyecto y determinar los impactos ambientales provenientes de la implementación del proyecto.La metodología empleada incluye una revisión bibliográfica, especialmente de aspectos técnicos del galvanizado, e posteriormente da parte operacional da fabrica, calculándose todos los parámetros de producción. Ya que la mayor parte da la materia prima es importada, se toma mucha atención en aspectos inherentes a transacciones de este tipo.Otro aspecto crítico son los parámetros de operación de los hornos, para lo cual se estudio críticamente el consumo de energía, temperaturas de trabajo, transferencia de energía, balance de masa y residuos generados por el proceso.Como conclusión del proyecto se tiene que: es atractivo implementarlo debido a que su TIR y VAN  son mas altos que la tasa atractiva mínima  de mercado,  también consiguió demostrarse la sostenibildad del proyecto tanto económica como ambientalmente.Las principales dificultades encontradas en el proyecto fueron el sigilo de información respecto a  los parámetros de operación del galvanizado.</t>
  </si>
  <si>
    <t>https://drive.google.com/file/d/12Xzeq_gr5CHJ_CZmGrMm2Tj9_0zou0PU/view?usp=sharing</t>
  </si>
  <si>
    <t>https://drive.google.com/file/d/1EEDLl1IH9y68iYq3ff66KDqeaG9d1DZW/view?usp=sharing</t>
  </si>
  <si>
    <t>https://drive.google.com/file/d/1KWfp8pmrUIJWFIw1jR8dFnzHDUxEyBSn/view?usp=sharing</t>
  </si>
  <si>
    <t>DELGADILLO COSSIO DAVID ALFREDO</t>
  </si>
  <si>
    <t>ING. LUCIO GOITIA CASTRO</t>
  </si>
  <si>
    <t>DESARROLLO DE UN MODELO DE SISTEMA DE GESTIÓN AMBIENTAL BASADO EN LA NORMA ISO 14001 PARA LA EMPRESA "ENABOLCO LTDA."</t>
  </si>
  <si>
    <t>delgadillocossio@gmail.com</t>
  </si>
  <si>
    <t>IND-257-2008</t>
  </si>
  <si>
    <t>Sistema de Gestión ambiental, Registros, Aspectos Ambientales, Enabolco, Programas ambientales.</t>
  </si>
  <si>
    <t>ENABOLCO Ltda., comprometida con el medio ambiente realizo una revisión ambiental inicial que fue elaborado por la Cámara Departamental de Industria mediante el Programa ATN/ME-9521-BO que tiene como título “Adecuación Ambiental para PyMEs de la industria manufacturera”,  esta Revisión Ambiental Inicial (RAI) permitió determinar el estado ambiental de la empresa definiendo los aspectos ambientales significativos, la política ambiental y las sugerencias de los programas ambientales, que fueron la base para la elaboración de la siguiente  etapa denominada planificación del Sistema de Gestión Ambiental (SGA).La planificación del SGA comprendió la elaboración de documentos establecidos en la norma ISO 14001 para el  desarrollo del modelo del SGA en todos los niveles organizativos de la empresa y son los siguientes:  El manual del Sistema de Gestión Ambiental  es un documento resumen que proporciono una visión de conjunto del SGA. Contiene la política, los objetivos y metas, los programas, los procedimientos.Los 17 procedimientos que fueron elaborados  son requeridos por las norma ISO 14001  para determinadas áreas de actividad, que provocan o son susceptibles de provocar aspectos ambientales. Dichos procedimientos proporcionan instrucciones sobre como llevar a cabo la actividad.Los 4 Instructivos del SGA son documentos que contuvieron requisitos específicos para realizar y verificar las actividades descritas, tanto en el manual de gestión Ambiental como en los procedimientos. Dan información detallada y secuencial sobre cómo realizar las actividades.Los 33 registros ambientales constituyo el soporte documental de referencia para demostrar el cumplimiento de las directrices del manual de gestión Ambiental y la conformidad con los requisitos de la norma ISO 14001. Por lo tanto el desarrollo de un  modelo de Sistema de Gestión Ambiental en la empresa ENABOLCO Ltda., normalizo acciones de planificación y evaluación continua para promover la  certificación  ISO 14001.</t>
  </si>
  <si>
    <t>https://drive.google.com/file/d/1BLH_-wWpTGxJS1H6v6JsOqg7Q2jdo0lE/view?usp=sharing</t>
  </si>
  <si>
    <t>https://drive.google.com/file/d/1qCxhz36WQNSJDcEJOJSdIw0lKSvgg6f8/view?usp=sharing</t>
  </si>
  <si>
    <t>https://drive.google.com/file/d/1i3I9XDGqrCOnrsAvGwBD535j-DjBFQpT/view?usp=sharing</t>
  </si>
  <si>
    <t>JIMMI OLIVER HUANCA COPA</t>
  </si>
  <si>
    <t>PROPUESTA PARA EL MEJORAMIENTO DE LA PLANIFICACIÓN EMPRESARIAL Y OPERATIVA EN EL CENTRO INTEGRAL ARTESANÍAS SIME</t>
  </si>
  <si>
    <t>arcoliver@gmail.com</t>
  </si>
  <si>
    <t>IND-258-2008</t>
  </si>
  <si>
    <t>Diagnostico y evaluación, Planificación Estratégica, Sinergia de Información, Manual de Funciones.</t>
  </si>
  <si>
    <t>Primeramente se realizo un diagnostico, de la situación actual de la Empresa, tanto a nivel de las funciones que conforman la estructura de la Empresa, como de las áreas de trabajo a cargo de la función de Producción. Se tuvo énfasis principal en los sistemas y formas de producción de prendas, para determinar la relación existente entre los datos históricos y el desarrollo de la producción. En función del diagnóstico, se realizo un análisis, determinando principales procesos críticos y problemas que presenta la Empresa.Se elaboro un Perfil Estratégico de la Empresa, que caracteriza e identifica la posición de la Empresa dentro del rubro en la industria y la sociedad. Se estableció la forma de trabajo de las Funciones y las áreas de trabajo, identificado por el trabajo en grupos o centros de trabajo de producción de prendas. Se identifico las funciones estratégicas críticas, para elaborar objetivos específicos de largo plazo a las funciones.Se desarrollo estrategias de mejoramiento corporativo, a partir de los objetivos de largo plazo enmarcados dentro del Objetivo Estratégico de la Empresa, determinando estrategias adecuadas en función de la Matriz FODA, Matriz MPC, Matriz MCPE, que permitan alcanzar los Objetivos de Largo Plazo y por ende los Objetivos Estratégicos de la Empresa. Se procedió a formular, líneas estratégicas generales de la Empresa, permitiendo proyectarse y consolidarse en el lapso de cuatro años.Se elaboro actividades específicas de los lineamientos estratégicos, a partir del plan operativo de producción gestión 2008- 2011, dicho documento contiene líneas de acción de actividades desplegadas y a ser ampliadas hacia las áreas de trabajo posteriormente.En función del software Design/IDEF3.5 se estableció un Modelo de Proceso de Producción, que organice a las funciones de la Empresa, en acciones y actividades que contenga la sinergia de la información y formulación de nuevas estrategias.Se desarrollo un archivo de programa, para el control de existencias en Almacenes, utilizando la plataforma del software FileMaker Pro 7, cuya acción esta enfocada a actualizar la información de materiales y accesorios, evitando acumulaciones. También dicho archivo de programa, pronostica en promedio de peso y colores de hilos, la necesidad de material necesario mínimo ante cualquier pedido solicitado, así como también reportes de informaciones específicas. En función de la actividad de trabajo de las funciones y áreas de trabajo de la Empresa, se elaboro un Manual Básico de Funciones, que regula el trabajo básico de las Funciones de la Empresa, la relación y dependencia de las Funciones. La aplicación y reformulación del mismo, esta contemplado de forma paralela dentro del plan de Operativo de Producción de la Empresa, para su optimización y/o ampliación.</t>
  </si>
  <si>
    <t>https://drive.google.com/file/d/1s6dLcN9qSVCf64eCQYIq7pao5UARW1he/view?usp=sharing</t>
  </si>
  <si>
    <t>https://drive.google.com/file/d/1yX1DwzdsbggwIOYMnztUGXK_z4s6lXot/view?usp=sharing</t>
  </si>
  <si>
    <t>TORRICO RODRIGUEZ LUIS RAUL</t>
  </si>
  <si>
    <t>DISEÑO DE UN SISTEMA DE GESTIÓN DE INOCUIDAD ALIMENTARIA BASADO EN LA NORMA ISO 22000:2005 PARA LA EMPRESA SIARAVE</t>
  </si>
  <si>
    <t>Raulito_T@hotmail.com</t>
  </si>
  <si>
    <t>IND-259-2008</t>
  </si>
  <si>
    <t>Producción Avícola, Inocuidad alimentaría, ISO 22000, Programas de Prerrequisitos, Sistema HACCP, Control de peligros alimentarios.</t>
  </si>
  <si>
    <t>La empresa Siarave, ha visto por conveniente la aplicación de un sistema de aseguramiento de la inocuidad enfocado en el control de peligros en sus procesos de producción de pollos parrilleros, producción de alimento y comercialización de carne de pollo.  Es por ello que se diseño un Sistema de Gestión de la Inocuidad Alimentaría (SGIA) basado en la norma ISO 22000:2005; tomando en cuenta los siguientes aspectos:Se efectuó el diagnóstico actual del SGIA según la norma ISO 22000:2005 evaluando los requisitos de la documentación, responsabilidad de la dirección, gestión de los recursos, realización del producto y la validación.  Se prosiguió con el diagnóstico al cumplimiento de los principios generales del Codex alimentarius (BPA, BPM/BPF, BPH, POES) como prerrequisito del plan HACCP (Análisis de Peligros y Puntos Críticos de Control).Con los resultados obtenidos de los diagnósticos, se detectaron los principales problemas relacionados con los procesos.Posteriormente se realizó el desarrollo de SGIA propuesto para la mejora según la norma ISO 22000:2005; es decir se elaboró toda la estructura documental necesaria: Manual de inocuidad, Plan de inocuidad, procedimientos y otros documentos; resaltando que estos permitirán brindar solución a los problemas detectados en el diagnóstico. Finalmente se realizó un análisis de los costos en los cuales incurrirá la empresa avícola una vez que la propuesta sea aplicada.</t>
  </si>
  <si>
    <t>https://drive.google.com/file/d/15SJQrqngcrxfeWsi3WwvbE0iSY5scavX/view?usp=sharing</t>
  </si>
  <si>
    <t>https://drive.google.com/file/d/1iXEQMPYxxrDPz89G4O4_ES6Y4kmdPsQH/view?usp=sharing</t>
  </si>
  <si>
    <t>DAZA ALBORTA SHIRLEY</t>
  </si>
  <si>
    <t>QUISPE CALLAPA SILVIA</t>
  </si>
  <si>
    <t>DISEÑO DE UN SISTEMA DE GESTIÓN DE CALIDAD BASADO EN LA NORMA ISO 9001:2000 PARA LA FABRICACIÓN DE CALEFONES SOLARES EN LA EMPRESA SICO SOL</t>
  </si>
  <si>
    <t>shirley_daza@hotmail.com</t>
  </si>
  <si>
    <t>IND-260-2008</t>
  </si>
  <si>
    <t>Diseño, Sistema, Gestión de Calidad, Norma, ISO, Calefón Solar</t>
  </si>
  <si>
    <t>El trabajo que se realizó tenia como objetivo general el diseñar un sistema de gestión de calidad basado en la norma ISO 9001:200 para la fabricación de calefones solares en la empresa SICO SOL logrando mayor eficiencia organizacional en forma sistemática y documentada permitiendo un crecimiento controlado en base a la  mejora continua.Con el proyecto se proporcionó a la empresa una herramienta para que así logre obtener un producto de mayor calidad con un enfoque basado en procesos que cumpla con todas las expectativas del cliente, logrando así la satisfacción de este. La metodología utilizada partió por la interiorización de la norma ISO 9001:2000, una vez realizado esto se hizo una comparación de los puntos de la misma con la situación de la empresa y se determinó el grado de cumplimiento (conformidades y no conformidades), en base a esto se elaboró toda la documentación necesaria exigida por la norma (Manual de Calidad, Manual de Procedimientos, Instructivos de Trabajo, Registros de Calidad, Planes de Calidad, Manual de funciones)  para la implementación del sistema, también se consideró opciones de entes certificadores solicitando a los mismos cotizaciones.  Una vez que se concluyó con la selección del ente certificador se realizó un análisis cuantificando los costos controlables  y  los costos de la mala calidad que se obtienen y el periodo de recuperación del mismo.</t>
  </si>
  <si>
    <t>https://drive.google.com/file/d/1ADThgvGS9iGgRn_JnmD4wGh38DrFhj2X/view?usp=sharing</t>
  </si>
  <si>
    <t>https://drive.google.com/file/d/1pW23mp06A9KJgARwT1WLtuDLj0mclif1/view?usp=sharing</t>
  </si>
  <si>
    <t>https://drive.google.com/file/d/1Ox3P0ihWABTd3nhkvCeHc-9r6lfMcmyG/view?usp=sharing</t>
  </si>
  <si>
    <t>CHAVEZ PILLCO ALEJANDRO JORGE</t>
  </si>
  <si>
    <t>ING. CARLOS  ALBERTO  RODRÍGUEZ  RAMÍREZ</t>
  </si>
  <si>
    <t>ESTUDIO DE FACTIBILIDAD PARA LA INSTALACIÓN DE SISTEMAS DE AIRE ACONDICIONADO EN BUSES ENSAMBLADOS EN MOPAR S.A.</t>
  </si>
  <si>
    <t>papialecab@hotmail.com</t>
  </si>
  <si>
    <t>IND-261-2008</t>
  </si>
  <si>
    <t>Productividad, Métodos, PEST, Factibilidad.</t>
  </si>
  <si>
    <t>MOPAR S.A. es una unidad empresarial con 27 años de experiencia en la fabricación de carrocerías para transporte de pasajeros se encuentra legalmente establecida mediante registro de comercio Nº 07-037903-02.Metalmecánica de Omnibuses y Partes fue creada bajo la sigla de MOPAR S.A. en fecha 5 de enero del año 1980 bajo la iniciativa del Sr. Walter Morales Guzmán, en la fabricación de carrocerías en sobre torpedos automotrices Standard de marcas específicas con quienes MOPAR S.A. decidió trabajar, esto debido a características de desempeño, confiabilidad, durabilidad, utilidad y reputación en los productos de fabricantes como NISSAN, MERCEDES BENZ  y DODGE.La organización “MOPAR S.A.” tiene la necesidad de implementar un taller de instalación de aire acondicionado para buses modelo CRAZY debido a la existencia de una demanda insatisfecha y la insatisfacción de los pasajeros durante el viaje.En el  desarrollo del presente trabajo, primeramente se realizó un diagnóstico de la situación externa como interna de la organización, con el empleo de las matrices PEST y FODA aplicando también el diagrama de causa – efecto para identificar los problemas.Posteriormente se formuló la misión y visión de la organización, por que en la actualidad es importante tener establecidos los objetivos y razón de ser de la organización a través de la declaración de estos conceptos. Haciendo el uso de las herramientas de la Ing. de Métodos: diagramas de recorrido, disposición de planta, cursograma sinóptico y analítico, se realizó un análisis de todas las operaciones del proceso, identificando cuellos de botella y exceso de movimientos.A continuación se realizó la medición del trabajo empleando el estudio de tiempos; calculando los   normales, estándares y realizando luego un balanceo de línea, que permite conocer el número óptimo de trabajadores por proceso determinando la eficiencia de la línea. Como resultado del balanceo de línea se identificó que la eficiencia de la línea de producción es el 33.18%. También se pudo determinar la necesidad de incrementarla capacidad productiva del taller de instalación de refrigeración, específicamente en el proceso de terminación con la cual se incrementará la eficiencia a un 63.43%.Se propuso la implementación de este puesto de trabajo en el proceso de terminación, de acuerdo al resultado del análisis de balanceo de línea, con lo cual se incrementa significativamente la cantidad de productos terminados de 1und/ 4meses a 2 unid. / 4 meses.Suministro y ServiciosLos suministros y servicios para el taller de instalación de aire acondicionado son los que están procesados por otras industrias, que forman parte de la cadena de producción.</t>
  </si>
  <si>
    <t>https://drive.google.com/file/d/1C4zxjRCInXeHCah5f7vT6vtsOWh42m3I/view?usp=sharing</t>
  </si>
  <si>
    <t>https://drive.google.com/file/d/1Rc3NhZDOWFGxXNb6XQx0twKj1wkqRMTY/view?usp=sharing</t>
  </si>
  <si>
    <t>https://drive.google.com/file/d/1elD8kk_9KdOvpwrjRMYGJXBSK8VjcHzS/view?usp=sharing</t>
  </si>
  <si>
    <t>CHACON GUTIERREZ EDWIN JESUS</t>
  </si>
  <si>
    <t>DESARROLLO DE UN MODELO DE PLANIFICACIÓN Y CONTROL DE LA PRODUCCIÓN PARA LA EMPRESA CIENSA LTDA. CALZADOS TOMY</t>
  </si>
  <si>
    <t>edwin_jes@hotmail.com</t>
  </si>
  <si>
    <t>IND-262-2008</t>
  </si>
  <si>
    <t>Empresa CIENSA Ltda. - Calzados TOMY”, Productividad, planificación y control de la producción, inventarios.</t>
  </si>
  <si>
    <t>El proyecto se llevo a cabo en la empresa Ciensa Ltda. sección Calzados TOMY. Primeramente se realizó un análisis interno y externo para identificar sus fortalezas, debilidades, amenazas y oportunidades; con las que se generaron estrategias mediante la matriz FODA. La estrategia con mayor valor debido a que se enfoca a mejorar las amenazas referentes al proceso de producción y aprovechar las ventajas como: fidelidad del cliente, accesibilidad a materia prima y las normas de calidad y fabricación con las que cuenta la empresa. En base a la estrategia seleccionada se ha desarrollado un plan de producción que se adecuen al funcionamiento de la empresa.El modelo de pronósticos que se propuso genera una estimación formal con frecuencia mensual de la cantidad a producir por familia de producto, utilizando como insumo las ventas históricas mensuales de los años 2006 y 2007. Con la información se empleo modelos de series de tiempo, como. Promedio Móvil, Suavizamiento Exponencial Doble y Suavizamiento exponencial Simple.El control de Inventarios de materias primas y productos terminados, han sido clasificados por su importancia económica, en artículos tipo “A”  y “C”. El modelo propuesto para el articulo tipo “A”, según la regla de Peterson Silver se usa el EOQ y el modelo para los artículos tipo “C” es el  Minimax. Se considero un adecuado modelo de inventario para productos terminados y materias primas para apoyar al Kardex de la empresa.En función al análisis del Pronóstico y la capacidad de la empresa se obtuvo un plan agregado de la producción para los productos de la empresa, utilizando la estrategia de producción en función a la demanda, que implica contratación y horas extras; contratación de mano de obra para los periodos de máxima demanda y despidos en temporadas normales y horas extras para cumplir con los pedidos. El modelo de control de la Producción se propuso contar con registros de horas hombre, horas máquina, cantidad a producir, tiempo de producción, en función al plan agregado de la producción. Para llevar a cabo el proyecto se detalla el presupuesto necesario para implementar el proyecto dentro la empresa,</t>
  </si>
  <si>
    <t>https://drive.google.com/file/d/1A4xZTt0KbPz87jy0apXzqWDZt44DjWpY/view?usp=sharing</t>
  </si>
  <si>
    <t>https://drive.google.com/file/d/1yJjP4Qb67_NIzChovO_ZBuN3mV8d3OsT/view?usp=sharing</t>
  </si>
  <si>
    <t>https://drive.google.com/file/d/1t7yf-Ka3udyURYjre5tS4tZ09Dl6p0Vu/view?usp=sharing</t>
  </si>
  <si>
    <t>PEREDO MONTALVO FRANKLIN</t>
  </si>
  <si>
    <t>CORTEZ MENDIETA MARIA ALEJANDRA</t>
  </si>
  <si>
    <t>ESTUDIO DE FACTIBILIDAD TÉCNICA Y FINANCIERA PARA PRODUCIR ALCOHOL CARBURANTE A PARTIR DE CAÑA DE AZÚCAR</t>
  </si>
  <si>
    <t>kicho_ks@hotmail.com</t>
  </si>
  <si>
    <t>IND-263-2008</t>
  </si>
  <si>
    <t>Fermentación, Destilación, Deshidratado, caña de azúcar, alcohol carburante, etanol, factibilidad, biogasolina, cachaza, bagazo y vinaza</t>
  </si>
  <si>
    <t>El Proyecto dotó al inversionista de herramientas para determinar la Factibilidad del Proyecto.-            Inicialmente se realizó un estudio de mercado del cual se concluyó que los departamentos de Cochabamba, Santa Cruz y La Paz son los mayores consumidores de carburantes en especial de la gasolina, se eligió el departamento de Cochabamba por ser lugar en estudio, así como también es el eje central entre La Paz y Santa Cruz.-            Se realizó un análisis FODA del cual se pudo observar que el proyecto presenta buenas expectativas para incursionar en el mercado, ya sea mediante las estrategias de penetración en el mercado, diversificación o por medio de los incentivos por parte del gobierno. Para finalizar se efectuó el análisis de PORTER en el cual se determinó que para evitar los factores que dificultan la viabilidad del proyecto se realizaron estrategias precautelares que son de exportación a mercados vecinos que requiera el producto.-             Seguidamente se determinó que la localidad que se encuentra en condiciones aptas para el cultivo de caña de azúcar e instalación de la planta es el municipio de Entre Ríos - Bulo Bulo que se encuentra en el departamento de Cochabamba, en la provincia Carrasco.-Posteriormente se estableció que la cantidad de personal requerido en la máxima producción será de  73 empleados tanto directos como indirectos y el tiempo mínimo para la ejecución del proyecto es de 59 semanas.-            Mediante la estructura de la inversión se calculó una inversión para el proyecto de 7.773.391$us. Desde el punto de vista del inversionista se determinó que el proyecto es rentable, esto debido a que presenta una TIR del 68% mayor a la TMA que es del 13%. Así como también el proyecto puro presentó una TIR del  44% lo que indica que es rentable. El proyecto es sensible al incremento de los costos de insumos y servicios hasta un 35% estimado.-            Finalmente se categorizó al proyecto mediante el formulario RAI, para lo cual se realizó el EEIA y ficha ambiental, el mismo que ratifica que el proyecto se encuentra en condiciones óptimas para ser ejecutadas, se encuentran presentes en la categoría 1 y 2.</t>
  </si>
  <si>
    <t>https://drive.google.com/file/d/1TevYk-EY3HiZezwludM6xp679PdavVd3/view?usp=sharing</t>
  </si>
  <si>
    <t>https://drive.google.com/file/d/1vi7IKQQHr56_1INsascAmx_J_jmCMhDu/view?usp=sharing</t>
  </si>
  <si>
    <t>https://drive.google.com/file/d/115cGo8HJ5vSFA6yjbD7keIkgn5uxnYc-/view?usp=sharing</t>
  </si>
  <si>
    <t>TORREZ HEREDIA PAOLA RUTH</t>
  </si>
  <si>
    <t>SARMIENTO MANCILLA ORLANDO EDWIN</t>
  </si>
  <si>
    <t>REESTRUCTURACIÓN Y MEJORA DE LAS ÁREAS DE ADMINISTRACIÓN, FINANZAS Y PRODUCCIÓN DE LA CARPINTERÍA ARCA DE NOÉ</t>
  </si>
  <si>
    <t>II-2008</t>
  </si>
  <si>
    <t>orly_sa1@hotmaill.com</t>
  </si>
  <si>
    <t>IND-264-2008</t>
  </si>
  <si>
    <t>Carpintería, madera, puerta, ventana, batiente, reestructuración, producción, administrativa  financiera.</t>
  </si>
  <si>
    <t>A iniciativa de tres carpinteros, para asociarse; surgió la Carpintería “Arca de Noé” en la ciudad de Cochabamba. Ante esas condiciones empíricas, emergió la necesidad de mejoras en las áreas de: producción, administración y finanzas, deficiencias que fueron el centro del proyecto de grado para realizar un diagnóstico y plantear mejoras en las áreas mencionadas.El diagnóstico que se realizo en la parte de producción, fue con el propósito de encontrar funcionalidad, aplicando una reingeniería de métodos, mismo instrumento que permitió evaluar el volumen de producción, las operaciones, transportes, demoras, almacenamientos y el recorrido que se efectuó en la producción de los productos; con mas demanda, como fueron puertas y ventanas.Una vez que se conoció los resultados se procedió a la optimización en la línea de producción; proponiendo mejoras que involucraron  tomar en cuenta la inversión en maquinarias.Los resultados que se obtuvieron en producción fueron concernientes al volumen de producción de puertas y ventanas, mejora en el tratamiento de la materia prima, es decir mediante la aplicación de un horno se eliminan los defectos que las maderas  tienen al momento de su secado, especialmente si se lo hace al aire.Las mejoras que se realizaron en la parte administrativa, una vez realizado el diagnóstico, se realizo una reestructuración funcional orgánica y la elaboración de un manual de funciones. para cada puesto dentro la empresa.El área financiera se baso en la proyección de la demanda, ya que con los datos obtenidos se pudo estimar los ingresos futuros para la organización. También se estructuro un sistema de costos que les permitirá contar con instrumento para realizar los costos de producción referente a los dos productos estrella que tiene la carpintería, como son, puertas y ventanas.Finalmente se realizo el análisis de sensibilidad y se concluyo que el proyecto tiene una rentabilidad que ayudara a determinar que si conviene realizar dicha inversión.</t>
  </si>
  <si>
    <t>https://drive.google.com/file/d/1uylbp5WT3TbOHKtLbX9c1IJPo0uTOh4p/view?usp=sharing</t>
  </si>
  <si>
    <t>https://drive.google.com/file/d/10h1tBAZ3MK87MNG6XQ3J6snHbq1wt_Xq/view?usp=sharing</t>
  </si>
  <si>
    <t>MURIEL PERALTA NEIZA</t>
  </si>
  <si>
    <t>OPTIMIZACIÓN DEL PROCESO PRODUCTIVO EN MODULARES DE LIVING "MUEBLES A. MURIEL C."</t>
  </si>
  <si>
    <t>azien165@yahoo.es</t>
  </si>
  <si>
    <t>IND-265-2008</t>
  </si>
  <si>
    <t>Proceso Productivo de Muebles Modulares de Living, Ingeniería de Métodos, Condiciones Ambientales de Trabajo.</t>
  </si>
  <si>
    <t>El proyecto se desarrollo en función del análisis del proceso productivo actual y la identificación, descripción del ambiente de trabajo, aplicando herramientas de Ingeniería Industrial. A través de la metodología planteada para el desarrollo y análisis del proyecto, se realiza:El  diagnostico  del área de producción aplicando el análisis FODA, análisis de  Porter, el diagrama Causa Efecto, diagrama del árbol  que describen y evalúan el entorno de producción actual en planta.La  identificación ,descripción de la metodología y tecnología de producción  que describe la secuencia metodologica del proceso, descripción de planta,  ambiente de trabajo, seguridad e higiene industrial, estructura del proceso, descripción de maquinaria, equipos, herramientas de trabajo y descripción de materia prima e insumos.El  registro, análisis, determinación de tiempos y movimientos del proceso productivo actual y propuesto se desarrolla a través de la aplicación de herramientas de métodos como cursogramas sinópticos, analíticos, diagramas de flujo, diagramas de recorrido y estudio de tiempos. A través del proyecto se plantea el layout propuesto en planta actual y en la nueva planta, tomando en cuenta la secuencia de operaciones que componen el proceso, el tiempo asignado a cada operación, la distancia de recorrido por puesto de trabajo y la distancia empleada entre puestos de trabajo. Se considera necesario aplicar métodos que permitan analizar sistemáticamente las operaciones de movilización, con el objetivo de dejar solo aquellos movimientos que sean necesarios. Adicionalmente existen una serie de procedimientos de seguridad que deben tenerse en cuenta y aplicarse para prevenir accidentes y evitar tanto perdidas humanas como de materiales o equipos. El proceso propuesto se desarrollo en función de tres criterios: técnicos, económicos y de seguridad, a través de estos se propone incrementar la producción de modulares fijos y desmontables, aplicar herramientas de métodos que optimicen los actuales y plantear el layout propuesto.El incremento de producción propuesto se basa en: el rediseño del proceso, aplicación de medidas estándar, diversificación de materia prima, incremento en mano de obra y coordinación e implementación de maquinariaPara agilizar la actividad productiva se propone la aplicaron de herramientas de apoyo como la aplicación de hojas de proceso, aplicación de plantillas, carros de transporte empleados para facilitar el desplazamiento de materia prima, insumos, productos en proceso, productos terminados entre sectores del área de producción y el ambiente en general.</t>
  </si>
  <si>
    <t>https://drive.google.com/file/d/12ixpL5Zu9iNrCXNzRQqu62AJhnQKdod3/view?usp=sharing</t>
  </si>
  <si>
    <t>https://drive.google.com/file/d/1ZHixghofpv8-qGjcaF3XPB5kiKaA46bT/view?usp=sharing</t>
  </si>
  <si>
    <t>https://drive.google.com/file/d/1vr3o7XxRCfr1XmUzOjd-CU7RkydzSXuk/view?usp=sharing</t>
  </si>
  <si>
    <t>COLQUE GARCIA MAGDALENA</t>
  </si>
  <si>
    <t>JANCO VERA MAYRA EMMA</t>
  </si>
  <si>
    <t>ESTUDIO DE FACTIBILIDAD PARA LA INSTALACIÓN DE UN CENTRO DE CAPACITACIÓN Y FORMACIÓN TÉCNICA EN MECANICA INDUSTRIAL EN COCHABAMBA A TRAVÉS DE LA PREFECTURA DE DEPARTAMENTO</t>
  </si>
  <si>
    <t>edsonch-2007@gmail.com</t>
  </si>
  <si>
    <t>IND-266-2008</t>
  </si>
  <si>
    <t>Estudio De Factibilidad, PYMES, Centro De Capacitación, Formación Técnica, Aprender Haciendo,  Prefectura De Cochabamba</t>
  </si>
  <si>
    <t>El trabajo que se realizo tenia como objetivo general el realizar un estudio de factibilidad para la instalación de un Centro de Capacitación y Formación Técnica en Mecánica Industrial con la finalidad de contribuir al desarrollo de  las PYMES que se dedican a los distintos rubros de Mecánica Industrial, en lo respecta  a la falta de mano de obra calificada que actualmente tienen  las PYMES.Con el proyecto se pretende capacitar a jóvenes, adultos y persona en general para que puedan desarrollarse de manera eficiente y eficaz  frente a las necesidades de las PYMES respecto a la elaboración de productos. Las carreras que oferta el Centro son: Técnico Superior, Técnico Medio y Técnicos Operarios en Fundición, Soldadura, Fresado, Tornería, Mantenimiento, Producción, Dibujo Técnico, Cerrajería, Maquinaria y Herramientas, con tres sistemas que oferta: Sistema fijo para bachilleres, estudiantes de Colegio y sistema dual para las personas adultas que trabajan en las empresas de Mecánica Industrial.  En realidad la metodología fue simplemente primero realizar una encuesta a la PYMES que se dedican a los distintos rubros de Mecánica Industrial, se realizó una Encuesta a la Instituciones de Capacitación y Formación Técnica en Cochabamba, se realiza una encuesta para conocer la demanda estudiantil de Centro, se realizo el Diseño, la ubicación y organización funcional del centro del Centro. Luego se diseño la Malla Curricular de las distintas Carreras que oferta el Centro, se realizo la evaluación financiera del proyecto determinando la inversión, los costos e ingresos  del proyecto y la forma de financiamiento de éste mediante indicadores de rentabilidad, finalmente se realizo la evaluación financiera.</t>
  </si>
  <si>
    <t>https://drive.google.com/file/d/19XbXt70IwizIWw629qfNRyPMkxzVuI2x/view?usp=sharing</t>
  </si>
  <si>
    <t>https://drive.google.com/file/d/1mHrWAIkNUv0luM-bwFeLaM5yIzouGWYY/view?usp=sharing</t>
  </si>
  <si>
    <t>https://drive.google.com/file/d/1JXgzThgsKhnVFrKhJGn3tE0xXQqNYqhP/view?usp=sharing</t>
  </si>
  <si>
    <t>UBERHUAGA ROBLEDO ALVARO FERNANDO</t>
  </si>
  <si>
    <t>MSC. ING. EDUARDO MEJÍA VARGAS.</t>
  </si>
  <si>
    <t>ESTUDIO DE PREFACTIBILIDAD PARA UNA PLANTA PRODUCTORA DE FERTILIZANTES MINERALES DAP/NPK EN BOLIVIA, PARA LA GERENCIA DE INDUSTRIALIZACIÓN DE YPFB</t>
  </si>
  <si>
    <t>alvarouber@gmail.com</t>
  </si>
  <si>
    <t>IND-267-2008</t>
  </si>
  <si>
    <t>Estudio de Prefactibilidad, Fertilizantes Minerales, DAP, NPK, Nitrógeno, Fósforo, Potasio, Amoniaco, Roca Fosfórica, Cloruro de Potasio, YPFB,  Fertilización, Producción de Fertilizantes.</t>
  </si>
  <si>
    <t>El estudio se realizó en la Gerencia de Industrialización de YPFB, con la finalidad de fortalecer el proceso de industrialización del gas natural boliviano llevado a cabo por YPFB con  la implementación de la industria petroquímica en el país a través de la producción de Amoniaco-Urea y Fertilizantes.Se concibió la producción de fertilizantes minerales DAP/NPK como medio para lograr la mejora de la productividad y calidad de los productos agrícolas en Bolivia, a través de la fertilización mineral, empleando para ello la ciencia y la tecnología, logrando el desarrollo industrial del país, se analizó el potencial boliviano sobre los yacimientos de roca fosfórica de Cochabamba y cloruro de potasio del Salar de Uyuni y la industrialización de sus valiosos recursos naturales con la finalidad de obtener en el país una mayor competitividad industrial y agrícola para preservar la seguridad alimentaria en la población, produciendo mas alimentos. La metodología empleada siguió los lineamientos de la Preparación y Evaluación de Proyectos de Inversión, se recabó y procesó información muy especializada, se estudiaron los aspectos más importantes de la industria de los fertilizantes minerales DAP/NPK y de la tecnología de producción, se describieron los procesos, maquinarias necesarias para la producción.Se concluyó que el país posee la menor tasa de aplicación de fertilizantes de Sudamérica y es el que más precio debe pagar por ellos ya que todos son de procedencia extranjera. En el país se consumen menos de 10 Kg de nutrientes (N-P2O5-K2O)  por hectárea cultivada, siendo los fertilizantes minerales más empleados: la Urea (46-00-00),  el DAP (18-46-00) y el NPK (15-15-15), a un precio estimado de 720 $us/TM de DAP y 620 $us/TM de NPK (15-15-15).Por un lado, la reducida oferta y elevado costo del fertilizante de importación, no permite que se puedan mejorar la cantidad y calidad de las producciones agrícolas bolivianas.  Situación desventajosa para el desarrollo del sector agrícola limitando la competitividad del agro.Se estudió el mercado de fertilizantes en Bolivia, la oferta el año 2006 fue de 5.253 TM de DAP y 10.353 TM de NPK, verificando un gran déficit en la cantidad de nutrientes que se consumen en comparación con los que debería consumirse, existiendo una demanda insatisfecha de (N-P2O5-K2O). Se estableció la localización apropiada del proyecto, en el departamento de Cochabamba, provincia Carrasco, localidad Entre-Ríos, proyectando un tamaño y capacidad de producción adecuada para la realidad nacional, determinando así una producción de 100.320 TM de DAP y 50.160 TM de NPK. Se establecieron los parámetros financieros más importantes, determinando un capital de inversión de 51.32 millones de $us, reduciendo el precio de venta a 575 $us/TM de DAP y 415 $us/TM de NPK, lo que significa la factibilidad en la producción de fertilizantes dentro del país. Obteniéndose en la evaluación financiera del proyecto los indicadores más importantes que reflejan la factibilidad del proyecto: TIR del 20.83%, una VAN de 46.30 millones de $us, una relación B/C de 1.63 y el periodo de recuperación de la inversión de 6 años. Se consideraron también las características de seguridad y se identificaron los impactos ambientales más importantes en la implementación de un proyecto de estas características, proponiendo medidas correctivas para disminuir los impactos potenciales.</t>
  </si>
  <si>
    <t>https://drive.google.com/file/d/1z0brjKMQqvO9oz1XhucgEJaCHNSIZkVC/view?usp=sharing</t>
  </si>
  <si>
    <t>https://drive.google.com/file/d/1jSBBJJJm8x9rUWLFWsMf_pYe1M0HtkyL/view?usp=sharing</t>
  </si>
  <si>
    <t>https://drive.google.com/file/d/1UlXWBA3CYBBmXQh6B-Fa7WhKIEeGFs8p/view?usp=sharing</t>
  </si>
  <si>
    <t>ROCHA FLORES CESAR GONZALO</t>
  </si>
  <si>
    <t>DISEÑO DE UN MODELO DE MARKETING ESTRATÉGICO PARA LA EMPRESA MÁQUINAS Y MATRICES ALCÓCER</t>
  </si>
  <si>
    <t>gonpositivo@hotmail.com</t>
  </si>
  <si>
    <t>IND-268-2008</t>
  </si>
  <si>
    <t>Empresa Máquinas y matrices  ALCOCER, Plan de marketing estratégico, Formulación de estrategias, Marketing mix, Incremento de la participación de mercado y rentabilidad</t>
  </si>
  <si>
    <t>A razón de una entrevista sostenida con el gerente propietario el Sr. Teodoro Alcocer se determino que las ventas de su producto de Faros no cubría sus expectativas, por este motivo se vio la necesidad de diseñar un plan estratégico de marketing, donde primeramente se realizo un diagnostico interno de la Empresa, para identificar las principales fortalezas y debilidades que tiene dicha empresa, siguiendo la metodología de Freed David, posteriormente a ello se determino la capacidad productiva de la empresa , luego se procedió a realizar una investigación de mercado donde se identifica que las industrias que participan son la industria Peruana ,La industria Brasilera, La industria Taiwán, y los repuestos usados de marcas de origen, también se observa que los principales factores que afectan al momento de adquirir los faros son el precio , la calidad , diseño, todo esto se realizó siguiendo la metodología de James  Taylor.Posterior a todo este análisis se procedió a realizar un diagnostico externo para identificar la mejores oportunidades que se presentan para la producción de los Faros, y  las mas fuertes amenazas que se pueden presentar entre estas están el ingreso de productos importados y el contrabando de faros, posteriormente a todo este análisis de procedió de delimitar la Misión y Visón de la empresa, para así mediante un análisis y siguiendo las etapas para la formulación de estrategias se defino que el tipo de estrategias que se aplicara son: Desarrollo de Mercado, Crecimiento y desarrollo de producto ,y la de liderazgo en costos, luego en combinación del marketing mix se definen los planes estratégicos líneas de acción con sus respectivos indicadores de control, y también un diagrama de Ganth para determinar el cronograma de actividades.Luego se procedió a realizar un análisis financiero para determinar los costos que representara la implementación del proyecto, y realizar una comparación de estados de resultados sin aplicación del plan Vs con aplicación del plan para demostrar el crecimiento de la rentabilidad que tendrá la empresaFinalmente se llegó a la conclusión que con los planes de producto se llegará a introducir la línea de faros Tunning, mejorar la calidad de los faros, con 28422 unidades producidas la primera gestión, y un incremento de 25 % anual. Con los planes de precio se incrementara  un 30 % anual en ventas. Con los planes de plaza, con 8000 $ de inversión y 1037 $ de gasto anual se optimizara el transporte en Cochabamba, también se creó el departamento de comercialización. Finalmente con los planes de promoción se llegará  a hacer conocer la marca Maquinas y Matrices Alcocer con un incremento del 30 % en la participación de mercado, un incremento de la rentabilidad de la empresa hasta un 288% .Se recomendó  primeramente organizar la empresa según el organigrama propuesto, también llevar a cabo las actividades en los tiempos establecidos con los medios adecuados, y realizar la retroalimentación al finalizar cada gestión controlando siempre con los indicadores de control propuesto</t>
  </si>
  <si>
    <t>https://drive.google.com/file/d/1pR9DZm4hQNi3jn6J3YotrYWu1EGxqbZg/view?usp=sharing</t>
  </si>
  <si>
    <t>https://drive.google.com/file/d/1Or_pJ9Y8XEZ6n-UPuUH2lr3R2nvPFqJw/view?usp=sharing</t>
  </si>
  <si>
    <t>CARLA JIMENA GÓMEZ CONTRERAS</t>
  </si>
  <si>
    <t>NORMA MARILIN PEREDO HERRERA</t>
  </si>
  <si>
    <t>ING. ROBERTO JUAN MANCHEGO CASTELLÓN</t>
  </si>
  <si>
    <t>PROYECTO DE INDUSTRIALIZACIÓN ORIENTADO A LA OBTENCIÓN DE PRODUCTOS DESHIDRATADOS DE CEBOLLA DULCE ECOLÓGICA PARA SU EXPORTACIÓN AL MERCADO DE ESTADOS UNIDOS DE AMÉRICA</t>
  </si>
  <si>
    <t>carlajgomezc@yahoo.es</t>
  </si>
  <si>
    <t>IND-269-2008</t>
  </si>
  <si>
    <t>Planta deshidratadora de cebolla ecológica, Industrialización, Exportación, Secado, Sistema de análisis de riesgos y puntos críticos (HACCP).</t>
  </si>
  <si>
    <t>El presente proyecto se elaboró con la finalidad de aprovechar la condición exportadora de la empresa Bolivia Produce S.A., joven en el sector, que ha logrado la admisibilidad de la cebolla dulce ecológica boliviana en el país de Estados Unidos, promoviendo sistemas de aseguramiento de calidad y certificaciones reconocidas internacionalmente. Para ello se tomó como estrategia, el desarrollo de nuevos productos a partir de la industrialización de la cebolla dulce ecológica para su exportación al mercado de Estados Unidos de América.Se identificó como mercado potencial el estado de California, se cuantificó una demanda insatisfecha de 308 toneladas de cebolla ecológica deshidratada para el año 2009 y de 349 toneladas para el año 2013.Se realizaron una serie de pruebas en la planta piloto del Centro de Alimentos y Productos Naturales a partir de las de las cuales se obtuvieron como productos potenciales para la exportación: aros cebolla, cebolla en polvo (cruda y precocida) y cebolla granulada (cruda y precocida). Las muestras tuvieron las siguientes características: variedad Pegasus Centuty, extradulce, 100% ecológica y una humedad inicial de 88,42%. El proceso de producción constó de las siguientes etapas: recepción, selección, pelado mecánico, lavado automático, cortado en rodajas de 3 mm. de espesor, escaldado, acomodado en bandejas, secado, molido, tamizado y envasado. Los resultados técnicos son: humedad final de los productos deshidratados 7,95%, temperatura de secado 60ºC, tiempo de secado 9 horas y una actividad de agua de 0,354. Las principales características de los productos deshidratados son: coloración crema pálido ó trigo, olor aromático con ligera sensación de dulzura característicos de la cebolla fresca, textura crujiente, rígida y frágil. Los productos obtenidos en el proyecto serán comercializados a precios Premium debido a su condición ecológica.Se determinó la ubicación de la planta deshidratadora en el departamento de Cochabamba, en los predios del Parque Industrial Santiváñez. A partir del análisis realizado se determinó que la capacidad inicial de producción será de 37%, con capacidad de procesamiento de 6 498 Kg./año.Se identificaron a los procesos de selección, escaldado y secado como puntos críticos de control en el análisis del Sistema de Análisis de Riesgos y Puntos Críticos (HACCP).La Tasa Interna de Retorno para el proyecto desde el punto de vista del inversionista fue del 37,7% que supera a la Tasa Mínima Atractiva de 26,7%.El Valor Actual Neto, fue de 88 922 $us y la relación beneficio costo fue de 1,08; valores que presentan un escenario favorable para la inversión.A partir del análisis ambiental se concluyó que la ejecución del proyecto no generará impactos ambientales de consideración ya que pertenece a la categoría cuatro que es para industrias que presentan riesgo bajo de contaminación de acuerdo a la categorización de La Instancia Ambiental del Gobierno Municipal (IAGM). El proyecto causará un impacto positivo en la sociedad, fortaleciendo el sector exportador al exportar productos con mayor valor agregado y contribuir con la generación de mayores fuentes de empleo tanto directa como indirecta.</t>
  </si>
  <si>
    <t>https://drive.google.com/file/d/1nS5JRROeIjIetIDLYE5cjR57C1Qe9OHn/view?usp=sharing</t>
  </si>
  <si>
    <t>https://drive.google.com/file/d/1vhf9G7KFd4IQobpmcdX-UdgEtk3jBTWi/view?usp=sharing</t>
  </si>
  <si>
    <t>https://drive.google.com/file/d/1wKyf7LamcFdXHUTurI8Mh65w00YHssgq/view?usp=sharing</t>
  </si>
  <si>
    <t>CHOQUE OCAÑA BEGONIA NOEMI</t>
  </si>
  <si>
    <t>GUTIERREZ ONTIVEROS CARLA</t>
  </si>
  <si>
    <t>LIC. MSC. ENRIQUE ANGULO SALINAS</t>
  </si>
  <si>
    <t>ESTUDIO PARA MEDIR LA RELACIÓN ENTRE LA OFERTA Y LA DEMANDA DE LOS PRODUCTOS LÁCTEOS Y NO LÁCTEOS DE LA EMPRESA PIL ANDINA S.A.</t>
  </si>
  <si>
    <t>begonia_21@hotmail.com</t>
  </si>
  <si>
    <t>IND-270-2008</t>
  </si>
  <si>
    <t>Reprocesos, Quiebres, Liberaciones, SKU (Unidad de medida)</t>
  </si>
  <si>
    <t>El estudio que se desarrollo, tomo como ejemplo a la empresa PIL Andina S.A., en la cual se  exteriorizó las diferentes dificultades en la coordinación de las cantidades de producción vs. los requerimientos del mercado, por tal motivo cálculo la deficiencia del sistema. Se desarrolló un análisis cualitativo para medir la relacion  entre de oferta &amp; demanda la cual permitió a la empresa PIL Andina S.A., tomar decisiones en cuanto a las dos variables del mercado, con mayor efectividad, asi mismo se obtuvo como resultado la disminución del grado de incertidumbre.El análisis que se implemento de la relación cualitativa entre oferta &amp; demanda para la empresa PIL Andina S.A., brindó a la empresa distintas herramientas las cuales son útiles para llevar de una manera óptima la planificación, verificación, dirección y control de la oferta vs. la demanda, es decir permitió tomar decisiones estratégicas, para el estudio se realizó un análisis de ambas variables que facilitaron el manejo. El análisis presentó tres casos de comportamiento de los productos independientemente, el primer caso que fue el modelo ideal de oferta y demanda, presentó una igualdad entre la oferta y la demanda, la cual no se observó en el estudio, el segundo caso que es con exceso de oferta, se presentaron los productos con una oferta mayor que la demanda, el procedimiento que se siguió en este caso será crecimiento y expansión de mercado y/o reducción de la oferta de productos según sea el caso, y por último el caso tres que es con exceso de demanda, se presentaron los productos con mayor demanda que oferta, es decir existe un mayor requerimiento de estos productos por el mercado, el procedimiento que se siguió  fue primeramente verificar la capacidad de la línea en estudio ya que en muchas de las líneas no se trabaja al 100 %, en caso de que la demanda aun exceda la capacidad máxima de producción se propuso aumentar la capacidad instalada en la línea correspondiente.En los dos últimos casos mencionados, se obtuvo como resultado quiebres (alta demanda de productos) y reprocesos (producto devuelto a producción). Se elaboró diferentes herramientas para los procesos involucrados,  las mismas que se presentó en el proyecto hicieron posible que la empresa PIL Andina S.A., pueda gestionar la oferta &amp; demanda con un óptimo nivel.</t>
  </si>
  <si>
    <t>https://drive.google.com/file/d/1vllOWcSRsoPoBO1qa8E8e-2Hz-PoD325/view?usp=sharing</t>
  </si>
  <si>
    <t>https://drive.google.com/file/d/1IQ51tJhGHSL81xB8c7PpH_JBRMwefWck/view?usp=sharing</t>
  </si>
  <si>
    <t>GUTIERREZ HINOJOSA INGRITH KATHIUSKA</t>
  </si>
  <si>
    <t>DISEÑO DE UN PLAN DE MARKETING PARA COMERCIALIZAR LA CEL-4 EN HOGARES RURALES DEL MUNICIPIO DE TOTORA</t>
  </si>
  <si>
    <t>Ingrith.g@hotmail.com</t>
  </si>
  <si>
    <t>IND-271-2008</t>
  </si>
  <si>
    <t>Análisis del Entorno, Diagnostico, Estrategias, Matriz FODA, O&amp;M Operación y Mantenimiento.</t>
  </si>
  <si>
    <t>El Proyecto “Diseño de un plan de marketing para comercializar la Cocina Eficiente a Leña domiciliaria de 4 Kw de potencia (CEL-4) en los hogares rurales del Municipio de Totora”, trata de introducir tecnología moderna y eficiente, para sustituir el fogón tradicional y mejorar la calidad de vida de los habitantes del área de implementación en base al estudio e investigación de mercado relativo a fogones tradicionales y cocinas mejoradas.Primeramente se realizó un diagnóstico de la situación actual del área de acción en aspectos políticos, sociales, demográficos, medio ambientales, económicos, además una investigación de mercado con el objetivo de conocer las oportunidades y amenazas del entorno.De la misma manera, se realizó una evaluación de Energética y CEL–4, como de la institución patrocinadora del proyecto y producto a comercializar. Todo esto con el fin de conocer las fortalezas y debilidades; con cuya información se tiene la matriz FODA para establecer las estrategias que se deberán seguir. Además de utilizar modelos de evaluación para conocer todos los aspectos del mercado meta, como ser: Técnica de Porter, Matriz de Evaluación de Factores Críticos del Producto y la Matriz de Perfil Competitivo (MPC).La introducción de la tecnología de la Cocina Eficiente a Leña CEL-4 en los hogares rurales tendrán los siguientes beneficios directos: Mejorar la calidad de vida de las familias rurales, ahorro de tiempo en la recolección de leña, ahorro en el mayor tiempo de duración de la leña comprada, ahorro de tiempo y dinero por la disminución de atenciones a la salud, mayor rendimiento en el trabajo.</t>
  </si>
  <si>
    <t>https://drive.google.com/file/d/1_0EpOMpZeD2upan1MNMIzhKoVAxZfXuJ/view?usp=sharing</t>
  </si>
  <si>
    <t>https://drive.google.com/file/d/1N80fbDwDLqpvenm1sjCKRwrCrVp1RdUW/view?usp=sharing</t>
  </si>
  <si>
    <t>https://drive.google.com/file/d/18gZrhzFsqKHlETWrT5YMZFpGP7qykvLy/view?usp=sharing</t>
  </si>
  <si>
    <t>VERÓNICA SAN MARTÍN GÓMEZ</t>
  </si>
  <si>
    <t>LESLIE ADRIANA ARZE LEÓN</t>
  </si>
  <si>
    <t>PROYECTO DE FACTIBILIDAD PARA LA IMPLEMENTACIÓN DE UNA PLANTA PROCESADORA DE YOGURT PARA LA EMPRESA “K-PRICHO INDUSTRIAS LÁCTEAS”</t>
  </si>
  <si>
    <t>leslie.arze@gmail.com</t>
  </si>
  <si>
    <t>IND-272-2008</t>
  </si>
  <si>
    <t>Factibilidad, Yogurt, leche, Cultivos lácticos,  Producto probiótico.</t>
  </si>
  <si>
    <t>El estudio de factibilidad para la creación de una planta procesadora de Yogurt en diversas variedades en el departamento de Cochabamba tiene como objetivo fundamental estudiar la factibilidad técnica, financiera, económica y ambiental para obtener los suficientes elementos de juicio como para determinar la conveniencia de efectuar inversiones en la instalación de la Planta.Para el Proyecto se realizó un estudio de mercado, estudio técnico, estudio organizacional, estudio financiero, estudio económico y estudio de impacto ambiental.Primeramente se realizó un Estudio de Mercado en el cual se identificó y ubicó a las principales empresas de productos lácteos, así también se determinó las tendencias de consumo y el perfil del consumidor final del presente proyecto.También se determinó la localización y emplazamiento de la planta, se estableció la mano de obra necesaria para el funcionamiento del proyecto.En Ingeniería del proyecto se determinó la capacidad de la planta, se estableció el proceso productivo del Yogurt en sus diversas variedades, la tecnología necesaria para la elaboración de Yogurt, la infraestructura necesaria y la distribución de la planta.Mediante el Estudio Financiero se llegó a la conclusión de que el proyecto es factible, demostrado por los siguientes indicadores financieros: V.A.N. de 642.540 Bs., T.I.R. = 29,62 %,  y una relación B/C de 1,1. La inversión total del proyecto es 697.192 Bs., contando con un aporte propio de 260.391 Bs. En la evaluación económica se obtuvieron los siguientes datos: T.I.R.E. = 55,89%, V.A.N.E. = 2.077.258 Bs. y Relación Beneficio / Costo Económico = 1,48, demostrando que el proyecto es económicamente viable.Se realizó un estudio de Impacto Ambiental en el cual se determinó que la categoría a la cual pertenece el Proyecto, según el RASIM, es categoría 4, no requiere de Evaluación de Impacto Ambiental, plan de manejo Ambiental ni descripción del proyecto.Con todo lo mencionado se demostró que el proyecto es técnica, financiera, económica,  y ambientalmente rentable, siendo factible la realización de este Proyecto.</t>
  </si>
  <si>
    <t>https://drive.google.com/file/d/1lkAOCw1PKS8W98EbmJjLPbgkd6tJbFc3/view?usp=sharing</t>
  </si>
  <si>
    <t>https://drive.google.com/file/d/1d9f7Hx_hBlhqEtQ0VqQMIz6QZoWvK_wT/view?usp=sharing</t>
  </si>
  <si>
    <t>https://drive.google.com/file/d/15lVAZdBq0MA0ipBXkDKQFzx3moO71boe/view?usp=sharing</t>
  </si>
  <si>
    <t>TORRICO LEDEZMA RICHARD FELIX</t>
  </si>
  <si>
    <t>ING. EDWIN CAMACHO CRESPO</t>
  </si>
  <si>
    <t>PLAN DE SEGURIDAD E HIGIENE INDUSTRIAL EN EL COMEDOR DE LA UNIVERSIDAD MAYOR DE SAN SIMÓN</t>
  </si>
  <si>
    <t>richstorrico@hotmail.com</t>
  </si>
  <si>
    <t>IND-273-2008</t>
  </si>
  <si>
    <t>Identificación y Evaluación de Riesgos, Prevenir, Controlar, minimizar los riesgos, Plan de Seguridad, prevención de Accidentes, Plan de Acción.</t>
  </si>
  <si>
    <t>El Comedor de la Universidad Mayor de San Simón, ha visto necesario realizar un estudio sobre seguridad e higiene industrial, debido a la permanente inseguridad en el personal de planta del comedor, en las diferentes operaciones que realizan diariamente en la preparación de alimentos para los estudiantes, por otro lado las características que presenta en la actualidad que son muy criticas, además de exigir condiciones de trabajo dignos y aceptables.En la actualidad el comedor de la Universidad Mayor de San Simón, no cuenta con un Plan de Seguridad e Higiene Industrial, eso quiere decir que no existen medidas de prevención de Riesgos para detectar, prevenir, controlar, minimizar y eliminar los riesgos existentes en los ambientes del comedor, preferentemente en los ambientes de cocina, por otro lado el personal no recibe Capacitación sobre seguridad Industrial.Primeramente se realizó un Diagnostico en los ambientes del comedor Universitario, el cual nos permitió identificar las condiciones actuales, respecto a seguridad Industrial e Higiene en los ambientes del comedor Universitario, por otro lado identificar los peligros existentes en todas las áreas de trabajo, para ello se entrevisto al personal de cocina, se realizo una encuesta y la observación de las operaciones que realizan en el preparado de alimentos.La metodología que se uso para la Evaluación de riesgos es el método de George F. Kinney, la cual nos permite determinar la Magnitud de riesgo (MR), en función a tres parámetros definidos, la Probabilidad de ocurrencia (p), Exposición al riesgo (E) y la Consecuencia que puede genera (C); una vez determinado e identificado los peligros existentes se realizó una Evaluación de Riesgos en los ambientes del comedor Universitario, este es un pilar de mucha importancia para poder proponer alternativas de solución según la gravedad (criticidad) de los riesgos identificados, las soluciones inicialmente serán  tomar medidas correctivas que contribuyan de forma inmediata en el problema identificado para poder controlar y minimizar la gravedad del riesgo y finalmente proponer un Plan de Seguridad e Higiene Industrial, con soluciones mas acertadas y concretas, controlando y eliminando secuencialmente los riesgos potenciales.La información proporcionado en el proyecto de Grado es de vital importancia para el Asesor de Seguridad Industrial y el Administrador del comedor Universitario, para la implementación del Plan de Seguridad Industrial, ya que contiene información necesaria y pertinente para su aplicación.El resultado del proyecto de Grado es un documento que esta acorde a las necesidades del comedor Universitario, La implementación del Plan nos permitirá, prevenir, controlar, minimizar y eliminar los riesgos identificados, por otro lado ofrecer condiciones de trabajo aceptables y adecuados.Indicar también que la propuesta del Proyecto de Grado tomo varios aspectos de mucha importancia para garantizar el buen funcionamiento del Comedor Universitario, como una  normativa y políticas internas en el comedor universitario, uso de EPI según el área de trabajo, Señalización en los ambientes del comedor, prevención y lucha contra incendios, manejo de registros de accidentes, capacitación del personal respecto a Seguridad Industrial e Higiene, manual de manejo de herramientas, practicas Higiénicas en el comedor Universitario, Clasificación de residuos sólidos, Sistema de ventilación, Conexiones eléctrica seguras, entre otros; en resumen brindar las condiciones adecuadas de seguridad, higiene y saludad laboral.Finalmente se realizó un análisis de costos para la implementación del Plan de Seguridad e Higiene Industrial, que garantice la ejecución y su funcionamiento por primera vez y a futuro.</t>
  </si>
  <si>
    <t>https://drive.google.com/file/d/1HfRRGEpDvMPBxB-HZL9K7CQEp8oQ_hxL/view?usp=sharing</t>
  </si>
  <si>
    <t>https://drive.google.com/file/d/1zD1-gxCqRZj-HBTzIgujOeAiYKfwBr8k/view?usp=sharing</t>
  </si>
  <si>
    <t>https://drive.google.com/file/d/1dNc_PcNLm6_nDXfcSYgTb2m8wE0W-sDU/view?usp=sharing</t>
  </si>
  <si>
    <t>OSINAGA VALDEZ RODRIGO RAUL</t>
  </si>
  <si>
    <t>DESARROLLO DE LA PLANIFICACIÓN ESTRATÉGICA PARA LA EMPRESA DE PLÁSTICOS M U N D I A L</t>
  </si>
  <si>
    <t>rodrigorov@gmail.com</t>
  </si>
  <si>
    <t>IND-274-2008</t>
  </si>
  <si>
    <t>Estrategia, Planificación Estratégica, Diagnóstico Estratégico, Misión,    Visión, Control de Gestión.</t>
  </si>
  <si>
    <t>Primeramente se realizó un diagnostico de la situación actual de la empresa, empleando la metodología de diagnóstico para empresas PyMEs industriales y de servicios con un enfoque basado en los sistemas de administración para la calidad total, para el diagnóstico de la empresa se realizo la evaluación de cuatro parámetros, los resultados del negocio, gerenciamiento de procesos, planeamiento estratégico e información y análisis. Como resultado del diagnóstico se evidencio que el parámetro mas débil de la empresa  era el planeamiento estratégico, de esta forma se propuso la realización de este proyecto. Se dio inicio al desarrollo de la Planificación Estratégica para Plásticos Mundial con la definición del marco estratégico, que comprendió la declaración de la misión y visión de la empresa, así como la definición  de los valores, cultura organizacional  y objetivos de largo plazo que la empresa pretende alcanzar. Luego de haberse definido el marco estratégico, se realizó una evaluación de los factores externos e internos de la empresa, utilizándose para ello varias metodologías de análisis. Se empleo el análisis de Porter para el análisis de los factores externos primarios y para el análisis de los agentes secundarios se analizaron aspectos tecnológicos, demográficos, culturales sociales y políticos, los cuales nos permitieron concluir en fortalezas, debilidades, oportunidades y amenazas directamente relacionadas a la consecución de los objetivos de largo plazo formulados por la empresa. Una vez obtenidos los datos e información tanto del entorno como de las propias fortalezas y debilidades se relacionaron y buscaron diferentes combinaciones para dar lugar a la formulación de estrategias que contribuyan a alcanzar las metas y objetivos propuestos con el fin de alcanzar la visión.Diseñadas las estrategias se procedió a la evaluación de las mismas con ayuda de diferentes herramientas para decidir qué estrategias son más importantes, cuales son favorables en cuanto a criterios de rentabilidad, flexibilidad, coherencia y sinergia. Posteriormente se identificaron posibles contingencias y vulnerabilidades como parte de la gestión de riesgo, proponiéndose contraestrategias que aminoren posibles impactos negativos  que puedan presentarse. Tras un análisis de la empresa, del mercado y de la competencia se desarrollaron tres planes estratégicos como resultado de la planificación estratégica propuesta para la empresa, el plan “evolución”, el plan “crecer” y el plan “expansión”, en ellos se contemplaron cada una de las estrategias seleccionadas, además de una relación detallada y ordenada de las líneas estratégicas, principales actuaciones y resultados a conseguir. Para la formulación del plan estratégico anual desplegado se desarrollaron planes operativos a partir del plan estratégico, con un horizonte temporal de un año, hasta el nivel de actividades y tareas, asignándose además responsables y presupuesto coherente con el plan estratégico.Finalmente se realizó la valoración financiera del plan estratégico propuesto con el objetivo de reflejar resultados financieros que muestren el beneficio real que la empresa obtendría con la materialización de este plan estratégico.</t>
  </si>
  <si>
    <t>https://drive.google.com/file/d/15XDnklym5iIiLXPoM1SVZJmq39BGx2oQ/view?usp=sharing</t>
  </si>
  <si>
    <t>https://drive.google.com/file/d/1IWxRDFb8P4QyHUgzZU5G1DIhqRZ-9Cmz/view?usp=sharing</t>
  </si>
  <si>
    <t>https://drive.google.com/file/d/1NInvGUxfh4p9FjpX1G86wifuq39vVKp_/view?usp=sharing</t>
  </si>
  <si>
    <t>ALEJO ORTEGA YUDOSKA</t>
  </si>
  <si>
    <t>ESTUDIO DE MERCADO PARA LA COMERCIALIZACIÓN DE VITAMINAS Y SUPLEMENTOS NUTRICIONALES DE LA LÍNEA TERBONOVA DE LABORATORIOS TERBOL S.A. EN LA DISTRIBUIDORA L &amp; S</t>
  </si>
  <si>
    <t>yudos_k@hotmail.com</t>
  </si>
  <si>
    <t>IND-275-2008</t>
  </si>
  <si>
    <t>MAPIC, línea Terbonova, Estudio de mercado, distribuidora L&amp;S,     Laboratorios Terbol S. A., SPSS.</t>
  </si>
  <si>
    <t>La distribuidora L&amp;S se observo que tiene como objetivo principal la distribución, promoción, y comercialización de productos farmacéuticos. Desde el año 2005 distribuyó exclusivamente productos de Laboratorios Terbol S.A., mencionado laboratorio se dedica a la importación de la línea Terbonova para su posterior distribución. La Línea Terbonova es una línea de vitaminas y suplementos nutricionales elaborada bajo las más altas normas de calidad.La distribuidora L&amp;S desconocía con precisión el mercado potencial y el escenario en ese entonces, para la comercialización de vitaminas y suplementos nutricionales de la línea Terbonova. De esa manera, se realizó un Estudio de Mercado para conocer el escenario actual.En la Investigación de Mercado se utilizó MAPIC (Matriz de Planificación en Investigación Científica), es una matriz que rompe la dicotomía entre el análisis cuantitativo y cualitativo. Esta matriz consta de siete columnas. MAPIC fue creada por el Ing. Mgr. Luis Villarroel.Se realizaron encuestas y se procedió a la tabulación de datos con el software SPSS. Los gráficos de barras y sectores nos permiten interpretar los datos obtenidos de una manera más precisa. Se realizó una segmentación de mercado de acuerdo al tipo de segmentación demográfica. Esta segmentación permitió dividir al mercado basándonos en características diferenciadas.Se procedió a plantear las estrategias de mercadotecnia. Estas estrategias comprenden: estrategias de producto, estrategias de precio, estrategias de plaza y estrategias de promoción. La variable con más observaciones fue la variable promoción. Para mejorar la variable promoción se propusieron líneas de acción que deberán ser aplicadas para coadyuvar las observaciones.</t>
  </si>
  <si>
    <t>https://drive.google.com/file/d/1FQBs94TMHXV-UvNn_aoJ6Gt-yg_O-Ti-/view?usp=sharing</t>
  </si>
  <si>
    <t>https://drive.google.com/file/d/19szPtRf5YX1XmEmYa2PmehNA-q2YZ3Vn/view?usp=sharing</t>
  </si>
  <si>
    <t>https://drive.google.com/file/d/1-8TqaJSPJ9HJjt39dif178m35RALHM1i/view?usp=sharing</t>
  </si>
  <si>
    <t>ALEJO ORTEGA MARIEL GIOVANA</t>
  </si>
  <si>
    <t>ALEJO ORTEGA DEYANIRA</t>
  </si>
  <si>
    <t>ING. LUCIANO MONTELLANO A.</t>
  </si>
  <si>
    <t>DISEÑO DE UN PLAN ESTRATÉGICO DE MARKETING DE SERVICIOS PARA LA DISTRIBUIDORA L &amp; S DESTINADA A MEJORAR SU POSICIONAMIENTO</t>
  </si>
  <si>
    <t>deyanira_ld@hotmail.com</t>
  </si>
  <si>
    <t>IND-276-2008</t>
  </si>
  <si>
    <t>Distribuidora L&amp;S, Modelo de Servucción, Plan de Marketing Estratégico, Posicionamiento.</t>
  </si>
  <si>
    <t>El presente proyecto fue realizado en la Distribuidora L&amp;S, presa dedicada a la comercialización de productos farmacéuticos y vitamínicos; en primera instancia esta empresa no contaba con un plan de marketing que le permita gestionar su accionar de manera estratégica.En tal contexto el proyecto se enmarco en desarrollar una propuesta de gestión estratégica de marketing con el fin de ampliar su mercado y posicionarse en este rubro como una empresa líder.Para ese fin, se realizo un estudio de mercado para conocer a los clientes, a la competencia, y los escenarios del entorno que pueden influir en el desarrollo de esta actividad.Los resultados que se obtuvieron, fueron enmarcados en cinco estrategias: de precio, posicionamiento, servicio (servucción: relacionado con la plataforma de atención al cliente), distribución y comunicación.Para cada una de las estrategias desarrolladas se realizaron líneas de acción que ayudarían a gestionar dicho proyecto.Finalmente este proyecto, se evaluó financieramente, para comparar las utilidades a lo largo de cinco venideros, que tendría la Distribuidora L&amp;S, con y sin proyecto. Llegando a la conclusión que la implementación de dicho proyecto de grado en la institución mencionada; tendría una tasa interna de retorno de 26,5% y un Valor Actual Neto de 9.544.279 bolivianos.Con lo que se concluye: El proyecto financieramente es viable.</t>
  </si>
  <si>
    <t>https://drive.google.com/file/d/1eadmLM6_x477tRF-HqbSeSLzqqltlrIB/view?usp=sharing</t>
  </si>
  <si>
    <t>https://drive.google.com/file/d/1QZQ611xj83DWczjpIkJ7tazPlDDofhKd/view?usp=sharing</t>
  </si>
  <si>
    <t>TATIANA ZULEMA ROSALES ARTEAGA</t>
  </si>
  <si>
    <t>PLAN ESTRATÉGICO PARA LA EXPORTACIÓN DE INSTRUMENTOS MUSICALES DE CUERDA</t>
  </si>
  <si>
    <t>taticha2002@hotmail.com</t>
  </si>
  <si>
    <t>IND-277-2008</t>
  </si>
  <si>
    <t>Exportación, plan estratégico, guitarra y charango.</t>
  </si>
  <si>
    <t>Tomando en cuenta el modelo de planeación estratégica de Javier Palom se realizó el análisis del plan estratégico para la exportación de instrumentos musicales de cuerda, tomando en cuenta las etapas filosófica, analítica, operativa, de acción y desarrollo. Primeramente se recabó información de la situación actual de las diferentes empresas que están dedicadas la fabricación de estos productos, tomando en cuenta la capacidad administrativa, financiera, comercial y productiva. Para así poder establecer las empresas que están más capacitadas para realizar exportaciones continuas. También se hizo un análisis de los factores nacionales e internacionales que afectan a este sector. Tomando en cuenta los dos análisis se llego a decidir las líneas estratégicas que se deben de realizar. Se realizó un análisis de los países que pueden ser mercados potenciales de estos productos a través de estadísticas y de las cinco fuerzas competitivas de Porter.Tomando en cuenta los objetivos, todos los análisis y evaluaciones se realizó la propuesta de planeación estratégica.La planeación estratégica propuesta engloban tres planes: Plan de exportación de las medianas empresas, Plan de diferenciación del producto y Plan para promover la participación de la nueva empresa.Cada plan consta de líneas estratégicas y cada línea de actividades. El primer plan consta de: Alianzas Estratégicas la cual engloba, los tramites de registro y la constitución de de la nueva empresa, Desarrollo del mercado donde se establece el posicionamiento estratégico (calidad), la logística de exportación. El segundo plan lleva el Desarrollo del producto proponiendo implementar a cada instrumento un método y DVD con música nacional para que sean identificados como productos bolivianos. El tercer plan menciona las Estrategias de Promoción las cuales consisten en: venta personal por medio de ruedas de negocios y viajes al exterior, publicidad por medio de participación en ferias y comercialización mediante internet, y relaciones públicas por medio de llaveros que tengan forma de los productos y que lleven los datos de la alianza.  Por medio de un análisis financiero se llego a la conclusión que este plan propuesto es factible y puede mejorar la situación exportadora de las medianas empresas dedicadas a la fabricación de instrumentos musicales de cuerda, charango y guitarra.</t>
  </si>
  <si>
    <t>https://drive.google.com/file/d/1NDNjLsYJlrxDxpo_H83sdYlUSRVeEfsp/view?usp=sharing</t>
  </si>
  <si>
    <t>https://drive.google.com/file/d/1VXbbw-HtjWn0xHIio3gfSYpzx4WZ-BVw/view?usp=sharing</t>
  </si>
  <si>
    <t>GARCIA SAENZ JHOLIVET</t>
  </si>
  <si>
    <t>MERIDA ZURITA MARILYN</t>
  </si>
  <si>
    <t>ING. M. SC. INGRID TRIGO ROCHA</t>
  </si>
  <si>
    <t>ESTUDIO DE FACTIBILIDAD PARA EL DESARROLLO DE ANTIINFLAMANTES BUCALES EN BASE A PLANTAS MEDICINALES</t>
  </si>
  <si>
    <t>heliney_1@hotmail.com</t>
  </si>
  <si>
    <t>IND-278-2008</t>
  </si>
  <si>
    <t>Centro de Tecnología Agroindustrial, Laboratorio INQUIBOL, Programa de producción, Aceites esenciales, Extracto, Antiinflamante bucal”DENTINIL”.</t>
  </si>
  <si>
    <t>El Centro de Tecnología Agroindustrial, de la Universidad mayor de San Simón, tiene más de diez años en la investigación de productos de agro para su posterior implementación de planta piloto, para el proceso requerido en la transformación de la materia prima. Este Centro en su alianza estratégica con el Laboratorio INQUIBOL, desarrolló la investigación del proceso para un producto que se denominó DENTINIL, producto que se oriento a satisfacer necesidades de problemas periodontales.En ese contexto el presente proyecto se aboco al estudio de factibilidad para el desarrollo de  antiinflamantes bucales en base a  plantas medicinalesPrimeramente se ejecutó ensayos para optimizar la extracción de los aceites y el extracto, así como la elaboración del antiinflamante.Luego se procedió a un estudio de mercado para ver la demanda, oferta, precio; esto permitió elaborar un plan de marketing que permita introducir en el mercado el producto DENTINIL.No se descuido realizar una evaluación financiera, que demuestre la factibilidad de producir mencionado producto y la evaluación del impacto ambiental que ocasionaría las distintas fases de la implementación de la línea de producción.Los resultados más destacados fueron: 1) se cuenta con disponibilidad de materia prima. 2) apertura en ambas instituciones para la elaboración del producto. 3) se cuenta con una gran demanda insatisfecha. 4) el proyecto es factible financiera y ambientalmente.Se recomendó a Laboratorios INQUIBOL que tome como prioridad la distribución del producto. Y al Centro de Tecnología Agroindustrial se le recomendó, realizar más investigaciones a cerca de las mezclas de los principios activos.</t>
  </si>
  <si>
    <t>https://drive.google.com/file/d/1Y0Xy6dVR1gxRh3vyisjeMixzEocB83Ir/view?usp=sharing</t>
  </si>
  <si>
    <t>https://drive.google.com/file/d/1UiwRVKGW3zkzRvk1FuP0NEBk2_30QzcZ/view?usp=sharing</t>
  </si>
  <si>
    <t>https://drive.google.com/file/d/1O4x3jR1-H1GK8YFcTjqwubmVFqLc4wRu/view?usp=sharing</t>
  </si>
  <si>
    <t>CHOQUE VASQUEZ CRISTHIAN DAVID</t>
  </si>
  <si>
    <t>CASTRO SANCHEZ GREBY</t>
  </si>
  <si>
    <t>OPTIMIZACIÓN DE MÉTODOS DE PRODUCCIÓN DE ENVASADO DE GLP PARA LA EMPRESA PECA GAS CON UN ENFOQUE DE REINGENIERÍA</t>
  </si>
  <si>
    <t>cristhian.david@gmail.com</t>
  </si>
  <si>
    <t>IND-279-2008</t>
  </si>
  <si>
    <t>Planta, PECA GAS, GPL, Envasado, Optimización.</t>
  </si>
  <si>
    <t>El trabajo realizado tiene como objetivo general el de Optimizar los métodos de producción de envasado de GLP desde la recepción del combustible hasta su comercialización en garrafas, con un enfoque de reingeniería; que permita optimizar los procesos para así evitar gastos innecesarios en la producción.El material proporcionado con el proyecto base para una mejora de producción de envasado de GLP, cambiando el sistema de llenado en línea, por el sistema carrusel, reduciendo los tiempos de envasado, automatizando procesos, y seguridad en el envasado. Para el estudio  se considero la parte seguridad de la planta, la implementación del sistema de carrusel, reducir los costos de producción e incrementar beneficios  para empresa.La información con lo que se ah contado una parte, fue de la misma planta actual, observando los procesos existentes, carencias en la planta y la solución, que se debe plantear teniendo los resultados obtenidos por el estudio.Una vez realizado el estudio se hace una comparación del modelo actual, y con el modelo propuesto, para identificar las necesidades de cambio, que mejore el  beneficio para la empresa PECA GAS.Se hace el análisis de sensibilidad a los factores críticos que puedan afectar al proyecto, y ver hasta donde pueda soportar  para ser factible.  Finalmente se identifica las necesidades de cambio  la implementación del sistema carrusel  es factible para su implementación proporcionando beneficios mayores  para la planta de los que actualmente se tiene.</t>
  </si>
  <si>
    <t>https://drive.google.com/file/d/1slzJBidiPLIsJEELswucUxhhbiqo84F_/view?usp=sharing</t>
  </si>
  <si>
    <t>https://drive.google.com/file/d/1gr0-e88bdMOK7MU9Y2s13Q4Q1J5nzcwT/view?usp=sharing</t>
  </si>
  <si>
    <t>https://drive.google.com/file/d/1-Sz6YkuJ5vK9GqezggjROS4VBt2xK3TV/view?usp=sharing</t>
  </si>
  <si>
    <t>JIMENEZ RAMOS JAVIER MAURICIO</t>
  </si>
  <si>
    <t>ING. JAIME GUTIÉRREZ PÉREZ</t>
  </si>
  <si>
    <t>MODELO DE CONTROL ESTADÍSTICO DE CALIDAD EN BASE AL SOFTWARE MINITAB PARA EL PROCESO DE FABRICACIÓN DE LA MUNICIÓN 7.62 X 51MM. DE LA FÁBRICA BOLIVIANA DE MUNICIÓN</t>
  </si>
  <si>
    <t>fagira23@hotmail.com</t>
  </si>
  <si>
    <t>IND-280-2008</t>
  </si>
  <si>
    <t>Control Estadístico de Calidad, Procesos, Muestreo, Cartas de Control, MINITAB.</t>
  </si>
  <si>
    <t>El proyecto fue desarrollado con el objeto de colaborar a la Fabrica Boliviana de Munición en el análisis y comprensión de diversos métodos y planes de control estadístico de la calidad que pueden ser aplicados en sus procesos de acuerdo a un previo análisis de las características de su producto. El Control Estadístico de la Calidad, forma parte de los requisitos para la certificación ISO 9001:2000; información que indicó la necesidad de realizar un análisis estadístico de los datos obtenidos del proceso de producción.     De esta forma observando y analizando la gran cantidad de información, los índices elevados de rechazo y la poca tratabilidad que se les da a los distintos procesos en los diferentes talleres de producción, ignorando los índices de capacidad  de los mismos, se planteó el objetivo de elaborar un Modelo de Control Estadístico de la Calidad es Base al Software MINITAB, para lograr un monitoreo sobre todo el proceso de fabricación de la munición 7.62 x 51 mm. de la “FABRICA BOLIVIANA DE MUNICIÓN”, reduciendo los índices de rechazo, con un enfoque de aplicación a la Norma Internacional de Aseguramiento y Mejoramiento Continuo de la Calidad ISO 9001:2000     La metodología que se empleó fue la siguiente: 1) Se identifico los puntos críticos de control, en base a requerimientos de la Empresa. 2) Se controlo y analizo el primer sub-lote de producción de 100.000 cartuchos (100.000 vainas y 100.000 balas), en los respectivos puntos críticos de control, 3) Se realizo el diseño de un modelo en un diagrama de flujo en base al software MINITAB, para el monitoreo de todo el proceso de producción de la munición 7,62 x 51 mm. 3) Se implemento el modelo propuesto en los puntos críticos del proceso de producción. 4) Y se realizo un análisis en base a los nuevos resultados obtenidos.     Para la identificación de los puntos críticos se analizó todos aquellos factores, actividades y procesos importantes a ser controlados  para llegar a cumplir con la política de la empresa, la cual enmarca que: “El equipo de trabajo de la Fábrica Boliviana de Munición esta totalmente comprometido con la calidad del producto como también en la gestión del mismo y la satisfacción total de los requerimientos acordados con el cliente, estableciendo de la misma forma la mejora y superación continua de sus procesos”.      Para el control o análisis de del sub-lote de producción se realizo un diagnostico  detallado de el proceso de fabricación de vainas, balas y el ensamble del cartucho. Además de los controles realizados durante su fabricación, describiendo las tolerancias que deben cumplir el producto para una optima calidad. Posteriormente se hizo  un evalúo o un diagnostico de las características actuales de calidad para poder determinar puntos donde se puede centrar mejor el estudio.          Una ves esto, se elaboro el modelo para cada uno de los planes y métodos de control estadístico de la calidad, desarrollado en función de las características y el formato necesario para la implementación y adecuación a la norma ISO 9001:2000       En cada uno de los puntos de el modelo se describió el objetivo de esa propuesta, su alcance y las responsabilidades correspondientes para la implementación, adecuación y/o modificación de la misma.     En base al diagnóstico se realizó la implementación del modelo propuesto en un sub-lote de producción de 100.000 Cartuchos, es decir 100.000 Vainas y 100.000 Balas, para verificar si los diferentes componentes se ajustan al proceso de producción.     Para poder establecer de mejor manera que el presente método permitió la mejora continua que establece la ISO 9001:2000 en los procesos, se vio necesario realizar un nuevo diagnóstico basado en lo que se refiere a los índices de rechazo de los diferentes talleres de la planta de munición y de la misma manera se podrá establecer que este modelo es viable a través del análisis de los costos de calidad en los que se incurrirían y como resultado se pudo apreciar la reducción de los costos por fallas internas proporcionados por la implementación del modelo.     Por ultimo se describió un resumen de los costos de calidad incurridos en un sub-lote de producción. Tomando en cuenta que la expresión Costos de Calidad, se puede considerar como los costos para alcanzar la calidad, o directamente, como los costos de funcionamiento del Departamento de Control de Calidad.     El modelo propuesto redujo la cantidad de productos defectuosos en los tres talleres de vainas, balas y cargamento en un 65.18%, 44.13% y 17.33% respectivamente.     Los costos por fallas internas en los tres talleres redujo en un 63.28% lo que equivale a 298.88 Sus. por cada sub-lote de producción, esto quiere decir que por lote producido se ahorraría 1494.40 Sus.          Los parámetros de calidad del modelo cubrieron las expectativas de los clientes internos, externos y de la parte administrativa de la empresa.</t>
  </si>
  <si>
    <t>https://drive.google.com/file/d/1e8x4LlbKiz4wFgoaN32XZcUujoh0Ap4A/view?usp=sharing</t>
  </si>
  <si>
    <t>https://drive.google.com/file/d/1rW-LbYOzfRdjWiXDcmT-yyfWCJ2VZyNw/view?usp=sharing</t>
  </si>
  <si>
    <t>https://drive.google.com/file/d/1WFXkFs-tYmfRdH92bRCXhBKnnSPW2gXc/view?usp=sharing</t>
  </si>
  <si>
    <t>ESCOBAR SANABRIA EVELIN CARLA</t>
  </si>
  <si>
    <t>GESTIÓN DE RECURSOS HUMANOS EN UN AMBIENTE DINÁMICO Y COMPETITIVO NLC</t>
  </si>
  <si>
    <t>cees34@gmail.com</t>
  </si>
  <si>
    <t>IND-281-2008</t>
  </si>
  <si>
    <t>NLC, Gestión, Recursos Humanos, Personal, Manuales de funciones, Cultura organizacional, Evaluación de desempeño, Desarrollo de personal, Evaluación de cargos.</t>
  </si>
  <si>
    <t>Se propuso un modelo de Gestión de Recursos Humanos para la corporación NLC, en la ciudad de Cochabamba.El objetivo de realizar esta propuesta fue el de enfrentar y determinar las posibles soluciones a los problemas que presenta la corporación actualmente en materia de personal, como por ejemplo la alta deserción del personal, la falta de manuales de funciones, poca motivación por el trabajo de ventas, etc.Inicialmente se realizó un diagnóstico de la situación actual de la corporación y se recabo la información disponible acerca de gestión de recursos humanos, identificando alternativas y seleccionando las que se adaptan mejor a los requerimientos y características propias de NLC.Se presentó mejoras de los procesos de reclutamiento y selección de personas, utilizando medios acordes a la organización; mejorando los procesos de reclutamiento externo e interno. En cuanto a selección de personal, se mejoró el proceso de entrevista.La Cultura organizacional de la corporación NLC, que pertenece al grupo JOM, fue evaluada y se mantuvo por su detallado y completo contenido, sobre todo respecto a artefactos, lenguaje, símbolos, himnos, etc. Ya que se evaluó y quedo demostrada la influencia positiva que genera en el personal y la alta aceptación del mismo.Para el diseño de cargos, después de evaluar la necesidad e importancia de cada cargo que requiere la corporación, se realizó los manuales de funciones para cada uno, remarcando los cambios y aquellos puntos que han sido adicionados, para complementar la información necesaria en los manuales.Se propuso un modelo para la evaluación de desempeño, en función al cumplimiento de los factores críticos de éxito, valores implícitos y habilidades en relaciones humanas. Mismo que sirve para retroalimentar al personal, decidir ascensos y/o despidos, para que la corporación tenga un registro del proceso y a la vez una constancia de los criterios utilizados.Se propuso un modelo de remuneración básica para el departamento de publicidad y se propuso el incremento de los salarios básicos del departamento administrativo. También se propuso mejorar los incentivos, adicionando nuevos criterios de bonificación, como ser el bono por debut y el bono por volumen para directores. Sin dejar de lado los beneficios y servicios correspondientes en el marco de la ley boliviana.Se presentó mejoras para el desarrollo de personas y para las políticas de mantenimiento del personal.Se propuso también un modelo de monitoreo de personal, para tener información sobre el mismo y candidatos.Se realizó el análisis financiero del proyecto, que demostró el beneficio de implementarlo, en base a los indicadores de rentabilidad y de beneficio/costo.A través de los resultados obtenidos se pudo concluir  que es posible mejorar la administración de Recursos Humanos en la corporación NLC Cochabamba.Se recomienda para el futuro hacer seguimiento constante al cumplimiento de  logros en lo puntos analizados para conseguir una verdadera mejora.</t>
  </si>
  <si>
    <t>https://drive.google.com/file/d/1AGmh8pTh-MXdCaaKI5WfYVTx2KVOFAMJ/view?usp=sharing</t>
  </si>
  <si>
    <t>https://drive.google.com/file/d/1OZaGopMaCjUlJz77Xg6BOzAOKVVoFQA0/view?usp=sharing</t>
  </si>
  <si>
    <t>https://drive.google.com/file/d/1jYJ70L1GUz38cXVuigHaeUZB09NsnYvf/view?usp=sharing</t>
  </si>
  <si>
    <t>HOSSE SALAUES LIZZETH NAIR</t>
  </si>
  <si>
    <t>DR. ING. RAFAEL TERRAZAS PASTOR</t>
  </si>
  <si>
    <t>PLANIFICACIÓN Y CONTROL DE LA PRODUCCIÓN PARA EMBOL S.A.</t>
  </si>
  <si>
    <t>nairhosse@yahoo.com</t>
  </si>
  <si>
    <t>IND-282-2008</t>
  </si>
  <si>
    <t>Pronósticos, plan agregado de producción (PA), plan maestro de      producción (PMP), plan de requerimiento de materiales (MRP).</t>
  </si>
  <si>
    <t>El área de producción de EMBOL S.A. presenta dificultades en la determinación de programas de operación, puesto que; la integración de las involucradas es inadecuada, la empresa no cuenta con un programa de envió de productos al interior, existen dificultades con la disponibilidad de materias primas y el nivel de inventarios. Es así que la Planificación y Control de la Producción (PCP) es la herramienta necesaria para la solución de dicho problema.Se comenzó con el desarrollo del análisis de la situación actual de la empresa, para lo cual se identificó los diferentes productos elaborados por EMBOL S.A.,  se realizó la descripción del proceso productivo, y proceso actual de Planificación y Control de la Producción de la empresa. Para concluir el diagnóstico de la situación actual, se realizó el análisis  FODA que mediante su lineamiento estratégico de desarrollo de un sistema de información e integración, sugirió el desarrollo de la PCP.Luego se procedió a la realización de la clasificación ABC de productos, que definió las políticas de pronósticos a emplear. El siguiente paso consistió en la determinación de la proyección de ventas, cuyas etapas fueron; la recopilación de datos, la reducción ó condensación de la información, la construcción del modelo, y la extrapolación del mismo. Posteriormente se estableció el sistema de rastreo del pronóstico. En la siguiente etapa se elaboró el plan de producción para la empresa, compuesto por:· El plan agregado de producción (PA),  para cuya obtención se realizó cuatro posibles planes factibles; Plan inventario cero, Plan fuerza de trabajo constante, Plan mixto, y Plan mixto con inventario, para posteriormente realizar una selección basada en los costos de dichos planes y el riesgo de los mismos.· El plan maestro de producción (PMP) para las dos Líneas de producción, elaborado en base al plan agregado de producción y los pronósticos. · El plan de requerimiento de materiales (MRP), cuyos insumos fueron, la lista de materiales el PMP desarrollado, y los registros de inventario de la empresa. Los pasos seguidos para la obtención del MRP fueron; la explosión, el ajuste a netos, la compensación, y el tamaño de lote.Se realizó la sugerencia de mecanismos de control, para complementar y controlar la planificación de la producción. Finalmente se desarrollo un análisis costo/beneficio, para lo cual se identificó los costos (involucrados en el desarrollo, mantenimiento, y funcionamiento de la PCP elaborada) y beneficios generados, dando como resultado que los beneficios son mayores a los costos, traduciéndose los mismos en una contribución a la competitividad de EMBOL S.A. De esta manera se cumplió el objetivo del Proyecto que consistió en “realizar la planificación y control de la producción para EMBOL S.A.”.</t>
  </si>
  <si>
    <t>https://drive.google.com/file/d/1YPQIscY-56Nqqqeob8WZYG4yun6U-qUG/view?usp=sharing</t>
  </si>
  <si>
    <t>https://drive.google.com/file/d/1DJwbmNZCUmifVpPnQrfUn2T9voDg1GRe/view?usp=sharing</t>
  </si>
  <si>
    <t>https://drive.google.com/file/d/15VkJcoG_OG0q53ovJrO_cvp659TcbM1a/view?usp=sharing</t>
  </si>
  <si>
    <t>CAMACHO BADANI XIMENA</t>
  </si>
  <si>
    <t>ESTUDIO DE FACTIBILIDAD PARA LA IMPLEMENTACIÓN DE UNA MICROEMPRESA DE CHOCOLATES ARTESANALES PARA LA ONG AYNI RUWAY</t>
  </si>
  <si>
    <t>ximexcamacho@gmail.com</t>
  </si>
  <si>
    <t>IND-283-2008</t>
  </si>
  <si>
    <t>ONG, MyPE, cacao, chocolate, evaluación socioeconómica.</t>
  </si>
  <si>
    <t>La ONG Ayni Ruway centra sus esfuerzos en elaborar y ejecutar proyectos sociales, el estudio de factibilidad pretende dotar de elementos técnicos para facilitar la puesta en marcha de una microempresa de chocolates artesanales. La aceptación de un producto artesanal depende principalmente de la calificación en la mano de obra, ya que el trabajo es realizado en su mayoría manualmente. Las MyPES tienen una mayor dificultad al momento de comercializar sus productos, ya que estos se realizan en talleres pequeños. Se realizo un estudio de mercado, que muestra las características del producto así como del mercado del chocolate en Bolivia. Incluye la investigación de mercado que segmenta la población objetivo. Además de definir estrategias de marketing para realizar una venta planificada. Las estrategias son principalmente de diferenciación del producto y distribución por diferentes canales en un sector geográfico.Se realizo un estudio de tamaño y localización, que pondera las ventajas de la infraestructura y ubicación de Ayni Ruway como la más óptima para la puesta en marcha de la microempresa.El estudio técnico, estandariza el proceso de producción. La etapa de templado del chocolate se simplifica con el uso de una templadora. La cooperativa “El Ceibo” industrializa cacao orgánico, se establece como proveedor de cobertura de chocolate. Se realizo el diagrama relacional de actividades para establecer la distribución en planta.La microempresa requiere de 1 obrero, 1 jefe de producción y 1 administrador (gerente). La flexibilidad en su estructura representa una ventaja frente a grandes empresas.La inversión total calculada es de 65342 Bs. El proyecto evaluado desde un punto de vista de proyecto puro y a una tasa de descuento de 12,81% no es factible presenta un VAN negativo. Evaluando el proyecto socioeconómicamente tomando en cuenta los precios sombra, es rentable con una TIR de 55% y VAN 110728.</t>
  </si>
  <si>
    <t>https://drive.google.com/file/d/1jCAkDSkk__gLsrCjBqjBBCzAedLCiGxV/view?usp=sharing</t>
  </si>
  <si>
    <t>https://drive.google.com/file/d/1FW8CHFfrx0d2vwhfhsN13GxYAp_6y7Yx/view?usp=sharing</t>
  </si>
  <si>
    <t>LOPEZ ALVAREZ ELIANA GRACIELA</t>
  </si>
  <si>
    <t>LIC. CARLA VILLALOBOS</t>
  </si>
  <si>
    <t>PLAN DE CAPACITACIÓN EN SEGURIDAD INDUSTRIAL PARA LA EMPRESA EMBOL S.A.</t>
  </si>
  <si>
    <t>IND-284-2008</t>
  </si>
  <si>
    <t>Capacitación, Adiestramiento, Plan, Seguridad Industrial</t>
  </si>
  <si>
    <t>Diferentes definiciones ayudan a conocer con mayor propiedad las técnicas de una determinada área, en este caso herramientas de Capacitación y motivación. Durante el desarrollo del Marco Teórico se mencionan una serie de definiciones que puedan ayudar a reunir aquellas piezas necesarias para completar la idea de que una empresa debe ser ideal si reúne los requisitos mencionados. El resultado obtenido en el trabajo de campo, plasmado en el Modelo Real, un resultado que ayuda a conocer la situación actual que vive la empresa en cuanto a su características de producción, riesgos y accidentes que se presentan en la fabrica, todo ello respaldado por cuadros que muestran un detalle de todo lo ocurrido en la Gestión 2007 y parte de la Gestión 2008, como antevente para ayudar a proponer algo que reduzca el índice y frecuencia de accidentes por la falta de prevención y capacitación.La propuesta se basa en estrategias necesarias y útiles, las cuales serán expuestas en el Modelo Propuesto, el cual es el reflejo sistemático del Modelo Real pero en función a las necesidades identificadas para que de esta manera exista una coherencia entre lo que se quiere para la empresa y entre lo que se dispone de la misma, entre estas tenemos: Plan de capacitación para la Gestión 2009, la misma que incluye costos, fechas tentativas, capacitadores en función al tema que se pretende exponer, objetivos de la capacitación para saber si  el curso debe reprogramarse o no.No se puede dejar de lado el presupuesto necesario para cumplir con este objetivo, en este caso se habla de un presupuesto de capacitación, inducción e inclusive premios para motivar al personal que mas cumple con la norma del uso de equipos de protección personal y la aplicación de los conocimientos adquiridos durante la capacitación, dicho presupuesto asciende a un monto de Bs. 165.796,40 como inversión total para lograr el Objetivo General propuesto.</t>
  </si>
  <si>
    <t>https://drive.google.com/file/d/11ADkdPDffqhJ3udve3pkTSafOzC_Vcoh/view?usp=sharing</t>
  </si>
  <si>
    <t>https://drive.google.com/file/d/1zJdqkdsOqOYlnITSC0PzvGYRASaaBus_/view?usp=sharing</t>
  </si>
  <si>
    <t>https://drive.google.com/file/d/1i1XGaji3nFDhqvhSVtRS-vfPBN2SIMFM/view?usp=sharing</t>
  </si>
  <si>
    <t>VILLARROEL CAMACHO RICHARD ARIEL</t>
  </si>
  <si>
    <t>DR. LUCIO GONZÁLES CARTAGENA</t>
  </si>
  <si>
    <t>INNOVACIÓN EN EL DISEÑO Y LA CONSTRUCCIÓN DE HORNOS PARA OPTIMIZAR EL PROCESO DE TOSTACIÓN DE MANÍ EN VAINA</t>
  </si>
  <si>
    <t>richard.villarroel@gmail.com</t>
  </si>
  <si>
    <t>IND-285-2008</t>
  </si>
  <si>
    <t>Tostación de maní en vaina, Prototipo industrial de tostación, Sistema actual de tostación de maní en vaina, Análisis financiero, difusión de la tecnología.</t>
  </si>
  <si>
    <t>El diagnóstico se realizó utilizando tres  métodos: Taller de diagnóstico corporativo y participativo,  pruebas experimentales de tostación artesanal para el diagnóstico de factores principales y la medida de variables de operación,  pruebas experimentales de laboratorio para el  estudio y la determinación de variables de secado y tostación.Con el objetivo de determinar los parámetros de operación se han realizado pruebas de tostación a escala industrial, tanto en la planta como en el campo, operando los hornos en primera instancia en las condiciones establecidas, en un prototipo experimental.Con los resultados de los talleres de diagnostico se procedió al dimensionamiento del horno artesanal utilizando conceptos de transferencia de calor principalmente, de los que se concluyó que el flujo debe tener una velocidad de de 1 m/s, el espesor del aislante de 3.5 pulgadas, la caída de presión para el ventilador de 100 milímetros de agua, y una potencia de 5 Hp para el motor, el volumen del plenum se definió como el 12.5% del volumen total para una capacidad máxima de tostación de 255 kg.Las inversiones fijas comprenden los costos de: el horno, los equipos de producción y auxiliares, las obras civiles y los terrenos, que tienen un valor de 3570 $us para el sistema tradicional y 6472 $us para el sistema industrial. Estas inversiones  se  realizarán el año uno por un  valor de 3570 $us y 705 $us en el año cinco correspondiente a la renovación del horno artesanal en el año 5, no ocurriendo así en el horno industrial puesto que se realiza una inversión única de 6472 $us en el primer año del inicio de la producción.Del análisis financiero se concluyó que la TIR es de 10,39 %, el VAN de -528 $us, y una relación beneficio/costo es de 0,76 para el sistema tradicional y para el sistema industrial el TIR es de 71,44 %, el VAN es de 21511 $us, y una relación beneficio/costo es de 1,32.</t>
  </si>
  <si>
    <t>https://drive.google.com/file/d/1-RbtrobOFoq3DObfvLGZW-NsVynXUaMD/view?usp=sharing</t>
  </si>
  <si>
    <t>https://drive.google.com/file/d/1Bf0fcWK6MkGSor1wbFXP6k3zwV-fT5Gz/view?usp=sharing</t>
  </si>
  <si>
    <t>https://drive.google.com/file/d/1eycu9ZpJahh2unwA0Aw1HKJ4H6QNA0UW/view?usp=sharing</t>
  </si>
  <si>
    <t>GARCIA ALCOCER EVERTH FERNANDO</t>
  </si>
  <si>
    <t>LIC. ALFREDO RODRÍGUEZ VERA</t>
  </si>
  <si>
    <t>PLAN DE PREVENCIÓN DE RIESGOS LABORALES BASADO EN UN MAPA DE RIESGOS PARA LA DIVISIÓN DE PLANTA INTERNA EN COMTECO LTDA.</t>
  </si>
  <si>
    <t>www.fega11@yahoo.com.es</t>
  </si>
  <si>
    <t>IND-286-2008</t>
  </si>
  <si>
    <t>Plan de Prevención de Riesgos Laborales, Mapa de Riesgos Laborales,                        COMTECO Ltda., División Planta Interna, Seguridad Industrial.</t>
  </si>
  <si>
    <t>Se procedió a realizar un análisis de la situación actual en términos de Seguridad Industrial en la que se encuentra la División de Planta Interna en COMTECO Ltda. , un estudio completo de todas las actividades  que realizan  por cada una de las unidades que la componen esta división, se reviso documentación existente en la empresa, también se hizo trabajo de campo en todas las unidades, haciendo un seguimiento las tareas rutinarias y extraordinarias, se logro sociabilizar con los técnicos, alcanzaron la confianza suficiente como para que contaran algunas inquietudes respecto a su seguridadAl mismo tiempo de observar sus tareas se procedió a realizar una identificación de peligros, por cada una de sus actividades y por el lugar de trabajo donde la realizan, estas observaciones fueron enriquecidas con la transmisión verbal de algunos accidentes que sucedieron en sus Unidades que si bien es cierto no fueron registradas pero la transmisión verbal nos otorgo esta información valiosa para posteriormente empelarla.Una vez reunida toda la información se la organizo, primero se dividió por unidades, luego en cada unidad sus taras ordinarias y extraordinarias y por cada una de ellas los peligros más relevantes a los que se encuentran expuestos los técnicos.Todos los peligros encontrados fueron valorados y evaluados para determinar el grado de riesgo que representan, y determinar si este riesgo es posible aceptarlo o  se deberán tomar medidas para eliminarlos, reducirlos o controlarlos. El método utilizado para esta evaluación y valoración de los riesgos es la de INSHT de España, método que fue escogido por su mas cercana objetivad en el análisis, teniendo como parámetro de evaluación las consecuencias con la gravedad y partes del cuerpo afectadas y la probabilidad en que estas ocurran según la frecuencia de ocurrencia de estos eventos.Terminada la valoración se determino tomar medidas con los riesgos que resultaron Moderados e Importantes según la escala del método antes mencionado, una de las primeras fue elaborar un mapa de riesgos, se diseñaron de dos tipos : uno que realza los riesgos en cada actividad que se realiza, otorgando una representación grafica por riesgos con su posibles causas y además resaltando algunas acciones correctivas a tomar en cuenta, y la segunda por el lugar de trabajo donde se realizaron diagramas Lay Out de la Centrales y Uras donde trabajan los técnicos de la División.Cabe recalcar que se detectaron riesgos que son posibles de reducirlos o eliminarlos, pero existen un gran numero que no pueden ser eliminados por la naturaleza misma del trabajo y de las tareas que realizan los técnicos de las distintas unidades, para ello solo que el de controlarlos.Se elaboró seguidamente un Plan de Prevención de Riesgos Laborales tomando como base todos los riesgos mostrados en los mapas de riesgos, se estructuró primeramente una política a tomar por parte de la jefatura de la división, una vez definido el norte que tomara la división se procedió a estructura medidas preventivas recomendadas en dos grandes grupos: El primer grupo es la reducción y eliminación de riegos y la segunda el de control de riesgos.Dentro el primer grupo se determina procedimientos para la información de los riesgos en los lugares de trabajo por medio de la difusión de los mapas de riesgos u otros métodos de difusión, también se sugerio un procedimiento para la comunicación de riesgos por parte de los técnicos al momento de detectar alguno en sus tareas o en el lugar de trabajo. Se desarrollaron Instructivos de Trabajo Seguro para las actividades que aglutinan mayores riegos, para que estas puedan desarrollarse de manera mas segura seguidamente cada instructivo se detallo algunas otras recomendaciones y consideraciones a tomar en cuenta en el momento de ejecutar dichos trabajos.Se dio una propuesta de adquirir de equipos de protección personal pero en función a la necesidad de cada tarea a realizar, recomendando su uso en actividades especificas, se elaboro un formulario de entrega para que se pueda hacer un compromiso con el técnico y al mismo tiempo constituya un documento que nos sirva para hacer seguimiento en cuanto la vida útil del equipo y el mantenimiento respectivo que se la debe dar. También se propuso la compra de equipos de seguridad complementarios para algunas actividades y para los lugares donde estas se desarrollan en las que se detecto que son necesarias para poder reducir algunos riesgos, dentro de este grupo también se sugerio la señalización de los ambientes de acuerdo a normativas.En este mismo grupo de propuestas se da un cronograma completo de capacitación para el personal técnico y administrativo de la división para primero una inducción y luego lograr un cambio de cultura en las personas, las cuales se detecto muchas tenían una baja cultura de seguridad, estas van desde cursos introductorias hasta cursos específicos para cada tarea que se realiza.En el segundo grupo de medidas se sugirió procedimientos de inspecciones a los ambientes y a las tareas que realizan los técnicos para poder determinar algunos riesgos y sus respectivos acciones correctivas o preventivas, otro procedimiento propuesto es el de otorgar permisos de trabajo a las actividades dentro de las instalaciones para que se pueda tener conocimiento de los riesgos que representara la realización del mismo. En este mismo grupo se planteo realizar la investigación de los accidentes que ocurren, así como el registro de los mismos para poder cuantificar estos sucesos no deseados.Se determino el costo de todas las medidas antes mencionadas en función a un análisis económico sobre la base de compra de activos tangibles e intangibles resultado que nos mostró la viabilidad del proyecto tomando como parámetro indicador al presupuesto total de compras de la unidad de Seguridad Industrial.Por ultimo se recomendó implementar el plan  y realizar un seguimiento para poder detectar algún hecho inesperado y así poder modificarlo, también la actualización constante de las evaluaciones de los riesgos y la actualización del actual reglamento de seguridad con el cual cuenta la empresa.</t>
  </si>
  <si>
    <t>https://drive.google.com/file/d/1eBtSEn3f7Cc1EAygEyYXAPA9IbhP1hkU/view?usp=sharing</t>
  </si>
  <si>
    <t>https://drive.google.com/file/d/1n2kWvtAgrVYF4W3-neWEomh540A32_Dw/view?usp=sharing</t>
  </si>
  <si>
    <t>https://drive.google.com/file/d/1_PDXo0J3onw4zVWQYH52IcKBJfAaDXWt/view?usp=sharing</t>
  </si>
  <si>
    <t>BAUTISTA CABRERA JUAN CARLOS</t>
  </si>
  <si>
    <t>NINGUNO</t>
  </si>
  <si>
    <t>DISEÑO DE UN SISTEMA DE GESTIÓN AMBIENTAL BASADO EN LA NORMA ISO 14001:2004 PARA COPELME S.A.</t>
  </si>
  <si>
    <t>jua_bautista@hotmail.com</t>
  </si>
  <si>
    <t>IND-287-2008</t>
  </si>
  <si>
    <t>Sistema de Gestión Ambiental, Aspectos Ambientales, Implementación, verificación, revisión, desarrollo sostenible</t>
  </si>
  <si>
    <t>El objetivo del presente Proyecto de Grado es desarrollar un Diseño de un Sistema de Gestión Ambiental según los requisitos de la norma ISO 14001:2004 para que la empresa COPELME S.A. pueda implementar y adecuar a sus actividades.      En la primera parte los aspectos generales  describen los antecedentes generales y específicos, identificación y formulación del problema, planteamiento de los objetivos, justificación, alcance y la metodología utilizada para el desarrollo del presente proyecto. Para ello se ha realizado investigaciones sobre los conceptos básicos y de la información necesaria que esta reflejada en el marco teórico.      Por otra parte el diagnóstico general de la Empresa, permite una descripción sobre las actividades y productos que desarrolla y su estructura organizacional, permitiendo una evaluación de los aspectos ambiénteles (desempeño ambiental actual), situación legal ambiental (cumplimiento de los requisitos legales y otros requisitos) y situación organizacional ambiental.      COPELME S.A., Cuenta con diecisiete procedimientos que define las responsabilidades y metodologías adecuadas para desarrollar sus actividades y productos, de la misma forma se ha desarrollado instructivos de trabajo para aquellos procesos en donde se generan aspectos ambientales y formularios para registrar todas las informaciones generados dentro de sus actividades y que esta reflejado en el Manual de Sistema de Gestión Ambiental según la norma ISO 14001:2004.      Adicionalmente para la implementación del Sistema de Gestión Ambiental, en el proyecto se propone una estimación de costos que ascienda a $US 50736, que la empresa deberá desembolsar tomando en cuenta que el sistema de gestión ambiental traerá consigo beneficios anualmente de $US 59200, generando impactos positivos sobre el medio ambiente y principalmente en la sociedad.       Después de haber realizado el análisis de costo beneficio el Beneficio Social Neto BSN =8464&gt;0 o en otro caso Beneficio es mayor a Costos, por lo tanto el proyecto es atractivo y se recomienda la implementación de sistema de gestión ambiental.</t>
  </si>
  <si>
    <t>https://drive.google.com/file/d/1rX_qpsGsmEzSwmaQSvuTYqq5Vf5DQe76/view?usp=sharing</t>
  </si>
  <si>
    <t>https://drive.google.com/file/d/1Sjt4A-l8jgGL11Yz-cwZ8O6kN1DKP5rB/view?usp=sharing</t>
  </si>
  <si>
    <t>https://drive.google.com/file/d/1ipsqT11p5pIb_bzd5bfHXH2NPGRORg9s/view?usp=sharing</t>
  </si>
  <si>
    <t>FLORES MALDONADO INES</t>
  </si>
  <si>
    <t>COLQUE CHAMBI ROSARIO LORENA</t>
  </si>
  <si>
    <t>DR. EDWIN TORRES QUINTEROS</t>
  </si>
  <si>
    <t>ESTUDIO TÉCNICO - ECONÓMICO PARA LA INSTALACIÓN DE UNA AGROINDUSTRIAL RURAL DE ARRACACHA (ARRACACIA XANTHORRIZA)</t>
  </si>
  <si>
    <t>lorenacc712@hotmail.com</t>
  </si>
  <si>
    <t>IND-288-2008</t>
  </si>
  <si>
    <t>Agroindustria Rural (AIR).</t>
  </si>
  <si>
    <t>El trabajo que se realizo tenia como objetivo general elaborar un estudio de factibilidad Técnico – Económico para la instalación de una Agroindustria rural para la elaboración de hojuelas deshidratadas y chips (frituras) de la Arracacha (Arracacia xanthorriza) en el departamento de Cochabamba.Con el proyecto se proporciona al ingeniero la investigación necesaria respecto al procesamiento de diversos productos que se pueden elaborar a partir de la raíz de arracacha como los Chips, Hojuelas Deshidratadas. Los aditivos que se emplearon en el proyecto de investigación fueron dos: Metabisulfito de Sodio (Chips), Acido Cítrico (Hojuelas Deshidratadas); con los cuales se obtuvieron resultados muy alentadores para este tipo de procesamiento para los diferentes productos. En realidad la metodología fue simplemente primero de realizar una investigación bibliografica para saber las características de este producto y poder ver que aditivos serian los más trascendentales para la elaboración de un producto de calidad, luego la realización de ensayos en laboratorio.Una vez obtenidos los resultados en laboratorio se realizó la comparación de las diferentes pruebas para identificar cuales eran los aditivos que mejor actuaban a través de un análisis sensorial tanto al producto como a los consumidores. De igual forma se realizo un estudio de mercado para los diferentes productos a través de un análisis de oferta y demanda, paralelamente también se realizo la investigación de disponibilidad de materia prima y materiales auxiliares para la instalación de la planta, también se realizo una evaluación financiero económica del proyecto que permitió ver la alternativa de inversión y por ultimo una evaluación de impacto medio ambiental. Finalmente se pudo identificar claramente cuales eran los factores más críticos para la instalación de la planta que se resumen en: disponibilidad de materia prima, costo de maquinaria y equipos, costo del terreno, pero la evaluación financiera del proyecto demostró la viabilidad para su ejecución.</t>
  </si>
  <si>
    <t>https://drive.google.com/file/d/1dADkZWPgxVznTvilHtQWBJYKxBo1H-yb/view?usp=sharing</t>
  </si>
  <si>
    <t>https://drive.google.com/file/d/1S0_tu-Yb9eJhdrdXO6M57JdDTZoC7mgb/view?usp=sharing</t>
  </si>
  <si>
    <t>https://drive.google.com/file/d/1vdToz9Mo4FNoLgwu1rxRrdAmMIyOHfZX/view?usp=sharing</t>
  </si>
  <si>
    <t>CRUZ RAMIREZ SERGIO ENRIQUE</t>
  </si>
  <si>
    <t>DESARROLLO DE UN SISTEMA COMPLEMENTARIO DE PLANIFICACIÓN DE LA PRODUCCIÓN EN EL PROCESO DE FABRICACIÓN POR VÍA HÚMEDA DE CERÁMICA COBOCE</t>
  </si>
  <si>
    <t>ser_werewolf@hotmail.com</t>
  </si>
  <si>
    <t>IND-289-2008</t>
  </si>
  <si>
    <t>Pronósticos, Planificación, Control, Producción, Plan Agregado, Plan Maestro, Cerámica.</t>
  </si>
  <si>
    <t>La Planificación de la Producción permitió resaltar el aspecto de tener una producción controlada, no solo en cuanto a calidad, si no también a la capacidad. Es por eso que para el presente trabajo se desarrollara primero la descripción del proceso de fabricación y las distintas actividades que lo comprometen. Al llegar a la Planificación de la producción, en primera etapa se realizó un pronóstico de ventas. Con ello se ejecutó el Plan Agregado, su posterior desagregación (Plan Maestro) y la Planificación de los Requerimientos. Logrando que las operaciones se equilibren con las necesidades de producción.Se desarrolló el modelo de Control de la Producción, lo que controla las cantidades de producción y el uso de energía, estableciéndose índices de control, habiendo hecho el seguimiento mediante informes y registros propuestos. Por tal motivo, se realizó el análisis energético de los procesos más importantes y los que tienen una mayor demanda.Se efectúo el cálculo de los costos anuales para llevar a cabo la producción planificada y el análisis incremental, para tener ideas claras acerca del beneficio que puede traer consigo la planificación y programación de la producción. En conclusión, el estudio desarrollado a lo largo del trabajo aportó a la empresa bases considerables para el manejo de herramientas de Planificaron de la Producción. Cumpliendo con el propósito de que la empresa obtenga una guía para llegar una producción planificada, óptima y controlada, lo que obviamente elevara los niveles actuales de productividad, calidad, eficiencia y efectividad, que indudablemente da como resultado beneficios tangibles e intangibles de beneficios y ahorros.</t>
  </si>
  <si>
    <t>https://drive.google.com/file/d/1LAQjZ8HVMqnHPL3jGIXxEjQvBqHG2Mjp/view?usp=sharing</t>
  </si>
  <si>
    <t>https://drive.google.com/file/d/1IwQaRwswjfd8Uvrl41ZTHhN0AJiTSaQe/view?usp=sharing</t>
  </si>
  <si>
    <t>https://drive.google.com/file/d/1KDy_t-y7X_7oYo0ahzbVgTtbx2FPMEIE/view?usp=sharing</t>
  </si>
  <si>
    <t>BEYMAR ROLANDO DELGADILLO HINOJOSA</t>
  </si>
  <si>
    <t>SOLANO ROMERO LUIS ALBERTO</t>
  </si>
  <si>
    <t>MGR. ING. ABDÓN QUIROZ CHÁVEZ</t>
  </si>
  <si>
    <t>FACTIBILIDAD PARA LA INSTALACIÓN DE UNA PLANTA PILOTO DE PROCESOS INDUSTRIALES EN LA CARRERA DE ING. INDUSTRIAL DE LA UMSS</t>
  </si>
  <si>
    <t>Braiesec@gmail.com</t>
  </si>
  <si>
    <t>IND-290-2008</t>
  </si>
  <si>
    <t>Planta Piloto, Formación Práctica, Auto-sostenible, Ingeniería Industrial.</t>
  </si>
  <si>
    <t>La carrera de Ingeniería Industrial de la UMSS, tiene previsto realizar un proyecto la instalación de una Planta Piloto De Procesos Industriales, que ayudara al desarrollo profesional de los estudiantes en la parte práctica.El proyecto será financiado en su fase de inversión por el IDH con que la UMSS. Y después la planta piloto será auto sostenible para el desarrollo de sus actividades tanto académicas como operativas.La Planta Piloto De Procesos Industriales para se auto sostenible tiene previsto producir: Agua purificada, Yogurt, Jugo Natural y Néctar.Primeramente se hizo un estudio del mercado donde la población fue definida como todos las personas que se encuentran dentro la UMSS (Administrativos, Docentes, Estudiantes e intermediarios). De este estudio se determino la oferta, la demanda y las características de los productos que el consumidor mas valora.Después se desarrollo un análisis de la materia prima, insumos y materiales auxiliares del cual se determino la disponibilidad, los proveedores y el precio de cada uno de los materiales que se necesita para la producción de Agua purificada, yogurt, jugo natural y néctar.Se procedió al análisis de localización, tamaño y al desarrollo y armado del proceso productivo y la disposición de las máquinas dentro la planta piloto.El análisis de la organización dentro la planta piloto determino los niveles jerárquicos, los requerimientos de mano de obra y los sueldos y salarios de los mismos.Después con toda la información  recabada se realizo la evaluación financiera para poder demostrar si el proyecto es o no auto sostenible para tal efecto se realizo el análisis desde distintos puntos de vista.Con todos estos estudios se procedió a dar a conocer las conclusiones y las recomendaciones para que el Proyecto sea rentable.</t>
  </si>
  <si>
    <t>https://drive.google.com/file/d/1XTigC-PQgblec3U0-DlQe8FuXepSPrrS/view?usp=sharing</t>
  </si>
  <si>
    <t>https://drive.google.com/file/d/12jlHVqoamG3RUfHsQ9KF_yXK8vgH6f0t/view?usp=sharing</t>
  </si>
  <si>
    <t>https://drive.google.com/file/d/1Grwe8tj87CCE2Kn8S3uwvXiJuzEUozJt/view?usp=sharing</t>
  </si>
  <si>
    <t>VILLEGAS FERRUFINO ROGER ANTONIO</t>
  </si>
  <si>
    <t>ING. ROBERTO ALVARADO NÚÑEZ</t>
  </si>
  <si>
    <t>DISEÑO DE UN SISTEMA DE GESTIÓN DE LA CALIDAD PARA BAP S.R.L. BASADO EN LA NORMA NB-ISO 9001:2000</t>
  </si>
  <si>
    <t>rovillefe@yahoo.es</t>
  </si>
  <si>
    <t>IND-291-2008</t>
  </si>
  <si>
    <t>BAP S.R.L., Sistema, Calidad, Sistema de gestión de la calidad, SGC, ISO 9001, Mapa de procesos, Satisfacción del cliente, Manual de la calidad.</t>
  </si>
  <si>
    <t>El proyecto fue desarrollado en BAP S.R.L., la cual es una Empresa que brinda soluciones informáticas por medio de software, en la misma, se ha identificado la falta de procedimientos sistemáticos para la planificación, trabajo y mejoramiento de sus actividades.El objetivo del presente trabajo ha sido diseñar un Sistema de gestión de la calidad basado en la Norma NB-ISO 9001:2000 para BAP S.R.L.La metodología para lograr el objetivo planteado desarrolla un avance sistemático del Proyecto, dividido en cinco fases o etapas.Como punto de partida, se ha elaborado un diagnóstico general consistente en el levantamiento de la información de la BAP S.R.L. Una evaluación desde el punto de vista estratégico del desempeño administrativo en donde se analizó la misión, visión, análisis al interior de la empresa y análisis del entorno. La valoración de los aspectos organizativos de la organización y de infraestructura. Características de los productos y servicios que brinda. La identificación de sus procesos productivos actuales y un análisis de la medida en que el trabajo cotidiano de la organización, se ajusta a los requisitos de la Norma NB-ISO 9001:2000, en el ámbito de su gestión de la calidad.Luego de la fase de diagnóstico, se ha realizado una planificación en donde se procedió a realizar un replanteo de la gestión estratégica de BAP S.R.L., con base en el análisis de la gestión estratégica realizada en el diagnóstico general se procedió a determinar los aspectos críticos que determinan la satisfacción de los clientes, la nueva definición de la misión, la visión, ventajas competitivas y comparativas. A partir de la evaluación de factores internos y externos de la organización se procedió a formular los nuevos objetivos estratégicos. Se replanteo la estructura organizativa, se aseguro la designación de un representante de la dirección para promover la toma de conciencia de los requisitos del cliente en todos los niveles de la organización eSe han realizado actividades formativas introductorias para todo el personal al interior de la organización, al igual que con los mandos medios y la Gerencia general durante el desarrollo del Sistema y  puesta en marcha del mismo.Por último, la estructura documental del sistema ha sido estructurada según lo planteado en la fase de planificación, y la misma ha sido elaborada, revisada y aprobada con el apoyo del personal de BAP S.R.L.En conclusión, se ha logrado el cumplimiento del objetivo planteado y se ha realizado un análisis de la eficacia de la gestión de la calidad en la Empresa por medio de un cuestionario de preguntas cerradas elaborado a partir de los requisitos de la Norma NB-ISO 9001:2000, lográndose un 94% de cumplimiento con los requisitos de la misma.Las recomendaciones para BAP S.R.L. a partir del presente Proyecto son principalmente mantener, controlar, verificar y mejorar sus procesos del Sistema de gestión de la calidad. Realizar la revisión por la dirección en cuanto sea posible. Continuar capacitando al personal en temas de calidad y otros referentes a su ámbito de trabajo y evaluar las actividades formativas. Efectuar reuniones de calidad con todo el personal con el objeto de crear conciencia de calidad y productividad en todos y cada uno de los miembros de BAP S.R.L. y por último extender la implementación del Sistema a la regional Santa Cruz.</t>
  </si>
  <si>
    <t>https://drive.google.com/file/d/15KbcTT89-ctvgQAuQmGxl6nhAbvfYeV0/view?usp=sharing</t>
  </si>
  <si>
    <t>https://drive.google.com/file/d/1UWPtVDH8Z2mflrA7drMMjKMWvkcVZhFl/view?usp=sharing</t>
  </si>
  <si>
    <t>https://drive.google.com/file/d/14DtI1VsCLf3cpxGvBz1n03gxPurbRplJ/view?usp=sharing</t>
  </si>
  <si>
    <t>ARISPE SANDOVAL GUERY EDWIN</t>
  </si>
  <si>
    <t>DESARROLLO DE UN MODELO DE ESTRATEGIAS DE MARKETING PARA EL CALL CENTER DE LA EMPRESA ELFEC S.A.</t>
  </si>
  <si>
    <t>guearsan@hotmail.com</t>
  </si>
  <si>
    <t>IND-292-2008</t>
  </si>
  <si>
    <t>ELFEC S.A., Call Center, Atención al Cliente, Desempeño, Centrales Telefónicas, Operadores Telefónicos, Plan de Marketing, Servucción, Calidad en Servicios de Atención Telefónica.</t>
  </si>
  <si>
    <t>Primeramente se realizó un análisis del entorno externo al Call Center de la empresa ELFEC S.A., analizando aspectos como el entorno económico, entorno socio-demográfico y cultural, entorno tecnológico, entorno legal y político, entorno competitivo. De dicho análisis, se pudo conocer que se tienen diversas oportunidades para el desarrollo del Call Center, como ser: que existe un mayor uso gradual de los servicios de los Call Centers en el departamento de Cochabamba; el Call Center de la empresa ELFEC S.A., mantiene un monopolio en la prestación del servicio de atención de llamadas telefónicas referentes a los servicio de energía eléctrica; Internet ofrece grandes posibilidades de explotación, para una mejor y mayor comunicación de la empresa con sus clientes; los Call Centers de la región han recobrado una gran importancia en las organizaciones por su interacción permanente con los clientes, situación reflejada en inversiones realizadas en la actualidad.Como segundo paso, se realizó un análisis del entorno interno del Call Center, analizando aspectos como la descripción de la empresa y de su Call Center, con sus respectivos organigramas y su forma de funcionamiento. Se realizó también un análisis de la gestión de la servucción que manejaba el Call Center, dentro del cual se tomaron en cuenta aspectos como el servicio, el precio, la accesibilidad y la comunicación, que son variables del Marketing Mix. Para la variable del servicio, se identificaron los distintos tipos de servicio que brinda el Call Center, teniendo entre los más importantes: la atención de reclamos técnicos, la atención de consultas en general y la transferencia de llamadas. Se realizo también una descripción de todo el proceso de puesta en marcha del proceso de atención telefónica. Igualmente se realizo una descripción del personal que se encuentra en contacto directo con los clientes vía telefónica, los operadores telefónicos, al igual que la descripción de todo el personal administrativo encargado del funcionamiento del Call Center.Siguiendo con el análisis externo, se procedió a realizar un estudio de mercados, para identificar las expectativas de los clientes y obtener una valoración del servicio que estaba brindando el Call Center. De dicho estudio de mercados se obtuvieron los siguientes resultados: Gran cantidad de clientes percibían que tenían que llamar en más de una ocasión para lograr un contacto efectivo con el Call Center, gran cantidad de clientes percibían que la atención a su llamada no era inmediata; sin embargo se obtuvieron buenas calificaciones generales de los servicios en general, además de una excelente calificación para los operadores telefónicos.Del análisis externo se obtuvieron las siguientes fortalezas con que cuenta el Call Center: una excelente capacidad, destreza y formación de los operadores telefónicos; buen ambiente físico de trabajo; la capacidad instalada para la prestación del servicio es mayor a la demanda del servicio; existe un fácil acceso al servicio del Call Center, mediante cualquier línea telefónica de cooperativa local o vía telefonía móvil. Entre las debilidades que se detectaron para el Call Center se tienen: existía una dificultad para lograr atender a todas las llamadas ingresadas al Call Centere; la gestión y resolución del problema del cliente, no siempre era del agrado del mismo; no existía un guion escrito, para la interacción de los operadores telefónicos con los clientes.Con todas las oportunidades, amenazas, fortalezas y debilidades, se elaboro una misión y visión para el Call Center; de esta manera se escogió un lineamiento estratégico que guiaron los planes estratégicos, así como también sirvieron de guía para los lineamientos estratégicos de dichos planes. Para los planes estratégicos, se tomaron en cuenta las estrategias de servicio con lo cual se logro: un perfeccionamiento de manuales, diagramas, fichas técnicas, service script, etc.; se consolido la adquisición de nueva tecnología para las operaciones de los nuevos servicios, además se logro la adecuación del soporte físico con que contaba el Call Center, para ayudar a las operaciones de los nuevos servicios; se logro concientizar a los clientes de los beneficios de utilizar los nuevos servicios ofertados por el Call Center; se logro descongestionar las líneas telefónicas, por el uso de gradual de los nuevos servicios por parte de los clientes.Dentro de las estrategias utilizadas para la accesibilidad, se logro bajar el nivel de llamadas no contestadas de un 13% anterior, a un 5% del total de las llamadas que no pueden ser atendidas. Se logro obtener también una alta disponibilidad de los operadores telefónicos, evitando problemas por recesos, vacaciones, y eventualidades que se presentan.Igualmente las estrategias de comunicación, lograron obtener una definición clara de los medios de difusión, para publicitar los nuevos servicios, así como también para su capacitación. Se consiguió además un relanzamiento de la imagen del Call Center de la empresa, como otra forma de publicitar los nuevos servicios ofertados por el Call Center, además que se logro posicionar en la mente del cliente, un fuerte compromiso de la empresa para con sus clientes.El plan propuesto utilizo las ventajas del Call Center para proyectar una mejor y renovada imagen de la empresa, se enfoco en la calidad de prestación del servicio. Con el análisis de sensibilidad se ratifico que gracias a la aplicación del plan se mejoraron los indicadores de rendimiento del Call Center (Nivel de Servicio y Tiempo de Atención). Todo esto fue posible gracias al exhaustivo control que se realizo a los indicadores, sin descuidarlos ni un solo momento.</t>
  </si>
  <si>
    <t>https://drive.google.com/file/d/135-aE9BpgAcJ6xCrjCFtAKfDi_LmclnP/view?usp=sharing</t>
  </si>
  <si>
    <t>https://drive.google.com/file/d/1hDHerED-fe0pbVuR5YcTV_H2OCOu35rV/view?usp=sharing</t>
  </si>
  <si>
    <t>https://drive.google.com/file/d/1gtXyJSr_cDTHcHooVAMB0tvBwsXZN_EM/view?usp=sharing</t>
  </si>
  <si>
    <t>PEREZ CHINURI MARIA NANCY</t>
  </si>
  <si>
    <t>ING.  ROBERTO  SOTO SOLÍZ</t>
  </si>
  <si>
    <t>ESTUDIO DE FACTIBILIDAD PARA LA IMPLEMENTACIÓN DE UNA PLANTA PRODUCTORA DE ABONO VEGETAL A PARTIR DE RESIDUOS SÓLIDOS, EN EL RELLENO SANITARIO DEL MUNICIPIO DE SACABA</t>
  </si>
  <si>
    <t>IND-293-2008</t>
  </si>
  <si>
    <t>Planta Productora, Abono Vegetal, Residuos Sólidos, Relleno Sanitarios,  Estudio de Factibilidad, Compostaje. Reciclaje.</t>
  </si>
  <si>
    <t>Se realizó un análisis para  la  industrialización  de  la  basura priorizando su disposición  final , el proyecto  tiene  como principal  objetivo   la disminución  de la contaminación por la  inadecuada  deposición  de la basura y  el  incremento  de la vida   útil  del  relleno sanitario. Estudiando los distintos procesos  para  la  obtención  de   abono   vegetal ; producto del proyecto; en  base a residuos  sólidos  de origen  orgánico depositados  actualmente en el   relleno   sanitario  del  municipio de Sacaba; residuos  a los  que actualmente  no  se  les  da   ningún  valor   agregado ,  se seleccionó solo materia orgánica de origen   vegetal   se  proceso   en   condiciones  aeróbicas   y  se  obtuvo  abono vegetal   de gran   calidad    nutricional  para  los suelos  comparándolos  con  los diferentes abonos   vegetales,   Para  esto  fuerón  realizadas  ensayos  del  producto  final abono vegetal   validadas a través de pruebas de  laboratorio  para  la obtención  de  un   producto sanitariamente garantizado  por   la   Facultad  De Ciencias  Agronómicas  De  La   Universidad   Mayor De  San  Simón a través del análisis y control de los macronutrientes   y   micronutrientes de  producto  final  que   son  de   vitalidad  para  su  aplicación en  los  terrenos cultivables,  se estudio un  prototipo  en  cuál  se  analizó y determinó el  mejor  proceso  de  producción  del  producto en  las condiciones  climáticas  del  relleno  sanitario, fueron  realizados   ocho  prototipos con  los que  se  determinó los   valores de las  variables   óptimas  del  proceso  que son  determinantes para  la  obtención  de un  producto de  calidad, conjuntamente se analizó  sus componentes  principales es  decir, niveles de   de   nutrientes como el   fósforo  nitrógeno   carbono   y   también  el  nivel  de  acidez.Posteriormente  al análisis del proceso se propuso  la  disposición  de la  planta de reciclaje   y  compostaje  y  la  maquinaria  requerida  y  se realizo  un análisis  de la inversión, costos y beneficios.  Se   propusieron dos  alternativas: la  primera , que  consiste en  el  reciclaje de los residuos  orgánicos  como también   inorgánicos   esta  muestra inversión muy alta  especialmente en  maquinaria  y  mano  de obra  pero se disminuye   notablemente  la   contaminación  ambiental por que  tiene  máximos  resultados de compostaje y reciclaje.   Una   segunda   alternativa;  en la  que solo  se procesaría   materia  orgánica, se conoce que  la materia   orgánica  por su  descomposición  descontrolada  provoca  efectos   contaminantes en  menor  tiempo como   olores lixiviados  entre  otros  gases de descomposición de  esta  manera  se procesa  y  prioriza   esta  parte de la   basura , el  proyecto brinda  también  resultados excelentes  de  menor  inversión.                                                                                    Este    proceso   totalmente  mecanizado  con  menor empleo  de  mano  de de obra, de  maquinaria  y en  este  caso   el  costo de limpiar es   el  costo  de compostar llegándose a concluir  que es  la solución  apropiada conociéndose la  situación  del   relleno  sanitario  del  municipio .Los  beneficiados   son  tanto  la  población  en general, los comunarios aledaños al relleno  sanitario  y    la  contaminación medioambiental  seria  mitigada     incrementando de esta manera  la    vida útil    del relleno sanitario ya  que    después  de procesar la  basura   la  disposición  final   de residuos  sólidos   orgánicos  como inorgánicos  aumentaría. Se realizó  una   identificación  de  los impactos   ambientales  en  base a el  Manual  Racim.  Se recomienda  dar  prolongación   al  proyecto pues se disminuye  notablemente la  contaminación   ambiental que es una  de la  principales consecuencias de la inadecuada  disposición  d e los residuos sólidos o de la basura,  se evitará  paralelamente  los conflictos  sociales que  clásicamente  arrastran  consigo en  el  departamento de Cochabamba.</t>
  </si>
  <si>
    <t>https://drive.google.com/file/d/1ekAIxOva--63LEJL5emFqnhgheq9Rbvb/view?usp=sharing</t>
  </si>
  <si>
    <t>https://drive.google.com/file/d/1BQTdCus2UaMwbQuFKBhI0gcD0cAyBBmG/view?usp=sharing</t>
  </si>
  <si>
    <t>https://drive.google.com/file/d/1Ktj5WyW2SRa_0H5zkRAY5gNQR-gScOrh/view?usp=sharing</t>
  </si>
  <si>
    <t>FLORES QUIROGA RENE FERNANDO</t>
  </si>
  <si>
    <t>ESTUDIO DE FACTIBILIDAD TÉCNICO ECONÓMICO PARA LA PRODUCCIÓN DE ESTANTES DE TABLERO AGLOMERADO ENCHAPADO EN MELAMINA</t>
  </si>
  <si>
    <t>fernando_sale@LIVE.com</t>
  </si>
  <si>
    <t>IND-294-2008</t>
  </si>
  <si>
    <t>Tablero aglomerado enchapado en melamina –Evaluación financiera- Balanceo de línea.</t>
  </si>
  <si>
    <t>El presente proyecto de grado ”Estudio de factibilidad técnico y económico para la producción de estantes aglomerados enchapados en melanina”  fue realizado con el objetivo de desarrollar una línea de producción para la producción de muebles de tablero aglomerado enchapado en melanina a nivel de un estudio de factibilidad técnico-económico con el contexto de una pequeña empresa productiva.Primeramente se realizo un estudio de mercado para tener datos de la situación del mercado actual teniendo así una demanda esperado de 100 estantes (50 con puertas y 50 sin puertas).Se hizo una descripción completa de los tres procesos productivos: cortado, tapacanteado, armado o ensamblado, con su respectiva maquinaria, y equipos acorde al tamaño y requerimiento de la empresa.También mediante un estudio de tiempo se realizo un balanceo de línea para así llegar a tener  tiempos estándares en cada proceso a realizarse hasta la conclusión del producto.Se obtuvo así el número óptimo de trabajadores con los que la empresa debería empezar a realizarse este proyecto.Se analizaron las inversiones a realizarse  así también los costos directos indirectos, depreciaciones, patentes de funcionamiento, etc.También se hizo una estimación de los requerimientos de materia prima para cumplir con la demanda esperada, así como también una distribución de la planta para un óptimo aprovechamiento.Después de realizarse el presente estudio se llegaron a un resultado donde la rentabilidad está dada por un VAN 131.854,158  TIR 37.89% RBC 1,1813127 demostrando así la rentabilidad técnica financiera del proyecto. Por último se hizo un análisis de sensibilidad en el precio de venta en un disminución del 10 % demostrando así que el proyecto es sensible a cualquier variación en el precio bajando así su rentabilidad a un 16.33 % la  cual es mayor a la TMA del 8%, con lo cual es proyecto sigue siendo viable.</t>
  </si>
  <si>
    <t>https://drive.google.com/file/d/1pCrmVyyzC-GToC4AInI367hfcqiIQMhC/view?usp=sharing</t>
  </si>
  <si>
    <t>https://drive.google.com/file/d/1Dt8IWhJzyWh8eSDVGv_lGMYo3qZIHBDO/view?usp=sharing</t>
  </si>
  <si>
    <t>https://drive.google.com/file/d/1eliG7N0U4t3jvAvjinArze5tjloobOXz/view?usp=sharing</t>
  </si>
  <si>
    <t>CHALLAPA CABEZAS RODRIGO ANDRES</t>
  </si>
  <si>
    <t>MANUAL PARA MEJORAR LA SEGURIDAD EN LOS PROCESOS DE SOLDADURA ASÍ COMO LA SALUD Y LA CAPACITACIÓN DE LOS SOLDADORES EN LAS MYPES DEDICADAS AL RUBRO DE LA METALMECÁNICA</t>
  </si>
  <si>
    <t>rodrigo_challapa@hotmail.com</t>
  </si>
  <si>
    <t>IND-295-2008</t>
  </si>
  <si>
    <t>Seguridad, Procesos de Soldadura, Riesgos, Capacitación, EPI, Prevención, Concientización.</t>
  </si>
  <si>
    <t>Las micro y pequeñas empresas dedicadas a la metalmecánica necesitan que sus trabajadores sean capacitados en lo que concierne a la seguridad en los procesos de soldadura.Para llevar acabo este trabajo se lo dividió en tres fases:FASE 1: Recopilación de Información.Que como objetivo principal tuvo el de llevar a cabo  un estudio sobre las condiciones actuales de seguridad industrial que se presentan en dichas empresas, en el cual se tomó en cuenta los siguientes aspectos:Ø Identificar cuáles son las acciones  y condiciones inseguras en las que se incurre en estas metalmecánicas a la hora de realizar el proceso de soldadura y sus procesos relacionados.Ø Establecer las causas por las que se incurre en estos actos.Se realizó un análisis de las condiciones investigadas anteriormente para  encontrar las posibles alternativas de mejora.FASE2: Elaboración de un Manual de Seguridad Industrial en Procesos de Soldadura. Con los datos obtenidos de las encuestas acerca del conocimiento de la seguridad industrial y procesos de soldadura, se procedió a la elaboración del Manual de Capacitación en Seguridad Industrial y Procesos de Soldadura en el cual se tomó en cuenta los siguientes puntos:Ø Introducción del soldador acerca de los aspectos básicos de los procesos de soldadura.Ø Establecer las condiciones y acciones seguras que se deben tener y seguir a la hora de realizar este proceso. Ø Determinar el tipo de equipo de protección Personal necesario y adecuado para llevar a cabo los procesos de soldadura.Ø Establecer  el adecuado manejo de las instalaciones eléctricas.Ø Establecer condiciones de manejo y mantenimiento adecuado de materiales y equipos de soldadura.Ø Establecer acciones que se deben realizar en caso de ocurrir un incendio.Ø Capacitar al trabajador en la aplicación de primeros auxilios en caso de ocurrir un accidente.FASE 3: Implementación del “Manual para mejorar la Seguridad en los Procesos de Soldadura así como la Salud y la Capacitación de los Soldadores en las MyPES Dedicadas al Rubro de la Metalmecánica .”Como un punto importante, se realizó la evaluación del manual de seguridad y capacitación propuesto según a las necesidades de las empresas estudiadas.Por otra parte se indica la forma de organización e implementación de la seguridad industrial que debe seguirse en las empresas estudiadas. Además se realizó  la determinación del costo que significaría la capacitación y el costo de los elementos del equipo de protección individual.</t>
  </si>
  <si>
    <t>https://drive.google.com/file/d/1GTTfhPFzVLLUJ34vqFk7C7WSqbjU6Pc5/view?usp=sharing</t>
  </si>
  <si>
    <t>https://drive.google.com/file/d/1825Pu2y3XpAWrcfEn6zaR0bvFNBUaVgm/view?usp=sharing</t>
  </si>
  <si>
    <t>https://drive.google.com/file/d/1BiKOu33CYbuU3sgxO7XxfivjToiHCrdQ/view?usp=sharing</t>
  </si>
  <si>
    <t>ARISPE VIDAL JOSE BERNARDO</t>
  </si>
  <si>
    <t>ESTUDIO E INVESTIGACIÓN DE MERCADO PARA COMERCIALIZAR EL PAN DE ARANI EN LA CIUDAD DE COCHABAMBA, ESTUDIO PARA LAS PANIFICADORAS DE LA PROVINCIA DE ARANI</t>
  </si>
  <si>
    <t>ARVIJOS@yahoo.com</t>
  </si>
  <si>
    <t>IND-296-2008</t>
  </si>
  <si>
    <t>Investigación, Plan Estratégico, Mayor Participación en el Mercado</t>
  </si>
  <si>
    <t>Previamente a la Investigación de Mercados, se determino las necesidades de información, donde  se realizó una entrevista a los propietarios de las panaderías de la Provincia de Arani, para identificar los problemas o deficiencias que limitan el desarrollo de las pequeñas industrias panificadoras.Una vez identificado la mayor deficiencia que enfrentan las panaderías, es en el  área de comercialización. Se determino la necesidad de realizar un Estudio e Investigación de Mercados, y  Diseñar un Plan Estratégico de Marketing basado en la Investigación  de Mercados y dar solución a los distintos problemas de las industrias panificadoras.El primer paso fundamental en la investigación, es la Elaboración del Diseño de la Investigación, primero, se realizó un análisis de los datos secundarios externos e internos, para obtener los datos externos, se realizó una revisión de publicaciones de revistas, cámara de comercio y asociaciones comerciales, para obtener los datos internos se realizaron entrevistas a los propietarios de las panaderías, intermediarios, las vendedoras (puestos de venta) y proveedores de materia prima e insumos.El tipo de investigación que se realizó es una investigación descriptiva, el método que se utilizó para el acopio de datos cuantitativos, es el método de las encuestas y dentro de este método las entrevistas personales, luego se diseño el cuestionario, donde se traduce la información necesaria en un conjunto de preguntas específicas donde los encuestados han respondido, seguidamente se determino el marco de muestreo en base a la información existente en el Instituto Nacional de Estadística, la técnica de muestreo que se utilizó, es el muestreo probabilistico, y entre los muestreos probabilisticos el muestreo aleatorio simple, luego se determino el tamaño de muestra, donde el tamaño de muestra óptimo es de 383 elementos, antes de determinar el tamaño de muestra, es necesario conocer algunos parámetros, para tal efecto se realizó una prueba piloto, después se realizó el trabajo de campo a de acopio de datos, donde los encuestadores establecen el contacto con los encuestados y aplicaron los cuestionarios, anotaron los datos y devolvieron los formularios de encuestas llenas para procesarlas, posteriormente se efectuó la preparación y análisis de datos, donde en la preparación se verifico de los cuestionarios que estén completos, después se realizó la codificación de las respuestas, para su respectivo análisis y presentación del informe e interpretación de los resultados de la investigación. Según el análisis el estudio de mercado realizado en la Ciudad de Cochabamba, nos da una probabilidad muy elevada del consumo del pan el 96% con una frecuencia de consumo del 95% diaria esto por que el pan se considera un alimento básico. También se pudo observar que el pan de Arani se encuentra en un segundo lugar en la preferencia de los consumidores con el 8%, también se observo que existen tres factores importantes para la preferencia de compra como el precio, sabor y calidad en ese orden de importancia, otro factor elemental es el lugar o el punto de venta que según los resultados cuanto más cerca de su hogar mejor, después de realizar la prueba de degustación del pan de Arani, según la escala de clasificación el producto es altamente aceptado, y de acuerdo al estudio las características o atributos por las cuales gusta son: el sabor, aroma y por su aditamento natural, según el análisis, el 74% del total de los entrevistados, tienen la intención de adquirir el producto en un tiempo futuro, este porcentaje representa el mercado potencial y también nos indica la cantidad de producto que podría venderse en el futuro. La mayor parte de los posibles clientes del pan de Arani viven dentro el distrito 10 (que comprende la zona céntrica de Cochabamba o el casco viejo), y es independiente del nivel de ingreso que tienen, por lo tanto nuestra mayor atención, esfuerzo en satisfacer sus necesidades debe estar enfocado en esta zona sin descuidarse los otros dos distritos. También se puede observar que un porcentaje alto el 51% de los posibles clientes tienen  un ingreso medio.De acuerdo al estudio los niveles de ingreso según la escala o intervalo definido para el análisis, los tres distritos tienen un nivel de ingreso medio por las características demográficas. Según la cultura de los Cochabambinos, que por tradición les encanta salir de la ciudad los fines de semana y asistir a diferentes eventos, pero la distancia y el transporte se convierte en un obstáculo para muchas personas. El desarrollo y la aplicación del Plan Estratégico de Marketing permitirán lograr los objetivos planteados, donde se organizará ferias de pan en la población complementado de otras actividades, donde se utilizaran diferentes medios de comunicación como publicidad, otra de las estrategias, es lograr posesionarse en la mente de los clientes a base de las cualidades distintivas del pan de Arani, asimismo se comercializara dando un valor agregado, con una distribución directa sin la presencia de intermediarios minimizando los costos de distribución. Donde el análisis FODA a las industrias panificadoras es un paso previo al desarrollo del Plan Estratégico de Marketing, con este plan se quiere alterar el futuro.</t>
  </si>
  <si>
    <t>https://drive.google.com/file/d/1hGZeGiJagi7JGxmQflN6RopOaccPg9FK/view?usp=sharing</t>
  </si>
  <si>
    <t>https://drive.google.com/file/d/13wQKwU929wKLNEXw2wZfg7pToCerindT/view?usp=sharing</t>
  </si>
  <si>
    <t>https://drive.google.com/file/d/1WMINya2yXa8iZ214JAQOFH6-FBA2L--f/view?usp=sharing</t>
  </si>
  <si>
    <t>ROCHA RIOS MIGUEL</t>
  </si>
  <si>
    <t>HINOJOSA LINCO JIMENA</t>
  </si>
  <si>
    <t>ING. ABDÓN QUIROZ CHÁVEZ</t>
  </si>
  <si>
    <t>ESTUDIO DE FACTIBILIDAD PARA LA INSTALACIÓN DE UN CENTRO DE CAPACITACIÓN Y ADIESTRAMIENTO TÉCNICO EN MADERA, METALMECÁNICA, TEXTILES Y ALIMENTOS</t>
  </si>
  <si>
    <t>jimenahinojosa@gmail.com</t>
  </si>
  <si>
    <t>IND-297-2008</t>
  </si>
  <si>
    <t>Factibilidad, instituto de capacitación técnica, instituto técnico, alimentos, madera,  metalmecánica, textiles.</t>
  </si>
  <si>
    <t>Primeramente se realizó un análisis de la situación actual de las micro y pequeñas empresas en la ciudad de Cochabamba, tomando en cuenta el nivel de formación de los propietarios, la cantidad de empleados, la antigüedad de la empresa, la lógica empresarial, la maquinaria, la mano de obra y los rubros más importantes que generan mayor cantidad de empleo; en dicho análisis se identifico que los cuatro rubros más importantes son: madera, metalmecánica, textiles y alimentos. Además de que las microempresas carecen de mano de obra calificada.Luego se realizó una investigación de mercado en el departamento de Cochabamba, tomando en cuenta la aceptación de la capacitación técnica, se analizaron tres poblaciones: las micro y pequeñas empresas, los bachilleres de colegios fiscales gestión 2007 y los estudiantes de colegios nocturnos y CEMAS gestión 2008. En dicho análisis se identificó que más del 50% del personal de las microempresas en los diferentes rubros requieren capacitación en uso y mantenimiento de distintas maquinarias,  esto según el gerente o personal encargado. Un 73,20 % de los estudiantes eligen una carrera corta por la necesidad de trabajar y mejorar sus ingresos en el tiempo más corto. Los Bachilleres y los estudiantes de CEMAS y Colegios Nocturnos más del 50 % están dispuestos a capacitarse  a nivel de Técnico y el rubro más apoyado es Metalmecánica y Alimentos.Seguidamente se realizó una proyección de la demanda que dio como resultado que esta es creciente los próximos 5 años estudiados. Luego se estudio la competencia actual, realizado el análisis de Porter se estableció a INFOCAL como competidor más fuerte, basados en los costos ofertados por la competencia se determinó cobrar a cada estudiante Bs. 1.050 por semestre.Posteriormente se realizó las estrategias de posicionamiento: promoción y publicidad y convenios con empresas; para consolidar el instituto en el mercado potencial.Luego se determinó el tamaño de acuerdo a la demanda propia del proyecto, la cual fue obtenida a partir del estudio de mercado, el primer año se prevé 1.000 alumnos, cantidad que se incrementará con el tiempo, no solo por el carácter acumulativo de la demanda si no también porque se prevé que la cantidad de estudiantes nuevos será cada vez mayor, al cabo de 5 años se proyecta tener 2.000 estudiantes.Seguidamente se analizó los factores objetivos y factores subjetivos, se utilizó la metodología de Brown Gibsson; se determinó la localización optima como la zona sud de la ciudad de Cochabamba.A continuación, se determinó el nivel Técnico Medio como el titulo que se dará al estudiante, esto debido a la necesidad de mano de obra calificada en el tiempo mas corto posible, además de contar con una educación modular. Se determinó los siguientes cursos para el instituto: Técnico medio en soldadura, Mano de obra calificada en fundición, Técnico medio en maquinas herramientas, Técnico medio en diseño, corte y confección a medida, Capacitación en mantenimiento de máquinas de coser, Mano de obra calificada en carpintería industrial, Capacitación en buenas practicas de manufactura, Mano de obra calificada en mantenimiento industrial. De cada uno de estos cursos se desarrolló su línea de capacitación, los módulos o materias, horas requeridas de acuerdo a datos del Vice ministerio de educación.Luego se diseñó los ambientes propios del instituto de acuerdo a la Guía de Diseño y Equipamiento para edificaciones escolares del Vice ministerio de educación;  los ambientes serán cómodos y suficientes, se construirá en un terreno de 1.170 m2. La construcción constará de 2 bloques, académico y administrativo, áreas de recreación (áreas verdes y cancha poli funcional) y un parqueo. Estos ambientes se equiparon adecuadamente en función a estándares establecidos para instituciones de educación superior.Seguidamente se realizó la cotización de maquinaria y servicios básicos; recurriendo a instituciones propias de cada rubro.Luego se determinó la misión, la visión, el organigrama del instituto, la asignación de funciones y responsabilidades, los puestos de trabajo necesarios, el cuadro de mando integral y los costos por sueldos al personal administrativo y personal académico, además de los beneficios sociales.Asimismo se estableció el procedimiento necesario para lograr la consolidación legal del instituto.Posteriormente se planificó las actividades previas a la ejecución del proyecto, determinando los costos de estas y la ruta critica para evitar cualquier retraso en el programa.Luego se demostró la viabilidad del proyecto mediante el análisis del VAN, TIR y relación B/C, lo que justifica  ser un referente para futuros inversionistas, que deseen incursionar en la educación superior.Asimismo se determinó que la implementación de este proyecto generará un impacto social positivo para la región.</t>
  </si>
  <si>
    <t>https://drive.google.com/file/d/1VIq1EJFaKJIEok2qxn-aAjR7hHU9C476/view?usp=sharing</t>
  </si>
  <si>
    <t>https://drive.google.com/file/d/1iYMjU4F_U1QdhFFtcoqBw0TIpb6FBdl6/view?usp=sharing</t>
  </si>
  <si>
    <t>https://drive.google.com/file/d/19SIYJBeS7xI_6UUbyCPZEXeQWOEr0lnJ/view?usp=sharing</t>
  </si>
  <si>
    <t>CHOQUERIVE CHOQUE JOSE LUIS</t>
  </si>
  <si>
    <t>ORDOÑEZ MIRANDA GILMAR RODRIGO</t>
  </si>
  <si>
    <t>PLAN ESTRATÉGICO PARA LA FORMACIÓN DE UNA SOCIEDAD EMPRESARIAL EN BASE A LOS MICROEMPRESARIOS DE LA ASOCIACIÓN DE CONFECCIONISTAS WARA WARA</t>
  </si>
  <si>
    <t>IND-298-2008</t>
  </si>
  <si>
    <t>Planificación Estratégica, Sociedad Empresarial, Asociatividad Confeccionistas, Auditoria Externa e Interna.</t>
  </si>
  <si>
    <t>El  estudio fue realizado para el sector Mypes del rubro de las confecciones de prendas de vestir, en particular para los Microempresarios pertenecientes a la Asociación de confeccionistas Wara Wara, el cual tuvo como finalidad fortalecer las diferentes áreas que forman parte de una empresa, además se pretende que el proyecto sirva como modelo para la formación de otras sociedades empresariales. Primeramente se identificó a los participantes del proyecto, el cual permitió determinar el problema central que tienen los microempresarios de la asociación donde se expuso a la falta de planificación y organización como problema central, los cuales están dispuestos a invertir tiempo y esfuerzo para mejorar esta deficiencia en cada etapa del proyecto.También se realizó un diagnóstico de la situación actual externa del sector confeccionista con la finalidad de identificar las oportunidades y amenazas, donde se hace referencia especial a la contribución económica y la generacion de fuentes de empleo que generan las Mypes para el país. Al igual que un diagnóstico de la situación actual interna realizando un análisis tanto de los microempresarios (talleristas), así como también de la asociación con el objetivo de identificar las fortalezas y debilidades para determinar la posición competitiva de la Sociedad Empresarial.Seguidamente fue diseñado el plan estratégico en base a la posición competitiva que tiene la Sociedad Empresarial para poder alcanzar un objetivo común a futuro, para lo cual se plantearon tres estrategias. La primera de Fortalecimiento Organizacional, la segunda de Crecimiento y Expansión y finalmente Compromiso y Gestión para el cambio, dichas estrategias están desagregados en planes operativos anuales con sus respectivas actividades, tareas, tiempos recursos y responsables.  Para el seguimiento, control y evaluación de los planes estratégicos y las áreas productivas principales de la sociedad empresarial se elaboraron sistemas de control e Indicadores.Finalmente se realizó el análisis financiero del proyecto que permite mostrar las inversiones, la estructura de costos y los ingresos que generara la sociedad empresarial. Asimismo se realizo el flujo de caja que permite mostrar el atractivo y la rentabilidad del proyecto mediante indicadores financieros como el TIR=91%, VAN=469.025,13 y B/C=4,84.</t>
  </si>
  <si>
    <t>https://drive.google.com/file/d/14xzZ9AcvEfulOVG59C6hbKKLJWKLCVvE/view?usp=sharing</t>
  </si>
  <si>
    <t>https://drive.google.com/file/d/1yBiuqDqUKHjSXPU9grh9rW5R7jDrvCgv/view?usp=sharing</t>
  </si>
  <si>
    <t>https://drive.google.com/file/d/1JaP2G4ais-BPffndYArJcVFH3YvGO97x/view?usp=sharing</t>
  </si>
  <si>
    <t>CORDOVA ZARATE EDZON</t>
  </si>
  <si>
    <t>DESARROLLO DE UN MODELO DE ADMINISTRACIÓN ESTRATÉGICA Y CUADRO DE MANDO INTEGRAL PARA LA EMPRESA CONSULCAD INGENIERÍA SRL.</t>
  </si>
  <si>
    <t>I-2009</t>
  </si>
  <si>
    <t>edzon_cz@yahoo.com</t>
  </si>
  <si>
    <t>IND-299-2009</t>
  </si>
  <si>
    <t>Consulcad Ingeniería Srl, Aire acondicionado, Administración Estratégica, Cuadro de mando integral, evaluación económica y financiera</t>
  </si>
  <si>
    <t>La Empresa Consulcad Ingeniería Srl vio la necesidad de realizar un plan con objetivos estratégicos debido a los problemas financieros y el progresivo crecimiento del negocio en el sector de la termo mecánica. En ese sentido se planteó lo siguiente: Objetivo general: Desarrollar un modelo de administración estratégica que defina exactamente la situación y proyección de la empresa Consulcad Ingeniería Srl. Objetivos específicos: 1) Realizar un diagnóstico integral de la empresa Consulcad Ingeniería para identificar problemas y potencialidades existentes. 2) Desarrollar la planificación estratégica para la empresa Consulcad Ingeniería 3) Realizar la implementación y control mediante la planificación operativa y cuadro de mando integral. 4) Realizar una evaluación económica y financiera del plan estratégico.La metodología empleada fue la siguiente: 1) Marco teórico y diagnóstico integral (revisión teórica de la administración estratégica y análisis interno externo de la empresa). 2) Formulación de Estrategia (Misión, Visión, objetivos, estrategias, plan operativo 3) Gestión  y Evaluación de la Planificación Operativa (Cuadro de mando integral, Evaluación financiera y económica) Primeramente se realizó un diagnóstico de la situación actual de la empresa, en sus diferentes áreas, procesos y sobre todo en la parte administrativa. También se estudió la bibliografía de los modelos de administración estratégica. El diagnóstico integral  arrojó un análisis externo y un análisis interno, que relacionado a una matriz de Fortalezas, Oportunidades, Debilidades y Amenazas  generó objetivos estratégicos.En la etapa de la decisión se utilizó la matriz Cuantitativa de Planificación Estratégica para determinar objetivos a largo plazo, un objetivo financiero y objetivos estratégicos. Con ello se realizó planificación estratégica y operativa.A continuación se hizo un capítulo de implementación y evaluación del plan estratégico a través de un Cuadro de Mando Integral, modelo de gestión, que a través del mapa estratégico se obtuvo 4 perspectivas que la empresa consideró como importantes; La perspectiva financiera, del cliente, de procesos internos y de aprendizaje y crecimiento. Estas perspectivas generó objetivos estratégicos, indicadores de resultado e inductores de acción que fueron resumidos en un tablero de Comando.También se evaluó la inversión y costo que significa poner en marcha la planificación estratégica y sus diferentes actividades, y así se determinó la rentabilidad del proyecto.Los resultados fueron la generación de un modelo de administración estratégica para la empresa, que ayudará en su planificación y objetivos estratégicos y así encarar un ambiente futuro de competencia y amenazas. También se concluyó: 1) El diagnostico de la empresa y su ambiente dio resultados medios de su aprovechamiento de fortalezas y oportunidades. 2) Se generó objetivos estratégicos que un cuadro de mando integral garantiza su gestión y evaluación. 3) El proyecto de grado sugiere estrategias para incrementar ingresos y de productividad.Recomendaciones: 1) Darle continuidad a la administración estratégica con el análisis de procesos y mejora de los mismos para cumplir con las normas técnicas establecidas como la  ISO 9000. 2) Realizar una planificación estratégica de marketing para complementar el estudio.</t>
  </si>
  <si>
    <t>https://drive.google.com/file/d/1k_hxNtU7FEY9TMcSK9QHbPnt1503O6G3/view?usp=sharing</t>
  </si>
  <si>
    <t>https://drive.google.com/file/d/1i1cxGO549WcS79kOQMVcvM_4X8B8ISGE/view?usp=sharing</t>
  </si>
  <si>
    <t>https://drive.google.com/file/d/1rJEdite8e0rklf7u0bxGxSx4esW1wjaS/view?usp=sharing</t>
  </si>
  <si>
    <t>BAZOALTO LEDEZMA DENNIS ROMEO</t>
  </si>
  <si>
    <t>PROYECTO DE FACTIBILIDAD PARA LA INSTALACIÓN DE UNA PLANTA PROCESADORA DE PULPA DE CUPUAZU</t>
  </si>
  <si>
    <t>yolita_chb@hotmail.com</t>
  </si>
  <si>
    <t>IND-300-2009</t>
  </si>
  <si>
    <t>Planta Procesadora de Pulpa de Cupuazú (PPPC), Parámetros del Proceso de Concentración (PPC)</t>
  </si>
  <si>
    <t>El cupuazú es una fruta originaria de la región amazónica, su nombre viene del termino tupi guaraní que significa cacao grande, es una fruta de alto contenido nutricional, el árbol tarda unos tres años en dar sus primeros frutos, el fruto de cupuazú cae por si solo al estar maduro, requiere una serie de condiciones ecológicas para su crecimiento entre las que sobresalen la temperatura por arriba de los 25°C, altitud de 0 a 800 msnm y una humedad relativa del 85%. Su cosecha esta dada entre los meses de Enero a Junio.Primeramente se realizó una investigación de mercados en la ciudad de Cochabamba y algunos lugares estratégicos, se realizo el estudio mediante encuestas dirigidas a tres mercados específicos como ser: el mercado de consumidor final que llegarían a ser las amas de casa y personas que gusten del producto y puedan comprarlo en la agencia, el segundo mercado es el sector servicios, los consumidores de este mercado serian los establecimientos que preparan jugos, refrescos, etc. en base a pulpa de frutas, el tercer mercado es el mas importante debido a que es el mercado de mas consumo del producto del proyecto.Como resultado de las encuestas realizadas se pudo evidenciar que del total de personas encuestadas, solo el 8% del total conocen el producto, y el restante 92% no conoce el producto.Se evidencio que del total de las personas que conocían el producto las características mas apreciadas fueron: sabor con 64%, Arome con 33.33% y color con 2.22%, y las formas mas usuales de consumo fueron como jugo un 55.81%, como mermelada un 37.21% y como vino un 6.98%.A través de los resultados obtenidos y con la capacidad de planta se pudo determinar que la disponibilidad de planta fue de 110200 Kg de pulpa de cupuazú, siendo distribuido en los dos mercados de la siguiente manera, para el consumidor final 15977 Kg. Para el mercado industrial 97750 Kg.Habiendo realizado el análisis de capacidad de planta se evidencio que la planta estaría en condiciones de poder satisfacer la demanda del mercado cochabambino, aun sabiendo que la capacidad de producción fue de 89% para el año 2009 debido a que no se quiso ocasionar cuellos de botella.Ya habiendo hecho el análisis de la demanda y la capacidad de la planta productora se prosiguió a comprar la maquinaria y equipos, seguidamente se realizo la búsqueda de un terreno para posteriormente realizar el emplazamiento de la planta, se lo realizo sobre una superficie de 400m².Al mismo tiempo se realizo la propaganda del producto en la ciudad de Cochabamba con el fin de que la gente empiece a conocer el producto y cada año tenga más consumidores potenciales.Se decidió por dos canales de distribución en la ciudad de Cochabamba, uno que sea de Productor a Consumidor, en el caso del consumidor industrial  y consumidor final y el otro que se realice mediante un detallista que este distribuyendo al sector servicios.Se recomendó en un futuro, dar cursos sobre como realizar plantaciones de cupuazú a campesinos de la zona con el fin de contar cada año con materia prima suficiente para cubrir el mercado de la ciudad de Cochabamba y también incursionar en el mercado nacional e internacional, cuidando siempre la calidad, duración y envase, a fin de competir con otras empresas dedicadas al rubro alimenticio.También se recomendó realizar un tratamiento de aguas con el propósito de no ser una amenaza para el medio ambiente.</t>
  </si>
  <si>
    <t>https://drive.google.com/file/d/1Kh_Fsb_-4sKzqkYH9mxPa-piyv1SDkM6/view?usp=sharing</t>
  </si>
  <si>
    <t>https://drive.google.com/file/d/1Vjq69HaYKClhVDYE5SH8b3EyRHVVv2LW/view?usp=sharing</t>
  </si>
  <si>
    <t>https://drive.google.com/file/d/1PF-iFLcZGsEyCsAPxL1OJuIgNIzgT_gN/view?usp=sharing</t>
  </si>
  <si>
    <t>SERNA JAIMES FRANZ HERBERT</t>
  </si>
  <si>
    <t>VARGAS CHAVEZ RONALD RICHARD</t>
  </si>
  <si>
    <t>ESTUDIO DE FACTIBILIDAD PARA LA REACTIVACIÓN DE LA LÍNEA DE CEMENTO DE LA FÁBRICA SIMSA</t>
  </si>
  <si>
    <t>carla_herbert@hotmail.es</t>
  </si>
  <si>
    <t>IND-301-2009</t>
  </si>
  <si>
    <t>cemento, clinker, inversión, horno rotatorio, molinos, Uspha Uspha.</t>
  </si>
  <si>
    <t>Debido al continuo crecimiento en el sector de la construcción tanto pública como privada en Bolivia,  del cual el cemento es uno de los insumos principales  y considerando que la empresa SIMSA cuenta una línea de cemento con toda la maquinaria necesaria para la manufactura de cemento, con la única desventaja de haber estado completamente abandonada por varios años. Surge la necesidad de un estudio de factibilidad que  demuestre la rentabilidad  para la inversión y reinversión  de dicha línea de producción de cemento Portland en la provincia Cercado de la ciudad de Cochabamba. La metodología fue simple, primero se realizo un Estudio de Mercado para justificar la producción máxima, luego la Ingeniería de Proyecto para detallar el proceso productivo de la fabricación del cemento así como también la calidad y la capacidad de producción.El estudio de impacto ambiental se realizo de una forma descriptiva, definiendo cuales son los puntos críticos de la actividad, para tratar de disminuir al máximo los impactos que  genera esta actividad en el medio ambiente. Se evaluaron los costos del sistema productivo mediante el estado de ganancias y pérdidas, donde se discutieron las formas de hacer más rentable el sistema productivo, reduciendo los costos de producción y la utilización de los recursos, se elaboro tomando como base los costos y rendimientos financieros que tendrá la empresa. Para estimar los costos de producción, primeramente se determino la producción, la cantidad de insumos y productos que serán utilizados. Todos los costos y beneficios fueron valorados a precio de mercado.Una vez realizada la evaluación financiera se tuvo como resultado que la reactivación es aceptada por el proyecto ya que lo justifican los indicadores financieros VAN y TIR.</t>
  </si>
  <si>
    <t>https://drive.google.com/file/d/16SBpM3EQirltVCTsiUrLgpBHofS-REy3/view?usp=sharing</t>
  </si>
  <si>
    <t>https://drive.google.com/file/d/1PmEH8BAY8p3ws8Erm63SNggLxaeNWhPF/view?usp=sharing</t>
  </si>
  <si>
    <t>https://drive.google.com/file/d/1JcjG-2skKse3MtL4pF8pXqFMSEEoUWo-/view?usp=sharing</t>
  </si>
  <si>
    <t>ACEVEDO PEÑA CARLOS GONZALO</t>
  </si>
  <si>
    <t>PLAN ESTRATÉGICO PARA LA UNIDAD DE TRANSFERENCIA DE TECNOLOGÍA DE LA FCYT</t>
  </si>
  <si>
    <t>carlos_gap_umss@hotmail.com</t>
  </si>
  <si>
    <t>IND-302-2009</t>
  </si>
  <si>
    <t>Transferencia de Tecnología, Cluster, Vinculación, Innovación, Triple Hélice.</t>
  </si>
  <si>
    <t>A partir del 2007 la cooperación sueca a través del programa de apoyo a la investigación en la UMSS está apoyando un proyecto de fortalecimiento de las capacidades propias institucionales para participar en procesos de innovación.          La agencia oficial sueca de innovación – VINNOVA – se constituye en la contraparte del proyecto proveyendo el apoyo técnico científico y la transferencia de experiencias del Sistema Sueco de Innovación en el funcionamiento de la alianza entre el sector productivo, el sector gubernamental y el sector académico.          Es en este sentido que nace la Unidad de Transferencia de Tecnología [UTT] como el brazo ejecutor de este proyecto, pretendiendo a su vez llenar un vacío detectado en las universidades bolivianas en general, y en la UMSS en particular, en cuanto a unidades de interfaz con el sector productivo que faciliten la vinculación con este sector. De esta manera a partir de esta estructura se pondrán en marcha instrumentos y mecanismos de vinculación. A través de este componente se busca también poner en marcha de forma sistemática una corriente emprendedora e innovadora al interior de la UMSS.           De esta manera a través del estudio realizado se diseño el plan estratégico de la UTT 2008 – 2012, el cual plantea el desarrollo de tres planes, el primero de penetración de mercado, el segundo de fortalecimiento de las capacidades del capital humano vinculado con la UTT y el tercero de posicionamiento de la UTT como una unidad universitaria reconocida por los logros alcanzados en vinculación universidad – empresa.          La ejecución de los planes requiere de una reestructuración organizativa, ya que se plantea la existencia de nuevas áreas de trabajo dentro la UTT, y un cambio de mentalidad de todos los actores, porque estos planes implican cambios en la manera acostumbrada de hacer las cosas.          De la misma manera se plantean sistemas de control y seguimiento de los procesos propuestos para la UTT, de tal manera que se tengan presentes siempre los objetivos a alcanzar.          Se concluye entonces, que con el plan estratégico propuesto, se logrará articular a la UMSS con el sector productivo y gubernamental a través de la UTT como unidad de interfaz universitaria y también se potenciará la innovación y el emprendimiento desde la UMSS en actividades de vinculación.</t>
  </si>
  <si>
    <t>https://drive.google.com/file/d/1WQCrqM036YeehnS5cRxVASZVCEi9jlzS/view?usp=sharing</t>
  </si>
  <si>
    <t>https://drive.google.com/file/d/1zhXXdgqhv5GUhADF0zr01S3L3jb8FmeE/view?usp=sharing</t>
  </si>
  <si>
    <t>https://drive.google.com/file/d/13Wjiugb3ssydu_aHhl0KauhDQ-9mclXU/view?usp=sharing</t>
  </si>
  <si>
    <t>HURTADO PADILLA JUAN PABLO</t>
  </si>
  <si>
    <t>DISEÑO, INGENIERÍA BÁSICA Y EVALUACIÓN DE COSTOS DEL TENDIDO DEL TRAMO ESPECIAL PAROTANI-MILLUKASA DEL POLIDUCTO OCOLP II</t>
  </si>
  <si>
    <t>hurtado_padillaj2@asme.org</t>
  </si>
  <si>
    <t>IND-303-2009</t>
  </si>
  <si>
    <t>Ensamblaje, mariposas, efecto, especies exóticas, diversidad.</t>
  </si>
  <si>
    <t>Debido a varios motivos, como ser la posibilidad de ampliar la capacidad de transporte de hidrocarburos líquidos al occidente del país en 12000 barriles día, así como la flexibilidad que ofrece un ducto paralelo al poder ser empleado también para la importación de estos carburantes o crudo, es necesaria la conclusión del ducto OCOLP II de 6 pulgadas de diámetro, en el cual faltan 10,4 Km de tendido en su tramo especial Parotani – Millukasa. La denominación especial se da debido a la heterogénea topografía que presenta el tramo constituyéndose en un “ducto de montaña”, así como la presencia de 3 o más ductos en operación que siguen el mismo trazado Para esto se realizaron cálculos establecidos en la norma ASME B31.4 para confirmar que el espesor de la tubería a ser empleada satisfacía las exigencias de dicha norma.Así también se realizo la simulación de transporte de hidrocarburos en el ducto mediante el software HySys – PipeSys, para lo cual primero se simulo los hidrocarburos de acuerdo a las normas establecidas de calidad por la legislación Boliviana, posteriormente la simulación de transporte en sí que dio como resultado la caída de presión en el ducto así como su perfil de presiónEl siguiente paso fue la elaboración de un cronograma de trabajo propuesto el mismo que fue preparado secuencialmente y de acuerdo a los lineamientos constructivos de la buena Ingeniería, proponiendo los pasos lógicos y el tiempo para el montaje del ducto.Posteriormente se elaboraron los Procedimientos Constructivos que constituyen una estandarización de cada trabajo, la cual incluye responsabilidades, personal y equipos, actividades de Seguridad, Salud y Medio Ambiente (SMS) y registros de cumplimiento, seguimiento y conocimiento de cada Procedimiento.Debido a la cambiante topografía se sub dividió el tramo en otros 50 tramos constructivos para que cada sección sea afrontada de manera particular aumentando la eficiencia y seguridad de la construcción, a esto también contribuyo la elaboración de un formato de Plano en Detalle que debe ser elaborado para cada tramo el cual da toda la información posible del mismo a la persona encargada de la construcción.Posteriormente se procedió a estimar el costo que implicaría el llevar adelante el proyecto, para esto se emplearon las partidas del contrato de mantenimiento de ductos establecido entre CLHB y la empresa contratista. Los costos son una estimación y servirán como marco para la asignación de recursos al proyecto.</t>
  </si>
  <si>
    <t>https://drive.google.com/file/d/1hAMXc3f8ZGsXFGgf_0M57YBDIRZ8zGzY/view?usp=sharing</t>
  </si>
  <si>
    <t>https://drive.google.com/file/d/1i7DMoCmgZT_W3IBScrc3TbSuWL2qcDdJ/view?usp=sharing</t>
  </si>
  <si>
    <t>https://drive.google.com/file/d/16pwbfa58kB2v7-dabxLouCyCPmTx5Ffx/view?usp=sharing</t>
  </si>
  <si>
    <t>MONTAÑO GUZMAN ROSELYN</t>
  </si>
  <si>
    <t>ING. NILO HENRY HERMOSA DÁVILA</t>
  </si>
  <si>
    <t>DISEÑO DE UN SISTEMA DE GESTIÓN AMBIENTAL PARA LA COOPERATIVA INTEGRAL FOTRAMA LTDA. BASADO EN LA NORMA ISO 14001:2004</t>
  </si>
  <si>
    <t>jhossy_mg@hotmail.com</t>
  </si>
  <si>
    <t>IND-304-2009</t>
  </si>
  <si>
    <t>FOTRAMA Lda., Sistema, Ambiente, Sistema de gestión ambiental, ISO 14001, Política Ambiental, Aspectos Ambientales, Manual de Sistema de gestión ambiental.</t>
  </si>
  <si>
    <t>A fines del año 2006 la Cooperativa Integral FOTRAMA Ltda., resolvió  ser parte del proyecto de “Adecuación Ambiental para PyMEs de la Industria Manufacturera” destinado a disminuir la afectación ambiental, realizado por la Cámara Departamental de Industria mediante el Programa ATN/ME-9521-BO. Es así que se realizó, en la empresa una Revisión Ambiental Inicial (RAI), que es una línea base que refleja la Situación Actual de FOTRAMA Ltda., con respecto al medio ambiente, sobre la cual  la organización decidió tomar acciones que ayuden a gestionar adecuadamente los aspectos ambientales inherentes a sus actividades.Se ha identificado en la empresa,  la falta de control sistemático en los procesos, principalmente en aquellos susceptibles de producir impactos ambientales;  carencia de asignación de responsabilidades y funciones dentro la organización.El objetivo principal del Proyecto ha sido diseñar un Sistema de Gestión Ambiental, según los requisitos establecidos en la Norma ISO 14001:2004. La metodología utilizada para lograr el objetivo planteado en una primera fase fue la Recolección de información, por medio de entrevistas, identificación de procesos, revisión y análisis, la segunda fase de Organización de las actividades previas al desarrollo del SGA; la tercera fase de Planificación, donde se efectúo la determinación de aspectos ambientales significativos y la definición de objetivos ambientales; la cuarta fase corresponde a la Capacitación; y finalmente la quinta fase de Documentación del Sistema.En principio, se ha realizado el diagnóstico, donde se identificaron las potencialidades y oportunidades de mejora de la empresa para el diseño e implementación del Sistema de Gestión Ambiental. Los resultados fueron tomados como base para el diseño del Sistema. Se identificaron los recursos y la información necesaria para el desarrollo del proyecto y la planificación de las actividades para el avance del mismo. Posteriormente se desarrolló la estructuración de las actividades necesarias de soporte del Sistema, se identificaron todos los procesos que se llevan a cabo en la organización, su secuencia e interacción. Se realizaron capacitaciones para todo el personal al interior de la organización,  durante el desarrollo del Sistema y  puesta en marcha del mismo. Finalmente se han elaborado, revisado y aprobado los documentos del Sistema de Gestión Ambiental y estimado los costos para el Sistema.Por tanto, se ha cumplido a cabalidad el objetivo planteado en el presente Proyecto y la documentación del Sistema ha sido elaborada conforme a los requisitos de la Norma  ISO 14001:2004.Las recomendaciones para la empresa están enfocadas a la  implementación del Sistema de Gestión Ambiental diseñado de acuerdo a la Norma ISO 14001:2004. Continuar con la formación del personal de la empresa en temas ambientales. Extender el alcance del Sistema a los Centros de Tejido y a futuro certificar el Sistema de Gestión Ambiental de la empresa.</t>
  </si>
  <si>
    <t>https://drive.google.com/file/d/1R5IbEzZvlozSbCfyfx_9KnPvdsf6ugSx/view?usp=sharing</t>
  </si>
  <si>
    <t>https://drive.google.com/file/d/1P9rmCKesZM8-VX56mxXOaaTNsNVehC93/view?usp=sharing</t>
  </si>
  <si>
    <t>https://drive.google.com/file/d/1MiSMmSb38SV0fHCJUX4RDMO4yzCF8cXV/view?usp=sharing</t>
  </si>
  <si>
    <t>GUMUCIO LOPEZ MIRKO GEOVANY</t>
  </si>
  <si>
    <t>PEREYRA ASCUY IBIS ADOLFO</t>
  </si>
  <si>
    <t>DISEÑO DE UN INSTITUTO DE CAPACITACIÓN TÉCNICA EN LA MANUFACTURA DE MADERA</t>
  </si>
  <si>
    <t>mirko_gl@hotmail.com</t>
  </si>
  <si>
    <t>IND-305-2009</t>
  </si>
  <si>
    <t>Insitito, capacitación, Prefectura.</t>
  </si>
  <si>
    <t>El presente trabajo esta enfocado a la implementación de un Centro de Capacitación Técnica (instituto) especializado en la madera y su manufactura, destinada a apoyar a todas las pequeñas y/o micro empresas que se dedican a la producción y trabajo en madera en el departamento de Cochabamba, es por esto que la prefectura como organismo de apoyo ala cadena productiva manufacturera, se encuentra a cargo de la formulación y ejecución de programas, proyectos y planes de inversión publica dirigidos al sector por este motivo se ha visto conveniente realizar el diseño de un Instituto de capacitación técnica de manufactura en madera.Primeramente se realizó un diagnóstico y análisis de la situación actual de las PYMES del área de la madera como también la situación actual de capacitación dentro del rubro, obteniendo que una de las grandes carencias en los diferentes eslabones de la cadena productiva de la manufactura en madera es la disponibilidad de recursos humanos acordes a las necesidades específicas del sector.Una vez obtenidos los datos se desarrollo el tamaño y localización del Instituto para su posterior análisis de la Ingeniería del proyecto el cual nos determina la infraestructura necesaria, los procesos, el flujo de servicio y costos incurridos.Mediante los datos recabados posteriormente se determino la estructura orgánica del instituto así como los aspectos legales y los costos incurridos en este, como también los costos generados por los recursos humanos necesarios para el mismo, seguido de una planificación de actividades realizadas mediante software especializado obteniendo el tiempo optimo para la realización de todas las actividades para la puesta en marcha del instituto.Una vez realizada la planificación se procede al desarrollo de una evaluación financiera para evaluar si el proyecto es factible mediante  indicadores (VAN, TIR, B/C, PRC), finalmente se desarrolla un análisis de sensibilidad con la ayuda de  software especializado el cual determina las variables mas sensibles a tomar en cuenta obteniendo indicadores financieros alentadores para tratarse de un proyecto con carácter social es completamente viable a una inversión.</t>
  </si>
  <si>
    <t>https://drive.google.com/file/d/10VNcsZZSR4njD6J_0XETlTc7LM-e7IPL/view?usp=sharing</t>
  </si>
  <si>
    <t>https://drive.google.com/file/d/1oJbZGyOt2lR7QXyc_X7VFjyNcY0QnJVW/view?usp=sharing</t>
  </si>
  <si>
    <t>https://drive.google.com/file/d/1paDe5XTWEN_yWUPrp00HOriu9QzXp580/view?usp=sharing</t>
  </si>
  <si>
    <t>GOMEZ MORALES SERGIO WILSON</t>
  </si>
  <si>
    <t>ING. CARLOS RODRÍGUEZ RAMÍREZ</t>
  </si>
  <si>
    <t>PROPUESTA DE UN MODELO ORGANIZACIONAL PARA LA UNIVERSIDAD MAYOR DE SAN SIMÓN</t>
  </si>
  <si>
    <t>Sergio_FTDS@hotmail.com</t>
  </si>
  <si>
    <t>IND-306-2009</t>
  </si>
  <si>
    <t>Gestión Organizacional, Diagnostico de Estructuras Organizacionales, Revisión Documental, Universidad Mayor de San Simón.</t>
  </si>
  <si>
    <t>El modelo organizacional toma a la Universidad Mayor de San Simón como objeto de estudio, en el cual solo se considero dentro de la estructura orgánica a las unidades pertenecientes a nivel de Órganos de Gobierno y Unidades Estratégicas por ser las encargadas elaborar y desarrollar las líneas Estratégicas de la Universidad, así como la implementación de las mismas asignando recursos a las unidades mas operativas establecidas en la base de la estructura orgánica.El proyecto de grado desarrollo una metodología de Diagnostico de Estructuras Orgánicas, el cual partió de las siguientes consideraciones: la relación Estrategia – Estructura estudiada por diferentes autores dentro de los cuales podemos mencionar a: Chandler y Sticklard y los niveles Jerárquicos dentro la pirámide de Orgánica estudiada por: Mintzberg, dando como resultado tres ejes de análisis: Vertical, Horizontal y la Coordinación que se implementaron transversalmente a la estructura orgánica.El eje Vertical establecido permitió estudiar las relaciones jerárquicas de las unidades dentro de la estructura tomándose en este caso solamente un indicador:·       Análisis de Gobernabilidad implementado con el fin de encontrar los niveles jerárquicos de las unidades, la dependencia y las capacidades de remoción y asignación de cargos de las diferentes unidades. El eje Horizontal establecido permitió establecer un análisis comparativo entre las diferentes unidades consideradas, tomándose conceptos de eficiencia y eficacia para las unidades de condiciones iguales (Direcciones, Facultades), dentro de este eje se establecieron dos indicadores: ·       Pertinencia que estableció la coherencia de la existencia de unidades respecto a los objetivos de la Universidad y la Misión de la misma planteada en el plan de desarrollo 2002-2007. ·       Balance de Carga que estableció el análisis comparativo de las unidades tomándose principalmente los Recursos Humanos y los Recursos Económicos como puntos de estudio dentro de las Direcciones y las Facultades.El eje de Coordinación establecido permitió establecer un análisis de coordinación como bien se menciona entre las diferentes unidades consideradas, tomándose como indicador: ·       Complementariedad Funcional que estableció la coordinación de las unidades para con el logro de los objetivos.Una vez establecidos y desarrollados los puntos anteriores, se estudio las bases de diseño de la estructura orgánica el cual partió de la siguiente premisa: “la Estructura sigue a la Estrategia” desarrollada por Chandler y que permitió establecer los Puntos Clave de Éxito a partir de las conclusiones del Diagnostico anterior.Los resultados más importantes del diseño de la estructura fueron:Separación de Órganos de Gobierno ( Órgano Ejecutivo, Órgano Legislativo, Órgano Judicial, Órgano Electoral)Establecimiento de un Vice Rectorado GeneralEstablecimiento de tres Vice Rectorados por Áreas de ConocimientoAgrupación de Facultades por Área de ConocimientoEstablecimiento de una Dirección Universitaria de Planificación y Evaluación (D.P.E.)Establecimiento de una Dirección por Vice Rectorado denominada: Dirección de Investigación, Planificación e Interacción.Establecimiento de 6 Departamentos dentro de la D.I.P.I. pertenecientes a cada Vice Rectorado, los cuales son: Dpto. Bienestar Estudiantil, Dpto. Investigación y Desarrollo, Dpto. Pos Grado, Dpto. Planificación Académica, Dpto. Relaciones Internacionales y Convenios y el Dpto. Interacción Social.Ahorro de 2, 146,248 Bs. /Año para la Universidad por Concepto de Recursos Humanos.Por otra parte se desarrollo un análisis del Estatuto Orgánico de la Universidad en función del diagnostico inicial sobre la estructura orgánica,  no se consideraron los reglamentos específicos contenidos en el mismo por requerir de una análisis mucho mas profundo y específico, luego se implementaron las modificaciones al mismos según los resultados finales.Finalmente se desarrollo el Manual Organizativo de la Universidad Mayor de San Simón hasta el nivel de Direcciones considerando todos los puntos anteriores.</t>
  </si>
  <si>
    <t>https://drive.google.com/file/d/1GnexH3FM4e8QnUiPirYcY7kh10GycY8d/view?usp=sharing</t>
  </si>
  <si>
    <t>https://drive.google.com/file/d/1wwJwaMVVcgkhl-YAHn9FXfDUViSFCyxZ/view?usp=sharing</t>
  </si>
  <si>
    <t>https://drive.google.com/file/d/1rp2F1v-auWQpjFGSkJEz_tSIuJMhAA5y/view?usp=sharing</t>
  </si>
  <si>
    <t>TAPIA CASTRO GONZALO EDWIN</t>
  </si>
  <si>
    <t>ESTUDIO DE FACTIBILIDAD TÉCNICA Y ECONÓMICA DE UNA EMPRESA DISTRIBUIDORA DE GÁS NATURAL PARA EL MUNICIPIO DE TOLATA</t>
  </si>
  <si>
    <t>Gonchivasco@Hotmail.com</t>
  </si>
  <si>
    <t>IND-307-2009</t>
  </si>
  <si>
    <t>emprender, factibilidad, evaluación, rentabilidad, Norma ASME B31.8, EDR., City Gate, red, acometida</t>
  </si>
  <si>
    <t>El proyecto que se realizo tenia como objetivo general, el de eliminar la inseguridad de querer emprender una empresa dedicada al servicio de distribución de gas natural por tubería, para los tres segmentos de mercados, domiciliario, comercial e industrial, mediante la realización de un estudio de factibilidad técnica y económica, a demás de realizar el diseño de su estructura organizacional interna de la empresa, para eliminar la inseguridad de los que quieren emprender este negocio en el municipio de Tolata.Para ello se utilizo las siguientes herramientas como instrumento fundamental para lograr los objetivos planteados en el proyecto: ·       Investigación de mercados: para determinar la demanda del energético en las tres categorías de mercados (Domestico, comercial e industrial), en el municipio de Tolata ·       Organización industrial: Diseño del servicio y la estructura organizacional, además de  determinar el tamaño y localización de la empresa a crearse.·       Operaciones unitarias I: Para realizar los cálculos del transporte de fluidos gaseosos (GN), específicamente para el cálculo del diámetro de la red de distribución. ·       Evaluación de proyectos II: Para determinar la rentabilidad del proyecto.·       Normas Técnicas de la superintendencia de hidrocarburos para el diseño, construcción, operación y mantenimiento de sistema de redes de distribución de GN y la norma ASME B31.8, para la distribución de gas natural por tubería (Norma Americana).·       Derecho empresarial: Para la elección del tipo de empresa conveniente a crearse para este rubro.Con el proyecto se proporciona al emprendedor el material necesario relacionado a lo que es la distribución de gas por redes, desde el City Gate, redes primarias y secundarias, Estaciones Distritales de Regulación y Medición (EDR) y acometidas.La metodología utilizada fue sencilla, primero se realizo una investigación bibliográfica,  para saber las características de este tipo de proyectos, luego de tener la base teórica se realizo la investigación de mercado sobre la demanda del GN en sustitución del GLP y la leña en dicha comunidad. Con lo datos de la investigación de mercados se determino mediante cálculos, las características técnicas de los equipos y materiales para el sistema de distribución de GN por tubería según las normas técnicas. Posteriormente se investigo sobre los equipos necesarios para la distribución de GN por redes, que satisfagan la demanda proyectada y además analizando los posibles mercados potenciales, que se podrían adicionar a la red de distribución, se obtuvo los costos de inversión en dichos equipos y materiales que satisfagan estas necesidades. También se analizo la estructura organizacional de la empresa, y la construcción del bien inmueble para los ambientes requeridos para el funcionamiento administrativo y técnico de la empresa  con su respectivo presupuesto.Finalmente con todos los costos y presupuestos que implica este proyecto, se realizo la evaluación del proyecto para determinar la factibilidad de este proyecto.</t>
  </si>
  <si>
    <t>https://drive.google.com/file/d/1TWSRpERjDqHPXywCnEA51Ozn_qOPwKuf/view?usp=sharing</t>
  </si>
  <si>
    <t>https://drive.google.com/file/d/1c_SFiY8GMvilWaZtXxZXdVokpWuGruoB/view?usp=sharing</t>
  </si>
  <si>
    <t>VELASCO AGUILAR JHONNY RICHARD</t>
  </si>
  <si>
    <t>CACERES MOREIRA RIORY</t>
  </si>
  <si>
    <t>ESTUDIO TÉCNICO - ECONÓMICO PARA LA IMPLEMENTACIÓN DE UNA PLANTA PILOTO, DE FRUTA DESHIDRATADA EN LA CARRERA DE INGENIERÍA INDUSTRIAL</t>
  </si>
  <si>
    <t>riory.10@hotmail.com</t>
  </si>
  <si>
    <t>IND-308-2009</t>
  </si>
  <si>
    <t>Proyecto de Factibilidad, Deshidratado, Secado, Piña, banano, Plátano</t>
  </si>
  <si>
    <t>El estudio fue dirigido específicamente a la población Universitaria de la Universidad Mayor de San Simón, en su visión y compromiso con la educación superior, la promoción y fortalecimiento del conocimiento, la investigación y el desarrollo tecnológico, ya que dicho proyecto impulsa la instalación de un Laboratorio de Operaciones Unitarias y Planta Piloto de procesos Industriales en la Carrera de Ingeniería Industrial, así mismo tiempo mejorar la formación académica de los estudiantes con la práctica en laboratorios debidamente equipados y con actualizaciones tecnológicas.Primeramente se identificó a los participantes del proyecto que son los estudiantes, los administrativos y docentes, el cual permitió determinar el problema y las características que poseen estos en relación al consumo de fruta deshidratada ya sea de piña, banano y papaya.Posterior al estudio de mercado se cuantificó mediante la encuesta realizada tanto a docentes, administrativos y estudiantes universitarios que la demanda actual de piña asciende a 168557 Kg/año, la demanda de banano es de 86495 Kg/año y por ultimo la de paya alcanza a 85035 Kg/año. Cuantificada la demanda de fruta se estableció que la demanda propia del proyecto alcanzará o será representada por una participación del 10% de la demanda total detallada anteriormente.Dentro del capitulo de Ingeniería del proyecto se determinó que en el proceso de secado intervienen diversos factores entre los más importantes se consideran los siguientes: área expuesta, temperatura, velocidad del aire y la humedad del producto. Un segundo punto a considerar es que mediante la realización de las pruebas realizadas en laboratorio se determinó claramente que en el secado tanto de la piña, banano y papaya poseen una curva de secado de expresión exponencial brindando y obteniendo rendimientos diferentes para cada tipo de fruta a deshidratar.Finalmente se realizó el análisis financiero del proyecto que permite mostrar las inversiones, la estructura de costos y los ingresos que generará la planta piloto. Asimismo se realizo el flujo de caja que permite mostrar el atractivo y la rentabilidad del proyecto mediante indicadores financieros como el TIR=28%, VAN=547.200 Bs., y B/C=1,35.</t>
  </si>
  <si>
    <t>https://drive.google.com/file/d/14O0F3_L1Wfr8Sk2--HrlmrxOpTTKnnpz/view?usp=sharing</t>
  </si>
  <si>
    <t>https://drive.google.com/file/d/1D1EYcK6ipk8h6JOPufS25zF4YThmEWym/view?usp=sharing</t>
  </si>
  <si>
    <t>https://drive.google.com/file/d/17z_eV9sh89tsfpRlkq4W3GpJDB9XJbZC/view?usp=sharing</t>
  </si>
  <si>
    <t>CAMACHO CALLE FRANZ ALEJANDRO</t>
  </si>
  <si>
    <t>ING. MSC. CARLOS RODRÍGUEZ RAMÍREZ</t>
  </si>
  <si>
    <t>DISEÑO DE UN MODELO DE SISTEMA DE SEGURIDAD INDUSTRIAL E HIGIENE OCUPACIONAL PARA LA EMPRESA MATRA</t>
  </si>
  <si>
    <t>franz_camacho@hotmail.com</t>
  </si>
  <si>
    <t>IND-309-2009</t>
  </si>
  <si>
    <t>Industria de tratamiento de la madera, SySO (Seguridad y Salud Ocupacional), IPER (Identificación de Peligros y evaluación de Riesgos), WOLMAN CCA (Agente toxico para el tratamiento de la madera).</t>
  </si>
  <si>
    <t>Objetivo generalDiseño de un Modelo de Sistema de Seguridad Industrial e Higiene Ocupacional para la empresa MATRA.Objetivos específicos1) Identificar los peligros y evaluar los riesgos existentes dentro la empresa MATRA. 2) Determinar el equipo de protección personal adecuado. 3) Establecer condiciones de manejo adecuado de productos tóxicos, explosivos y otros. 4) Elaborar procedimientos de trabajo para la empresa MATRA.La metodología empleada es la siguiente: 1)  Recopilación de información a través de consultas con el personal y check list para el levantamiento de riesgos). 2) Diagnostico de la situación inicial. 3) Organización y planificación de la Seguridad Industrial en MATRA.  Los resultados son: brindar un ambiente cómodo y seguro a los trabajadores de la organización incrementando la productividad y minimizando costos.Conclusiones 1) Minimización de riesgos en las áreas de mayor criticidad. 2) Disminución de costos por accidentes e incremento de la productividad. 3) Implementación de medidas en casos de incendio.Recomendaciones1) No se debe descuidar la integridad del trabajador 2) Deberá existir un apoyo de la alta gerencia. 3) Capacitación y concientización constante.</t>
  </si>
  <si>
    <t>https://drive.google.com/file/d/12O7pWB_VVESj80rAI5yH13maU089gxoj/view?usp=sharing</t>
  </si>
  <si>
    <t>https://drive.google.com/file/d/1iw8q_nmwr5O5O7b1h_Skv0ZtbFcOrmsl/view?usp=sharing</t>
  </si>
  <si>
    <t>https://drive.google.com/file/d/1FFc73nZ6hBgWPWChTMZRSWL5TIcJXf2l/view?usp=sharing</t>
  </si>
  <si>
    <t>BURGULLA ZELADA NATHALY GABRIELA</t>
  </si>
  <si>
    <t>ING. OSCAR ROJAS</t>
  </si>
  <si>
    <t>MODELO DE GESTIÓN PARA MEJORAR LA SECCIÓN 424 TALLER DE LA LÍNEA DE PRODUCCIÓN DE CALZADOS INDUSTRIALES MANACO</t>
  </si>
  <si>
    <t>IND-310-2009</t>
  </si>
  <si>
    <t>Línea de producción de calzados industriales, Calidad, Análisis Modal de Fallas y Efectos (AMFE), Gestión por procesos (GP).</t>
  </si>
  <si>
    <t>La empresa cuenta con 3 departamentos los cuales son la curtiembre, goma, y producción de calzados de cuero; el cual cuenta con 4 secciones y 5 líneas productivas, el estudio fue enfocado en una de las secciones de armado de línea productiva de calzados industriales; en esta sección se identifico un problema como lo es la existencia de imperfectos de fabricación.Para solucionar el problema identificado se había planteado un objetivo el cual era aplicar un modelo de gestión que permita mejorar la sección 424 taller de la línea de producción de calzados industriales MANACO, que permita garantizar la calidad. El estudio fue basado en datos obtenidos por un diagnóstico de  la línea de producción de calzados industriales sección 424 taller, la identificación y evaluación los procesos críticos existentes en la sección 424 taller con la ayuda del método AMFE. La aplicación de gestión por procesos que ayudaron a determinar los factores críticos y su evaluación en base a indicadores con su respectivo sistema de control, con ellos se pudo obtener la eficiencia del sistema es decir de la sección.  Se plantearon mejoras en el proceso productivo, evaluando cada subproceso, proponiendo acciones correctivas que mejoren el funcionamiento de la fábrica y garanticen la calidad del producto.Se realizo el análisis de los costos en los que se incurre con la implementación del modelo y los beneficios obtenidos con ello.El proyecto pretende mejorar el proceso productivo de la sección 424 taller garantizando la calidad de los calzados, incrementando así los ingresos de la empresa.Al realizar el proyecto se vio conveniente tomar en cuenta algunos puntos relevantes como el incremento de control en los procesos críticos determinados, el desarrollo de los sistemas de control los cuales nos permitirán tener indicadores constantes que permitan una retroalimentación para así no incurrir en los mismos errores, implementar capacitación a los operarios para que realicen mejor su trabajo, la inversión implantación del modelo es mínimo en relación al ahorro obtenido, se paso de un control de calidad del producto tradicional a un control de calidad en los proceso, se debe aplicar el modelo a las otras secciones para mejorar la calidad de los calzados.</t>
  </si>
  <si>
    <t>https://drive.google.com/file/d/1ciTmgdQUgl6v6MqUIysS8k-77SyEycUw/view?usp=sharing</t>
  </si>
  <si>
    <t>https://drive.google.com/file/d/1doaZGmPoX16XdqpBBjrJgfFCEBFi9IEq/view?usp=sharing</t>
  </si>
  <si>
    <t>https://drive.google.com/file/d/1d3SUSm0e8lALvDThIReGCcKPm4ddxDvI/view?usp=sharing</t>
  </si>
  <si>
    <t>COSSIO CHAVALIER LUZ CARMEN</t>
  </si>
  <si>
    <t>SALAZAR OLIVERA FAVIO FERNAN</t>
  </si>
  <si>
    <t>ING. JIMENA VALDEZ BAHOZ</t>
  </si>
  <si>
    <t>DISEÑO DE UN SISTEMA DE GESTIÓN DE CALIDAD PARA PLANTA PILOTO DEL CENTRO DE TECNOLOGÍA AGROINDUSTRIAL EN BASE A LA NORMA ISO 9001:2000</t>
  </si>
  <si>
    <t>fas_bandito@hotmail.com</t>
  </si>
  <si>
    <t>IND-311-2009</t>
  </si>
  <si>
    <t>Sistema de gestión de calidad, ciclo DEMING, mejora continua, auditoría interna, ISO 9001:2000.</t>
  </si>
  <si>
    <t>El trabajo que se realizo tenia como objetivo general el de diseñar un Sistema de Gestión de Calidad para Planta Piloto en base a la norma ISO 9001:2000 para posteriormente este ser implementado y certificado.En realidad la forma en que se llevó a cabo el proyecto, el diseño del sistema de gestión de la calidad fue siguiendo las siguientes etapas: Se 1) tomó la decisión por parte del C.T.A. de trabajar bajo un sistema de gestión de calidad. 2) planificó el sistema de gestión de calidad. 3) conformó un equipo de trabajo “Comité de Calidad”. 4) realizó el diagnóstico del Centro en base al cumplimiento con la norma ISO 9001:2000. 5) diseñó el sistema de gestión de la calidad. 6) realizó el plan de implementación del sistema.Se identificaron todos los procesos del sistema de gestión de calidad, se analizó la interrelación de los mismos y se los agrupo según procesos estratégicos, operativos y de apoyo. Los procesos identificados fueron: Dirección, Sistema de Gestión de Calidad, Producción, Ventas, Mantenimiento, Compras, Gestión de Recursos y Control de Calidad.  Con el proyecto se proporcionó a Planta Piloto de herramientas para el control de los procesos como ser auditorías internas, revisión por la dirección, acciones correctivas y preventivas, mejora continua entre otras, además de lineamientos para obtener productos uniformes y de calidad.  Finalmente se pudo diseñar el sistema de gestión de calidad, conformar un equipo de trabajo, realizar el diagnostico a Planta Piloto, desarrollar herramientas para el control y seguimiento de los procesos y presentar el Plan de Implementación y Capacitación.</t>
  </si>
  <si>
    <t>https://drive.google.com/file/d/1LXxypYslwhBGMr136WFJRo1TOc80LUW8/view?usp=sharing</t>
  </si>
  <si>
    <t>https://drive.google.com/file/d/1P1Racbt_KqmFpsmIK02Ll0ROVZcKGZqh/view?usp=sharing</t>
  </si>
  <si>
    <t>https://drive.google.com/file/d/1jiXw27SFH2xVFwwbmmt2j5rIsc_E-FgX/view?usp=sharing</t>
  </si>
  <si>
    <t>ACAPA UÑO DIMELSA GABRIELA</t>
  </si>
  <si>
    <t>VALENCIA VARGAS DAYSI JANNETH</t>
  </si>
  <si>
    <t>ING. MSC. EDUARDO LOAYZA PAZ</t>
  </si>
  <si>
    <t>REESTRUCTURACIÓN DEL ÁREA PRODUCTIVA Y ADMINISTRATIVA DE LA EMPRESA DE CONFECCIONES "GARELI JEANS" BAJO UN ENFOQUE DE REINGENIERÍA</t>
  </si>
  <si>
    <t>IND-312-2009</t>
  </si>
  <si>
    <t>CONFECCIONES JEANS, CONFECCION</t>
  </si>
  <si>
    <t>El objetivo planteado es la: Reestructuración en el área productiva y administrativa de la empresa de confecciones “GARELI JEANS” bajo un enfoque de reingeniería. Para cumplir con este objetivo se uso la siguiente metodología.          En la Etapa de Preparación, se realiza un análisis interno y externo de la empresa para posteriormente definir la situación en la que se encuentra. Una vez concluida este análisis se procedió a definir la dirección de la misma y realizar la planificación estratégica, la cual viene a promover el fortalecimiento interno de la empresa para su crecimiento en el medio externo.         En la etapa de Identificación, tiene como objetivo conocer las necesidades y deseos de los clientes, para ello  se realizó una encuesta a los clientes más representativos, cuyo resultado nos ayudó a identificar los procesos de valor agregado que son: corte, confección y acabado final.         En la etapa de visión, se realizó un estudio minucioso en la sección de confección, ya que es ahí donde el producto adquiere mayor valor agregado. Mediante un estudio de métodos y medición de trabajo se identificó desplazamientos innecesarios, costos ocultos, la demora excesiva por los cuellos de botella y la mala distribución de maquinaria. Todo esto debido al  actual sistema de producción por fusión, para lo cual se realizó un análisis de tiempos estándar permitiendo de esta forma disminuir el tiempo de producción para el pantalón clásico de 31,14 min/prenda (tiempo actual) a 25,12 min/ prenda y a eliminar costos ocultos.         Etapa de soluciones, a partir de estos datos recabados se procedió a la eliminación de tiempos ociosos, recorridos innecesarios y proponiendo el nuevo sistema de producción modular, con una nueva distribución en planta y un balance de línea. Los cuales beneficiaran a la organización: incremento sustancial de la producción (48 %), mejor aprovechamiento de la mano de obra, mejor uso de sus recursos (se logro crear tres módulos de producción), disminuir la fatiga (mejores puestos de trabajo), disminuir los costos de producción e incrementar las utilidades. Y se motivara al recurso humano mediante capacitaciones, incentivos y bonos.                     Con la elaboración del manual de funciones, el personal sabrá que funciones debe cumplir y que apoyo debe recibir en su sector.</t>
  </si>
  <si>
    <t>https://drive.google.com/file/d/1nKT3BToBX1bQ9HSGVhj9ua8fjIpr6g33/view?usp=sharing</t>
  </si>
  <si>
    <t>PEREYRA ARNEZ JESUS ALFREDO</t>
  </si>
  <si>
    <t>PLAN DE SEGURIDAD E HIGIENE INDUSTRIAL PARA COBOCE - CERAMIL</t>
  </si>
  <si>
    <t>jesu_aviador@hotmail.com</t>
  </si>
  <si>
    <t>IND-313-2009</t>
  </si>
  <si>
    <t>COBOCE-CERAMIL, identificación y evaluación de riesgos, seguridad e higiene industrial, plan de acción.</t>
  </si>
  <si>
    <t>La Empresa COBOCE-CERAMIL Ltda., vio por conveniente realizar un estudio de seguridad e higiene industrial debido a la permanente inseguridad del personal de planta, en los diferentes procesos que se realizan diariamente, por otro lado las características que presenta en la actualidad en cuanto a seguridad e higiene tanto en la infraestructura como en su organización que nos son las adecuadas.En la actualidad la Empresa, no cuenta con un Plan de Seguridad e Higiene Industrial, eso quiere decir que no existen medidas de prevención de riesgos para detectar, prevenir, controlar, minimizar y eliminar los riesgos existentes en las áreas de trabajo, por otro lado el personal no recibe capacitación sobre seguridad Industrial.Primeramente se realizó un diagnóstico de la situación actual de todas las áreas de la Empresa, se recabo la información disponible acerca de la organización y los procesos que realizan. Para ello se realizaron entrevistas a los encargados de la Empresa, se realizo una encuesta y se realizo un monitoreo de las operaciones y actividades que se realizan en la Empresa. Se emplearon las metodologías de Mapa de riesgos, Análisis Preliminar de Riesgos APR y el Método de George F. Kinney, para la identificación, análisis y evaluación de riesgos respectivamente en todas las áreas de trabajo de la Empresa, posteriormente se establecieron medidas de control para los riesgos identificados y posteriormente se realizaron mediciones para los riesgos más críticos (Mediciones del nivel de ruido, polvo, temperatura e iluminación).Teniendo en cuenta los resultados del diagnostico se procedió a la elaboración del plan de seguridad e higiene industrial, en el que se tomo en cuenta la organización de la seguridad, la capacitación, el orden y limpieza, la prevención de riesgos, los equipos de protección personal, los primeros auxilios, la lucha contra incendios y la señalización, correspondientes a las características de la Empresa, dentro de cada uno de estos puntos se realizaron diferentes propuestas y acciones que mejoren la seguridad e higiene industrial y así se pueda minimizar los riesgos existentes.El resultado del Proyecto de Grado es un documento que está acorde a las necesidades de la Empresa COBOCE-CERAMIL, la implementación del Plan nos permitirá, prevenir, controlar, minimizar y eliminar los riesgos identificados, por otro lado ofrecer condiciones de trabajo aceptables y le permitirá a la empresa dar cumplimiento a lo que se establece en la Ley 16998.Posteriormente se realizó una cotización de todas las acciones, equipos y mejoras planteadas dentro el plan para establecer un presupuesto que indique el monto de la inversión para la implementación del plan, también se realizo una proyección de las inversiones para el funcionamiento en un tiempo de cinco años, teniendo en cuenta la vida útil de los equipos, el mantenimiento y la renovación de los mismos.</t>
  </si>
  <si>
    <t>https://drive.google.com/file/d/1SQMlWQJnKb1SlD79_hwsCBw6G_L5AF1g/view?usp=sharing</t>
  </si>
  <si>
    <t>https://drive.google.com/file/d/1FFTfg9tqLjGbW5UbdtwBtHpawRw3rgZB/view?usp=sharing</t>
  </si>
  <si>
    <t>https://drive.google.com/file/d/1hKJq6qeNUX3QMqaHZ3eyWzRhCMvF6Jgj/view?usp=sharing</t>
  </si>
  <si>
    <t>CABALLERO ROJAS ISMAEL RODRIGO</t>
  </si>
  <si>
    <t>FORONDA ARNEZ DANIEL ALEJANDRO</t>
  </si>
  <si>
    <t>ING. ALFREDO COSIO PAPADÓPOLIS</t>
  </si>
  <si>
    <t>ESTUDIO DEL TRABAJO PARA LA MEJORA DE LA PRODUCCIÓN EN LA FÁBRICA DE JEANS COTEXCO</t>
  </si>
  <si>
    <t>IND-314-2009</t>
  </si>
  <si>
    <t>Fábrica de jeans COTEXCO, jeans FOR YOU, Mejora del Proceso, Estudio del Trabajo, Ingeniería de Métodos, Distribución de planta, Control de Calidad, Evaluación de Condiciones de Trabajo</t>
  </si>
  <si>
    <t>El objetivo del trabajo que se realizó tenía como objetivo general el desarrollar un estudio del trabajo en el área de confección de jeans de COTEXCO, que permita la elaboración de una nueva metodología  de producción que este acorde a las necesidades de la industria para poder incrementar su productividad y competitividad.Se determinó así mismo que el estudio estará aplicado a tres modelos de jeans: Clásico varón Pionner, Juvenil varón Today y Juvenil dama Imagine.Inicialmente se elaboró un diagnóstico productivo de toda la fábrica, contemplando todos los factores relacionados con COTEXCO, detallando aspectos como ser organización, distribución de planta, producción, productos, entre otros. Según este capítulo, se determinó que existe una serie de deficiencias en el área de confección que ocasionaban una baja productividad en la empresa.Para la realización del estudio de trabajo se emplearon dos estudios que son complementarios entre sí, como ser  el estudio de métodos y el estudio de medición de trabajoEn el estudio de métodos, se cuestionó todo el proceso productivo en base a las deficiencias observadas en el diagnóstico productivo; de la metodología secuencial del estudio de métodos se determinó que el área de confección es el proceso sobre el cual se aplicarán las mejoras correspondientes, realizándose en esta área el registro y análisis del sistema de producción actual, empleando cursogramas sinópticos, cursogramas analíticos, diagramas de recorrido, para cada uno de los tres modelos sujetos a estudio.Para la realización del análisis de producción se utilizó la técnica del interrogatorio, que determinó aspectos importantes sobre cada una de las operaciones relacionadas a los tres modelos de jeans mencionados anteriormente.Como se indicó con anterioridad el estudio de métodos no fue suficiente para llegar a los resultados esperados, por lo que se exigió la realización del estudio de medición del trabajo, estudios que son complementarios entre sí.Para la realización el estudio de medición de trabajo, se empleó la técnica del estudio de tiempos. Para la realización de dicho estudio inicialmente se efectúo la medición de tiempos con cronómetro, observándose cada una de las operaciones. Como el tiempo real requerido para ejecutar cada elemento del estudio depende en un alto grado de la habilidad y esfuerzo del operario, fue necesario ajustar el tiempo normal del operario. Por lo tanto, se dio una calificación justa e imparcial al desempeño del operario en el estudio.Después de haberse determinado los tiempos normales, a través de la valoración del desempeño del operario, se realizó la compilación de los tiempos, que se refiere al cálculo de los tiempos estándar de las operaciones previendo, suplementos para breves descansos, necesidades personales.En base a los dos estudios anteriores, se determinaron nuevos métodos de producción, llegándose a describir los nuevos métodos de producción propuestos que buscaban eliminar o disminuir al mínimo demoras ocasionadas en el proceso productivo, así como también cuellos de botella; con el empleo de los cursogramas sinópticos y analíticos propuestos, también se calculó la eficiencia de línea para cada uno de los tres modelos de jeans. Así mismo se determinó una nueva distribución de planta, con el uso de una herramienta computacional como es el WinQSB, basándose en los datos recopilados a lo largo del presente estudio, con el fin de reducir al mínimo las demoras ocasionadas por transportes o desplazamientos innecesarios.De la misma forma se realizó un estudio sobre el control de calidad en la empresa, para lo cual eran necesarias las fichas técnicas, especificaciones de producto, para así poder definir los parámetros de control en las etapas de pre-producción y producción. Posteriormente se elaboró un estudio sobre las condiciones de trabajo actuales y proponer mejoras en el mismo.Como beneficios de la implementación de un Nuevo método de Producción y después de haberse obtenido un sistema de producción altamente eficiente, se logró un incremento de la producción del 110,8%, lo cual se traduce en la reducción de un 50,94% de los Costos Indirectos de fabricación.</t>
  </si>
  <si>
    <t>https://drive.google.com/file/d/1I576FkIikmjMoZUBbZ30WP3zESdvud02/view?usp=sharing</t>
  </si>
  <si>
    <t>https://drive.google.com/file/d/1bD186Vg37uAf4d3YI9R6TuiftcSkaV4Y/view?usp=sharing</t>
  </si>
  <si>
    <t>https://drive.google.com/file/d/1OoeP6yqCSGETPeE8AVwKCP0iJJ-MvlWH/view?usp=sharing</t>
  </si>
  <si>
    <t>CUSILAYME RAMIREZ LUCY</t>
  </si>
  <si>
    <t>PROYECTO DE FACTIBILIDAD TÉCNICA ECONÓMICA Y FINANCIERA PARA UNA PLANTA ENSAMBLADORA DE CALEFONES A GAS NATURAL</t>
  </si>
  <si>
    <t>lucy_cusilayme@hotmail.com</t>
  </si>
  <si>
    <t>IND-315-2009</t>
  </si>
  <si>
    <t>Proyecto de Factibilidad, Calefones a Gas Natural, Gas Natural, Diseño de ensamble, Cristall Ball (Simulación Monte Carlo).</t>
  </si>
  <si>
    <t>En Bolivia, el uso de gas natural domiciliario ha ido incrementándose en los último años, por ende el uso de los gasodomésticos también, entre estos los calefones a gas natural que en la actualidad son netamente de importación. Existe entonces la necesidad de sustituir la importación de calefones a gas natural por la producción nacional. Se ve como una gran posibilidad de negocio la implementación de una línea de ensamble de calefones para competir con la importación de estos equipos.Se realizó un estudio de mercado que identifico clientes potenciales y  una demanda de 60 mensual el primer año de funcionamiento y un incremento de 180 calefones año. Se determinó que la empresa se localizará en la ciudad de Cochabamba (Huayllani) y su estructura organizativa será simple lineal y funcional teniendo una administración centralizada.El proceso productivo será una línea de  ensamble donde se determinó que la empresa va a terciarizar  los componentes necesarios para el ensamble del calefón, todos los proveedores serán nacionales, excepto el proveedor del sistema de válvulas, la empresa argentina TONKA S.A. proveerá de este conjunto. Como empresa se establecieron como objetivos de venta llegar a abarcar el 10 a 15% del mercado de las tiendas comercializadoras que esta cubierto por la importación en su totalidad, y llegar a abracar el 5 a 10% del mercado conformado por los domicilios particulares. Según el análisis económico financiero los resultados de la TIR y el VAN demostraron que el proyecto es factible económica y financieramente, además se ser auto sostenible a partir del primer año de funcionamiento. El análisis de sensibilidad fue realizado aplicando el software estadístico Cristall Ball. el resultado dio parámetros positivos de certidumbre a la factibilidad económica y financiera del presente proyecto.</t>
  </si>
  <si>
    <t>https://drive.google.com/file/d/1ZjGuUFDnmjQC2UGp5uf9DxyJDkcuhzCP/view?usp=sharing</t>
  </si>
  <si>
    <t>https://drive.google.com/file/d/14zzuwiXijhzk_MlbzvDxRmaEBz5ZbH2g/view?usp=sharing</t>
  </si>
  <si>
    <t>https://drive.google.com/file/d/1rNSpmPnWblpYpesxomDAeFyUrrypOxWU/view?usp=sharing</t>
  </si>
  <si>
    <t>JUAN CARLOS CANAVIRI CAMACHO</t>
  </si>
  <si>
    <t>“ESTUDIO DE PRE-FACTIBILIDAD TÉCNICA-FINANCIERA PARA LA FABRICACIÓN DE ENVASES INDUSTRIALES PLÁSTICOS MEDIANTE EL PROCESO DE ROTO MOLDEO”</t>
  </si>
  <si>
    <t>jc_kanevir_@hotmail.com</t>
  </si>
  <si>
    <t>IND-316-2009</t>
  </si>
  <si>
    <t>Pellets, Pigmentos, Triturado, Pulverizado, Roto Moldeado, Enfriamiento, Cocción, Tambor Plástico.</t>
  </si>
  <si>
    <t>Se determino que el mercado de tambores plásticos esta en constante crecimiento, también se identifico al ofertante (Plax-Burg) y a los demandantes empresas aceiteras (IASA, ETASA, IOLSA, GRANOS, ADM-SAO Y otros).Se determino que los tambores plásticos no  esta disponible en la ciudad de Santa Cruz sino que lo transportan desde Cochabamba, y que los principales consumidores son las industrias oleaginosas, identificándose así una demanda potencial en ese departamento con una proyección (2009-2013) para el proyecto para el primer año de 10393 tambores plásticos, que solo equivale al 20% del consumo de este producto.Con el estudio de mercado hecho se determino que el proyecto empezara el primer año con una capacidad instalada de 23.13% llegando al quinto año a utilizar una capacidad instalada de 42.26%.El proyecto se ubicara en Bolivia, en el departamento de Santa Cruz de la sierra en la  Prov.WARNES entre los municipios de Zona Franca, Warnes y Chane.  La tecnología a utilizar será una maquina de roto moldeo tipo semiautomática, el modelo será tipo dos carros (2 células de trabajo),  la materia prima a utilizar será polietileno de media (baja) densidad (LDPE) propia para roto moldeo, por sus propiedades de flexibilidad y resistencia a la rotura, además se realizo un análisis del proceso de roto moldeo mas conveniente para este producto.          Se obtuvo que la inversión total será:Aporte propio:  1.561.513 Bs.Aporte solicitado a Entidades financieras:Total proyecto:El rendimiento del proyecto será: 1.761.513 Bs.            VAN = 1.567.065,00                                  R B/C = 2,15El proyecto tiene una duración operativa de 5 años, se llego a la siguiente conclusión:Este proyecto por el proceso de roto moldeo es flexible a la producción lo que quiere decir que es muy óptimo para el mercado boliviano, considerando un mercado pequeño y con bastante variedad. El análisis de sensibilidad muestra que la variable de mayor influencia sobre los indicadores son: el porcentaje de volumen de producción, por lo tanto se debe tomar como un factor relevante a la hora de tomar decisiones.</t>
  </si>
  <si>
    <t>https://drive.google.com/file/d/1C5ZA_BbwrsBxhVYfOF0IdfETowEkgoe-/view?usp=sharing</t>
  </si>
  <si>
    <t>https://drive.google.com/file/d/1Ejy0OlfoO4rZz5SVrssrKTA58VqatmrJ/view?usp=sharing</t>
  </si>
  <si>
    <t>https://drive.google.com/file/d/198mxNWXJKxlHOXJiewvPuIryjknXDDo0/view?usp=sharing</t>
  </si>
  <si>
    <t>GONZALES RAMALLO JERY SERGIO</t>
  </si>
  <si>
    <t>ING. SANDRA I. DELGADILLO MOREIRA.</t>
  </si>
  <si>
    <t>DESARROLLO DE UN PLAN DE SEGURIDAD INDUSTRIAL E HIGIENE OCUPACIONAL PARA LA EMPRESA DE CONFECCIONES BRENNER JEAN</t>
  </si>
  <si>
    <t>gjery@hotmail.com</t>
  </si>
  <si>
    <t>IND-317-2009</t>
  </si>
  <si>
    <t>Confecciones Brenner Jeans, Seguridad Industrial, Método de los Perfiles de los Puestos, Evaluación General de Riesgos, Sistema de gestión STOP.</t>
  </si>
  <si>
    <t>Brenner Jeans como empresa ha logrado asimilar la importancia de la seguridad Industrial e Higiene Ocupacional y en su afán por lograr un desarrollo sostenido, ve la necesidad y la importancia de contar con un Sistema de Seguridad e Higiene Ocupacional que haga frente a cualquier emergencia y al mismo tiempo, se preocupe por la seguridad continua de los trabajadores.Primeramente se realizó un diagnóstico de la situación actual de la planta a través de una observación detenida, con el fin de identificar riesgos y describir de manera objetiva las condiciones de cada puesto de trabajo. Las encuestas a trabajadores permitieron la identificación de riesgos, enfermedades ocupacionales, percances y dolencias tenidas a lo largo de su permanencia dentro la empresa.Seguidamente se desarrolló un sistema de seguridad e higiene industrial constituido por un conjunto de propuestas de solución a los riesgos identificados, con estrategias que eliminen todos aquellos actos inseguros que puedan ocasionar lesiones. Adicionalmente se desarrollaron medidas preventivas para evitar la generación de incendios estableciendo los mecanismos de prevención y combate de incendios con el propósito de brindar un ambiente de trabajo seguro a todos los involucrados dentro la empresa.Se recomendó un sistema de señalización con el fin de informar a cualquier persona que se encuentre dentro las instalaciones de la fábrica, las condiciones y actos seguros que están permitidos y también de aquellos actos inseguros que no se deben realizar durante la permanencia en el recinto.Se estableció la creación del Departamento de Seguridad cuya principal función será la promoción y gestión de la seguridad dentro la empresa.Se propuso un sistema de gestión de seguridad que permitirá mantener vigente la seguridad dentro la fábrica. El sistema que se planteó, para la aplicación dentro la fábrica, se denomina “STOP” (Seguridad en el Trabajo por Observación Preventiva).Y por último se determinaron los costos necesarios para la implementación del Plan de Seguridad Industrial e Higiene Ocupacional propuesto que tendrá como principal pilar la capacitación y la explicación de los beneficios que tiene, para los trabajadores, la implementación de un Plan de Seguridad e Higiene Ocupacional</t>
  </si>
  <si>
    <t>https://drive.google.com/file/d/1v1fxts3ZgCIcOvViHhmxSVh_BUdOj5G1/view?usp=sharing</t>
  </si>
  <si>
    <t>https://drive.google.com/file/d/1iCcApXol9e-nKNFNkZOvmS6CfAoe8rfQ/view?usp=sharing</t>
  </si>
  <si>
    <t>https://drive.google.com/file/d/1HZQ81iSzZso852PVy1ImJK5yFWw_Kxmp/view?usp=sharing</t>
  </si>
  <si>
    <t>GUZMAN VELASQUEZ MARIO CHRISTIAN</t>
  </si>
  <si>
    <t>DISEÑO DE UN PLAN DE SEGURIDAD E HIGIENE OCUPACIONAL PARA EL ASERRADERO S A N R O Q U E</t>
  </si>
  <si>
    <t>guzy_cgv@hotmail.com</t>
  </si>
  <si>
    <t>IND-318-2009</t>
  </si>
  <si>
    <t>Aserradero, Seguridad e Higiene Ocupacional, Riesgo, Enfermedad Ocupacional, Accidente de trabajo, Peligro, Prevención.</t>
  </si>
  <si>
    <t>El Aserradero “San Roque”, es una pequeña empresa maderera, que no cuenta con un plan de Seguridad e Higiene Ocupacional,  es por esta razón que se han registrado accidentes laborales y enfermedades ocupacionales, estos acontecimientos motivaron a los socios de la empresa a tomar decisiones actuales y oportunas, a través de la elaboración de un Plan de Seguridad e Higiene ocupacional, mismo que estará enfocado a preservar la salud y bienestar de sus trabajadores.          Para el diseño del plan,  primeramente se identificaron los riesgos a los cuales se encuentran expuestos los operarios en cada una de las actividades que desempeñan, esto se lo realizó mediante un seguimiento a cada una de estas actividades, la realización de entrevistas y encuestas a todos los trabajadores. Una vez identificados los riesgos se procedió al análisis, evaluación y valoración de los mismos, mediante el Método General de Análisis y Evaluación de Riesgos. Ya identificados, analizados y evaluados los diferentes tipos de riesgos, se procedió a dar solución a cada uno de estos peligros, mediante la realización de medidas preventivas y/o correctivas. Entre estas medidas se tiene: Elaboración de políticas y Comités Mixtos de Seguridad e Higiene Ocupacional , diseño de un Plan de prevención y control de riegos de accidentes, incendio, ruido, contaminación atmosférica; planteamiento de un manual de primeros auxilios y de procedimientos en caso de accidentes e incendios; equipos de protección personal y sistema de señalización. Todas estas medidas preventivas y/o correctivas fueron realizadas mediante Ley General de Higiene, Seguridad Ocupacional y Bienestar vigente en el país, y mediantes normas internacionales (Ohsas).Posteriormente se estableció un Reglamento Interno de Seguridad e Higiene Ocupacional para el Aserradero “San Roque”, en base a la Ley General del Trabajo, donde se especifican las funciones con las que deben cumplir los empleadores como los empleados. Cabe recalcar que únicamente se tomaron aquellas normas que se adecuan a la empresa. Una vez cumplido con el Diseño del Plan de Seguridad e Higiene Ocupacional, se establecieron los costos en los que la empresa incurrirá en caso de optar por la implementación del plan, asimismo el tiempo que requerirá su correspondiente implementación.          Se concluyo, que con el plan propuesto se otorga a los trabajadores de la empresa un ambiente laboral adecuado donde se sientan confortables y seguros, evitando así futuras enfermedades o accidentes al momento del manipuleo, a manera de lograr una mejorara en su desempeño y calidad  de trabajo</t>
  </si>
  <si>
    <t>https://drive.google.com/file/d/1Ptm190Izi3K7L9R1qoZnnxj5aUcNxcwg/view?usp=sharing</t>
  </si>
  <si>
    <t>https://drive.google.com/file/d/1HOJAlRN1j1_rkDakNnVh1ZZXgbViOeBT/view?usp=sharing</t>
  </si>
  <si>
    <t>https://drive.google.com/file/d/193v37HF2ZYZnq3yq4Lq2CpDCWLhfbnGd/view?usp=sharing</t>
  </si>
  <si>
    <t>MALDONADO UREÑA SARA INES</t>
  </si>
  <si>
    <t>DISEÑO DE UN PLAN ESTRATÉGICO Y OPERATIVO DE MARKETING PARA LA EMPRESA AGUA DE MESA S A N T A C L A R A</t>
  </si>
  <si>
    <t>yo_sarita@hotmail.com</t>
  </si>
  <si>
    <t>IND-319-2009</t>
  </si>
  <si>
    <t>Marketing, estrategia, agua de mesa</t>
  </si>
  <si>
    <t>El agua es un recurso natural de vital importancia y su presencia se asocia directamente con la existencia de la vida en el planeta.  El mismo cuerpo humano está compuesto de agua en un promedio de 60% a 75% del peso corporal, con una proporción intracelular de 2/3 respecto a 1/3 extracelular. Las necesidades de agua de una persona están estrechamente relacionadas con factores exteriores como el clima, los hábitos alimentarios, la actividad física, etc. Las recomendaciones hídricas diarias pueden satisfacerse con 2.300 ml y 3.200 ml de agua para la mujer y el varón, respectivamente. Una empresa honesta sólo puede sobrevivir dentro de una sociedad si contribuye a satisfacer las necesidades de las personas, éste es su objetivo principal. En este sentido, su primera prioridad  son los consumidores, es necesario que éstos se sientan satisfechos durante un largo tiempo después de adquirir su producto.La responsabilidad histórica que vivimos, nos obliga a enfrentar los desafíos y aprovechar las oportunidades que hoy se ofrecen.La planificación estratégica es una de las herramientas más poderosas de las que se puede servir una pequeña y mediana empresa para llevar siempre hacia adelante su negocio. La utilizan empresarios con una visión emprendedora, para las pequeñas y medianas empresas que son las que más la requieren y la valoran.Hoy en día las empresas deben de tener en cuenta que es muy importante contar con una planeación para poder tener un crecimiento óptimo y lograr sus objetivos a través de un plan estratégico diseñado.</t>
  </si>
  <si>
    <t>https://drive.google.com/file/d/1pg62JFAPqd1CwrE_RBGJrLwgGpDerH_2/view?usp=sharing</t>
  </si>
  <si>
    <t>https://drive.google.com/file/d/1MrtZZCwGRYV3rHRFcDYtMOqW2phDtpvB/view?usp=sharing</t>
  </si>
  <si>
    <t>https://drive.google.com/file/d/1VVYWNiO_nVkPb3Ly7hbWq1Yvf70BGUaw/view?usp=sharing</t>
  </si>
  <si>
    <t>VILLARREAL PEREDO IRLANDA MARIA</t>
  </si>
  <si>
    <t>ESTUDIO DE INGENIERÍA DE MÉTODOS APLICADA A LA PRODUCCIÓN DE PARKET EN LA CARPINTERÍA F A M A L I T LTDA.</t>
  </si>
  <si>
    <t>irlandita19@hotmail.com</t>
  </si>
  <si>
    <t>IND-320-2009</t>
  </si>
  <si>
    <t>Estudio de Métodos, Estudio de Tiempos, Tiempo Estándar.</t>
  </si>
  <si>
    <t>A partir del año 2007 la carpintería Famalit Ltda. comenzó a tener problemas en cuanto a la producción de parket, es por eso que se vio la necesidad y urgencia de realizar el estudio de ingeniería de métodos.De esta manera a través del estudio realizado se pudo identificar todos los problemas tanto internos como externos que tiene la carpintería, mediante la matriz FODA se elaboró el plan estratégico de la carpintería y el plan operativo a corto plazo.Se desarrolló también un estudio de tiempos, en el cual se describe a detalle todo el procesos productivo de la carpintería en lo que se refiere a la producción de parket, mediante cursogramas analíticos, pudimos identificar los procesos en los que se requiere mayor cantidad de tiempo, se pudo observar los procesos innecesarios que existen, las demoras por dichos procesos. Se calculó mediante toda la información obtenida el tiempo normal y el tiempo estándar de producción en cada proceso involucrado en la producción de parket.De esta manera se propuso mejoras en el proceso productivo en la cual se eliminan varias operaciones y se reduce considerablemente el tiempo de transporte, así mismo se reduce el tiempo de las demoras, logrando así una optimización en el proceso productivo.Se elaboró registros para las maquinarias, recursos humanos, de tareas diarias, de materiales, de movimientos de materiales con los cuales se realiza la planificación y control de la producción en la carpintería.    Y por último se realizó la evaluación económica del Proyecto demostrando que la implementación de la propuesta impactará favorablemente a la carpintería.          Se concluye entonces, que con el Estudio de Ingeniería de Métodos, se logrará optimizar el proceso productivo de la carpintería logrando una mayor productividad a menor costo.</t>
  </si>
  <si>
    <t>https://drive.google.com/file/d/1vgyCPrkNaWCqOQOSQMdiHXcsTyb2tnB_/view?usp=sharing</t>
  </si>
  <si>
    <t>https://drive.google.com/file/d/11bsgxiaCNjsRc09bvrx5WR23eA3hLZLj/view?usp=sharing</t>
  </si>
  <si>
    <t>https://drive.google.com/file/d/1LPqsY4JinsSkLE1GSOkdzXC7ZQrQsHt_/view?usp=sharing</t>
  </si>
  <si>
    <t>OVANDO ROJAS ALEX RODRIGO</t>
  </si>
  <si>
    <t>PLAN ESTRATÉGICO DE MARKETING PARA LOS PRODUCTOS DE EMPAQUES Y BOLSAS DE PAPEL DE L A E M P R E S A L A P A P E L E R A S.A.</t>
  </si>
  <si>
    <t>ror1983@hotmail.com</t>
  </si>
  <si>
    <t>IND-321-2009</t>
  </si>
  <si>
    <t>Crecimiento, segmentación, Publicidad, Innovación, Estrategia.</t>
  </si>
  <si>
    <t>La Papelera es una empresa dedicada a la producción y comercialización de empaques y bolsas de papel además de otros productos derivados, en constante crecimiento desde hace 78 años en la ciudad de Cochabamba, con una cartera de clientes importantes y selectos de industrias, empresas comerciales y micro empresas.Uno de los principales problemas por el que atraviesa la empresa es la falta de conocimiento del mercado potencial que necesita de mayor impulso para la compra de sus productos, especialmente los empaques y bolsas de papel, porque se ha advertido implícitamente que su demanda ha incrementado en los últimos meses. Faltan estrategias de marketing que ayuden a mejorar los ingresos y la rentabilidad de la empresa.En primera instancia se realizó un diagnóstico interno para detectar falencias y destacar su actual funcionamiento, manejo de políticas y estructura organizacional, principalmente en las áreas de producción y comercialización, estableciendo un orden a través de los cuatro principales elementos del marketing: producto, precio, plaza y promoción. Este análisis estableció que la empresa carece de un departamento y personal formal de comercialización.Después de realizar el diagnóstico de la empresa, se efectuó la investigación de mercados para detectar las características, atributos y utilidades que el consumidor final considera importante a la hora de comprar los productos de La Papelera. También se diseña la matriz FODA para determinar las fortalezas y debilidades de la empresa y las oportunidades y amenazas a las cuales debe hacer frente, así como las matrices EFI y EFE.Concluido el análisis interno y externo, se formularon estrategias para la empresa basadas en las falencias y fortalezas identificadas, donde la más importante es la de diferenciación, acompañada por estrategias para cada una de las variables de la mezcla de mercadotecnia que fortalezcan la parte operativa de la empresa.Finalmente, se realizó un análisis beneficio/costo para detectar la medida del incremento de ventas frente al presupuesto asignado para la implementación de las estrategias propuestas, en el cual se obtuvo un resultado positivo que refleja la rentabilidad de la inversión planteada en relación a los beneficios económicos que se pueden alcanzar en el futuro.</t>
  </si>
  <si>
    <t>https://drive.google.com/file/d/1lMYyj8X6rBrTPHmLlaTTB4QeRlRUv7YB/view?usp=sharing</t>
  </si>
  <si>
    <t>https://drive.google.com/file/d/1Ok6U5oi-gMgq16cFCCqrY-XAnBhgDW5U/view?usp=sharing</t>
  </si>
  <si>
    <t>https://drive.google.com/file/d/1S1L29gv9MpDrh4Bs0YCFLE--kernkqkv/view?usp=sharing</t>
  </si>
  <si>
    <t>NINA ARDAYA EDWARD GILBERT</t>
  </si>
  <si>
    <t>ARIAS MENESES ARIEL</t>
  </si>
  <si>
    <t>ESTUDIO DE COSTOS, PLANIFICACIÓN Y CONTROL DE LA PRODUCCIÓN PARA LA EMPRESA A R I E L J E A N S</t>
  </si>
  <si>
    <t>arielwwjd@yahoo.com</t>
  </si>
  <si>
    <t>IND-322-2009</t>
  </si>
  <si>
    <t>Empresa de confecciones Ariel Jeans, metodología japonesa de JICA para PYMES, Coste unitario de producción, planificación y control de la producción.</t>
  </si>
  <si>
    <t>El trabajo que se realizó tenía como objetivo general realizar un estudio de costos y la planificación de la producción mediante hojas electrónicas de cálculo elaboradas según las características propias de la empresa, para así poder incrementar la competitividad de Ariel Jeans. Esto debido a que no se conocían los costos vinculados al proceso productivo, ni se contaba con registros históricos de costos, además de tener una deficiente planificación de la producción.La empresa Ariel Jeans es una PyME, por ello tiene limitaciones para la implementación de herramientas de gestión desarrolladas para grandes empresas, además la empresa trabaja por órdenes, sin seguir pronósticos de la demanda. Por ese motivo para el estudio de costos y la planificación de la producción se empleó la metodología japonesa de JICA para PyMES.    Para lograr este cometido se hizo un diagnóstico en dos fases: diagnóstico externo donde mediante encuestas, se logró describir el mercado de prendas de jeans para damas, las preferencias de los clientes y la percepción de los clientes respecto a la empresa. Y el diagnóstico interno para conocer la situación actual de la empresa, y especialmente el departamento de producción.Se hizo la recolección de información vinculada con el proceso productivo, se procedió a la clasificación de costos según su naturaleza y área funcional, se elaboró una planilla electrónica que distribuya los mismos y obtenga los costos unitarios por producto, diferenciando tipo de prenda, tipo de tela y talla. Esta planilla electrónica permite la obtención de la estructura de costos de la empresa de forma mensual, como información de entrada requiere la producción mensual por operario, materiales empleados y pago de servicios entre otros.La información obtenida con el estudio de costos permite realizar el análisis de los costos y la identificación de los productos que generan mayor utilidad. Con esta información es posible  tomar mejores decisiones a nivel gerencial en lo que respecta a la política de fijación de precios de sus productos e inclusive en la elección de los productos a fabricar. El plan operativo de producción consta de: Plan de procedimientos y del Plan de ajuste de capacidad. Para el primero se realizó la observación y toma de datos del proceso productivo, se organizó esta información en cursogramas para describir cada proceso de cada sección. Con el plan de procedimientos, se elaboraron planillas electrónicas para diseñar el plan de ajuste de capacidad para cada sección de la empresa: cortado, costurado, lavado y empaquetado. Entonces se elaboró el control de la producción en base a hojas de control y seguimiento para cada sección. Las hojas están diseñadas para realizar el seguimiento y constatar que lo que se ejecutó sea según lo planificado.</t>
  </si>
  <si>
    <t>https://drive.google.com/file/d/1UxjG1xf0yS3jVDn_f-P0Q68S2hDNbVIG/view?usp=sharing</t>
  </si>
  <si>
    <t>https://drive.google.com/file/d/1a4fnrGL-CtNDpYkn8ZNJeGU_S5FlGklx/view?usp=sharing</t>
  </si>
  <si>
    <t>https://drive.google.com/file/d/1zj8KhlsS-coPOjATQZ3UM7pnBuPviEkU/view?usp=sharing</t>
  </si>
  <si>
    <t>RIOS DORIA MEDINA DANIEL ARMANDO</t>
  </si>
  <si>
    <t>ESTUDIO DE FACTIBILIDAD PARA LA IMPLEMENTACIÓN DE UNA PLANTA PRODUCTORA DE HONGOS OSTRA</t>
  </si>
  <si>
    <t>II-2009</t>
  </si>
  <si>
    <t>gatoriosdm@gmail.com)</t>
  </si>
  <si>
    <t>IND-323-2009</t>
  </si>
  <si>
    <t>Producción hongos ostra, Micelio, Estratificación implícita con muestreo sistemático, Eficiencia Biológica, Columnas de Producción, Evaluación Financiera, Análisis sensibilidad, Evaluación Impacto Ambiental</t>
  </si>
  <si>
    <t>El trabajo que se realizó tenía como objetivo general realizar un estudio de costos y la planificación de la producción mediante hojas electrónicas de cálculo elaboradas según las características propias de la empresa, para así poder incrementar la competitividad de Ariel Jeans. Esto debido a que no se conocían los costos vinculados al proceso productivo, ni se contaba con registros históricos de costos, además de tener una deficiente planificación de la producción.La empresa Ariel Jeans es una PyME, por ello tiene limitaciones para la implementación de herramientas de gestión desarrolladas para grandes empresas, además la empresa trabaja por órdenes, sin seguir pronósticos de la demanda. Por ese motivo para el estudio de costos y la planificación de la producción se empleó la metodología japonesa de JICA para PyMES.    Para lograr este cometido se hizo un diagnóstico en dos fases: diagnóstico externo donde mediante encuestas, se logró describir el mercado de prendas de jeans para damas, las preferencias de los clientes y la percepción de los clientes respecto a la empresa. Y el diagnóstico interno para conocer la situación actual de la empresa, y especialmente el departamento de producción.Primeramente se realizó una investigación de Mercado a las zonas norte y centro de la provincia cercado del departamento de Cochabamba, estudiando también los mercados distribuidor, competidor y proveedor. Se determinó una demanda insatisfecha de hongos frescos, como también se determinó la proyección de demanda de hongos para las zonas norte y centro del departamento de Cochabamba. Posteriormente se definió el tamaño de la planta considerando que la empresa busca abarcar un 12% del mercado inicial de hongos frescos produciendo el primer año 554 Kg/mes. Para el año 2011 la planta planificó ingresar a los mercados de Santa Cruz y La Paz, considerando que ambos mercados tienen características similares al de Cochabamba. Aumentando ya su producción para ese año a 1117 Kg/mes.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Quillacollo del departamento de Cochabamba. Se definió un tamaño de 1326 mt2 para la planta. El estudio organizacional fue realizado para la planta definiendo el diagrama organizacional, las funciones de cada trabajador y las planillas de salarios.El estudio de viabilidad técnica se explicado a detalle, consistiendo la producción de hongos Ostra en dos etapas importantes: La de Laboratorio y la producción en cuartos de producción controlados. La primera etapa explicó como producir micelio, mantener un banco genético y producir grano micelio. En la segunda etapa se explicó como preparar el sustrato, la siembra, cosecha y empaquetado. Se determinó que son 4 los factores más importantes para la producción de hongos Ostra: La iluminación, la temperatura, la humedad y el intercambio de aire.Posteriormente se preparó la información para poder realizar la evaluación financiera determinando un VAN de  61.350 $us, un TIR de 20,9% y una relación B/C de 2,28. También se realizó un análisis de sensibilidad donde fue mostrado que el precio y el volumen de producción son las variables más sensibles para la producción de hongos Ostra. Se definió una inversión total de 127.520 $us. Para todo el proyecto definiendo un 60% de aporte propio y un 40% de financiamiento. La recuperación del capital fue determinado en un periodo de 4,6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</si>
  <si>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https://drive.google.com/file/d/1vcXiNUXS3BWKLd8o10e__U-ndIBlBuTc/view?usp=sharing</t>
  </si>
  <si>
    <t>https://drive.google.com/file/d/1aiueeZOd2FOqe0OaGeMsgZjE9v2pGm-b/view?usp=sharing</t>
  </si>
  <si>
    <t>https://drive.google.com/file/d/1eTpSSsAU7mamEHe34JNP3pZNFot7DiG8/view?usp=sharing</t>
  </si>
  <si>
    <t>BAÑADO SEQUEIRA MARTHA OLIVIA</t>
  </si>
  <si>
    <t>QUIROZ MONTAN CESAR EFRAIN</t>
  </si>
  <si>
    <t>ESTUDIO DE FACTIBILIDAD PARA LA IMPLEMENTACIÓN DE UNA PLANTA DE EMPAQUES PLÁSTICOS BIODEGRADABLES</t>
  </si>
  <si>
    <t>shizars@hotmail.com</t>
  </si>
  <si>
    <t>IND-324-2009</t>
  </si>
  <si>
    <t>Proyecto de Factibilidad, Plásticos, Biodegradables, Empaques,   Polietilenos</t>
  </si>
  <si>
    <t>Para el estudio de factibilidad se contempló la creación de una empresa de empaques plásticos flexibles biodegradables, es importante destacar que el plástico está presente en sus más diversas formas en todos los momentos de la vida cotidiana, dentro la sociedad en la que vivimos. El Plástico es indispensable en el estilo de vida moderno y cambio radicalmente a la sociedad en que se vive, las bolsas plásticas que se utilizan a diario parecen inofensivas, sin embargo, se han convertido en un problema mundial debido al enorme impacto ambiental en su estado de desecho y su posterior descomposición, es por tal motivo que el presente proyecto contempla un aspecto importante que es la producción de plásticos biodegradables que minimicen de alguna forma la contaminación ambiental.Los productos plásticos detallados en el proyecto están dirigidos hacia el siguiente mercado contemplado y representado por las industrias manufactureras del departamento de Cochabamba registradas que ascienden a un total de 277, dicha cantidad refleja un mercado potencial extenso y atractivo.Concluido el estudio se determinó que la mejor opción de financiamiento para la inversión es mediante la consecución de un préstamo bancario para así cubrir la necesidad de dicha inversión el cual asciende a un total de 560237 $us., donde al realizar el respectivo flujo neto de fondos se obtuvieron los siguientes indicadores de rentabilidad: VAN, 474.433,57  $us., TIR  42,68 % y una B/C igual a 3.</t>
  </si>
  <si>
    <t>https://drive.google.com/file/d/1wMbt7O41a0ILIa1beDPuI6nHWd5aXXu3/view?usp=sharing</t>
  </si>
  <si>
    <t>https://drive.google.com/file/d/103JD9lGKhBGO4_xPMRSLdUGHvlCE3RhV/view?usp=sharing</t>
  </si>
  <si>
    <t>https://drive.google.com/file/d/1R-d6S0Czp43c6o1p6QW1gKpHqpSU2ct_/view?usp=sharing</t>
  </si>
  <si>
    <t>MENDOZA VELASQUEZ SURIMA</t>
  </si>
  <si>
    <t>DISEÑO DE UN PLAN DE SEGURIDAD E HIGIENE INDUSTRIAL Y ESTUDIO ERGONÓMICO PARA EL SERVICIO DE TRANSPORTE DE OMNIBUSES URKUPIÑÁ COCHABAMBA</t>
  </si>
  <si>
    <t>surima2@hotmail.com</t>
  </si>
  <si>
    <t>IND-325-2009</t>
  </si>
  <si>
    <t>Diagrama de Ishicawa, método Grimaldi, variables de riesgo, capacitación  de choferes, accidentes de tránsito.</t>
  </si>
  <si>
    <t>La Empresa de Servicio de Transporte Interdepartamental de Ómnibus Urkupiña ha visto por conveniente realizar un estudio de seguridad e higiene industrial y estudio ergonómico debido a la existencia de una variedad de  riesgos que se corren en dicho sector, como también la infraestructura y por tanto, los ambientes y las condiciones de trabajo.Primeramente se realizó un diagnóstico de la situación actual de la empresa  en sus tres sectores: Almacén, boletería y el área del transporte, se recabo la información disponible acerca de las actividades y funciones, la organización actual del sector, las condiciones de trabajo de las tres áreas y se llego a una conclusión mediante el diagrama de Ishikawa.Todo ello con el fin de detectar y seleccionar  las variables de riesgo existente en dichas áreas en los servicios que presta, por campos de estudio como la seguridad higiene, ergonomía y para el área del transporte además de los mencionados también se analizo los accidentes de tránsito determinando las  causas de los mismos. Todo esto se lo realizo a través de la observación y entrevistas a todos los empleados de las tres áreas de la empresa.Luego se procedió a la medición de dichas variables de riesgo detectadas de forma cualitativa mediante las encuestas de seguridad, higiene y ergonomía que se realizaron a todos los empleados de la empresa mediante una escala adimensional de cuatro niveles ordinales de riesgo.Posteriormente se realizo el análisis de las  causas de dichos riesgos por campos de estudio  mediante la teoría de Grimaldi, y se determinaron los factores más riesgosos de las tres áreas, en función a este análisis se determino las soluciones a los problema.Mediante un análisis de todos los datos recabados se procedió al diseño del plan de seguridad e higiene industrial  y ergonomía  para las tres áreas estableciendo planes de acción inmediata para corregir y disminuir los riesgos.Para el área de transporte se realizo un plan de prevención de accidentes de tránsito.Se planteo una correcta distribución de cargas y encomiendas en el área de Almacén.También se propuso la implementación de equipos para el plan de seguridad e higiene industrial y la implementación de señalización en las tres áreas de la empresa.Se planteo la contratación de un nuevo empleado para realizar la asignación de funciones y  el cumplimiento del plan, mediante la elaboración del manual de funciones tanto para el nuevo operario como para los chóferes.Para el  área de transporte se propuso un manual de primeros auxilios para que los choferes sean capacitados en caso de que ocurrieran accidentes.El cumplimiento del plan se regirá mediante el diagrama  de Gantt de las actividades a seguir durante 13 semanas.Finalmente se calculo  el presupuesto del plan  de los equipos, señalización y capacitación y el beneficio de la implementación.</t>
  </si>
  <si>
    <t>https://drive.google.com/file/d/1w1cqroHnEVemCnwMmsEHHZymJvYxkOZH/view?usp=sharing</t>
  </si>
  <si>
    <t>https://drive.google.com/file/d/1REFDi5kxe59KbY6rtNWqYrw1_BSPKE70/view?usp=sharing</t>
  </si>
  <si>
    <t>https://drive.google.com/file/d/1WSWSqZ42K6DWsrd_EhL5GgK_AOBuae02/view?usp=sharing</t>
  </si>
  <si>
    <t>FRANCO ZEBALLOS CLAUDIA PAOLA</t>
  </si>
  <si>
    <t>ESTUDIO DE FACTIBILIDAD COMERCIAL Y FINANCIERA PARA LA EXPANCIÓN DE SERVICIOS DE TELEFONÍA Y BANDA ANCHA DE LA CORPORACIÓN COMTECO LTDA. A LAS POBLACIONES DE IVIRGARZAMA, ENTRE RÍOS Y BULO BULO BAJO LA TECNOLOGÍA PLC</t>
  </si>
  <si>
    <t>pao_franco_z@hotmail.com)</t>
  </si>
  <si>
    <t>IND-326-2009</t>
  </si>
  <si>
    <t>Cooperativa de Telecomunicaciones y Servicios Cochabamba (COMTECO),      Factibilidad, Tecnología PLC, Valor Actual Neto (VAN), Tasa Interna de Retorno (TIR), Rentabilidad.</t>
  </si>
  <si>
    <t>El objetivo de la investigación fue el de desarrollar un proyecto a nivel de factibilidad comercial y financiera para la expansión de servicios de Telefonía y Banda Ancha a las poblaciones de Ivirgarzama, Entre Ríos y Bulo Bulo bajo la Tecnología PLC, la cual surgió como respuesta al plan estratégico de expansión de COMTECO y a la actual sinergia corporativa con ELFEC, la cual tiene como premisa la de complementar servicios y atender requerimientos principalmente del área rural del departamento de Cochabamba. Con este propósito se inicio con la realización del estudio de mercado, para el cual se siguió un proceso estructurado en distintas etapas, tales como: -        El planteamiento inicial de la investigación, la cual a su vez exigió la identificación del problema, la necesidad de la información y la definición de los objetivos de la investigación. -        La planificación de la investigación, en la cual se definió el diseño de la investigación, las fuentes de información y las técnicas de obtención de esta información. -        La recolección de datos, la cual tuvo su inicio con el diseño de la muestra y concluyo con el trabajo de campo.El análisis e interpretación de los resultados obtenidos aporto información respecto al entorno donde se desenvolvería el proyecto, la competencia, el mercado, el cliente y por supuesto la demanda, con la cual se evidencio que las áreas urbanas y periurbanas de estas localidades son las que concentran a la demanda en su mayoría, por lo que son estas las áreas indicadas para el despliegue de la red con Tecnología PLC. A partir de ello es que se realizo el diseño de la red, la cual está constituida por dos partes: La red de Interconexión y la red de Acceso con tecnología PLC, cuyo conocimiento posibilitaron la determinación de los requerimientos en equipos, recursos materiales y otros, información importante dentro el estudio financiero, el cual tuvo como propósito el de sistematizar toda la información de carácter monetario recolectada en todas las etapas de la investigación. Tal sistematización a su vez sirvió de insumo para la evaluación del proyecto, la cual presento dos partes: la medición de la rentabilidad a través de indicadores como el Valor Actual Neto y la Tasa Interna de Retorno y finalmente el análisis de sensibilidad.Dentro de la medición de la rentabilidad, los resultados obtenidos a través de los indicadores financieros, evidenciaron la rentabilidad del proyecto, concluyendo que la comercialización de los servicios de telefonía y banda ancha a través de la tecnología PLC es rentable.Entre tanto, el análisis de sensibilidad realizado evidencio que el proyecto presenta mayor sensibilidad a la fluctuación en la demanda del servicio telefónico</t>
  </si>
  <si>
    <t>https://drive.google.com/file/d/1TE2h5mbw460LoephgPLedcBIxh4SRM1b/view?usp=sharing</t>
  </si>
  <si>
    <t>https://drive.google.com/file/d/1KFBsY3rLgs1updho1LkudjrmTaatEm5b/view?usp=sharing</t>
  </si>
  <si>
    <t>https://drive.google.com/file/d/1BkjzoH2Ek3nRHpCKGJOn9mpupUIsbWrB/view?usp=sharing</t>
  </si>
  <si>
    <t>PEÑARANDA ALVAREZ RONALD RAMIRO</t>
  </si>
  <si>
    <t>PEÑARANDA ALVAREZ ROGER PAUL</t>
  </si>
  <si>
    <t>DESARROLLO DE UN PLAN ESTRATÉGICO DE MARKETING PARA SU IMPLEMENTACIÓN EN C &amp; A CONSULTORES ASOCIADOS</t>
  </si>
  <si>
    <t>pul_roger@yahoo.es</t>
  </si>
  <si>
    <t>IND-327-2009</t>
  </si>
  <si>
    <t>Plan Estratégico de Marketing, Investigación de Mercado, Análisis Estratégico, 5 Fuerzas de Porter, Mapa Estratégico</t>
  </si>
  <si>
    <t>La Consultora C&amp;A Consultores Asociados. Ha visto por conveniente realizar un estudio para desarrollar un plan estratégico de marketing, ante su inquietud de desarrollar nuevos mercados debido a que la empresa tiene en marcha el proyecto de una micro empresa que se dedique a la elaboración de jugos y comercialización de concentrados de fruta tropical concretamente en frutas como la naranja, maracuyá y piña, a partir de una alianza lograda con productores el trópico de la ciudad de Cochabamba. De esta manera a través del estudio se realizó un diagnóstico general de la situación actual de la consultora recabando información que se constituye como base del análisis a realizar, la información obtenida tenía que ver con la misión, visión, estructura orgánica, análisis del área productiva de la consultora.También se realizó un análisis situacional del mercado, por medio de una investigación exploratoria de mercados para los productos que la consultora piensa incursionar explícitamente para, jugos y concentrados de fruta, en esta investigación se consideraron seis dimensiones de análisis y estas fueron, demanda del producto, oferta del producto, características del producto, características del consumidor, análisis de precios, y características de distribución. Para poder conseguir los resultados de esta investigación se utilizó como metodología la matriz de planificación en investigación científica (MAPIC), que tiene como fin organizar y articular de manera natural a la estadística con la planificación del presente estudio.Posteriormente se realizó la planificación estratégica de marketing,  con el uso de herramientas tales como la matriz estratégica FODA; análisis estratégico, análisis PEST, las cinco fuerzas de Porter, base estratégica, Matriz BCG, formulación de estrategias desde la perspectiva de la ventaja competitiva y perspectiva mercado producto; así mismo se elaboró un mapa estratégico, como resultado del uso de todas estas herramientas, se pudieron determinar las estrategias a seguir para los productos jugos y concentrados de fruta tropical,  finalmente se desarrolló un cuadro de mando integral como herramienta de seguimiento y control de las estrategias planteadas.Se concluye entonces que con el uso de las estrategias obtenidas en el desarrollo del presente plan, se logrará que la consultora logre alcanzar sus objetivos de incursionar en el mercado de jugos y concentrados de fruta tropical.</t>
  </si>
  <si>
    <t>https://drive.google.com/file/d/1WKoSEHYnQnhFd1cmytB-ogWzSJS7dAqM/view?usp=sharing</t>
  </si>
  <si>
    <t>https://drive.google.com/file/d/198cq5nE5_xoM14E8KKpZe_8ZYWzskMao/view?usp=sharing</t>
  </si>
  <si>
    <t>https://drive.google.com/file/d/10ORZhVYw7ndac3ZOWqIh4-3tCbRrAloz/view?usp=sharing</t>
  </si>
  <si>
    <t>VARGAS VARGAS VAIRO RODRIGO</t>
  </si>
  <si>
    <t>ING. JUAN PABLO BAYA SAAVEDRA</t>
  </si>
  <si>
    <t>ESTUDIO TÉCNICO FINANCIERO PARA EL LANZAMIENTO AL MERCADO DE JUGO ZANAHORIA NARANJA PARA LA EMPRESA PIL ANDINA S.A.</t>
  </si>
  <si>
    <t>vairovargasvargas@yahoo.com</t>
  </si>
  <si>
    <t>IND-328-2009</t>
  </si>
  <si>
    <t>Empresa PIL Andina S.A., jugo zanahoria naranja, concentrados, codex alimentarius, investigación proyectiva.</t>
  </si>
  <si>
    <t>La necesidad de haber realizado el estudio fue de ver la posibilidad de introducir al mercado Cochabambino un producto alternativo. El Jugo Zanahoria  Naranja  el cual pueda ofrecer al consumidor buena asimilación de alimentos nutritivos y favorables en el organismo, de manera tal, que su obtención repercuta  desde los proveedores de materia prima, así también los que transforman en el producto final, dando lugar a un incremento de fuentes de empleo, desarrollo de la región y ganancia de recursos económicos de ambos sectores.El producto está elaborado a partir de concentrado de naranja y concentrado de zanahoria, tomando en cuenta los insumos  adicionales y procesos requeridos a aumentar para su consolidación como jugo de zanahoria-naranja.El 93% de la población comprendida en la provincia Cercado del Departamento de Cochabamba, dentro del área urbana, considerado como población con capacidad de consumo, dentro del rango de edad de 10 a 64 años, si estaría dispuesta consumir el jugo zanahoria naranja. Sin embargo dentro del 93%, los que mencionaron que les gusto mucho fueron únicamente el  30%, teniendo como potenciales compradores a la población comprendida entre 16 años a 35 años.El precio que el consumidor estaría dispuesto a pagar esta comprendida entre 2 a 3 Bolivianos, por tanto, el precio será de 2,75 Bs. que es el precio de venta al público para el envase de la línea Tetra Pak de 200 mililitros.  La empresa PIL Andina S.A. cumple con las exigencias de calidad en toda su variedad de productos con la aplicación del Codex Alimentarius que consiste en  un conjunto de códigos de buenas prácticas de fabricación y otras directivas orientadas a proteger al consumidor y a eliminar prácticas desleales en el comercio internacional.La evaluación técnica, muestra que el producto es viable siempre y cuando los concentrados a aplicar cumplan con las exigencias necesarias. La empresa cuenta con equipos y maquinaria disponible para la elaboración del nuevo jugo zanahoria naranja, motivo por el cual no fue necesaria la realización de una inversión de activos fijos, solo se considerara su depreciación.La empresa cuenta con una capacidad de procesamiento para el jugo zanahoria naranja en el proceso de pasteurización, homogenización, y enfriamiento, de 15000 litros/hora, para ultra pasteurización 5000 litros/hora, y para su envasado de 3500 litros/hora, contando con una disposición adecuada de los equipos e infraestructura, iniciando la producción con el 12,5% de su capacidad en planta.En la evaluación financiera realizada, se pudo constatar que el proyecto es rentable, reportando los siguientes resultados.VAN = 161.819,79 Bs.TIR =  20,48%B/C = 1,58Mediante el análisis de sensibilidad se pudo verificar que el proyecto tiene mayor susceptibilidad en el incremento del precio de materia prima si es que él %  se encuentra superior al 1,65%, también es sensible el precio de venta de fabrica si es que existiera un decremento más de 1,39%. La evaluación de impacto ambiental social concluye que el proyecto es ecológicamente compatible, pero se sugiere un control ecológico permanente de manera que se evite cualquier daño al medio ambiente.Con el presente proyecto se pretende ofrecer otro medio más de ingreso para la empresa PIL Andina S.A, e incentivando a la producción y consumo de alimentos nutritivos y favorables al organismo.</t>
  </si>
  <si>
    <t>https://drive.google.com/file/d/1VIWeLpplPHwaSZf_iaw95irRUF8Jlguj/view?usp=sharing</t>
  </si>
  <si>
    <t>https://drive.google.com/file/d/1p0bWT45D5GRKy65aHgMX_3w5ggoOR80c/view?usp=sharing</t>
  </si>
  <si>
    <t>https://drive.google.com/file/d/1NJR4Ihs6jVR4za3PtEu5miSCyZT1-YL3/view?usp=sharing</t>
  </si>
  <si>
    <t>PARRA ESTRUGO MARCEL</t>
  </si>
  <si>
    <t>RUIZ GUAMAN MIRTHA LIA</t>
  </si>
  <si>
    <t>DISEÑO DE UN SISTEMA DE INFORMACIÓN DE COSTOS DE MANTENIMIENTO PARA LA PANTA DE HORMIGÓN READY MIX COCHABAMBA DE SOBOCE S.A.</t>
  </si>
  <si>
    <t>lekram@gmail.com</t>
  </si>
  <si>
    <t>IND-329-2009</t>
  </si>
  <si>
    <t>Hormigón, READY MIX, SOBOCE S.A., Costos de mantenimiento, Diseño de sistema.</t>
  </si>
  <si>
    <t>La Planta de Hormigón Ready Mix de Cochabamba de SOBOCE S.A. en su afán de trabajar fomentando la mejora continua en todos sus procesos, ve la necesidad de trabajar en la estructuración y control de sus costos de mantenimiento; necesidad que responde a los cambios y exigencias de una nueva manera de gestión de mantenimiento.El diseño de un Sistema de Control de Costos de Mantenimiento desarrollado en el Proyecto, está destinado a la obtención de mayor información que apoye el proceso de toma de decisiones, de esta manera mejorar la gestión de mantenimiento que sin duda es de gran importancia y apoyo para el proceso productivo de la hormigonera.Primeramente, se realizó una investigación preliminar para determinar los objetivos y la metodología que se llevarán a cabo con este proyecto; a continuación, se realizó un diagnóstico del departamento de mantenimiento, específicamente del control de costos que se realiza en el área, conociendo así cada uno de los procedimientos y actividades desarrollados en su sistema actual (sin proyecto).Con la información recopilada se determinaron los requerimientos y objetivos, en base al cual se elaboró el diseño lógico del sistema de control de costos propuesto. El trabajo de esta etapa fue realizada en función a las características de la empresa y del usuario. De manera de lograr un diseño flexible y apto para su uso.Finalmente se realizó una valoración de los beneficios del diseño, mediante una aplicación, que permite apreciar la funcionalidad del sistema.</t>
  </si>
  <si>
    <t>https://drive.google.com/file/d/1xLu2ed5aMjCzAFpLkEBdF3U7oV46qsH9/view?usp=sharing</t>
  </si>
  <si>
    <t>https://drive.google.com/file/d/1SvuBgVjfuE8A8RiAGYTkMTR_2FpUf4Fu/view?usp=sharing</t>
  </si>
  <si>
    <t>ALVARADO CAERO CARLOS ALBERTO</t>
  </si>
  <si>
    <t>PLAN DE SEGURIDAD E HIGIENE INDUSTRIAL PARA EL TALLER DE ZAPATOS SENZANO</t>
  </si>
  <si>
    <t>IND-330-2009</t>
  </si>
  <si>
    <t>Seguridad – Higiene Industrial, Control, Atenuación.</t>
  </si>
  <si>
    <t>La seguridad es un factor importante, pues evitando accidentes no sólo se evita la pérdida humana sino que también los costos que éstos implican. En el instante que ocurre un accidente, se da un paro de actividades, esto genera un daño o pérdida del equipo o maquinaria, además del producto que tiene a cargo el taller.En la primera instancia se identifico y evaluó los riesgos, mediante el método de Rescalvo, con el cual se pudo conocer los riesgos a enfermedades y accidentes  a los que se exponen los trabajadores y las deficiencias que existe dentro el taller en lo que respecta a la seguridad e higiene industrial.Para la elaboración del plan de seguridad e higiene industrial, se tuvo que tomar medidas para poder atenuar y controlar los riesgos ya identificados, mediante formas correctas de trabajo, dotándoles de implementos de seguridad, mejores condiciones de trabajo en lo que respecta a la iluminación, señalización y formando una cultura de seguridad e higiene dentro el taller, todo ello con el fin que el trabajador pueda ser incentivado, adquiriendo un compromiso con el taller y su persona. En otro aspecto se realizo un manual de seguridad, mediante el cual la persona encargada de la seguridad el “supervisor” podrá apoyarse en dicho documento para poder controlar las operaciones, maquinarias, orden y limpieza dentro el taller, con el fin de controlar posibles riesgos que se presenten.Para poder llevar a cabo el plan de seguridad e higiene industrial en el taller de zapatos Senzano, se realizo una estimación de costos, llegando a determinar una cantidad de dinero, los cuales se invertirán en todas las mejoras planteadas dentro el plan de seguridad e higiene industrial.</t>
  </si>
  <si>
    <t>https://drive.google.com/file/d/1e6o0cNqJI1ECYXrmcWJSJvY2yLD1NR2e/view?usp=sharing</t>
  </si>
  <si>
    <t>https://drive.google.com/file/d/1KAgNgrAVq9EcDZr9dVmjZqLWF9t0-wax/view?usp=sharing</t>
  </si>
  <si>
    <t>https://drive.google.com/file/d/1UEfjucDTdXFYOSrvOMG1iZKNqRlxZd3x/view?usp=sharing</t>
  </si>
  <si>
    <t>CEZAREO SALAZAR DALIBOR MILIVOY WALTER</t>
  </si>
  <si>
    <t>ING. JOSÉ ADRIÁN MATIENZO JUSTINIANO</t>
  </si>
  <si>
    <t>PROGRAMA DE PLANIFICACIÓN PARA LA LOGÍSTICA Y PRODUCCIÓN EN LA PLANTA HORMIGONERA DE COBOCE HORMIGÓN</t>
  </si>
  <si>
    <t>IND-331-2009</t>
  </si>
  <si>
    <t>Logística, Producción, Planificación, Sistemas Integrados de Gestión, Estadística aplicada a la calidad, Matriz Combinada, Proyección Exponencial, Indicadores, Mapa de procesos, Retrasos, Demanda, Ishikawa, Premezclado, COBOCE.</t>
  </si>
  <si>
    <t>El presente documento contiene el informe final del Trabajo Dirigido que tiene por objeto la elaboración de un Programa de planificación para logística y producción en la planta hormigonera de COBOCE Hormigón. El trabajo fue realizado en el Grupo COBOCE, división Hormigón, entre marzo del 2006 y diciembre del año 2007El trabajo se divide en tres partes. La primera parte corresponde a una introducción detallada de los objetivos del proyecto (Cap. 1), explicación de algunos instrumentos estadísticos y el enfoque del control total de la calidad (Cap. 2) y finalmente la introducción a las características del producto y detalles importantes del proceso en la fabricación, transporte y vaciado del hormigón premezclado (Cap. 3). La segunda parte corresponde al desarrollo de los objetivos específicos en siete fases, la primera fase se realiza mediante el análisis FODA respectivo con una matriz combinada para facilitar la elaboración de un diagrama de causa-efecto determinando los principales problemas durante la logística de la producción y atención al cliente (Cap. 4), la segunda fase corresponde a la realización del mapa de procesos para la Comercialización y Producción del premezclado de hormigón (Cap. 5), la tercera fase es un análisis estadístico y sistemático de los retrasos en la entrega del producto, especificando sus causas y realizando una estimación de la demanda con apoyo de la proyección exponencial y las cartas de control estadístico realizadas durante los años 2006 a 2007, se compara la realizada durante el 2007 para realizar una nueva el año 2008 (Cap. 6), la cuarta fase corresponde a la implementación de Sistemas de Control de la Calidad en los procesos de producción, comercialización y mantenimiento especificando factores críticos de éxito e indicadores para realizar un seguimiento real, sistemático y efectivo (Cap. 7), la quinta fase adecua y refuerza las herramientas anteriormente implementadas con el Sistema de Gestión de Calidad implementado años atrás en la planta de COBOCE Hormigón que cuenta con certificación ISO 9001 (Cap. 8), en la sexta y séptima fase se desarrolla el sistema de planificación para la logística y producción de una forma detallada y clara, separando cada actividad del mapa de procesos desde la recepción de materia prima hasta el seguimiento postventa para explicar su desarrollo, detallando los costos respectivos del proyecto (Cap. 9)</t>
  </si>
  <si>
    <t>https://drive.google.com/file/d/13Nf7dAlv4w-Ijc0fljWf8F5ysbfhx7N3/view?usp=sharing</t>
  </si>
  <si>
    <t>https://drive.google.com/file/d/11e0kW6n0m2f1nF3gN5jGwZtmZBadhhIg/view?usp=sharing</t>
  </si>
  <si>
    <t>https://drive.google.com/file/d/1CxqJq5998He3Kpaq66RWDY_sdrgLFRmg/view?usp=sharing</t>
  </si>
  <si>
    <t>JORGE VICTOR URQUIDI URQUIETA</t>
  </si>
  <si>
    <t>PLAN DE SEGURIDAD INDUSTRIAL E HIGIENE OCUPACIONAL PARA LA EMPRESA CERUSITA ANDINA LTDA.</t>
  </si>
  <si>
    <t>geoviur@hotmail.com</t>
  </si>
  <si>
    <t>IND-332-2009</t>
  </si>
  <si>
    <t>Plan, Seguridad Industrial, Higiene Ocupacional, Riesgos, Análisis y   Evaluación de Riesgos, Accidente, Incidente.</t>
  </si>
  <si>
    <t>El Objetivo General bajo el cual fue elaborado el proyecto fue el de realizar un Plan de Seguridad Industrial e Higiene Ocupacional para la empresa CERUSITA ANDINA LTDA. de manera que permita reducir los riesgos laborales y mejorar el desempeño de la misma.La metodología empleada para realizar el proyecto se enfoco principalmente en el diagnostico actual de la empresa así como también en el análisis y evaluación de riesgos utilizando el método desarrollado por George F. Kinney el cual estaba conformado por cinco etapas. En base a todos los resultados obtenidos se elaboraron mapas de riesgos de acuerdo a cada una de las secciones que componen la empresa. Así también se desarrolló las medidas de control de acuerdo a cada riesgo identificado tomando siempre en cuenta su grado de magnitud e importancia.El Plan de Seguridad Industrial e Higiene Ocupacional para la empresa CERUSITA ANDINA LTDA. fue compuesto por once fases, cada una de ellas fue desarrollada tomando siempre en cuenta un plan de acción para su adecuada aplicación.En la primera fase se vio por conveniente la creación de un Departamento de Seguridad e Higiene Industrial ya que la empresa no contaba con ningún responsable en esos temas así como también la creación de Comités Mixtos de Seguridad e Higiene. Para reducir los riesgos causados por el ambiente de trabajo se elaboraron planes de acción de acuerdo a cada uno de los factores de mayor importancia como ruido, iluminación, ventilación, infraestructura, orden y limpieza, servicios higiénicos, etc.Se realizo la propuesta de Equipos de Protección Personal tomando cada uno de los puestos de trabajo y los distintos tipos de riesgos a los que estaba expuesto el personal ya que los que dotaba la empresa no era los mas adecuados.Al no ser la señalización dentro las instalaciones de la empresa la mas adecuada tambien se realizo la propuesta de adquirir mayor cantidad de paneles informativos y de acuerdo a la distribución de las distintas dependencias se elaboro mapas para una adecuada ubicación de los paneles.Se propuso la capacitación de todo el personal de la empresa en temas de Seguridad Industrial e Higiene ocupacional mediante un programa de capacitación tomando en cuenta los temas de mayor importancia para la empresa.Se elaboro un plan de contingencia definiendo las líneas de acción y procedimientos adecuados y oportunos para que el personal pueda responder de manera efectiva en caso de cualquier tipo de emergencia.Se propuso capacitar a todo el personal sobre el manejo y uso de extintores en caso de incendio así como también de cómo actuar durante el mismo.Se propuso la implementación de un programa de orden y limpieza basado en las 9’S japonesas teniendo principal cuidado y mayor control y seguimiento en las áreas donde existe mayor generación de desperdicios así como también en las de almacenamiento.La empresa no contaba con ningún tipo de reglamento interno de Seguridad e Higiene por lo que se elaboro un reglamento en el cual se incluyen obligaciones tanto de trabajador como de la empresa, normas generales a acatar dentro las instalaciones de propiedad de la empresa, normas generales de orden y limpieza, de explosivos, de combustibles, de uso y manejo tanto de maquinaria pesada así como de vehículos livianos de propiedad de la empresa y de cómo prestar primeros auxilios.Se elaboro un manual de primeros auxilios para que así todo el personal pueda ser capacitado de manera adecuada y poder actuar en caso de ser necesario.Finalmente se realizo la estimación de costos para una adecuada implementación del Plan Seguridad Industrial e Higiene Ocupacional de acuerdo a cada plan de acción propuesto con anterioridad así como un programa de implementación tentativo relacionando las distintas actividades a ejecutarse con el tiempo.</t>
  </si>
  <si>
    <t>https://drive.google.com/file/d/1cYDR9_7OZSqvlayXgICI5VilhTCbjXqc/view?usp=sharing</t>
  </si>
  <si>
    <t>https://drive.google.com/file/d/1QFCNISCbpgr3cfdY7PHMLGITvHaJ0rk8/view?usp=sharing</t>
  </si>
  <si>
    <t>https://drive.google.com/file/d/1wkBwfD26-v8oL7AS32cENIVBgs2UQUVW/view?usp=sharing</t>
  </si>
  <si>
    <t>ALVARO MARCELO ACEVEDO PEÑA</t>
  </si>
  <si>
    <t>PLANIFICACIÓN ESTRATÉGICA PARA LA IMPRENTA “GRÁFICA CENTER”</t>
  </si>
  <si>
    <t>alvaro.acevedo@hotmail.es</t>
  </si>
  <si>
    <t>IND-333-2009</t>
  </si>
  <si>
    <t>Impresión Offset, Plan Estratégico, Sistemas de Control, Herramientas Estratégicas, Mapa de Procesos.</t>
  </si>
  <si>
    <t>El 17 de agosto de 1997 se creó la Imprenta “Gráfica Center”, con la idea de crear una cadena de empresas junto a la empresa “Foto Estudio Center”, pero con el transcurso de los años este proyecto no se pudo concretar. La principal actividad de esta empresa es la impresión offset, en el cual se destaca haciendo trabajos como la impresión de formularios, etiquetas y textos informativos, por nombrar algunos. Es así que se detecto el principal problema de esta empresa que es, la inexistencia de objetivos y estrategias que vayan a ser realizadas a lo largo del tiempo, es por eso que se propuso realizar una planificación estratégica, siguiendo el modelo de Fred R. David. Este modelo fue adaptado a la realidad en la que se encuentra la empresa.Se elaboró el marco estratégico de la empresa, en el cual se definió la Misión, la Visión, los valores, los objetivos y las políticas de la empresa.Luego se procedió a realizar el análisis interno y externo de la empresa, en el cual se detectaron las fortalezas, debilidades, oportunidades y amenazas de Gráfica Center.Hecho todo esto se realizó la formulación y selección de estrategias, en esta etapa surgieron tres estrategias importantes, estas son: la excelencia operativa, penetrar en el mercado y por último fidelizar a los clientes.Con estas tres estrategias se realizo el despliegue del plan estratégico que es la realización de fichas descriptivas de los planes estratégicos, se decidió llevar a cabo dos planes, el primero es el de la Mejora Empresarial que trata de reducir los costos de la empresa, volviéndose así una empresa que tenga una excelencia operativa y pueda reducir sus precios. Y el segundo plan se lo ha denominado Crecer este plan trata de penetrar en un nicho específico de nuestro mercado y posteriormente lograr fidelizar a los nuevos clientes.Después se realizó un análisis financiero de de la empresa tomando en cuenta los planes estratégicos, este análisis mostro resultados positivos para que la empresa pueda llevar a cabo los dos planes estratégicos.Y por último se realizó una reorganización y sistema de control para toda la empresa, en el cual se muestran fichas de control para el óptimo desenvolvimiento de la misma.</t>
  </si>
  <si>
    <t>https://drive.google.com/file/d/1GJLTsYsxGAYQ7kCPEdY_F5s9mnGwrM7n/view?usp=sharing</t>
  </si>
  <si>
    <t>https://drive.google.com/file/d/1YkQxKv5QnS6cMAJUcjEMA7ahxJMMhnop/view?usp=sharing</t>
  </si>
  <si>
    <t>https://drive.google.com/file/d/1g4lk8gfbz7AlRCPgQO7dyEHjP1AV7uLD/view?usp=sharing</t>
  </si>
  <si>
    <t>RUBÉN JHOSEP HURTADO</t>
  </si>
  <si>
    <t>“FACTIBILIDAD TÉCNICA- ECONÓMICA PARA LA INSTALACIÓN  DE UNA PLANTA DE RECICLAJE DE AGUAS RESIDUALES DENTRO DE UN S.G.A. (I.S.O. 14000)”</t>
  </si>
  <si>
    <t>rubenhurtado412@hotmail.com</t>
  </si>
  <si>
    <t>IND-334-2009</t>
  </si>
  <si>
    <t>Proyecto de reciclaje de aguas residuales, P.R.A.R.</t>
  </si>
  <si>
    <t>La población de Cochabamba específicamente la zona de Albarrancho (Sur) tiene hoy en día un ecosistema  contaminado debido a la impregnación del aire, suelo y agua. De esta última deriva que los anteriores incrementen su contaminación ambiental.Por esta causa se realizó un estudio técnico profundo del agua residual almacenada en Albarrancho (La Maica y Asirumarca) con el fin de prever la información exacta para dar lugar a la implementación de una planta regeneradora de aguas residuales y a su vez la reutilización de estas (Reciclaje), en un marco permisible por las normas internacionales.Para este propósito se realizó la investigación metodológica de todos los conceptos y procesos unitarios relacionados para así entrar a una auditoria genérica de la planta existente en la zona, donde se encontró la influencia directa de este contaminante con el suelo, organismos vivos, aire y salud pública; con resultados reales. Se determinó la cantidad de agua residual que es reutilizada por la población en sus diferentes niveles de tratamientos y por ende el epicentro de reutilización “laguna La Maica”. Así también se realizaron los ensayos para medición y análisis en diferentes lugares clave en la línea base de la planta y puntos de reutilización directa, otorgando criterios de valoración ex, ante, y post proyecto, con medidas de mitigación propuestas para dar solución a este problema ambiental.Una vez valoradas las eficiencias se realizó la ficha ambiental respectiva encontrando que se requiere una “Evaluación Ambiental Específica”, abriendo paso a la viabilidad técnica del proyecto con la metodología fáctica que se obtuvo y se requiere,  donde para la instalación y puesta en marcha del Proyecto se calificó la “tecnología” de equipos, procesos e “incidencia ambiental” como puntos clave para la selección de procesos, maquinarias, métodos, obras civiles y posibilidades financieras.La maquinaria fue seleccionada por investigación de proveedores con buenos resultados en relación precio/eficiencia en los procesos, no obstante es flexible al cambio según los nuevos procesos y mejoras que se presenten con el tiempo, desde luego el costo de inversión es un punto importante para la selección o cambio de un nuevo proveedor. Todas sus aplicaciones están descritas en conjunta aplicación con lo que se requiere para la nueva planta de reciclaje.Se determinó la factibilidad económica- financiera del proyecto, según las necesidades en recursos materiales, humanos y económicos. Dado que esto es lo más importante para implementar el P.R.A.R., por lo que se realizó el cálculo de inversiones totales, costos de funcionamiento y producción del regenerado liquido elemento, el precio de venta del mismo con una investigación de mercado potencial que denota efectividad en los últimos años. Definiendo así un flujo neto de fondos real, cuantificando la rentabilidad del proyecto en su vida útil y finalmente evaluando la viabilidad económica del proyecto para su atractividad a cualquier inversionista.</t>
  </si>
  <si>
    <t>https://drive.google.com/file/d/1djzeZeHISe9kU3eL8Iqqn3nEXIs4cGsi/view?usp=sharing</t>
  </si>
  <si>
    <t>https://drive.google.com/file/d/1LLslG4qNEdDSRooVGh5BjmOpaIHkyp1O/view?usp=sharing</t>
  </si>
  <si>
    <t>https://drive.google.com/file/d/1fXcOH7tZIPpWQ7OS0n7-ODENfsJtxIxT/view?usp=sharing</t>
  </si>
  <si>
    <t>URQUIOLA LOPEZ ROBERTO AMILCAR</t>
  </si>
  <si>
    <t>DISEÑO DE UNA ESTRUCTURA ORGANIZACIONAL OPERATIVA PARA LA FUNDACIÓN DE INVESTIGACIÓN E INNOVACIÓN DE BOLIVIA (FIIB) CON ENFOQUE DE LA NORMA ISO 9001:2008</t>
  </si>
  <si>
    <t>robert1303@yahoo.com</t>
  </si>
  <si>
    <t>IND-335-2009</t>
  </si>
  <si>
    <t>ISO 9001:2008, estructura organizacional, gestión por procesos, control por procesos.</t>
  </si>
  <si>
    <t>La Fundación de Investigación e Innovación de Bolivia es una organización sin fines de lucro, cuyo propósito es promover la investigación e innovación, el intercambio profesional, difusión de conocimientos en temas innovadores y actualizados, mediante la realización de cursos, seminarios, talleres, simposios, y otros; dirigido a pequeñas, medianas y grandes empresas, profesionales y estudiantes.El objetivo del trabajo realizado fue realizar el diseño de una estructura organizacional operativa para la Fundación de Investigación e Innovación de Bolivia (FIIB) con enfoque en la Norma ISO 9001:2008 cuyo alcance es la organización, estandarización, y creación de una gestión documental para las distintas actividades de la Fundación. La metodología utilizada para el Diseño de la Estructura Organizacional es: Diagnostico Integral utilizando herramientas como la Matriz FODA, revisión de la documentación con la que cuenta, análisis de factores críticos, entrevistas con los distintos miembros de la FIIB y encargados de áreas especificas; Revisión Bibliográfica consultando libros, tesis y páginas de Internet relacionadas con Organización Empresarial, Gestión de Calidad, Gestión por Procesos, revisión de documentación organizacional de instituciones de entidades similares; Análisis de la Norma ISO 9001: 2008 en relación al diseño de la estructura organizacional y su aplicación a la FIIB, utilización del enfoque sistémico y gestión por procesos sugerido por la misma, fijando indicadores que permitan evaluar el desempeño y el uso de sistemas de mejora continua; Diseño del manual de procesos, manual de procedimientos, manual de funciones, instructivos y registros; Realizar la propuesta de la Declaración de Propósito (Misión, Visión, Políticas, Objetivos y Valores); una propuesta  estandarizada de la estructura económica financiera; Determinación de los costos de implementación de la nueva estructura; Elaborar plan de Implementación gradual, usando el Ciclo PDCA (Plan, Do, Check, Action)Como resultado del Proyecto, se obtuvo una Estructura Organizacional con el enfoque en la norma ISO 9001:2008, la cual maneja gestión por procesos y enfoque sistémico. Además de la ficha de cada uno de los procesos, se tienen fichas de control por procesos, manual de procedimientos, manual de funciones, perfiles de cargo y formatos de registros. A partir de la generación de estos registros se documentó actividades seguimiento y mejora de los procesos, y a su vez de toda la Fundación. También se cuenta con un formato estándar de la estructura económica financiera de la Fundación, es decir Balance General, Estado de Resultados, Libro Mayor y Libro Diario.Como conclusión del Proyecto cabe mencionar que la nueva estructura contribuye a una mejor organización del trabajo y de las responsabilidades en cada uno de los procesos, otorgando autonomía en el desempeño de actividades y participación en la mejora continua de la Fundación. Se tiene un flujo de información que permite advertir futuras fallas o disconformidades realizando acciones preventivas y correctivas, desarrollando un historial de registros  y mejorando la actual estructura documental a partir de las actividades de seguimiento y mejora continua sugeridas. El plan de implementación también se basa en la mejora continua y el aprendizaje, sugiriendo la implementación descendente a partir del los procesos estratégicos. Se recomienda la implementación de la nueva estructura, basándose en los resultados obtenidos del análisis del TIR y del VAN, además de las ventajas mencionadas. La participación activa de todo el personal, la capacitación en la Norma ISO 9001 y en particular el compromiso del Directorio es fundamental para el éxito de la implementación y funcionamiento de la Estructura. Es  importante la realización de actividades de auditorias o revisiones de manera anual, que ayuden a la permanente mejora y adecuación de esta. Se recomienda altamente la contratación de personal operativo, incrementar el número de actividades, penetrar en nuevos mercados diversificando las temáticas de la FIIB, incrementar la publicidad de las actividades que realiza y la adquisición de nuevos activos que permitan ejecutar cada uno de las actividades y procesos sin limitaciones.</t>
  </si>
  <si>
    <t>https://drive.google.com/file/d/1FPRRM7XsNFXR6fiHYFsFoughPyt5qRiX/view?usp=sharing</t>
  </si>
  <si>
    <t>https://drive.google.com/file/d/1bRIsl0grua0LhNp0VwY7WSjSFEUV2kKy/view?usp=sharing</t>
  </si>
  <si>
    <t>https://drive.google.com/file/d/1A6IFJjWqtBc7ytkICj61GKYLQNOH1U9x/view?usp=sharing</t>
  </si>
  <si>
    <t>MÓNICA AMPARO SILES ORELLANA</t>
  </si>
  <si>
    <t>PLAN DE NEGOCIOS PARA LA EMPRESA GESMAQ – GESTIÓN DE SOLUCIONES EN MAQUINARIA</t>
  </si>
  <si>
    <t>monicasiles@supernet.com.</t>
  </si>
  <si>
    <t>IND-336-2009</t>
  </si>
  <si>
    <t>Gesmaq, Clientes Industriales, Plan de Negocios, Investigación de Mercados, Máquinas y Equipos Industriales.</t>
  </si>
  <si>
    <t>En los últimos años las empresas de nuestro país, han aceptado invertir en procesos de automatizado, renovando y dando mantenimiento a su maquinaria y equipo de trabajo, para poder ofrecer productos de calidad y competitivos frente a los productos extranjeros. Por otro lado, dentro del Plan Nacional de Desarrollo, se contempla otorgar créditos orientados a fortalecer la capacidad instalada de las micro, pequeña y medianas empresas (MIPYMES) privilegiando el financiamiento en capital de inversiones, maquinaria, equipos, infraestructura productiva y recambio tecnológico, así como  fomentar la asociatividad de productores independientes.La creciente demanda de máquinas y equipos, dió origen a la oportunidad de crear una empresa en la ciudad de Cochabamba, que  proporcione rentabilidad, garantía, fiabilidad y comodidad en la adquisición de máquinas industriales importadas de alta tecnología.Las actividades que realiza una empresa son numerosas y muy diversas, incluye desde la adquisición del producto, hasta la distribución para hacer llegar el producto al usuario final. Es por esto que realizar un Plan de Negocios para la creación de la empresa GESMAQ, permitió planificar todos estos aspectos y finalmente determinar si el negocio es viable. En primera instancia se desarrolló una investigación exploratoria para realizar un análisis previo que permitió identificar las necesidades de información. Posteriormente se realizó la investigación descriptiva para obtener la información conforme a los objetivos y necesidades de la investigación.Se realizó una Investigación de Mercados con una muestra de 51 empresas en la ciudad de Cochabamba, los resultados indican que el 71,00% del mercado total está dispuesto a invertir en maquinaria o equipo nuevo, lo que  muestra un panorama interesante para la empresa. Este estudio permitió identificar la demanda potencial de maquinaria y/o equipos industriales, a los principales actores de las industrias que participan en el proceso de compra, así como a los principales competidores de la empresa.Posteriormente, se determinaron estrategias en base a las  4 P´s, entre las estrategias de promoción se tienen: relaciones públicas de marketing, el marketing directo y la estrategia de posicionamiento, cuyo objetivo es posicionar a GESMAQ como: “Empresa responsable que ofrece soluciones factibles y precisas a sus clientes otorgando beneficios adicionales de pre y post venta”. Dichas estrategias tienen su base en la investigación de mercados.Se desarrolló un plan operacional donde se determinaron las actividades y recursos necesarios para que la empresa lleve a cabo sus actividades y un plan organizacional para identificar al personal y las funciones que deben realizar para alcanzar los objetivos de la empresa. Finalmente, se realizó un plan financiero donde se determinaron las inversiones, egresos e ingresos de este negocio, también se realizó la proyección de los principales estados financieros, que dio como resultado del proyecto un Valor Actual Neto positivo de Bs. 52.678,00 considerando una tasa de actualización del 25,00%.  La Tasa Interna de Retorno es 55,00%.   El cumplimiento de los objetivos demuestra que es factible aplicar el plan de negocios para la apertura de una agencia de CORMAQ S.A. en la ciudad de Cochabamba. Mediante el estudio de mercado, se comprobó que existe un mercado potencial para ofrecer este tipo de productos industriales.</t>
  </si>
  <si>
    <t>https://drive.google.com/file/d/1LdlNBcr3vTlUsExcdiMHBbm7TChq0Jyw/view?usp=sharing</t>
  </si>
  <si>
    <t>https://drive.google.com/file/d/1IHQpzxsvnR1wJypVEwGX1hJ1JdgNospq/view?usp=sharing</t>
  </si>
  <si>
    <t>https://drive.google.com/file/d/1PINFpiH7vzxUnp5iYC0cK2_Bku4DBzwG/view?usp=sharing</t>
  </si>
  <si>
    <t>ANDIA REYNOLDS BRUNO GONZALO</t>
  </si>
  <si>
    <t>ING. INGRID TRIGO ROCHA.</t>
  </si>
  <si>
    <t>PLAN ESTRATÉGICO DE MARKETING PARA EL ACEITE ESENCIAL DE ANÍS DEL CENTRO DE TECNOLOGÍA AGROINDUSTRIAL</t>
  </si>
  <si>
    <t>bru_a_r@hotmail.com</t>
  </si>
  <si>
    <t>IND-337-2009</t>
  </si>
  <si>
    <t>Aceite esencial de anís, Centro de Tecnología Agroindustrial, Plan  estratégico de marketing, Investigación de mercado.</t>
  </si>
  <si>
    <t>El Centro de Tecnología Agroindustrial unidad de investigación de la Facultad de Ciencias y Tecnología de la Universidad Mayor de San Simón, entre las diversas actividades que realiza investiga algunas especies botánicas de la región para la producción de nuevos productos naturales y aceites esenciales, de esta forma centra su interés en el aceite de anís.Al ser un nuevo producto requirió de una investigación de mercado y el diseño de estrategias de marketing para garantizar su producción, comercialización e incursión en el nicho de mercado identificado, el que se encuentra conformado por empresas farmacéuticas, de cosméticos y de limpieza ubicadas en el eje troncal del país. Estas se pretenden satisfacer a lo largo de los tres años de duración del proyecto mediante el desarrollo de dos planes, que manejan la imagen del CTA y del producto, la creación de un área de mercadeo y marketing que se encargue de satisfacer las necesidades de los clientes potenciales y la presentación del producto. Paralelamente se diseñarán convenios con los productos de anís y se optimizará el proceso de extracción de la esencia de anís, garantizando de esta manera la diferenciación en precio del producto y el cierre de mercado para la posible competencia.Al implementar el plan estratégico de marketing el CTA tendría un incremento en sus beneficios económicos; y  el posicionamiento de su imagen y la del producto, que coadyuvan a la fidelidad de sus clientes</t>
  </si>
  <si>
    <t>https://drive.google.com/file/d/1saSQ1Ym23Fn-aGlSEOddeqvui8NUiwTQ/view?usp=sharing</t>
  </si>
  <si>
    <t>https://drive.google.com/file/d/1ddesGfygAKjVRCMGUsqA5gaMs2Vo9iLg/view?usp=sharing</t>
  </si>
  <si>
    <t>https://drive.google.com/file/d/1OFaVszFgztr4IjWhq37iCOmuOqq7EPhb/view?usp=sharing</t>
  </si>
  <si>
    <t>MARTINEZ BEJARANO MOISES</t>
  </si>
  <si>
    <t>ESTUDIO DE FACTIBILIDAD PARA LA FABRICACIÓN DE PRODUCTOS DE POLIESTIRENO EXPANDIBLE EN COCHABAMBA</t>
  </si>
  <si>
    <t>IND-338-2009</t>
  </si>
  <si>
    <t>Fabricación de productos de poliestireno expandible en Cochabamba, EPS,</t>
  </si>
  <si>
    <t>El poliestireno expandible (EPS) es un material que posee una amplia diversidad de aplicaciones en distintos sectores productivos. El crecimiento del sector de la construcción en los últimos años ha generado un incremento en la demanda de los bloques para losas alivianadas, las empresas locales no tienen la capacidad de cubrir esta nueva demanda, por lo cual se detectó la existencia de una demanda insatisfecha en este mercado.TECNOPOR es la única empresa que además de bloques para losas alivianadas, fabrica y comercializa otros productos derivados del EPS, y al no existir competencia, impone los precios que desea, constituyéndose esta situación una oportunidad de negocio en este rubro.Esta situación generó la idea de realizar un estudio de factibilidad para la fabricación de productos de EPS en nuestro departamento y determinar que tan atractiva y rentable es la puesta en marcha de la empresa.La metodología de la investigación utilizada fue de tipo descriptiva transversal, no se manipularon intencionalmente las variables independientes; observando simplemente los fenómenos tal y como se presentan en su contexto natural.Mediante un análisis profundo del proceso productivo, se determinaron las materias primas, insumos, maquinaria y tecnología requerida para el desarrollo óptimo del mismo. De la misma manera se establecieron la ubicación y tamaño de la planta, se realizaron proyecciones de ventas, se dictaron normas de seguridad industrial, se calcularon las necesidades de capital y costos operativos.La información y resultados obtenidos establecieron de forma clara y precisa las bases fundamentales en los aspectos productivos, organizacionales, legales y financieros que precisa la  conformación de una empresa de fabricación de productos de poliestireno expandible.A través de los resultados obtenidos se llegó a la conclusión de que el proyecto presenta un mercado atractivo y es viable desde el punto de vista tecnológico y financiero, también se detectó la posibilidad futura de generar mayor rentabilidad a la empresa mediante la diversificación de productos moldeados de poliestireno expandible, debido a que este material posee numerosas aplicaciones en distintos rubros y sectores productivos.</t>
  </si>
  <si>
    <t>https://drive.google.com/file/d/1YxVl6TB_5yHEYxd26h-AzbETJYGqe5ZT/view?usp=sharing</t>
  </si>
  <si>
    <t>https://drive.google.com/file/d/1cjeRiVtaa1JbFwnnD0Fy6Z_L5fzIcgvu/view?usp=sharing</t>
  </si>
  <si>
    <t>https://drive.google.com/file/d/1S4A9U6SkL57ZTpsGizJ-DkikOKSy7U0X/view?usp=sharing</t>
  </si>
  <si>
    <t>DAVILA CARRILLO JAMINA LORENA</t>
  </si>
  <si>
    <t>DISEÑO DE UN SISTEMA DE GESTIÓN DE LA CALIDAD BASADO EN LA NORMA ISO 9001:2008 PARA LA EMPRESA SPORT BOY'S</t>
  </si>
  <si>
    <t>jaminadc@hotmail.com</t>
  </si>
  <si>
    <t>IND-339-2009</t>
  </si>
  <si>
    <t>Calidad, Sistema de Gestión de la Calidad, ISO 9001:2008, Sport Boy’s,  Principios de la Calidad, Documentos de Calidad.</t>
  </si>
  <si>
    <t>En la actualidad, todas las organizaciones están situadas en un escenario que está caracterizado por una economía globalizada y de alta competitividad, esta globalización de los mercados con el paso del tiempo se mantiene y acentúa cada día más, verificando así el hecho de que los cambios son cada vez más rápidos, complejos e imprevisibles, esto induce a una constante mejora e innovación por parte de las organizaciones para sobre llevar a los cambios del entorno y ser líderes en el mercado.Para hacer frente a esta situación, la empresa Sport Boy’s sintió la necesidad de contar con un Sistema de Gestión de la Calidad y de esa manera mantener la satisfacción de sus clientes en un nivel elevado. De esta manera se dió inicio al Diseño del Sistema de Gestión de la Calidad basado en la norma internacional ISO 9001:2008, lo cual es el objetivo general del proyecto.Como objetivos específicos del proyecto se Identificaron los procesos de la empresa Sport Boy´s, su secuencia e interacción entre ellos, mediante un mapa de procesos. Se Realizó un diagnostico de la situación actual de la organización, el cual constaba de dos partes, la primera parte era una evaluación critica del potencial de cumplimiento de la empresa con los requisitos de la norma ISO 9001:2008 y la segunda parte era el grado de cumplimiento con los principios de la calidad. Se Elaboraron  y documentaron todas las actividades de la organización para que cumpla con los requisitos exigidos por la norma ISO 9001:2008; política de calidad, manual de calidad, procedimientos, registros, instructivos de trabajo y otros documentos que sean necesarios. Se Elaboró un plan de implementación del Sistema de Gestión de Calidad diseñado. Y por último se Determinó los costos de implementación del sistema de Gestión de Calidad.Todo esto se desarrollo bajo una metodología que constaba de cinco fases: la Investigación de la norma ISO 9001:2008, la Interiorización con la organización y todas las actividades que en ella se realiza a fin de conocer sus características, su estructura organizacional, complejidad de los procesos y sus interacciones, la retroalimentación de los mismos y el modo de controlarlos. El Diagnostico de la Organización, el Diseño del Sistema de Gestión de la Calidad, el cual se dividía en dos etapas, la primera el Diseño en si del sistema y la segunda la elaboración del plan de implementación. Como última fase se tenía al análisis de los costos de la calidad.           De esta manera la empresa cuenta ya con el diseño de un Sistema de Gestión de la Calidad basado en la Norma ISO 9001:2008 debidamente documentado listo para ser implementado.          Se concluye entonces, que con la implementación de este sistema de gestión de la calidad diseñado, la empresa externamente podrá demostrar su capacidad para satisfacer los requisitos de sus clientes, ampliar sus mercados y tener una mejor imagen al contar con una certificación internacional. Internamente se tendrán los procesos más ordenados ya que estos serán medidos, controlados y mejorados continuamente, esto ayudará a la toma de decisiones en base a datos.</t>
  </si>
  <si>
    <t>https://drive.google.com/file/d/1Basw8d9E36zaCRklAOO6D_kfR2eLetXd/view?usp=sharing</t>
  </si>
  <si>
    <t>https://drive.google.com/file/d/1kYgOPB9zunefCnW7kTtD8w3UeGrhZjcc/view?usp=sharing</t>
  </si>
  <si>
    <t>https://drive.google.com/file/d/1kwhqUnM1WWmh03lHEMZPNb3Ue6Foy5US/view?usp=sharing</t>
  </si>
  <si>
    <t>GUTIERREZ LOPEZ CLAUDIA GABRIELA</t>
  </si>
  <si>
    <t>ING. NELSON HINOJOSA SALAZAR.</t>
  </si>
  <si>
    <t>ESTUDIO DE FACTIBILIDAD PARA LA IMPLEMENTACIÓN DE UNA FÁBRICA DE LADRILLO REFRACTARIO</t>
  </si>
  <si>
    <t>ybagcla@hotmail.com</t>
  </si>
  <si>
    <t>IND-340-2009</t>
  </si>
  <si>
    <t>Fábrica de ladrillo refractario, Material refractario, Factibilidad, Demanda estacionaria.</t>
  </si>
  <si>
    <t>El objetivo del trabajo fue demostrar la factibilidad de la implementación de una fábrica de ladrillo refractario, donde fue necesario determinar el comportamiento del mercado para lograr establecer el alcance del proyecto, así como para determinar los procesos y el dimensionamiento de los equipos.La metodología utilizada fue realizada en base a los objetivos específicos planteados, donde se siguió una secuencia lógica:Se comenzó con el estudio de mercado donde se determino que la demanda del ladrillo es muy elevada y existen pocas empresas nacionales dedicadas a este rubro por lo cual las empresas que consumen este bien se ven en la necesidad de importar; por ejemplo el 2007 de la demanda total el 97% fue cubierto por las importaciones, en base a la demanda histórica logramos desarrollar la proyección para los próximos 10 años futuros.Seguidamente se determinó el tamaño óptimo de planta, la producción para el 2019 será de 55672 Kg/año, definido el tamaño de planta se hizo un estudio para la ubicación y emplazamiento, la planta estará ubicada en el Parque Santiváñez.Ya definido la ubicación y el tamaño de planta se desarrollo el dimensionamiento de los equipos y la distribución en planta, con el tamaño de planta también se determinó la estructura orgánica y en base a esta se fijo el requerimiento del personal, la estructura de costos.Con todo lo anterior se pudo realizar el estudio financiero para la determinación del la rentabilidad del proyecto donde se obtuvo: ·       TIR=34,89%.·       VAN=101159,030 $us·       B/C=1,22·       La recuperación de capital al segundo año. Finalmente con la evaluación de los anteriores parámetros determinamos que el proyecto es Financieramente Rentable. También se hizo un estudio de impacto ambiental y se llego a la conclusión que el proyecto es ecológicamente compatible.</t>
  </si>
  <si>
    <t>https://drive.google.com/file/d/1k4PFmND_IOdzD3N3I9S9hl8SpI36VP99/view?usp=sharing</t>
  </si>
  <si>
    <t>https://drive.google.com/file/d/1OVziJi77z55xXlf3s_8ja2lKub6g7HiJ/view?usp=sharing</t>
  </si>
  <si>
    <t>https://drive.google.com/file/d/1nO-_n5w8IJT20Y-qiJV__1iPk33XprDH/view?usp=sharing</t>
  </si>
  <si>
    <t>ZAPATA CADIMA MARCELO</t>
  </si>
  <si>
    <t>DISEÑO DE UN SISTEMA DE GESTIÓN DE CALIDAD BASADO EN LA NORMA ISO 9001:2008 PARA LA EMPRESA PROLAM SAM</t>
  </si>
  <si>
    <t>MarZelo_c@hotmail.com</t>
  </si>
  <si>
    <t>IND-341-2009</t>
  </si>
  <si>
    <t>Planta Procesadora de Lácteos, Productividad, Sistema de Gestión de Calidad (SGC), Representante de la Dirección (R), Mejora Continua, Enfoque basado en Procesos.</t>
  </si>
  <si>
    <t>Como Proyecto de Grado se realizó el Diseño de un Sistema de Gestión de Calidad basado en la norma ISO 9001:2008 para la empresa PROLAM SAM, para el desarrollo de dicho proyecto se estableció una metodología compuesto por seis fases con sus respectivas actividades:Primera Fase (Recopilación de Información).- Esta primera fase se la realizará mediante consulta de toda la familia de normas ISO 9000 y de bibliografía referente a Sistemas de Gestión de Calidad, con el objeto de conocer la terminología, las directrices y los requisitos para el Diseño del Sistema de Gestión de Calidad que se va a realizar.Segunda Fase (Diagnóstico de la Empresa).- Esta fase se la realizará mediante observaciones, revisión de documentos y entrevistas a todo el personal de producción dentro de la unidad productiva, donde se determinará el funcionamiento de la empresa, los productos y servicios que ofrece, se identificarán la secuencia e interacción de sus procesos, las actividades que se realizan, la estructura organizativa, el personal, la infraestructura y equipos con que cuenta, el sistema de producción y todo lo necesario para el Diseño del Sistema de Gestión de Calidad.Una vez recolectada toda esta información se realizará un análisis del Sistema actual de funcionamiento de la empresa y la documentación utilizada en contraste con los requisitos y documentos exigidos por la norma ISO 9001:2008, para lo cual se elaborara un Check List, el cual facilitara esta actividad.Tercera Fase (Diseño del Sistema de Gestión de Calidad).-En esta fase se desarrollará el diseño en si del Sistema de Gestión de Calidad para la empresa PROLAM SAM en base a los resultados obtenidos del diagnostico de calidad en la empresa, la cual se la realizara en dos etapas, la primera consistirá en la identificación, secuencia e interacción de los procesos que conforman el Sistema de Gestión de Calidad y en la segunda etapa se desarrollara la documentación necesaria exigida por la norma para el Sistema de Gestión de Calidad. Cuarta Fase (Plan de Implementación).- Se realizará un plan para determinar las acciones necesarias que se llevaran a cabo y los recursos necesarios para la implementación del Sistema de Gestión de Calidad que se va diseñar, este plan responderá a preguntas como: qué acciones debe llevarse a cabo, cuando es que se las deben realizar y cómo deben realizarse para lograr con éxito el desarrollo de la implementación.Quinta Fase (Análisis de Costos).- Se realizará una evaluación económica del proyecto en cuanto a los costos de calidad que este implica para poder determinar si el proyecto es factible o no, para lo cual se realizará una comparación considerando tres tipos de escenarios, los cuales son:ü  Sin un Sistema de Gestión de Calidadü  Con un Sistema de Gestión de Calidad (primer año de implementación)ü  Con un Sistema de Gestión de Calidad (primer año de funcionamiento)Sexta Fase (Conclusiones y Recomendaciones).- En esta etapa se realizará las conclusiones y recomendaciones correspondientes de acuerdo a los datos y resultados obtenidos durante la realización de este proyecto de investigación, considerando lo objetivos estratégicos que se plantearon a alcanzar con el desarrollo del presente proyecto.</t>
  </si>
  <si>
    <t>https://drive.google.com/file/d/18Igi9_dkuCr2tqo1ga6o7XIE9hri6LAy/view?usp=sharing</t>
  </si>
  <si>
    <t>https://drive.google.com/file/d/1hqR4ckGTVUxLmTSMyu5L7JExkU5bto1Y/view?usp=sharing</t>
  </si>
  <si>
    <t>https://drive.google.com/file/d/1XmGbzPIV3DfLhA4267h5rlClJGm1mcKq/view?usp=sharing</t>
  </si>
  <si>
    <t>ACHA ARAMAYO ROCIO ALEJANDRA</t>
  </si>
  <si>
    <t>DESARROLLO DE UN PLAN DE SEGURIDAD INDUSTRIAL E HIGIENE OCUPACIONAL PARA LA CURTIEMBRE CURMA S.R.L.</t>
  </si>
  <si>
    <t>Alejandraacha@hotmail.com</t>
  </si>
  <si>
    <t>IND-342-2009</t>
  </si>
  <si>
    <t>Plan de Seguridad Industrial, riesgos, accidentes, manual.</t>
  </si>
  <si>
    <t>Primeramente se realizo la descripción de la situación actual en la que opera la curtiembre CURMA S.R.L. con relación a Seguridad Industrial e Higiene Ocupacional, se identificaron las debilidades y riesgos a los cuales los operadores y administrativos se encuentran expuestos en su cotidiano trabajar.Para la realización de la identificación de riesgos los criterios utilizados estuvieron sustentados en normas y disposiciones legales locales como ser el Decreto Ley Nro. 16998 del 2 de Agostos de 1979 “Ley General de Higiene, Seguridad Ocupacional y Bienestar” e internacionales como ser los métodos OSHA (Americano) y el método INSHT (Español).Se identifico la ausencia de un departamento de Seguridad Industrial especializado con un Ingeniero de Seguridad a la cabeza, que norme, controle, prevenga los posibles accidentes humanos, paradas en la maquinaria, gastos de emergencias y que brinde un ambiente adecuado y seguro de trabajo. También se pudo constatar que la mano de obra que trabaja en la empresa no esta capacitado en caso de darse situaciones de emergenciaUna vez identificados los riesgos en la Curtiembre se procedió a analizarlos y evaluarlos utilizando distintos métodos. El método planteado por el International Loss Control Institute permitió evaluar la Gestión de Seguridad y Salud ocupacional mostrando como la deficiencia Administrativa repercute en Accidentes y Pérdidas para la empresa y el trabajador. El Método general planteado por el Instituto Nacional de Seguridad e Higiene en el Trabajo (INSHT) permitió evaluar el Proceso Productivo y el  Ambiente Laboral donde se obtuvo como Riesgos Importantes a LA EXPOSICIÓN A SOLVENTES QUÍMICOS en el área de Pintura y Laqueado, INCENDIO Y EXPLOSIONES en el área de Laboratorio de Muestreo y Dosificación y FATIGA en el área del caldero. Correspondiendo a un 12% del total de Riesgos Evaluados. Los datos obtenidos en la Evaluación de Riesgos permitieron determinar las directrices  para el planteamiento del Plan de Seguridad  mismo que fue divido en 3 secciones para una mejor comprensión, Gestión de Seguridad y Salud Ocupacional, Proceso Productivo y Ambiente LaboralAmpliando el Plan de Seguridad propuesto se elaboró un Manual de Procedimientos Seguros mismo que contempla un Plan de Prevención en caso de Incendios, Manual de Primeros Auxilios y Desastres Naturales. Se concluyo que es primordial contar con el decidido apoyo de la Gerencia para lograr a cabalidad el Plan de Seguridad propuesto    Se recomendó que la Gerencia de la empresa empiece a destinar una parte del presupuesto para ejecutar estas mejoras, estos desembolsos deberían hacerse de forma gradual de manera que no se vea afectada la economía de la empresa y se cumplan a cabalidad los objetivos planteados   Por ultimo se sugirió que los planteamientos expuestos en este trabajo deberán ser también consensuados con todos los trabajadores a manera de sociabilizar para poder fortalecer los mismos.</t>
  </si>
  <si>
    <t>https://drive.google.com/file/d/1mAoodC2NU6JjzQuZdGmtxKOp4VW3kqqC/view?usp=sharing</t>
  </si>
  <si>
    <t>https://drive.google.com/file/d/1fRLuW-kRrLf3jLMvpql62WtWoVBy8tF1/view?usp=sharing</t>
  </si>
  <si>
    <t>https://drive.google.com/file/d/1jKizN4l2OZd9rS6FiWses2FJAvxFZWyC/view?usp=sharing</t>
  </si>
  <si>
    <t>FLORES VASQUEZ ELFY AMPARO</t>
  </si>
  <si>
    <t>ING. SHEILLA TAPIA MERCADO</t>
  </si>
  <si>
    <t>DESARROLLO DE UN PLAN DE ANÁLISIS DE PELIGROS Y PUNTOS DE CONTROL CRÍTICOS (APPCC) PARA LA LÍNEA DE REFRESCOS DE PIL ANDINA S.A.</t>
  </si>
  <si>
    <t>elfyflores@gmail.com</t>
  </si>
  <si>
    <t>IND-343-2009</t>
  </si>
  <si>
    <t>Plan, inocuidad, APPCC, prerrequisitos, cadena alimentaria, BPM, POES.</t>
  </si>
  <si>
    <t>El sistema de análisis de peligros y puntos de control críticos (APPCC), es un método sistemático, preventivo, dirigido a la identificación, evaluación y control de los peligros asociados con las materias primas, ingredientes, procesos, comercialización y su uso por el consumidor. Reconocido internacionalmente para garantizar la inocuidad de los alimentos, constituye un punto de referencia sobre los requisitos internacionales de control y garantía de inocuidad alimentaria. Pil Andina S.A. tiene la finalidad de industrializar y comercializar productos alimenticios, razón por la cual surgió la necesidad de garantizar la inocuidad del producto, mediante el desarrollo de un plan de análisis de peligros y puntos de control críticos (APPCC) para la producción de bebidas refrescantes Aruba y Splash.La recopilación bibliográfica desarrollada presenta toda la investigación teórica para elaborar el plan APPCC, descripción del proceso productivo, enfermedades transmitidas por alimentos (ETA´s) y prerrequisitos (BPM´s y POES).El diagnóstico realizado de prerrequisitos muestra el porcentaje de cumplimiento en función a lo establecido por el Codex Alimetarius y la legislación nacional, mediante el cual se identificaron oportunidades de mejora relacionados con el proceso productivo. A partir de los resultados se procedió a la elaboración de un manual de buenas prácticas de manufactura (BPM´s).Se desarrolló el plan APPCC, siguiendo los 12 pasos secuenciales de su aplicación, destacando la conformación del equipo APPCC, la descripción del producto y su uso, el diagrama de flujo del proceso, el análisis de peligros y la tabla de control del plan con los puntos críticos de control (PCC). Los PCC hallados fueron tratamiento térmico y tapado de botellas. Se realizó una estimación de costos de operación e inversión para la implantación de las propuestas de mejora del sistema de prerrequisitos de BPM y POES y del Plan APPCC en la línea de bebidas refrescantes Aruba y Splash</t>
  </si>
  <si>
    <t>https://drive.google.com/file/d/1Zwvk4m3Jpq-oCZRIhFlxtpQ9howi1opS/view?usp=sharing</t>
  </si>
  <si>
    <t>https://drive.google.com/file/d/1QSRmTBtkypZQP74Vgap-uMHs2cam0X3u/view?usp=sharing</t>
  </si>
  <si>
    <t>https://drive.google.com/file/d/1nR-jZjNusQvJyfqA8oPAWH-5lSeuoeCj/view?usp=sharing</t>
  </si>
  <si>
    <t>CHAMBI MAMANI CHARLES GERONIMO</t>
  </si>
  <si>
    <t>ING. JOSÉ CHILA CABRERA</t>
  </si>
  <si>
    <t>ESTUDIO DE FACTIBILIDAD PARA LA INSTALACIÓN Y FUNCIONAMIENTO DE UNA PLANTA DE CAL EN LA PROVINCIA EDUARDO AVAROA DEL DEPARTAMENTO DE ORURO</t>
  </si>
  <si>
    <t>charles_ban@hotmail.com</t>
  </si>
  <si>
    <t>IND-344-2009</t>
  </si>
  <si>
    <t>Dirección General de sustancias controladas (DGSC), Piedra caliza, Hidratación, Calcinación, Oxido de calcio, Provincia Eduardo Avaroa.</t>
  </si>
  <si>
    <t>El trabajo que se realizo tenía como objetivo general determinar la factibilidad y viabilidad técnica, económica y financiera de la instalación y funcionamiento de una planta de cal en la provincia Eduardo Avaroa del departamento de Oruro, con la implementación de este proyectó se consiguió cubrir la demanda insatisfecha de cal que existe en el país por parte de las industrias que utilizan este producto en sus procesos productivos.Con el proyecto se proporciona a los clientes, un producto con un alto contenido de oxido de calcio de calcio, donde la materia prima (piedra caliza) para la elaboración de la cal es explotada de la concesión minera G-1 Ubicado en el cantón Salinas de Garci Mendoza, que contiene un alto contenido de carbonato de calcio con lo cual se obtuvo resultados muy alentadores para este tipo de producto.En realidad la metodología utilizada en el proyectó fue: primero la obtención de información de instituciones con datos estadísticos confiables y actualizados como la Dirección General de Sustancia Controladas (DGSC)  y el Instituto Nacional de Estadísticas (INE), donde con esta información se pudo determinar tanto la demanda y oferta existente de este producto en el mercado, Luego se realizo una investigación bibliográfica para saber la situación de esta clase de industria y por último se visito la planta de cal collana para observar todo el proceso productivo de la obtención de la cal.Se realizo un análisis en laboratorio de la composición física y química de las diferentes zonas de piedra caliza del sector y el reconocimiento de la zona en estudio para ver el grado de dificultad al cual nos enfrentábamos al inicio para la explotación de la concesión minera.Una vez obtenidos los resultados en laboratorio de las diferentes zonas de piedra que existe en el sector, se realizo una comparación de las propiedades físicas y químicas, para identificar que zonas son actas para la explotación. Donde se la dividió localmente en tres unidades: I, II y III.La unidad I esta formado por un material calcarío de grano fino fosilífero, con contenido de carbonado de calcio de 96 % en promedio, considerando regionalmente como el más adecuado para  la explotación de la piedra para la producción.La unidad II esta constituido por un material calcáreo de caliza intraclastica y margas de aspecto masivo con abundantes microfósiles, con contenidos de carbonato de calcio de  90 % en promedio, altos contenidos de sílice de todo tipo, coloración gris oscura, por este motivo, es la piedra más abrasiva y dura de la formación.La unidad III es de un material calcáreo más rugoso, más arenoso de caliza bien estratificada, con contenidos de carbonato de calcio de 98 % en promedio bajo contenido de sílice. Considerando regionalmente como el más adecuado para  la explotación de la piedra para la producción.Finalmente se realizo comparaciones de catálogos de los tipos de hornos de calcinación, donde se determino que el horno vertical es el más adecuado para la calcinación de la cal por su alto rendimiento.</t>
  </si>
  <si>
    <t>https://drive.google.com/file/d/1jZetQIo-lUHP9H3uGjxznLq483M6Pz8N/view?usp=sharing</t>
  </si>
  <si>
    <t>https://drive.google.com/file/d/1ZOIsEVRRFodjLrI2cNa9LpEhCrrtfaZY/view?usp=sharing</t>
  </si>
  <si>
    <t>https://drive.google.com/file/d/1ZrR56Km_vZsOQmaBjbuBy8sBjrHtOkNu/view?usp=sharing</t>
  </si>
  <si>
    <t>ROXANA FERNÁNDEZ</t>
  </si>
  <si>
    <t>ESTUDIO DE FACTIBILIDAD PARA LA IMPLEMENTACIÓN DE UNA PLANTA PROCESADORA DE MATE DE YACÓN</t>
  </si>
  <si>
    <t>roxan_1@hotmail.com</t>
  </si>
  <si>
    <t>IND-345-2009</t>
  </si>
  <si>
    <t>Planta procesadora de mate de yacón, tubérculo de yacón, secado de yacón, Mate.</t>
  </si>
  <si>
    <t>La necesidad de haber realizado el estudio fue de ver la posibilidad de introducir al mercado Cochabambino un producto alternativo. El Mate de Yacón el cual pueda ofrecer al consumidor una buena alternativa para su dieta alimentaria y favorecer al organismo, de manera tal, que su obtención repercuta  desde los proveedores de materia prima, así también los que transforman en el producto final, dando lugar a un incremento de fuentes de empleo, desarrollo de la región y ganancia de recursos económicos de ambos sectores.El producto fue elaborado a partir del tubérculo de yacón con características de cáscara crema oscura y pulpa amarrilla, tomando en cuenta los insumos  adicionales y procesos requeridos para aumentar para su consolidación como Mate de Yacón.El 13.6% de la población comprendida en la provincia Cercado del Departamento de Cochabamba, dentro del área urbana, Tiene la enfermedad de diabetes por lo que se consideró como población objetivo para el proyecto. El precio que el consumidor estaría dispuesto a pagar esta comprendida entre 5.5 a 16.5 Bolivianos, esto de acuerdo a las diferentes presentaciones de las cajas de 20, 50 y 100 unidades respectivamente.La empresa elaborará 5.624.317 saquitos filtrantes al año por lo que utiliza toda su capacidad de producción en sus distintos procesos de elaboración.La evaluación financiera, mostro que el producto es viable siempre y cuando los concentrados a aplicar cumplan con las exigencias necesarias. La empresa adquirirá equipos y maquinaria de acuerdo con las características necesarias para la producción del mate, Por ser una empresa nueva se realizaron inversiones de activo fijo, activo diferido y se consideró las depreciaciones correspondientes para cada activo.En la evaluación financiera realizada, se pudo constatar que el proyecto es rentable, reportando los siguientes resultados.VAN = 321.712 $us.TIR =  34%B/C = 6,4Mediante el análisis de sensibilidad se pudo verificar que el proyecto tiene mayor susceptibilidad en el incremento del precio de materia prima si es que él %  se encuentra superior al 23%, también es sensible el precio de venta si es que existiera un decremento más de 14%. La evaluación de impacto ambiental social concluye que el proyecto es ecológicamente compatible, por lo que tiene impactos negativos en una escala baja. Con el presente proyecto se pretendió ofrecer otra alternativa de productos naturales para las personas diabéticas, también generar más empleos e incentivar la producción de tubérculos andinos  en las diferentes localidades de producción.</t>
  </si>
  <si>
    <t>https://drive.google.com/file/d/18duunsyX_YE9yXPfD-rIxXBkw8o3E0Zr/view?usp=sharing</t>
  </si>
  <si>
    <t>https://drive.google.com/file/d/1E6Xf5g_hm_Q2ln9bJu1aRY-UEkldQ_f2/view?usp=sharing</t>
  </si>
  <si>
    <t>https://drive.google.com/file/d/1s_OqwuO0aYrfx34eKs3bRWV8uqsRp83G/view?usp=sharing</t>
  </si>
  <si>
    <t>RODRIGUEZ RODRIGUEZ JANETTE FLORA</t>
  </si>
  <si>
    <t>ING. HELDER SOTO RODRÍGUEZ</t>
  </si>
  <si>
    <t>PLANIFICACIÓN ESTRATÉGICA PARA LA EMPRESA DE PRODUCTOS ALIMENTICIOS "LA GLORIETA"</t>
  </si>
  <si>
    <t>janeflo@hotmail.com</t>
  </si>
  <si>
    <t>IND-346-2009</t>
  </si>
  <si>
    <t>Planificación estratégica, Porter, FODA, estrategia de crecimiento, sistemas de control.</t>
  </si>
  <si>
    <t>La empresa de productos alimenticios naturales “La Glorieta”, carece de herramientas que guíen a la empresa al cumplimiento de sus actividades, como de un mejor control de actividades. Ésta simplemente reacciona al entorno en el que opera.          De esta manera, el proyecto propuso una Planificación Estratégica, en el cual se elaboró una propuesta de principios estratégicos, con el fin de difundir éstos, generando un compromiso interno por parte de todo el personal.          Mediante una evaluación de todos los procesos de la empresa, utilizando herramientas de análisis cuantitativo y cualitativo, se determinó fortalezas, debilidades, oportunidades y amenazas de ésta, frente  a los distintos entornos que enfrenta, como también se determinó la posición de la empresa frente a la competencia.          Se plasmaron objetivos que pretende alcanzar la empresa, mediante estrategias adecuadas y herramientas de gestión, que permitieron concluir en dos planes estratégicos a desarrollarse, con sus respectivas fichas operativas, recursos necesarios y sus respectivos sistemas de control: Plan Difusión-Promoción y Plan Incremento de Participación, a desarrollarse en la gestión 2010-2014, en el área urbana de la ciudad de Cochabamba.           Finalmente se realizó una evaluación financiera del proyecto, determinando la viabilidad de éste en dos posibles escenarios, optimista y realista.                   Se concluye entonces, que con la planificación estratégica propuesta, mejorará la estructura organizacional de la empresa, incrementará la productividad de ésta, la Dirección será efectiva, se tendrá una actitud positiva ante el cambio, guiando a la empresa hacia el cumplimiento de sus metas propuestas y al control de sus actividades.</t>
  </si>
  <si>
    <t>https://drive.google.com/file/d/14cgNKAj070ykws5sTm-YtHHAvbY8FccU/view?usp=sharing</t>
  </si>
  <si>
    <t>https://drive.google.com/file/d/105J5uEVkbQCJ5hVHULxCFk7PXsSRTEHg/view?usp=sharing</t>
  </si>
  <si>
    <t>https://drive.google.com/file/d/15beT2UT0C60iwqqx51OVlKgDqcE5WNIi/view?usp=sharing</t>
  </si>
  <si>
    <t>MENDOZA ARISPE EMILSE</t>
  </si>
  <si>
    <t>MONTAÑO POL EDUARDO JOSE</t>
  </si>
  <si>
    <t>PROYECTO DE FACTIBILIDAD PARA LA INSTALACIÓN DE UNA PLANTA MODELO DE CRIANZA DE CERDOS EN LA CIUDAD DE COCHABAMBA</t>
  </si>
  <si>
    <t>montedy2@hotmail.com</t>
  </si>
  <si>
    <t>IND-347-2009</t>
  </si>
  <si>
    <t>Estudio técnico - financiero, factibilidad, rentabilidad, inversión, crianza de porcinos.</t>
  </si>
  <si>
    <t>El objetivo del proyecto de grado fue realizar el estudio de factibilidad para la instalación de una planta modelo de crianza de cerdos en la ciudad de Cochabamba, a través de la cual se desarrollo ventajas competitivas para las pequeñas y medianas empresas del sector pecuario.Algunos países de Sud América presentan ventajas competitivas muy interesantes respecto a otras áreas del mundo. Como características y ventajas comunes que tenemos en relación a otros países, se destaca el costo bajo de la tierra, de las instalaciones, de la mano de obra, el clima favorable y las posibilidades de aumento del consumo interno. En Bolivia, la actividad porcina desempeña un papel importante en la economía nacional: la población alcanzó a 3.043.320 cabezas. Del total de la población existente, se estima que siete de cada diez cerdos es de tipo criollo, es decir que el sistema de producción es precario, rústico y a bajos costos, lo que implica bajos rendimientos, bajos precios principalmente a intermediarios y una edad de sacrificio que oscila entre 12 y 18 meses. Su crianza es complementaria a las otras actividades que realiza el campesino o agricultor.Para tal efecto se realizó el diagnóstico del sector, el estudio de mercado, la localización, la ingeniería y la organización del proyecto, tomando en cuenta las actividades previas a la puesta en marcha y los aspectos financieros del mismo. Todos estos aspectos son claves a la hora de realizar la evaluación financiera y el análisis de sensibilidad del proyecto.A partir de dicho análisis, se determinó la factibilidad y rentabilidad del proyecto ya que la evaluación financiera del mismo obtuvo, como resultados, un VAN de 119224 $us, un TIR de 25 % y una R B/C de 1.11 $us.  Asimismo, el análisis de sensibilidad efectuado determinó resultados positivos para el proyecto, que avalan su viabilidad técnico - financiera. Por esta razón, se sugiere al inversionista la implementación del presente proyecto de inversión, ya que no sólo obtendrá beneficios a nivel de su inversión sino contribuirá de manera importante al desarrollo del sector y de la región.</t>
  </si>
  <si>
    <t>https://drive.google.com/file/d/1ftleF63KqghrKL0fKUbsEvuHBDpT2b5-/view?usp=sharing</t>
  </si>
  <si>
    <t>https://drive.google.com/file/d/1b7pjHMtg3zBc_1EsftygnL5b5uMcOcuF/view?usp=sharing</t>
  </si>
  <si>
    <t>https://drive.google.com/file/d/1AjIfC8FMt3y1JWFaJBA9BXIodEUr2fJL/view?usp=sharing</t>
  </si>
  <si>
    <t>JUAN PABLO JIMÉNEZ VILLARROEL</t>
  </si>
  <si>
    <t>ESTABLECIMIENTO DE UN PLAN DE GESTIÓN EN SEGURIDAD Y SALUD OCUPACIONAL EN LA EMPRESA AVÍCOLA VASCAL S.A.</t>
  </si>
  <si>
    <t>Juampy_2111@hotmail.com</t>
  </si>
  <si>
    <t>IND-348-2009</t>
  </si>
  <si>
    <t>Empresa Avícola Vascal S.A., Seguridad y Salud Ocupacional, Plan de Gestión, Plan de Prevención de Riesgos Laborales, Faenado de Aves de Corral (Pollos).</t>
  </si>
  <si>
    <t>Primeramente se procedió a realizar un diagnostico general de la Empresa Avícola Vascal S.A., enfocando los objetivos planteados en las actividades principales y secundarias que se realizan en el proceso productivo de la empresa. Se pudo evidenciar que Avícola Vascal S.A. dentro de sus actividades no cuenta con sistemas de prevención específicos relacionados con la prevención de riesgos laborales dentro las áreas de Medicina del trabajo, Higiene, Ergonomía y Seguridad Laboral. En la actualidad la empresa cuenta con pocos sistemas de prevención de accidentes, como es el caso de Sistemas de Alarma, Equipos y Suministros, una Brigada de Emergencias entre otros. Seguidamente se procedió a realizar las evaluaciones necesarias para las deficiencias en Seguridad y Salud Ocupacional encontradas en la empresa Avícola Vascal S.A., elaborando en forma de detallada los aspectos de seguridad identificados durante la ejecución del diagnostico general, con fines de desarrollar el Plan de Gestión en Seguridad y Salud Ocupacional (P.G.S.S.O.). Cabe resaltar que el Diagnostico enfocó en tres aspectos principales para su desarrollo: el aspecto Técnico, Legal y Organizacional, mediante las Actividades de Evaluación Inicial, Monitoreo de Seguridad y Planes de Prevención de Riesgos Laborales.El desempeño en temas de seguridad de AVICOLA VASCAL S.A. se identifico en las actividades de la Evaluación Inicial y Monitoreo de Seguridad Salud Ocupacional, y una vez identificados los peligros existentes en el proceso productivo y las instalaciones en general de la empresa Avícola Vascal S.A., se procedió a la a la evaluación de cada uno de los peligros mas relevantes, a fin de determinar las acciones a realizar diseñando, manteniendo y mejorando las medidas de control necesarias para combatir los riesgos desde su origen, mediante la metodología conocida como la Matriz de Riesgos.Dentro del aspecto legal se procedió al análisis de los requisitos establecidos en el Decreto de Ley Nº 16998 que Avícola Vascal S.A. cumple o no, y que se generan como resultado de las actividades que realiza en la actualidad. En función a los requisitos que la empresa no cumple, se establecieron planes de mejora dentro el marco de la ley en referencia. Así mismo, se realizo un análisis de cada uno de los puntos que conforman la norma OHSAS 18001, generando así un informe del cumplimiento organizacional actual que la empresa realiza respecto a los elementos que se deben cumplir para la implementación de un SGSSO. Como resultado del Diagnostico y Evaluación General realizados en la empresa Avícola Vascal S.A. se procedió a la planificación y desarrollo de medidas de control, planes de prevención y acciones de mejora detalladas y elaboradas para los peligros identificados en las operaciones y los riesgos ocupacionales más relevantes, considerados como significativos durante la elaboración del Plan de Gestión en Seguridad y Salud Ocupacional. De la misma manera se elaboraron las medidas correspondientes a la estructura organizacional y legal de acuerdo a la auditoria realizada en Avícola Vascal S.A., según posibles nuevas ideas y actividades iniciadas por la empresa, después de la impresión oficial de este documento.A través de los resultados obtenidos se pudo concluir que la estructura y el enfoque del PGSSO en base los criterios de la OHSAS 18001, es una muy buena base para iniciar la implementación de un Sistema de Gestión de Seguridad y Salud Ocupacional en la empresa Avícola Vascal S.A. acorde con la actual legislación, con asesoría particular y con las pautas dadas por el Ministerio de Trabajo. Para ello su personal requerirá ampliar y actualizar sus conocimientos sobre seguridad y salud ocupacional para apoyar las estrategias de la empresa, y que se requiere capacitación en todos los niveles de la organización, esto es: jefaturas de área, futuros miembros del comité de Higiene y Seguridad Ocupacional, asistentes de seguridad y salud ocupacional, supervisores y personal operativo de producción. Así mismo, se manifiesta que los planes de prevención y medidas de mejora planteados en el proyecto se basan en el compromiso realizado por la alta gerencia al inicio de la iniciativa para poder hacer cambios a nivel seguridad y salud ocupacional. Este compromiso mas que un apoyo moral es mas un apoyo económico para poder vencer los peligros e impactos, como también los riesgos laborales, identificados y las sugerencias de mejora basadas en estos, mediante la ejecución de la auditoria y monitoreo realizado en el PGSSO, consiguiendo establecer una línea de base y un entendimiento todavía mejor de los mismos. Se recomienda realizar revisiones de forma mas continua de la lista de los peligros identificados y considerados como los mas relevantes al interior de la empresa en su proceso productivo y mantenerla actualizada como un documento vivo dentro del PGSSO.</t>
  </si>
  <si>
    <t>https://drive.google.com/file/d/100cibciU8ByHgaxG0rgmeO-f5rqiD8_p/view?usp=sharing</t>
  </si>
  <si>
    <t>https://drive.google.com/file/d/1fJFGPBThdHnGJKbk1Pk96HzpQa7db_nt/view?usp=sharing</t>
  </si>
  <si>
    <t>https://drive.google.com/file/d/1HA04xdw5M2gMlTVOXwU9ezfbvuOygPny/view?usp=sharing</t>
  </si>
  <si>
    <t>VASQUEZ VALLEJOS EDSON GUERY</t>
  </si>
  <si>
    <t>EVALUACIÓN DEL CONSUMO DE ENERGÍA Y ELABORACIÓN DE LA MATRIZ ENERGÉTICA DEL MUNICIPIO DE MOROCHATA</t>
  </si>
  <si>
    <t>edson_guery@yahoo.es</t>
  </si>
  <si>
    <t>IND-349-2009</t>
  </si>
  <si>
    <t>Matríz energética, consumo energético, patrones de consumo, barriles equivalentes de petróleo, gasto energético.</t>
  </si>
  <si>
    <t>Primeramente se consultó toda la información bibliográfica al respecto, para poder elaborar una encuesta que pueda permitir extraer toda la información requerida para este estudio, la información perseguida se basó en dos tipos: la información energética; que está vinculada directamente al consumo de energía en sus diferentes formas y usos, con los costos asociados a dichos consumos y la información no energética que recoge aspectos secundarios como la información de abastecimiento, cultura, problemas, grados de satisfacción, etc., relacionados al consumo de energía.Posteriormente se realizó el levantamiento de información extrayendo todos los aspectos mencionados anteriormente, realizando el estudio en tres comunidades que son: Morochata (urbano), Jatun Ciénega y Piusilla de modo de obtener patrones de consumo distintos y poder contrastarlos de mejor manera.De las encuestas se pudieron extraer los siguientes resultados: Que la leña, como fuente energética es la que predomina en la zona donde un 67% de toda la energía consumida proviene de la leña, que se usa principalmente en la cocción de alimentos y el calentamiento de agua, también se pudo recoger el consumo de energía de las distintas fuentes de energía como la electricidad, GLP, kerosene, diesel, gasolina, leña, estiércol, pilas, velas y otras logrando obtener un consumo mensual promedio de 212 barriles equivalentes de petróleo por mes (BEP/mes), que se consume en el total de la zona.También se pudo evidenciar que el gasto energético total promedio de la zona es de 26.442 Bs/mes, del cual un 30% pertenece al GLP, por que en el lugar es una fuente cara con un precio de hasta 15 Bs. más que el costo en la ciudad, también se pudo obtener el gasto promedio por hogar que llega a representar un monto de 104.5 Bs/mes que se gasta en electricidad, GLP, pilas, velas, etc.Además se detectó la necesidad de realizar un proyecto para suministrar gas natural o  gas licuado de petróleo GLP y/o mejorar la red eléctrica para satisfacer grandes necesidades domésticas o algún emprendimiento industrial y también de salud como en el caso de instalar una planta procesadora de papa frita por el potencial que tiene la región en productos agrícolas y principalmente la papa y también el proyecto de un hospital de segundo nivel como las necesidades más relevantes en Morochata.En base a la Matríz energética se logró establecer tres escenarios energéticos que son: el Escenario tendencial, optimista y pesimista que proponen condiciones en base a una tendencia reciente en la población, condiciones altamente favorables para el desarrollo y consumo de energía y condiciones desfavorables para el desarrollo y consumo de energía respectivamente.Se puede concluir en base a todo ello que Morochata aún está en un proceso paulatino de transición hacia la modernidad, accediendo a la electricidad fundamentalmente desde una perspectiva de inclusión social, muy lentamente cambiando la leña por fuentes menos contaminantes como el GLP principalmente. En el contexto de que la energía no solo es electricidad, ni la electricidad garantiza todas las necesidades; se deben incorporar enfoques integrales y sostenibles para solucionar problemas de pobreza y calidad de vida de las familias del área rural, como agua, caminos, desarrollo productivo, salud, etc.).</t>
  </si>
  <si>
    <t>https://drive.google.com/file/d/1NxSxv2tyZuWVjRsqCncC1DNzGbErlIVt/view?usp=sharing</t>
  </si>
  <si>
    <t>https://drive.google.com/file/d/14hTmIXizuAWLTO26Y56XhHRpkE9W9RYU/view?usp=sharing</t>
  </si>
  <si>
    <t>https://drive.google.com/file/d/1xdhvh7fk-7BM2oFB1eaNkqz7DLOKGtX6/view?usp=sharing</t>
  </si>
  <si>
    <t>MENDEZ SANSUSTY ISRAEL</t>
  </si>
  <si>
    <t>PROPUESTA DE UN PROYECTO DE EXPORTACIÓN DEL MANGO EN CONSERVA ENLATADO AL MERCADO DE ESTADOS UNIDOS COMO UN NUEVO PRODUCTO PARA LA EMPRESA INPAL S.R.L.</t>
  </si>
  <si>
    <t>isra_men_san@hotmail.com</t>
  </si>
  <si>
    <t>IND-350-2009</t>
  </si>
  <si>
    <t>Exportación, mango en conserva, Método Brown y Gibson, Estudio de Tiempos, Método de desfase, Costo de Capital Promedio Ponderado.</t>
  </si>
  <si>
    <t>El trabajo de investigación que se realizo tenía como objetivo general el desarrollar un Proyecto de Exportación del mango en conserva enlatado al mercado de Estados Unidos, que mediante su estructura permitió detallar in extenso desde la concepción del procesamiento del producto, pasando por la planificación de la producción, la logística y documentación necesaria para su exportación y finalmente la evaluación de rentabilidad financiera que permitió demostrar la viabilidad de su comercialización en el mercado internacional.          La Industria Procesadora de Alimentos INPAL S.R.L. tiene una experiencia superior a diez años en la exportación de productos envasados al mercado internacional, sin embargo, en la última gestión y a consecuencia de la crisis económica mundial, ha experimentado un descenso crítico en las ventas de su principal producto, el palmito en conserva, lo cual acompañado del incremento en costos de producción, repercutió de manera negativa en los resultados de la empresa.          Es en este sentido que nació la idea de desarrollar un nuevo producto para la exportación mediante el aprovechamiento de las ventajas comparativas que tiene Bolivia en la cosecha de frutas de primera calidad como es caso del mango proveniente de los Yungas, el cual en términos objetivos supera en calidad física y nutritiva al mango comercializado por los países vecino al mercado de Estados Unidos, considerado como el mercado potencial para dicho producto.          De esta manera, a través del estudio realizado, se diseñó un Proyecto integral que inicia con el desarrollo del proceso productivo para la obtención del mango en conserva y detalla el adecuado proceso de exportación que debe seguir la empresa para vender el mango enlatado a Estados Unidos.         En primer lugar, se realizó un Estudio y Análisis de Mercado para identificar el nicho de mercado y la “tipología” del cliente en Estados Unidos que quiere y puede comprar el mango en conserva y de esa manera se identificó sus gustos y preferencias al momento de elegir y consumir dicho producto.         Por otro lado se identificó que el envase de hojalata es aún el envase adecuado para la comercialización del mango debido principalmente a la preferencia del target con frutas con la característica “listos para comer”.          El modo de ingreso a los tres distritos elegidos para la distribución del producto, fue mediante brókers debido principalmente a la experiencia que tiene la empresa en la comercialización al mercado de Estados Unidos además de sus ventajas y bondades para ambas partes que trae consigo dicha elección.          Se concluye entonces, que con el Proyecto propuesto, la empresa tiene una guía práctica que le permitirá justificar el ingreso al mercado de Estados Unidos como principal mercado potencial del mango en conserva, desarrollar la nueva línea de mango en conserva, identificar la cantidad mínima de unidades que debe vender para obtener la rentabilidad esperada del Proyecto, definir estrategias de Producto, Precio, Logística de Exportación y Promoción, identificar otros mercados potenciales para la exportación de mango y finalmente reactivar las ventas y obtener los márgenes de rentabilidad esperados por los accionistas.</t>
  </si>
  <si>
    <t>https://drive.google.com/file/d/1Wpuc1hIV5qyJqN2jpyFAdAIRTJ9P6Z4c/view?usp=sharing</t>
  </si>
  <si>
    <t>https://drive.google.com/file/d/1mhSL37-_vk7fLZ9Pp53hMiRa8Kx9AzyH/view?usp=sharing</t>
  </si>
  <si>
    <t>https://drive.google.com/file/d/10NhyQlbUFkpPpo3XA_nbaPUoB0ps2rtK/view?usp=sharing</t>
  </si>
  <si>
    <t>COCA ZENTENO OMAR</t>
  </si>
  <si>
    <t>ING. MAGARIÑOS VILLARROEL MABEL GLORIA</t>
  </si>
  <si>
    <t>ESTUDIO DE FACTIBILIDAD PARA LA IMPLEMENTACIÓN DE UNA PLANTA DE PRODUCCIÓN DE SACOS MULTIPLIEGOS PARA LOS PRODUCTOS DE COBOCE I R P A I R P A</t>
  </si>
  <si>
    <t>omar_co@latinmail.com</t>
  </si>
  <si>
    <t>IND-351-2009</t>
  </si>
  <si>
    <t>Factibilidad, Sacos Multipliegos, Rentabilidad, COBOCE IRPA IRPA, Papel Kraft.</t>
  </si>
  <si>
    <t>En este Trabajo se Presento un Proyecto de Inversión de una Planta de Producción de Sacos Multipliegos de Papel para la Empresa COBOCE IRPA IRPA el cual fue realizada en fases como un estudio del mercado, estudio técnico-económico, su correspondiente evaluación económica y un estudio de evaluación de riesgo (análisis de sensibilidad).Para el estudio de mercado se tomo como  mercado meta para el Proyecto la Empresa COBOCE IRPA IRPA que demanda sacos de papel para cemento, yeso y morteros, obteniéndose como resultados que la Empresa en el transcurso del tiempo demandara mas sacos para comercializar sus productos ya que el mercado de la construcción tuvo un crecimiento, por lo que desde este punto de vista el Proyecto resulta ser Factible.La Inversión total inicial se estimo un costo de $us 1’840.277, 313, la cual comprende la compra del equipo principal, la infraestructura, equipo auxiliar, contratos, tramites, etc. La evaluación económica de este Proyecto resulto positiva al obtenerse un Valor Presente Neto de 2’070.961,800 utilizando una tasa promedio ponderada del capital de 13 % y una vida económica de 10 años. Una TIR de 27,995 % de la cual se concluyo que el Proyecto tuvo una rentabilidad aceptable para la Empresa que quiera invertir en este Proyecto.Por medio del análisis de sensibilidad se analizó algunas variaciones que puede tener el Proyecto en circunstancias distintas, y se obtuvo que el Proyecto tiene una variación considerable, cuando el precio de la materia prima (Papel Kraft) se incrementa en el futuro, y de esta forma tiene una influencia sobre el Proyecto ya que deja de ser Factible analizando los indicadores financieros como es el VAN, TIR y la Relación Beneficio Costos.El proyecto también comprendió de un estudio de la gestión ambiental en la cual se determinó los factores negativos y positivos que genera el proyecto durante la ejecución y funcionamiento de la planta de producción de sacos de papel y se realizó una categorización del proyecto mediante la Ley 1333 del medio ambiente vigente en nuestro país.</t>
  </si>
  <si>
    <t>https://drive.google.com/file/d/1vey2IkL8jLZ8NUG4JWJlHwkkbnbsnfaZ/view?usp=sharing</t>
  </si>
  <si>
    <t>https://drive.google.com/file/d/1qJoB2oL-ofA5xfe-SXteix_G1zA8--WM/view?usp=sharing</t>
  </si>
  <si>
    <t>https://drive.google.com/file/d/1gj5WXYXgdE5dt7F7QDrXlSlpaKY3vOiY/view?usp=sharing</t>
  </si>
  <si>
    <t>NOTTA GOMEZ SIRLEY SOLANGGE</t>
  </si>
  <si>
    <t>ING. ADOLFO VARGAS VILLARROEL</t>
  </si>
  <si>
    <t>PLAN ESTRATÉGICO DE MARKETING PARA LA EMPRESA VANGUARDIA</t>
  </si>
  <si>
    <t>solangge.notta@nuevatel.com</t>
  </si>
  <si>
    <t>IND-352-2009</t>
  </si>
  <si>
    <t>Plan estratégico, estudio de mercado, carpintería, marketing, líneas de acción, análisis financiero.</t>
  </si>
  <si>
    <t>Las empresas que se encuentran en el sector de la carpintería, comprenden el conjunto de actividades económicas de tipo industrial que incluye la fabricación de bienes intermedios o terminados que utilizan materia prima proveniente de aserraderos nacionales. Estas empresas se constituyen en un rubro importante que se dedican a las actividades de fabricación y comercialización de muebles de madera.          En tal contexto se vio en particular la problemática de la empresa Vanguard domiciliada en la ciudad de Cochabamba, donde se encontró que el principal problema que confrontaba dicha empresa, estaba relacionada con el área de comercialización, por las escasas ventas que reportaban sus registros desde el inicio de sus actividades.                    Una vez identificado el problema se planteó un objetivo general, de diseñar un plan estratégico de marketing para la empresa mencionada. Para cumplir dicho objetivo se planteó los siguientes objetivos específicos se realizó una auditoria interna es decir, se recabo datos inherentes al área de comercialización, y como conclusión se encontró las fortalezas y debilidades de la empresa          Se realizó una auditoria externa para evaluar los diferentes factores que tiene que ver con las actividades económicas, sociales, legales y los entes que conforman el mercado de la carpintería. Se realizó un estudio de mercado para conocer la demanda que tienen los consumidores de los productos que la empresa ofrece.           Los principales resultados del estudio de mercado revelo que los consumidores del sector hogar demandan muebles como ser: vitrina, anaquel, escritorio y roperos; mientras que el sector farmacia demanda: vitrinas, mostradores y estantes.          Una vez realizado la auditoria externa se concluyó con que oportunidades y amenazas la empresa Vanguard, tiene que aprovechar y lidiar, respectivamente. En tal situación se propuso una misión y visión para que la empresa pueda iniciar una administración metodológica, como es la del marketing estratégico.          Se armó la matriz del FODA estratégico para iniciar el diseño del marketing estratégico. Seleccionadas las estrategias a ser planeadas de procedió al desarrollo del Marketing Operativo; esta sección se concentró en cuatro planes de estrategias como son: precio, producto, plaza y comunicación; para tales puntos se planteó las respectivas líneas de acción para que cada plan sea controlado y monitoreado en su ejecución.           Finalmente se realizó un análisis financiero, con el objetivo de ver la viabilidad financiera del proyecto; encontrándose con una tasa interna de retorno del 20,4% con proyecto y si proyecto una tasa interna de retorno de 10,6%; de esa manera se concluyó que el proyecto es financieramente factible ya que la tasa mínima de atractividad a la fecha de la evaluación financiera era del 9%.          Se concluyó que se cumplieron los objetivos planteados en el proyecto y la recomendación más importante es la implementación del mismo.</t>
  </si>
  <si>
    <t>https://drive.google.com/file/d/1s8_7dwnq5b6SJwDi0HB3nIen3p4xg3s9/view?usp=sharing</t>
  </si>
  <si>
    <t>https://drive.google.com/file/d/1IO--ksKZ7hjNYul02vRiC_VXwZ3n-gyf/view?usp=sharing</t>
  </si>
  <si>
    <t>https://drive.google.com/file/d/15nBvxiZHdrNTZid1Y8p0HDgFhyZoGZad/view?usp=sharing</t>
  </si>
  <si>
    <t>JOSE DANILO BALDERRAMA GOITIA</t>
  </si>
  <si>
    <t>PLAN ESTRATÉGICO DE MARKETING PARA EL LANZAMIENTO DE CARNE DE MEMBRILLO PARA LA EMPRESA CORDILL S.A.</t>
  </si>
  <si>
    <t>danilo_balderrama@hotmail.com</t>
  </si>
  <si>
    <t>IND-353-2009</t>
  </si>
  <si>
    <t>Corporación Industrial Dillmann S.A. (CORDILL S.A.), Marketing Mix, Matriz PESTA, Unidades Estratégicas de Negocio (UEN).</t>
  </si>
  <si>
    <t>Para el presente proyecto se utilizo la metodología adaptado del Lambin Jean - Jaques, “Marketing Estratégico”, que consta básicamente de dos etapas fundamentales que son: el Marketing Estratégico y el Marketing Operativo.           En el Marketing Estratégico lo que primero se realizo es una pequeña introducción al estudio, identificación de las de las fortalezas y debilidades de la empresa, identificación de las oportunidades y amenazas del medio externo, un estudio de mercado a sobre el producto, una adecuación de toda la información recolectada, para identificar alternativas estratégicas y seleccionar las mas atractivas que estén relacionadas a las variables de marketing mix.          En el Marketing Operativo lo que se realizo es el desarrollo de los planes y líneas de acción para cada una de las variables del marketing mix que son; producto, precio, promoción y distribución, para ello se realizaron las fichas estratégicas para cada una de estas variables.           De esta manera a través del estudio realizado se diseño el plan estratégico de marketing para la empresa Cordill S.A. 2010 – 2014, el cual plantea el desarrollo de cuatro estrategias, el primero para la variable producto que consiste en la diferenciación del producto a través de una marca muy reconocida en nuestro medio que es la marca Dillmann, el segundo para la variable precio que consiste en utilizar la política de fijación de precios actual de la empresa, donde el precio esta dado por el concepto precio/prestigio, esto se debe a que la empresa maneja estándares de calidad, reconocimiento, marca, tradición para cada uno de sus productos, el tercero para la variable distribución que consiste en emplear tanto el canal directo como el canal indirecto que maneja la empresa para la distribución de sus productos a los diferentes puntos de venta y por ultimo para la variable promoción que consiste utilizar la mezcla promocional que son;  publicidad, la promoción de ventas, la venta personal y el merchandising para posicionar el producto en la mente de los consumidores, como un producto de calidad.          La ejecución de los planes requiere de un compromiso de la alta gerencia y de todas las personas involucradas con el desarrollo de este plan de marketing, para cumplir con los objetivos propuestos.          De la misma manera se plantean sistemas de control con sus indicadores de desempeño para realizar un seguimiento de los planes propuestos para la empresa, todo ello para alcanzar los objetivos.          Se concluye entonces, que con el plan estratégico de marketing propuesto, lograr la lealtad hacia la marca, posicionamiento del producto a través una marca muy reconocida y prestigiosa de la empresa y liderar en el mercado para incrementar las utilidades de la empresa.</t>
  </si>
  <si>
    <t>https://drive.google.com/file/d/1SMD8_ViOWdqrjem3xY9fbfjRXx4_42dw/view?usp=sharing</t>
  </si>
  <si>
    <t>https://drive.google.com/file/d/1s-0R_AKFUMiJ8t-J67uAxeazIQu7BQb9/view?usp=sharing</t>
  </si>
  <si>
    <t>https://drive.google.com/file/d/1sKv08Q5PHFmeGqh1TkvrcMf6w48T8sND/view?usp=sharing</t>
  </si>
  <si>
    <t>SUAREZ LANDIVAR RAUL FERNANDO</t>
  </si>
  <si>
    <t>ING. RILMAR SEJAS BERNAL</t>
  </si>
  <si>
    <t>ESTUDIO PARA LA OPTIMIZACIÓN DEL PROCESO PRODUCTIVO EN LA EMPRESA CARPINTERA TELLEZ</t>
  </si>
  <si>
    <t>raulsuarez_l@hotmail.com</t>
  </si>
  <si>
    <t>IND-354-2009</t>
  </si>
  <si>
    <t>Optimización, Ingeniería de Métodos,  Diagnostico, Cursograma,   Sinóptico, Seguridad, Estrategias, Medición, Microempresa, Foda, Causa-Efecto.</t>
  </si>
  <si>
    <t>Se elaboró un plan seguridad para cada puesto de trabajo con el objetivo de brindar al obrero las condiciones de seguridad, salud y bien estar que redunda en el mejoramiento de la produccion.Se propuso la implementación de un puesto de trabajo en el proceso de tallado, de acuerdo al resultado del análisis de balanceo de línea, con lo cual se incrementa significativamente la cantidad de productos terminados de 2  unid/día a 4 unid/día.Posteriormente se realizo el análisis económico, estimando la inversión necesaria a realizar, calculando los costos de producción actual, el propuesto y el tiempo de recuperación de la inversión.</t>
  </si>
  <si>
    <t>https://drive.google.com/file/d/16kVAcWcgz3FQdjKraH54VJc6XODp0J7d/view?usp=sharing</t>
  </si>
  <si>
    <t>https://drive.google.com/file/d/1Is6vPSy5Q9Fjk28ARNpPRyhIAn5-Hzc3/view?usp=sharing</t>
  </si>
  <si>
    <t>https://drive.google.com/file/d/1qnCgaqTS4M33b4_plg4GL_XqppB5LQo0/view?usp=sharing</t>
  </si>
  <si>
    <t>PANOZO ORELLANA MARIA ISABEL</t>
  </si>
  <si>
    <t>PLANIFICACIÓN ESTRATÉGICA PARA EL ÁREA DE MANTENIMIENTO DE LOS SISTEMAS ELÉCTRICOS, DE CONTROL E INSTRUMENTACIÓN DE LA REFINERÍA GUALBERTO VILLARROEL YPFB REFINACIÓN S.A.</t>
  </si>
  <si>
    <t>isabelpanozoorellana@gmail.com</t>
  </si>
  <si>
    <t>IND-355-2009</t>
  </si>
  <si>
    <t>Gestión Integral, Cultura, Organización, Seguimiento y Control, Planificación, Recursos humanos motivados, Efectividad, Calidad, Trabajo en Equipo.</t>
  </si>
  <si>
    <t>Inicialmente se realizó una observación del objeto de estudio de estudio, mediante el cual se identificó el problema Central, las causas de la misma y los efectos, en la que se determinó una “Deficiencia en la Gestión del área de MAN-MEI” por lo que se planteó “Desarrollar una Planificación estratégica para el área de Mantenimiento de los Sistemas Eléctricos, de Control e instrumentación (MAN-MEI) de la Refinaría Gualberto Villarroel YPFB Refinación S.A.” para mejorar la Gestión del área, enfocados en la efectividad de las actividades del servicio de mantenimiento que brinda MAN-MEI y enfrentar las diferentes situaciones que se presenten en la Refinería.Para el análisis profundo del área  se procedió a la recopilación de información del área de MAN-MEI mediante cuestionarios y entrevistas al personal tanto propios como contratistas, eléctricos e instrumentistas.Posteriormente la información fue sistematizada, las mismas que permitieron identificar las fortalezas, debilidades, oportunidades y amenazas, problemas potenciales, los principales pilares para posteriormente ser analizadas mediante las herramientas de evaluación EFE, EFI, MPC, EFE, EFI, MPC, FODA, PEYEA, IE MCPE en los cuales se evaluaron las fortalezas, debilidades, amenazas y oportunidades de manera combinada e individualmente. Una vez analizadas las fortalezas, debilidades, amenazas y oportunidades, de manera individual y combinada dio como resultado diferentes estrategias alternativas, de las cuales fueron seleccionadas las más adecuadas para el área de MAN-MEI y mediante la matriz MCPE se analizó la prioridad de las estrategias seleccionadas. A continuación se estructuró el enfoque sistémico, marco estratégico, bajo el enfoque de la Refinería, el desarrollo de los mismos están alineadas a las principales políticas de Gestión, algunas estrategias y objetivos la Empresa, por lo tanto contribuirá al logro de los objetivos de la Refinería y los planes estratégicos elaborados (siendo el resultado de la planificación estratégica), permitirán mejorar la gestión del área de MAN-MEI.Con la Planificación Estratégica se generará un beneficio global al área de MAN-MEI, las mejoras no serán inmediatas, sin embargo las mismas serán notables en el futuro. El personal del área estará preparado para los acontecimientos futuros, con el cumplimiento y establecimiento del marco estratégico, y el nuevo enfoque organizacional, el personal del área de MAN-MEI tendrá una nueva mentalidad, enfocados en la mejora continua, el trabajo en equipo y logro de los objetivos.Para lograr ser una empresa reconocida, y ser agentes proactivos se debe implementar prácticas como: el trabajo en equipo, la integración de los procesos y las partes involucradas en las actividades de mantenimiento, planificaciones de las actividades del área y requerimientos del área de MAN-MEI por lo que es necesario crear una sólida estructura organizacional en base al trabajo integral y compromiso, donde los recursos humanos son la base de la organización, y la efectividad de sus trabajos dependerá principalmente del estado de ánimo, su motivación y capacitación, por lo que se recomienda la implementación de programas de motivación y mejorar en el programa de prevención de riesgos ya que contribuirán en la efectividad de las actividades de mantenimiento, calidad del servicio de mantenimiento, logrando la concientización y compromiso del personal del área de MAN-MEIEs necesario también que el área de MAN-MEI cuente con planificación de materiales y una base de datos de herramientas y así se optimizará recursos asociados a las actividades de mantenimiento y el seguimiento y control de las actividades de mantenimiento permitirá controlar la información necesaria y disponible los mismos que deben ser gestionadas por gerencia, realizadas por los sectores de mantenimiento eléctrico e instrumentación y comprometidos los recursos humanos con MAN-MEI.</t>
  </si>
  <si>
    <t>https://drive.google.com/file/d/10y0Z5K0Mzw-6I3A6DRPg_E4HQ2dEcT7a/view?usp=sharing</t>
  </si>
  <si>
    <t>https://drive.google.com/file/d/1VwQwz6foetAHK4lrlW-EFekRjjTuUSct/view?usp=sharing</t>
  </si>
  <si>
    <t>https://drive.google.com/file/d/10wHRDr_Gz1nu9fs9PVYI-2OY2zJYDltG/view?usp=sharing</t>
  </si>
  <si>
    <t>RODOLFO GONZALO TITO OMONTE</t>
  </si>
  <si>
    <t>FAVIAN FERNANDO VIA QUIROZ</t>
  </si>
  <si>
    <t>ELABORACIÓN DE UN PLAN DE EMPRESA PARA LA CREACIÓN DE UNA UNIDAD EDUCATIVA PRIVADA EN EL SECTOR CONDEBAMBA</t>
  </si>
  <si>
    <t>I-2010</t>
  </si>
  <si>
    <t>fibo@gmail.com</t>
  </si>
  <si>
    <t>IND-356-2010</t>
  </si>
  <si>
    <t>Plan de empresa, Unidad Educativa, Mercado, Marketing, Finanzas, Gerencia, Condebamba.</t>
  </si>
  <si>
    <t>El plan de empresa realizado, investigó la factibilidad de la creación y puesta en marcha de una institución educativa privada en la zona Condebamba, muestró la perspectiva de incursionar en el medio como una empresa que garantiza un  servicio educativo de enseñanza personalizada, logrando su introducción fácilmente en el mercado activo.La investigación de mercado realizada en la zona, dio como resultado una población de 6545 niños o jóvenes en edad escolar y una demanda potencial de 2426 niños o jóvenes. Esta es una gran oportunidad, ya que se desea obtener una cuota de mercado del 20% (Capacidad total del futuro establecimiento) que corresponde a 500 alumnos para el quinto año de funcionamiento de la unidad educativa, y un 4 % el primer año.Se puede observar que las familias de la zona, valoran más la infraestructura de una unidad educativa, es una ventaja del proyecto, porque al crearse la institución, las instalaciones serán nuevas, amplias, acogedoras, con buena iluminación, con mobiliario y materiales óptimos para el aprendizaje.Los resultados de la Investigación de Mercado también muestran que un 75,58% de esta población, se traslada hacia otros sectores para recibir este servicio, y las familias expresan gran aceptación y complacencia por una nueva Institución Educativa. Esta demanda insatisfecha, evidencia la necesidad de desarrollar el presente plan de empresa, cuya finalidad es brindar a esta zona una educación acorde a sus expectativas y de alta calidad.El plan de empresa, favorecerá a analizar y a solucionar sistemáticamente, el problema planteado, mostrará los vacíos existentes y colaborará a subsanarlas de forma eficaz y estructurada, lo que asegurara que esta tenga un gran impacto y apoyo hacia el desarrollo social de la comunidad.El plan de marketing, responde a las estrategias que deben realizarse, para introducir al mercado con posicionamiento e imagen institucional, que aborde satisfacer efectivamente las necesidades analizadas en este documento.El plan de Gerencia y operaciones, se caracteriza por estructurar la organización de manera sistemática, que garantiza el funcionamiento óptimo para el cumplimiento de los objetivos a corto, mediano y largo plazo de la futura empresa.El análisis financiero del plan de empresa, examina exhaustivamente el detalle y la distribución de las inversiones, gastos generales, e ingresos, para los cinco años de duración del plan de empresa, con un escenario real, con precios mayores que el mercado actual, obteniendo así la factibilidad del plan, con un TIR del 39%, mayor a la tasa de oportunidad.</t>
  </si>
  <si>
    <t>https://drive.google.com/file/d/1IxljxWXZbgLLjukYh52-70mn5iIlxwGI/view?usp=sharing</t>
  </si>
  <si>
    <t>https://drive.google.com/file/d/1LyJY1hBjFy4f2ir4nklNvDkck-Lsyadg/view?usp=sharing</t>
  </si>
  <si>
    <t>https://drive.google.com/file/d/1BQTcvAeZ2w8A6BUYVX5U528rJfAhzB_e/view?usp=sharing</t>
  </si>
  <si>
    <t>FLORES ORELLANA LIZETH SANDRA</t>
  </si>
  <si>
    <t>SALGUERO FLORES EDDY NELSON</t>
  </si>
  <si>
    <t>LIC. ANDRÉS JAVIER NÚÑEZ AYAVIRI</t>
  </si>
  <si>
    <t>ESTUDIO DE FACTIBILIDAD PARA LA IMPLEMENTACIÓN DE UN MATADERO MUNICIPAL DE GANADO  PORCINO EN EL MUNICIPIO DE COCHABAMBA</t>
  </si>
  <si>
    <t>sandrita_liz_1@hotmail.com</t>
  </si>
  <si>
    <t>IND-357-2010</t>
  </si>
  <si>
    <t>Sólidos suspendidos, material orgánico, proliferación y descentralización.</t>
  </si>
  <si>
    <t>El trabajo que se realizó, tiene como objetivo general el de implementar un matadero municipal de ganado porcino que ofrezca un servicio que cuente con garantías de higiene, salubridad en la carne para la población Cochabambina.El proyecto ha sido visto como una necesidad debido al  alto porcentaje de  mataderos que no cuentan con Licencia Sanitaria de funcionamiento y no dan un uso adecuado a los desechos de proceso y matanza, convirtiéndose en focos permanentes de contaminación ambiental y atentan contra la salud pública de todos y cada uno de los consumidores de carne de cerdo. La Dirección de Servicio al Ciudadano Intendencia Municipal propone el desarrollo del proyecto del Matadero Municipal para el municipio de Cochabamba, así otorgar carne que cumpla con los requisitos mínimos de salubridad para el consumo humano basadas y proyectadas hacia la ISO 22000/2005.El proyecto contempla un estudio exhaustivo y completo, de cada una de  las áreas como es el estudio técnico y financiero de: estudio del mercado, localización, materias primas e insumos, ingeniería, planificación y ejecución, mano de obra, estudio del impacto financiero y finalmente el estudio del impacto ambiental para el proyecto.</t>
  </si>
  <si>
    <t>https://drive.google.com/file/d/1QK-aBkb1usdNQ7od6w3C_a6zKoptJ1k5/view?usp=sharing</t>
  </si>
  <si>
    <t>https://drive.google.com/file/d/1-crC08aXJ4V8Il_qGJPBWlRx5Itn_3KU/view?usp=sharing</t>
  </si>
  <si>
    <t>https://drive.google.com/file/d/1wEXELtKYCTE21AelyQHk2jgnpGv07rvr/view?usp=sharing</t>
  </si>
  <si>
    <t>CARLA DANIELA ECHALAR SANTIVAÑEZ</t>
  </si>
  <si>
    <t>IIDENTIFICACIÓN DE PELIGROS, EVALUACIÓN DE RIESGOS Y DETERMINACIÓN DE CONTROLES SEGÚN NORMA OHSAS 18001:2007 PARA ELFEC S.A.</t>
  </si>
  <si>
    <t>carla858@hotmail.com</t>
  </si>
  <si>
    <t>IND-358-2010</t>
  </si>
  <si>
    <t>Identificación de Peligro, Evaluación de Riego, Determinación de Controles.</t>
  </si>
  <si>
    <t>La Empresa de Luz y Fuerza Eléctrica de Cochabamba (ELFEC S.A.) como muchas otras organizaciones está cada vez más interesada en alcanzar y demostrar un sólido desempeño de la Seguridad y Salud Ocupacional. En este sentido la Empresa de Luz y Fuerza Eléctrica de Cochabamba (ELFEC S.A.), pretende implementar y certificar dentro de su organización la Norma OHSAS 18001:2007 referente al Sistema de Gestión de la Seguridad y Salud Ocupacional, sin embargo, dentro de su sistema de gestión, la empresa presentaba el incumplimiento del requisito 4.3.1 Identificación de Peligros, Evaluación de Riesgos y Determinación de Controles que representa la base fundamental para establecer un adecuado Sistema de gestión de la seguridad y salud ocupacional.De esta manera, durante el trabajo realizado, se llevó a cabo en primera instancia la Identificación de peligros para todas las actividades que se realizan en el Área Comercial de ELFEC S.A para pasar luego a la evaluación de los riesgos asociados a todos aquellos peligros identificados y así poder determinar controles necesarios para todos aquellos riesgos considerados inaceptables, logrando de esta manera cumplir con el requisito 4.3.1 de la Norma OHSAS 18001:2007 contribuyendo tanto con el objetivo de acceder a la certificación de la misma como a la mejora del desempeño de la organización en cuanto a SySO.</t>
  </si>
  <si>
    <t>https://drive.google.com/file/d/1a1dvcvBWtjCV7M3XqEQbq3B582mrCc2M/view?usp=sharing</t>
  </si>
  <si>
    <t>https://drive.google.com/file/d/17LmpYvoFeRC-UAJbLGIhqUp0ThE1dbhJ/view?usp=sharing</t>
  </si>
  <si>
    <t>https://drive.google.com/file/d/1snzXVB02zKFLMC97jm6QToLu3-KVMXYp/view?usp=sharing</t>
  </si>
  <si>
    <t>CARLOS ROLANDO LINEZ ORELLANA</t>
  </si>
  <si>
    <t>DISEÑO   DE   UN   MODELO   DE   SEGURIDAD   INDUSTRIAL  PARA  LA  MICRO   EMPRESA “FAHILME” (FABRICA DE HIELO MEDINA)</t>
  </si>
  <si>
    <t>escorpionli@hotmail.com</t>
  </si>
  <si>
    <t>IND-359-2010</t>
  </si>
  <si>
    <t>Equipos de protección individual</t>
  </si>
  <si>
    <t>El trabajo que se plasmo tenia como objetivo general el de Diseñar un modelo de seguridad industrial para la prevención y control de accidentes, riesgos y enfermedades ocupacionales, que logren reducir las problemáticas existentes al interior de la Fabrica de Hielo Medina, de tal manera que se proporcione o brinde unas buenas practicas industriales (señalización, ergonomía, limpieza y orden) en dicho recinto industrial.Con el proyecto se proporciona al personal en su conjunto (administrativo y trabajadores),   una capacitación acorde para efectuar las faenas cotidianas de la forma mas correcta y precisa brindando procedimientos e instructivos referente al levantamiento de cargas, utilización de equipos de protección personal, señalización y al aspecto ergonómico, subsanando y mejorando aspectos negativos.La metodología que se recurrió fue el diagnostico de la empresa complementando con una bibliografía para saber las características de estos riesgos y poder remediarlos acordes a dichos riesgos mas trascendentales, efectuando las mediciones de luminiscencia y ruido, con la debida aprobación de sello y rubrica del laboratorio FCYT – UMSS. Una vez obtenidos los resultados en laboratorio  referente al ruido obteniendo de No permisible, se realizo los debidos instructivos para informar al personal de dicha enfermedad profesional, recomendando explícitamente la utilización de implementos de protección auditivo.De igual forma se obtuvieron y se brindaron tratamientos temporales de primeros auxilios referentes a los riesgos existentes en la Fábrica de Hielo Medina, de tal manera que se pueda auxiliar a la brevedad posible a todo el personal en caso de que uno de estos lo precise.Finalmente se pudo identificar claramente cuales eran los riesgos predominantes  y su posterior solución recomendando taxativamente que todas las mejoras pertinentes que se puedan implementar en la actualidad y en el transcurso de los años venideros referente a seguridad industrial o diversos temas, tendrá resultados efectivos siempre y cuando exista el interés primordial de parte del Empleador y los Obreros en aprender y poder aplicarlos, con la finalidad fundamental de precautelar su integridad física y de salud, caso contrario será en vano.</t>
  </si>
  <si>
    <t>https://drive.google.com/file/d/1C1Yw_F_ya25gCs2LbPpzQzBkGhOeBizA/view?usp=sharing</t>
  </si>
  <si>
    <t>https://drive.google.com/file/d/1Wk89aRqKPZ9UW8L-UgDM11wbNyvUMzFe/view?usp=sharing</t>
  </si>
  <si>
    <t>https://drive.google.com/file/d/1BY3llwoeLb_EmHJpipb-7gTxD5JnYjXg/view?usp=sharing</t>
  </si>
  <si>
    <t>NILTON DÁVILA VIDAL</t>
  </si>
  <si>
    <t>OPTIMIZACIÓN DEL MANEJO DE AGUAS UTILIZADAS EN EL PROCESO PRODUCTIVO DEL INGENIO AZUCARERO GUABIRÁ S.A.</t>
  </si>
  <si>
    <t>miltawer@hotmail.com</t>
  </si>
  <si>
    <t>IND-360-2010</t>
  </si>
  <si>
    <t>Optimización, Reutilización de Aguas, Balance Hídrico, Zafra, Caudal,   Bombas, Tuberías, Capacitación, Ingenio Azucarero Guabirá.</t>
  </si>
  <si>
    <t>El Proyecto de Grado fue realizado para el Ingenio Azucarero Guabirá S.A. con el objetivo de optimizar el manejo de aguas utilizadas en el proceso productivo, esto permitió identificar y cuantificar los desperdicios de agua que se generaba en la planta industrial, la directiva tomo la decisión de invertir en recuperar y reutilizar el agua en nuevos usos industriales para así evitar nuevas perforaciones de pozos de agua a futuro.Se identifico los procesos que consumen y desperdician agua, posteriormente se determino las cantidades de agua que se consume y se desecha en cada sector productivo tomando en cuenta la técnica del cronometraje y de las operaciones que se realiza en cada proceso.El proyecto planteo la minimización de aguas de pozo y la reutilización de aguas recuperadas de procesos productivos que desperdician agua, hasta el momento la empresa no toma en cuenta las consecuencias que generan los desperdicios de agua.Se planteo la alternativa de reutilizar el agua de los turbo alternadores (enfriamiento de maquinas) ya que la misma genera grandes desperdicios, a demás la calidad y las características fisicoquímicas son muy buenas, el agua se recuperara y será utilizada en la implementación del proceso de lavado de la materia prima con la finalidad de evitar posibles perforaciones de pozos de agua para esta actividad, a demás implementar el lavado de la materia prima generara muchos beneficios a la empresa.El caudal de agua que se recupero para su reutilización en el lavado de la materia prima es de 150 m3/h, tomando en cuenta la capacidad de molienda de la empresa de 500 toneladas de caña hora la cantidad de agua es insuficiente, por lo tanto se ve la necesidad de recuperar el agua producto del lavado hasta alcanzar el caudal necesario para esta capacidad de molienda.Para recuperar el agua producto del lavado de la materia prima se utilizo métodos de purificación de aguas con filtros de arena y filtros de carbón activado debido a que este método no presenta la utilización de productos químicos para purificar el agua.Para implementar el proceso de lavado de la materia prima se utilizo tanques de almacenamiento de agua, tuberías de diferentes diámetros, bombas de gran capacidad según los cálculos obtenidos, y se contara con mano de obra calificada para el correcto funcionamiento del proceso.Como resultado de la evaluación económica, la inversión realizada por la empresa para implementar una reutilización de aguas es de 418.062 $us, según el estado de resultados en el sexto año de implementación del proyecto se recuperara la inversión total, y a partir del séptimo año se tendrá ahorros según la relación B/C = 1.16, entonces se llego a la conclusión de que el proyecto es viable en un mediano plazo.</t>
  </si>
  <si>
    <t>https://drive.google.com/file/d/1cL7X_XzYQMujVjXXQ6AjxawBsy_mBNS9/view?usp=sharing</t>
  </si>
  <si>
    <t>https://drive.google.com/file/d/1U90HBlDv94gqGUYHB_9UVxMdXES8Pwe1/view?usp=sharing</t>
  </si>
  <si>
    <t>https://drive.google.com/file/d/1_szY-QeaLJ2yvWaQg2ys1PmalSybSRD2/view?usp=sharing</t>
  </si>
  <si>
    <t>ALEXANDER ZURITA SARAVIA</t>
  </si>
  <si>
    <t>INGENIERÍA BÁSICA PARA PLANTA CRIOGÉNICA DE SEPARACIÓN DE LICUABLES (ETANO, GLP, GASOLINA NATURAL) A PARTIR DEL GAS NATURAL</t>
  </si>
  <si>
    <t>aviador_axl@hotmail.com</t>
  </si>
  <si>
    <t>IND-361-2010</t>
  </si>
  <si>
    <t>Criogénico, Separación, Licuables, Gas Natural.</t>
  </si>
  <si>
    <t>El proyecto surge como una alternativa  a cubrir el déficit de desabastecimiento  de gas licuado de petróleo (GLP) y gasolina en el mercado nacional y la imposibilidad de incrementar los  volúmenes de producción por parte de las principales refinerías existentes dentro del territorio nacional y de la empresas procesadoras de Gas Natural debido a la incapacidad técnica y operativa de las mismas, se vio la necesidad de efectuar un estudio de ingeniería  para establecer la factibilidad técnico- económico de una planta separadora de líquidos que permitirá en primera instancia la recuperación de los líquidos del gas natural LGN(etano, propano, butano, pentanos), para luego efectuar el fraccionamiento en sus componentes individuales de Etano, GLP (Propano y butano) y Gasolinas todo esto con la finalidad de satisfacer la demanda interna insatisfecha de GLP y Gasolina otra razón en la importancia de la recuperación de estos componentes radica en su alto valor comercial y de conformar  la base para una futura implementación de la industria petroquímica especialmente el Etano. Donde la capacidad propuesta de producción de la planta es de 457,857 toneladas por día [Tn/Día]  de Etano, 349,142 toneladas  por día [Tn/Día] de   GLP (Propano, Butano) y 367,982 BPD [barriles por día] de Gasolinas. Para dicha producción, la alimentación de gas natural es de 200 millones de pies cúbicos (MMpcd).  Para dicho efecto  la tecnología  Criogénica de Turbo expansión GSP (Gas Subcooled Process)  será empleada para la recuperación de líquidos  del Gas debido a que para recuperar el Etano se  requiere reducir la temperatura a aproximadamente -160°F que es la temperatura de licuefacción del Etano. Para lo cual se efectuara una inversión de  106,12 millones de Dólares (MM$us); de los cuales el 30% representara una inversión propia. Para determinar la rentabilidad del proyecto se efectuó una evaluación Económica donde el estudio arrojo una alta rentabilidad del proyecto con los siguientes indicadores (VAN = 199,21 Millones de Dólares (MM$us); TIR = 30%; B/C = 1.22)</t>
  </si>
  <si>
    <t>https://drive.google.com/file/d/1A_gU0kLfQATvFPKOvBWYC7coBNvtJI2f/view?usp=sharing</t>
  </si>
  <si>
    <t>https://drive.google.com/file/d/1Nfio-vjavRtkKLCX1i2UU-LmeyIqr5h_/view?usp=sharing</t>
  </si>
  <si>
    <t>https://drive.google.com/file/d/1cJAXlY-UMGgxjbMLH4AcRv1kN0BqJ9iO/view?usp=sharing</t>
  </si>
  <si>
    <t>LITZI GUTIERREZ ACHA</t>
  </si>
  <si>
    <t>GRACIELA NIN VIDAL</t>
  </si>
  <si>
    <t>ING. JUAN CARLOS FERNÁNDEZ</t>
  </si>
  <si>
    <t>ESTUDIO TÉCNICO FINANCIERO PARA EL MANEJO DE RESIDUOS SÓLIDOS DOMICILIARIOS POR MEDIO DE LA SEGREGACIÓN EN EL MUNICIPIO DE COLCAPIRHUA</t>
  </si>
  <si>
    <t>litzig@hotmail.com</t>
  </si>
  <si>
    <t>IND-362-2010</t>
  </si>
  <si>
    <t>Reciclaje, Planta de Transferencia, Residuos Sólidos</t>
  </si>
  <si>
    <t>En Colcapirhua la generación de Residuos Sólidos (RS) urbanos ha tenido un crecimiento alarmante en los últimos años, estos son depositados en un Vertedero a cielo abierto en condiciones que constituyen una problemática ambiental. Ante este alarmante crecimiento y ante la deficiente gestión actual de los residuos, este estudio propuso como Objetivo General: Determinar el  Estudio Técnico Financiero para el Manejo en una planta de procesamiento de Residuos Sólidos Domiciliarios por medio de la Segregación en el Vertedero del Municipio de Colcapirhua, de acuerdo a características propias de generación, tratamiento y disposición final actuales.Inicialmente se realizo un diagnostico del distrito y de la gestión actual de RS, que permitió identificar a los principales actores de la gestión de los residuos. Para alcanzar los objetivos trazados, se realizo una caracterización para estimar la Producción Per Cápita promedio del distrito (0.419 Kg/habitante – día), asimismo se estimo la composición de los RS.De la misma manera, se realizo un estudio de mercado mediante el cual se determino la existencia de mercados de papel, cartón, vidrio, pastico PET y PE-HD. Una vez asegurados mercados para estos componentes, se determino a través de una encuesta, que existía una posibilidad de buena disponibilidad de los habitantes del Municipio a participar de un programa de reciclaje.El proyecto propuso una alternativa para la generación (volúmenes y cantidades generadas), manipulación de residuos en origen (separación de residuos orgánicos e inorgánicos), recolección (recolección por separado, itinerarios, personal, equipos y horarios), separación (Diseño de un Instalación de Recuperación de Materiales) y disposición final.Diseñado el Estudio se realizo la Evaluación Financiera que demuestra que el proyecto genera un VAN DE 15, 221,910 Bs. y una TIR de 91% siendo un proyecto rentable. La Evaluación Económica demuestra igualmente que existe un costo económico para el país de 387 Bs/unidad beneficiada. La Evaluación de Impacto Ambiental permitió establecer los principales impactos de la operación del proyecto al ambiente, que dio lugar a la propuesta de medidas de mitigación.</t>
  </si>
  <si>
    <t>https://drive.google.com/file/d/1L6aTmvc_x_SMoaLKcFE0D6sVKqUAJylT/view?usp=sharing</t>
  </si>
  <si>
    <t>https://drive.google.com/file/d/1rUBMywtsSgpu_C8CV07za5DTqfmW_7gX/view?usp=sharing</t>
  </si>
  <si>
    <t>https://drive.google.com/file/d/1B-FdVxCD_uW2XEa9iwhTwZYyzjELJ5Bw/view?usp=sharing</t>
  </si>
  <si>
    <t>PITER ADRIAN CANEDO CAMACHO</t>
  </si>
  <si>
    <t>PROYECTO DE FACTIBILIDAD PARA LA IMPLEMENTACIÓN DE UN CENTRO DE VENTA DE PRODUCTOS AGROPECUARIOS MER K DITO.</t>
  </si>
  <si>
    <t>pitercanedocamacho@hotmail.com</t>
  </si>
  <si>
    <t>IND-363-2010</t>
  </si>
  <si>
    <t>Proyecto de factibilidad, Investigación de mercados, Valoración de impacto ambiental, Mer k dito.</t>
  </si>
  <si>
    <t>En la actualidad las familias cochabambinas de clase media no se encuentran satisfechas con los productos que adquieren en los mercados donde se los comercializa debido a los bajos niveles de higiene tanto de los productos como de las instalaciones donde se los comercializa, seguridad personal, facilidad de acceso a los centros de venta y un precio justo. Con la implementación del centro se pretende paliar con todas las exigencias de las familias.Un estudio de mercado, muestra las características de la oferta y demanda. También incluye una investigación de mercado que segmenta la población objetivo. Además de definir estrategias que satisfagan a la demanda y que resalten las características diferenciadoras con los demás centros de venta.Se realizo un estudio de tamaño y localización que pondera las ventajas de ubicación del terreno de la Avenida Circunvalación y calle ortigas como la mas optima para la construcción del centro de venta de productos agropecuarios.El estudio técnico permite establecer las distribuciones en planta, equipos y maquinarias necesarias para emprender los procesos del centro de venta. La estructura flexible que presenta el centro de venta proporciona grandes ventajas frente a los grandes mercados. El centro de venta requiere  de 9 trabajadores, 5 carniceros, 6 cajeros, 1 chofer, 1 secretaria, 1 contador, 1 jefe de mercadeo (mercadeo publicidad y ventas) y 1 administrador (gerente).La inversión total es de 4.818.210,00 bolivianos. El proyecto evaluado presenta un TIR 23.45%, un VAN 2.649.740,33  y un B/C de 1,26 lo cual nos demuestra que el proyecto es factible.</t>
  </si>
  <si>
    <t>https://drive.google.com/file/d/1BXAGOaTAlQB9AGNiEzUGzrGbbhvlefYa/view?usp=sharing</t>
  </si>
  <si>
    <t>https://drive.google.com/file/d/16ioa6QfUWFQKr7jqioXkSAO3h3sXcOcR/view?usp=sharing</t>
  </si>
  <si>
    <t>https://drive.google.com/file/d/1Jm1UCnueWzQXLEaNHZSDcXsfzh41KSpX/view?usp=sharing</t>
  </si>
  <si>
    <t>VANESSA ALISON FERNÁNDEZ FERNÁNDEZ</t>
  </si>
  <si>
    <t>FABIOLA OMAYRA GUTIÉRREZ GONZALES</t>
  </si>
  <si>
    <t>ING. ALFREDO COSIO PAPADOPOLIS</t>
  </si>
  <si>
    <t>OPTIMIZACIÓN DEL PROCESO DE CONFECCIÓN DE PANTALONES JEANS A TRAVÉS DEL BALANCEO DE LÍNEA APLICANDO EL MÉTODO DE KILBRIDGE &amp; WESTER</t>
  </si>
  <si>
    <t>ali_fer007@hotmail.com</t>
  </si>
  <si>
    <t>IND-364-2010</t>
  </si>
  <si>
    <t>Multimodelo,Estación,Balanceo,Corte,Flexible,Adaptable,Optimizar,Confección,Modelo,Tiempo,Linea.</t>
  </si>
  <si>
    <t>El trabajo que se realizo tenia como objetivo general el de optimizar el proceso de confección aplicando una nueva metodología heurística multi-modelo; para establecer un nuevo sistema de producción más rápido, flexible y adaptable.  Con el proyecto se proporciona al ingeniero alternativas y métodos que permitan un mejoramiento continuo en una línea de producción. La nueva metodología que se empleo fue la de Kilbridge &amp; Wester con el cual se obtuvo un resultado ventajoso para este tipo de producción en línea.En realidad la metodología fue simplemente primero de realizar un diagnostico productivo del sistema de producción, donde se determinaron los principales problemas que ocasionan inestabilidad en la línea de confección. Para luego realizar el balanceo de línea por el método tradicional de la producción actual para optimizar, analizando la secuencia de las operaciones, los problemas que generan demora en la confección, la disposición de la planta y las medidas de seguridad con las que se cuenta, estableciendo un método más sencillo que reporta menor tiempo en la confección de un pantalón. Una vez optimizado el sistema de producción actual, se estableció dos estaciones de trabajo para la línea de confección logrando instaurar una eficiencia del 81% en la estación I, y una eficiencia del 78% en la estación II, disminuyendo el tiempo de Ocio al mínimo. Para realizar dicho balanceo y para que el mismo cumpla con la producción de cualquier tipo de modelo se tomó en cuenta el tiempo de ciclo de la producción de un pantalón, así de esta manera se aseguró que la línea cumpla con el tiempo y las operaciones establecidas para producir el modelo que se requiera. Finalmente se realizó la evaluación de los resultados obtenidos, considerando un análisis comparativo entre el balanceo de línea por el método tradicional y el balanceo de línea por el método de Kilbridge &amp; Wester, obteniendo como resultados que con  nueva metodología se llega a producir 30 pantalones mas con referencia a la producción actual. También se diseñó un plan de implementación de las mejoras propuestas en el proyecto.</t>
  </si>
  <si>
    <t>https://drive.google.com/file/d/1qGppgVzQP7rdEG9PgYpcauMbZxcWWGcW/view?usp=sharing</t>
  </si>
  <si>
    <t>https://drive.google.com/file/d/1XRys-cTrGved75n3Kwzho1wVuJLL4TyN/view?usp=sharing</t>
  </si>
  <si>
    <t>https://drive.google.com/file/d/1IsShL0LfcGpYOWgOofTbR6vOAGuOHC5k/view?usp=sharing</t>
  </si>
  <si>
    <t>CLAUDIA GABRIELA HEREDIA RODRÍGUEZ</t>
  </si>
  <si>
    <t>GONZALO ZABALAGA LOBO</t>
  </si>
  <si>
    <t>ING. GABRIEL RODRÍGUEZ</t>
  </si>
  <si>
    <t>ESTUDIO DE FACTIBILIDAD PARA LA PRODUCCIÓN DE HUEVO Y CARNE DE CODORNIZ EN LA CIUDAD DE SANTA CRUZ DE LA SIERRA.</t>
  </si>
  <si>
    <t>claudita_gby@hotmail.com</t>
  </si>
  <si>
    <t>IND-365-2010</t>
  </si>
  <si>
    <t>Factibilidad, coturnicultura.</t>
  </si>
  <si>
    <t>El espíritu empresarial se mantuvo a partir del momento en que surgió la idea de crear una empresa dedicada a la coturnicultura, es decir, a la cría de codorniz para la producción de huevo y carne, lo cual respondió a las necesidades de un grupo de personas que demandaban una alternativa alimenticia que no solo favoreciera a la supervivencia y satisfacción del hambre sino también a la promoción de la salud y la prevención de enfermedades.La producción huevera para la nueva empresa, constituyó un objeto tan fundamental como el de la producción de carne, y en ambos casos la codorniz “Japónica”, se prestó de manera ideal para la producción industrial. La producción económica de los mismos se basó en el buen desarrollo de las aves y la capacidad de postura de cada ejemplar en explotación. El proyecto realizado tuvo como objetivo general “Elaborar un estudio de factibilidad para emprendimiento de una empresa dedicada a la cría de codorniz para la producción de huevo y carne en la ciudad de Santa Cruz de la Sierra”, cuyo cumplimiento permitió determinar que el proyecto era factible técnica, comercial y financieramente.Con el proyecto se proporcionó al ingeniero industrial la información necesaria para poder llevar a cabo un estudio de factibilidad y además se dio a conocer todos los factores involucrados en el proceso productivo de este negocio.La metodología que se aplico fue del tipo exploratorio y concluyente descriptivo, se realizó  un análisis de mercado, un análisis técnico, financiero y ambiental; con lo cual se obtuvieron resultados sobre la demanda, oferta, precio, requerimientos técnicos, indicadores financieros, impactos ambientales y otras variables. Una vez que se obtuvieron los resultados de cada variable, éstas fueron comparadas con parámetros establecidos, donde, el balance demanda-oferta demostró una demanda insatisfecha por cubrir, la adquisición de los requerimientos técnicos no representaron mayor dificultad y están disponibles en el mercado local, los indicadores financieros dieron resultados favorables de rentabilidad y atractivos para los inversionistas, finalmente los impactos ambientales del proyecto resultaron ser menores y sin mayor riesgo para el entorno ecológico.  Se concluyó que el proyecto cuenta con mercado para sus productos, es rentable y atractivo para los inversionistas y no representa ningún riesgo mayor que influya en el medio ambiente. Se recomendó la elaboración de estrategias de comercialización para mantener el mercado e incrementar los índices de demanda. También se hizo énfasis en la bioseguridad para que se pueda mantener la buena salud y desarrollo de las aves sin descuidar la limpieza y desinfección de los ambientes.</t>
  </si>
  <si>
    <t>https://drive.google.com/file/d/1sTitbYpcPTW4vxMsubGA5JtCAUigeOaN/view?usp=sharing</t>
  </si>
  <si>
    <t>https://drive.google.com/file/d/1YrSUurSYb5Kw6s9dMdjmJ1Qj9wempVUH/view?usp=sharing</t>
  </si>
  <si>
    <t>https://drive.google.com/file/d/1I5ngW5ylhBLu25KOExlm10ovPSIZ8af5/view?usp=sharing</t>
  </si>
  <si>
    <t>DANIELA MÓNICA MIJARÍA ARZE</t>
  </si>
  <si>
    <t>IMPLEMENTACIÓN DE UN SISTEMA DE GESTIÓN Y CONTROL DE RIESGOS BASADO EN NUEVOS REQUISITOS ESTABLECIDOS POR ABINBEV PARA “CERVECERÍA BOLIVIANA NACIONAL – PLANTA TAQUIÑA”: ÁREAS DE ELABORACIÓN &amp; SERVICIOS, ENVASADO Y OPERACIONES.</t>
  </si>
  <si>
    <t>danimijaria@hotmail.com</t>
  </si>
  <si>
    <t>IND-366-2010</t>
  </si>
  <si>
    <t>Sistema de Gestión y Control de Riesgos, ABInBev Anheuser-Busch</t>
  </si>
  <si>
    <t>Cervecería Boliviana Nacional – Planta Taquiña ha visto por conveniente implementar un sistema de gestión y control de riesgos en base a requisitos corporativos que permitan identificar, evaluar y mitigar las condiciones y acciones inseguras que puedan afectar al operador en su puesto de trabajo.Primeramente se realizó un diagnostico de la situación actual de cada una de las áreas de Elaboración &amp; Servicios, Envasado y Operaciones para conocer el cumplimiento de los requisitos con los que contaban y así poder planificar la  implementación de este sistema de acuerdo a la información y avance que se tenía en cada uno de estos sectores. Se tomaron específicamente cuatro temas a ser implementados en su totalidad en cada una de las áreas, los cuales son: Permisos de Trabajo, Evaluación de Riesgos, Gestión de Lesiones y Monitoreo de Seguridad. Estos 4 temas fueron evaluados mediante listas de verificación, para conocer específicamente lo que cada uno de ellos requería para la implementación.Luego se procedió a la implementación, comenzado por el tema de Permisos de trabajo, capacitando a la gente sobre el llenado de formularios para diferentes trabajos que impliquen un alto riesgo.El siguiente paso fue la realización de la Evaluación ponderada de riesgo en cada una de las áreas, para que todos los trabajadores conozcan los principales riesgos de su sector.Luego se concientizó en base al tema de Gestión de lesiones, que todos los operadores comuniquen los accidentes o incidentes que puedan ocurrir en su sector.También se capacitó a los supervisores para realizar Monitoreos de seguridad, con el fin de controlar y evitar accidentes en cada uno de los sectores. Tomando en consideración todas las recomendaciones se evitarán lesiones incapacitantes que afecten la integridad del trabajador. O el deterioro de su salud por la actividad laboral.</t>
  </si>
  <si>
    <t>https://drive.google.com/file/d/15L_mkZm-2qzLG_gHwdDDMcoecZ57k8EV/view?usp=sharing</t>
  </si>
  <si>
    <t>https://drive.google.com/file/d/1IaKem_lyOeGuor5O83r2bVR1QGjKMgWS/view?usp=sharing</t>
  </si>
  <si>
    <t>https://drive.google.com/file/d/1FEtjZFJCHCIHLR7WDppJRGRdnwIwc38F/view?usp=sharing</t>
  </si>
  <si>
    <t>NELSON EMILIO GÓMEZ VARGAS</t>
  </si>
  <si>
    <t>ESTUDIO DE IMPLEMENTACIÓN DE UNA PLANTA PROCESADORA DE AZÚCAR MORENA EN EL VALLE DE SAIPINA.</t>
  </si>
  <si>
    <t>eminels@hotmail.com</t>
  </si>
  <si>
    <t>IND-367-2010</t>
  </si>
  <si>
    <t>Planta Procesadora de azúcar morena, Productividad, Control de calidad, materia prima, descripción de los procesos.</t>
  </si>
  <si>
    <t>Si bien la industria boliviana no esta en las mejores condiciones, pero existe el surgimiento de nuevos emprendimientos empresariales que apuestan a ser una opción para el desarrollo empresarial, dentro de esos emprendimientos esta la diversificación de productos de la caña de azúcar que presenta la Asociación de Productores de Chancaca, que será un generador de  nuevos puestos de trabajo, al producir un producto alternativo y saludable con respecto al azúcar blanco.    El Proyecto de Implementación de la planta procesadora de azúcar morena en el área Rural de los valles de Saipina y riveras del río Mizque, obedecen a la necesidad sentida de estas regiones de realizar una diversificación de nuevos productos, y de contar con nuevas tecnologías que mejoraran y optimizaran el aparato productivo de  la región, que permitan obtener un producto de calidad.Como una alternativa clara es la producción de  azúcar morena, que contribuirá y beneficiara la calidad de vida de las familias campesinas de estas regiones, aumentando sus ingresos por el cultivo de caña de azúcar, la elaboración de chancaca, mediante la generación, implementación, ajuste y difusión de tecnologías, apropiados a las condiciones agroecológicas, culturales y socioeconómicas de Saipina, que permitan obtener un producto de calidad apto para la venta, asegurando la seguridad alimentaria de los involucrados y uso sostenible de los recursos naturales.    Fundamentándose en la necesidad de poder ofrecer una alternativa a la Asociación de Agricultores de Caña y Productores de Chancaca del Valle de Saipina (ASOPROCH), permitiendo la diversificación de sus productos, mejorando el proceso productivo y la calidad del mismo; contribuyendo al aumento de fuentes de empleo y al mejoramiento de las condiciones  de vida de la población, evitando la migración de la población campesina a las ciudades.     Con el mejoramiento tecnológico, se espera que el proceso productivo sea más eficiente, adecuado y sustentable; esperando obtener mejores rendimientos por hectárea de caña cultivada, por hora de molienda, incrementando la producción actual realizando una  distribución adecuada, aprovechando los recursos humanos y materiales existentes, que beneficiaran la realización de planes de negocios para  la accesibilidad de créditos bancarios.</t>
  </si>
  <si>
    <t>https://drive.google.com/file/d/1zzNQ9XhzXszY62Lg14ytlQH28WvAbbA0/view?usp=sharing</t>
  </si>
  <si>
    <t>https://drive.google.com/file/d/1mL2r_QUbJ6pMkP3dcgxbbk5qL6gOzRKn/view?usp=sharing</t>
  </si>
  <si>
    <t>https://drive.google.com/file/d/1SNEKLWT5APTmQcvwM_VBfxYRqrkLLORG/view?usp=sharing</t>
  </si>
  <si>
    <t>MARILYN LIZETH GONZÁLES COSCIO</t>
  </si>
  <si>
    <t>JACQUELINE VELÁSQUEZ ECOS</t>
  </si>
  <si>
    <t>ESTUDIO DE FACTIBILIDAD PARA EL DISEÑO DE UNA PLANTA DE PASTELERÍA INDUSTRIAL SECA Y FRESCA PARA LA COORPORACIÓN INDUSTRIAL DILLMANN S.A</t>
  </si>
  <si>
    <t>IND-368-2010</t>
  </si>
  <si>
    <t>Reglamento Ambiental para el Sector Industrial Manufacturero (RASIM), Valor Actual Neto (VAN), Tasa Interna de Retorno (TIR), Beneficio Costo (B/C).</t>
  </si>
  <si>
    <t>El estudio de factibilidad para el diseño de una planta de pastelería industrial seca y fresca en el departamento de Cochabamba tiene como objetivo fundamental estudiar la factibilidad técnica  y financiera para obtener los suficientes elementos de juicio para determinar la viabilidad de efectuar inversiones en la instalación de la planta. Primeramente se realizó un estudio de mercado dirigido a dos tipos de mercados considerados en el presente proyecto: local  e institucional, el cual permitió identificar a las pastelerías con mayor participación en el mercado, así también determinar las tendencias de consumo y el perfil del consumidor final del presente proyecto. Además  del tipo de canal de distribución a ser  utilizado.También se determino el tamaño y  localización de la planta de pastelería industrial, se estableció  la mano de obra necesaria para el funcionamiento de la planta.En ingeniera del proyecto se estableció el proceso productivo de los productos pasteleros, se determino la tecnología necesaria para la elaboración de dichos productos, la infraestructura necesaria y la distribución de la planta. A su vez se elaboró un plan de seguridad industrial para mantener la integridad de los trabajadores en sus puestos de trabajo.Mediante el estudio financiero se llego a la conclusión de que el proyecto es factible y es más atractivo con financiamiento, ya que presenta lo siguientes indicadores financieros: VAN= 21.024  $us., TIR= 16,648% y B/C= 1,479 $us.. La inversión total del proyecto es de 146.457 $us., contando con un aporte propio de 43.937 $us..Los productos a elaborarse en la planta de pastelería serán comercializados con los siguientes precios unitarios: empanada de queso a 1,8 Bs., rollo de queso a 1,8 Bs., queque a 1,5 Bs. , donut´s a 1,5 Bs., media luna dulce a 2 Bs., cuernito de queso a 2 Bs., pie a 2 Bs., budín a 12 Bs., cuñape a 2 Bs. y roscas a 1,2 Bs..Según el anexo 1 del RASIM se determinó que las pastelerías pertenecen a la categoría 4, el RASIM  afirma que esta categoría no requiere de una evaluación de impacto ambiental, plan de manejo ambiental ni descripción del proyecto, pero si se realizó la identificación de impactos relevantes y medias correctivas.</t>
  </si>
  <si>
    <t>https://drive.google.com/file/d/1A9GX0OULfe_NayRGw-ajeG1HCdNM1VWD/view?usp=sharing</t>
  </si>
  <si>
    <t>https://drive.google.com/file/d/1gQ0EFJby0ECoQzEjDRlPrI3h2LTe5Ks3/view?usp=sharing</t>
  </si>
  <si>
    <t>https://drive.google.com/file/d/1X3QsTQ5JR2h7j4t1uyok7qgSFqrhptzR/view?usp=sharing</t>
  </si>
  <si>
    <t>MARY LEDEZMA LEDEZMA</t>
  </si>
  <si>
    <t>MGR. IVÁN VIDAL HUERTA</t>
  </si>
  <si>
    <t>IMPLEMENTACIÓN DE UN SISTEMA DE GESTIÓN DE LA CALIDAD EN BASE A LA NORMA ISO 9001:2000 EN LOS PROCESOS: PRODUCCIÓN DE PRETENSADOS, PLASTOFORM Y CONTROL DE LA CALIDAD EN LA EMPRESA I.S.S.A. – CONCRETEC</t>
  </si>
  <si>
    <t>mary_melany@hotmail.com</t>
  </si>
  <si>
    <t>IND-369-2010</t>
  </si>
  <si>
    <t>Sistema de Gestión de la Calidad, Calidad, Norma ISO 9001:2000, Gestión de la Calidad, CONCRETEC.</t>
  </si>
  <si>
    <t>La empresa  I.S.S.A. – CONCRETEC decide implementar un Sistema de Gestión de la Calidad, el cual ayudara a mantener y mejorar continuamente sus procesos de administración, producción y comercialización, para buscar de esta manera una excelencia en sus productos, en la atención y servicio a los clientes, cumpliendo con los requisitos de la norma  ISO 9001:2000, creando con ellos barreras altas de entrada al mercado y siendo enormemente competitivos y demostrar la calidad de sus procesos y productos y satisfacer al cliente. Para tal efecto se siguió la siguiente metodología:Primeramente se realizó un análisis estructurado de toda la información de la empresa orientada a identificar la situación actual de la misma, cuyo objetivo fue de obtener el porcentaje de aplicación del Sistema de Gestión de la Calidad e identificar los factores críticos que tiene los procesos de este Proyecto, para lo cual se utilizó encuestas a los respectivos encargados de cada proceso, utilizando como herramienta de trabajo la Matriz de evaluación de los factores internos (EFI).Luego se fue modificando los principales procedimientos generales exigidos por la norma ISO 9001:2000 y posteriormente se fue modificando el Manual de la Calidad. Se elaboró el Mapa de Procesos y el organigrama de la empresa para posteriormente documentar las responsabilidades de las personas involucradas en el sistema de Gestión de la Calidad así mismo se fue modificando la política de la Calidad y los Objetivos de la Calidad. Se elaboraron los respectivos procedimientos operativos, instructivos de trabajo, registros, planes de calidad.Una ves que fue diseñada el Sistema de Gestión de la Calidad se procedió a su implementación, para tal efecto se realizo cursos de capacitación a los responsables de cada procesos, los cuales fueron utilizando de acuerdo a lo señalado en cada documento, en el cual se realizo el respectivo seguimiento.Posteriormente se evaluó la implementación, para lo cual, primeramente se procedió a la selección de auditores internos y posteriormente capacitarlos y formar equipos de auditores según su formación. Cada equipo fue designado a un proceso para realizar la auditoria interna. Se realizó el análisis de la auditoria interna en los procesos de la empresa, el cual dio resultado positivo de su implementación siempre y cuando es recomendable realizar su respectivo seguimiento.</t>
  </si>
  <si>
    <t>https://drive.google.com/file/d/11wrG7AEmmXb2UrGibjS-hSqkEL7u39qz/view?usp=sharing</t>
  </si>
  <si>
    <t>https://drive.google.com/file/d/18CFOcPgRzxQMP-Xwo3MSca7uSIK3UKsS/view?usp=sharing</t>
  </si>
  <si>
    <t>https://drive.google.com/file/d/1cxmbg2LnFEbHBXH2ZW1Axv1wWZ59X28v/view?usp=sharing</t>
  </si>
  <si>
    <t>ISMAEL SOLIZ CORTEZ</t>
  </si>
  <si>
    <t>ESTUDIO DE FACTIBILIDAD TÉCNICO ECONÓMICO PARA LA PRODUCCIÓN DE VINO ESPUMANTE</t>
  </si>
  <si>
    <t>isc1001@hotmail.com</t>
  </si>
  <si>
    <t>IND-370-2010</t>
  </si>
  <si>
    <t>Factibilidad, vino espumante, Buenas prácticas de manufactura, Tarija.</t>
  </si>
  <si>
    <t>La empresa Bodegas y Viñedos Casa Grande vio por conveniente realizar un estudio de factibilidad técnica y económica para producir vinos espumantes, teniendo en cuenta que dichos productos no son elaborados por ninguna empresa nacional y cuyo mercado no está cubierto. La empresa se encuentra en la localidad de La Pintada, en la provincia Cercado del departamento de Tarija.En primera instancia se realizó un estudio de mercado tomando en cuenta el sector de vinos a nivel nacional y local, utilizando fuentes primarias y secundarias de información. Si bien no existe un mercado consolidado para los espumosos, el objetivo claramente es poder generar un nuevo segmento que podría ser aprovechado. De ello, se obtuvo que el mercado meta son las mujeres y personas jóvenes en un rango de edad entre 18 y 36 años de edad. Las ciudades a las que se pretende llegar son Santa Cruz, La Paz, Cochabamba, Tarija y Sucre. Se planteó estrategias comerciales para poder vender los productos y se analizó las características de la marca Burbushhh en sus dos variedades: Tinto y Rosado, además de todo lo referido a su presentación.Mediante la descripción detallada de todas las operaciones que son necesarias para la elaboración de estos productos, se menciona la tecnología a emplear, los insumos y/o aditivos necesarios y las condiciones de aceptación de la materia prima e insumos. Por otra parte, se analizó la estructura por la que se encuentra organizada la empresa, los puestos de trabajo con los que cuenta y las distintas responsabilidades con las que tienen que cumplir quienes ocupen dichos ítems.El estudio ambiental pone a consideración la evaluación de todos los factores que puedan ocasionar algún impacto negativo a personas y/o medios ambiente: interno y externo de la empresa. Se analizaron los factores: ruido, olores, residuos sólidos, residuos líquidos y finalmente se hizo una cuantificación de los posibles daños. Existe, sin embargo, las buenas prácticas de manufactura que va muy de la mano con el estudio ambiental porque analiza no solo la forma de proceder ante cualquier operación, sino también, se enfoca al entorno externo y las condiciones en las que se trabaja. Es por esta razón que se desarrollo una propuesta evaluativa para determinar constantemente el estado en las que Bodegas y Viñedos Casa Grande lleva a cabo sus actividades.Finalmente los estudios financieros exponen en primera instancia el nivel de inversiones necesarias para que el proyecto se lleve a cabo. Se estableció los costos fijos y variables en los que deben incurrirse para poder producir y comercializar los productos. El análisis por medio de indicadores económicos nos deja en claro que la inversión realizada es factible desde un punto de vista financiero.</t>
  </si>
  <si>
    <t>https://drive.google.com/file/d/1ZBJBTUTmPyv4gUfNBLpxz4fpcrDw7xak/view?usp=sharing</t>
  </si>
  <si>
    <t>https://drive.google.com/file/d/139lkbu3b-HRGGnrBa6RxwFaZaAAOWBxh/view?usp=sharing</t>
  </si>
  <si>
    <t>https://drive.google.com/file/d/1_Wqx9QoDKduiIsgULYPypxYwEaO5S8ZZ/view?usp=sharing</t>
  </si>
  <si>
    <t>JOSÉ RAFAEL COSSIO LÓPEZ</t>
  </si>
  <si>
    <t>EDUARDO VÍCTOR VILLALOBOS ANCASI</t>
  </si>
  <si>
    <t>ESTABLECIMIENTO DE UN SISTEMA DE GESTIÓN DE LA CALIDAD EN BASE A LA NORMA ISO 9001:2000, EN LA LÍNEA DE BOLSAS Y SACOS  DE PAPEL PARA LA EMPRESA LA PAPELERA S.A. CBBA</t>
  </si>
  <si>
    <t>rafcossio23@hotmail.com</t>
  </si>
  <si>
    <t>IND-371-2010</t>
  </si>
  <si>
    <t>Línea de bolsas y sacos de papel, Sistema de Gestión de la Calidad, Norma ISO 9001:2000, Establecimiento.</t>
  </si>
  <si>
    <t>El Proyecto de Grado que se realizo tenía como objetivo general el de Establecer un Sistema de Gestión de la Calidad en base a la Norma ISO 9001:2000 en la línea de bolsas y sacos de papel para la empresa LA PAPELERA S.A. CBBA. que logre optimizar la calidad de sus productos y  reducir las no conformidades  e ineficiencias detectadas en todo el proceso productivo, sirviendo como herramienta fundamental para la mejora continua de la organización Con el proyecto se proporciono a la empresa toda la documentación necesaria para el cumplimiento de los requisitos de la Norma ISO 9001:2000 como ser el manual de la calidad, manuales de procedimientos, procedimientos maquina, instructivos de trabajo y formularios.Como base para el desarrollo del Sistema de Gestión de la Calidad primero se realizo un diagnostico de la situación actual de la empresa en relación a los requisitos de la Norma, teniendo como resultado un bajo porcentaje de cumplimiento con los requisitos, posteriormente en el desarrollo del sistema se identificaron los procesos necesarios y se determino la interacción de los mismos, y se empezó a desarrollar la principal documentación exigida por la Norma.  Una vez que se termino el desarrollo de la documentación se procedió a realizar un diagnostico final del Establecimiento del Sistema de Gestión de la Calidad en función a los requisitos exigidos por la Norma, teniendo como resultado final un porcentaje de cumplimiento optimo en relación a nuestro objetivo principal el Establecimiento del Sistema.Posteriormente se determino los costos del proyecto mediante un análisis incremental, tomando en cuenta dos situaciones, sin proyecto y con proyecto, demostrando la factibilidad del proyecto, garantizando ganancias a mediano y largo plazo. Finalmente se planteo un conjunto de recomendaciones para la implementación del Sistema y la mejora continua de la organización.</t>
  </si>
  <si>
    <t>https://drive.google.com/file/d/1sfoitDyEnD9AlSFHV8UL6QdTHDTS7PK8/view?usp=sharing</t>
  </si>
  <si>
    <t>https://drive.google.com/file/d/1htYhDETOHk0xIPsEs4_F8kefYWPXri4X/view?usp=sharing</t>
  </si>
  <si>
    <t>HERMOGENES TERRAZAS GARCIA</t>
  </si>
  <si>
    <t>COMPORTAMIENTO DE LA OCURRENCIA DE FALLAS EN SISTEMAS FOTOVOLTAICOS DOMÉSTICOS INSTALADOS EN EL DEPARTAMENTO DE TARIJA (PROYECTO GEF/BOL/97/G31 - TARIJA) PARA ENERGÉTICA</t>
  </si>
  <si>
    <t>htg_0.5@hotmail.com</t>
  </si>
  <si>
    <t>IND-372-2010</t>
  </si>
  <si>
    <t>Fallas, Sistema Fotovoltaico, Energía Solar, Estadísticas.</t>
  </si>
  <si>
    <t>El proyecto se elaboró a solicitud de ENERGÉTICA que trabaja en bien  al desarrollo de área rural del país, en el campo de energía  - desarrollo – medio ambiente y pobreza, que ha visto por conveniente realizar un análisis del comportamiento de la ocurrencia de fallas en sistemas fotovoltaicos domésticos debido a las fallas registradas de los sistemas fotovoltaicos.Primeramente se procedió a sistematizar los datos de los formularios de mantenimiento preventivo o mantenimiento preventivo planificado (MPP) que se llevan a cabo de forma periódica según el manual de O&amp;M (operación y mantenimiento) con el objetivo de rebajar lo correctivo; también se realiza la sistematización de los formularios de mantenimiento correctivo aquel que se ocupa de la reparación o remplazo de los componentes una vez que se produce el fallo del sistema fotovoltaico. De todo lo anterior se seleccionó los datos por componente para su posterior análisis. Posteriormente se realizó el análisis de los datos tanto de formularios de mantenimiento preventivo y correctivo, esto para cada componente del sistema fotovoltaico como el panel, regulador, batería, conversor, luminaria y accesorios; mediante el uso de herramientas estadísticos. De los datos de mantenimiento preventivo se efectúo gráficos estadísticos y análisis descriptivo de datos cuantitativo para los parámetros técnicos, todo análisis con sus respectivas interpretaciones.Seguidamente con los datos de formularios de mantenimiento correctivo se elaboró la totalidad de fallas de cada componente y garantía en los componentes que generalmente es de dos años que da el proveedor.Con la totalidad de fallas tanto del regulador, batería, fusible y luminaria se analizó el porcentaje acumulado de las fallas y el ajuste a una ecuación polinómica; además se realizó pruebas no paramétricas para conocer si las fallas se distribuyen de un modo Normal, Uniforme, Poisson y Exponencial, utilizando la prueba Kolmogorov – Smirnov. Las fallas de los sistemas fotovoltaicos y sus componentes se clasificaron en fallas técnicas, fallas humanas y fallas por mala ubicación. Cualquier falla del componente causa la falla total del sistema.También se efectuó la identificación de problemas o causas de fallas en los componentes reguladores, batería y luminaria, esto utilizando el método de análisis de Pareto; además se identificó el mal llenado de los formularios y se incorporaron algunos parámetros en el panel y batería.De los 500 sistemas fotovoltaicos analizados, los componentes que mas fallas presentaron son: el regulador  6,06%, batería 4,65% y luminarias 13,40%, todas las fallas ocurrieron antes de cumplir la garantía excepto la luminaria que representa el 9,09% del total de las fallas; la falla en cualquiera de los componentes causa la falla total del sistema; las fallas se ajustaron a una ecuación polinómica; para identificar las causas de  las fallas se utilizó el método de análisis de Pareto; los resultados fueron afectados por incompleto llenado de los formularios; etc.Se deberá mejorar el sistema de información para un mejor manejo de datos, tanto para los formularios de mantenimiento preventivo y correctivo; concientizar a los usuarios en conocimientos básicos del funcionamiento del sistema, y en el mantenimiento de este; implementar un sistema que permita ver el comportamiento de fallas; etc.</t>
  </si>
  <si>
    <t>https://drive.google.com/file/d/1z-LqJ3RmZK6eQyXp99JdtNnwKVNib8-o/view?usp=sharing</t>
  </si>
  <si>
    <t>https://drive.google.com/file/d/1P7lt1hqG-ZzYcpvHxBCCVysfL3Zxulv9/view?usp=sharing</t>
  </si>
  <si>
    <t>https://drive.google.com/file/d/1Jf3C7E-x5fLqUgW5HEDENwGWBIwHzkZl/view?usp=sharing</t>
  </si>
  <si>
    <t>CAROLA VIOLETA CÉSPEDES RIOS</t>
  </si>
  <si>
    <t>ING. EDDY MARCELO MEDRANO ECHALAR</t>
  </si>
  <si>
    <t>EVALUACIÓN Y DESARROLLO DE MEJORAS DE LOS PROCESOS OPERACIONALES EN ”YPFB LOGÍSTICA-PLANTA COCHABAMBA”</t>
  </si>
  <si>
    <t>carola.ces@hotmail.com</t>
  </si>
  <si>
    <t>IND-373-2010</t>
  </si>
  <si>
    <t>Sistema de gestión, YPFB Logística, mapa de procesos, procedimientos, instructivos, registros, guías,  indicadores, tablero de control de indicadores.</t>
  </si>
  <si>
    <t>El sistema de gestión de YPFB Logística S.A. ha sido basado e influenciado por estándares internacionales, auditorías externas de los accionistas, experiencia del personal nacional y extranjero, manuales y documentos de referencia de OILTANKING. Sin embargo, la empresa se ve en la necesidad de evaluar los procesos existentes, sus estándares y controles para hacer su seguimiento y medición; de esta manera se busca tener una mejor gestión operacional que, a su vez, permita una medición  real de todos los esfuerzos realizados por el personal para cumplir los objetivos de la empresa.La evaluación a la empresa permitió identificar  varias oportunidades de mejora en la documentación, la mejora continua, el seguimiento, control de indicadores y la estructura formal de sistema.Se aplicó el enfoque basado en procesos identificando los procesos  estratégicos, claves y de apoyo para centrar los esfuerzos en los procesos primordiales.Se desarrolló los procedimientos faltantes exigidos por la norma ISO 9001 versión 2008, los cuales son Control de Registros, Acciones Correctivas, Acciones Preventivas, y  Producto No Conforme.Para mejorar la gestión operativa, de seguridad industrial, seguridad patrimonial  y el desempeño del personal se elaboró  fichas de proceso, procedimientos, instructivos y registros haciendo que el sistema esté basado en evidencia tangible,  trazable y las auditorias tengan un mejor desempeño además que la documentación sea estandarizada.Se rescataron los  indicadores útiles y también se propusieron otros indicadores para cada proceso, teniendo un total de cuarenta y dos indicadores. Luego se elaboró la ficha de cada  indicador permitiendo que estos sean entendibles, sea fácil identificar sus rangos de desviación y acciones a emprender.Se elaboró un tablero de control de indicadores en el programa EXCEL 2007 con una interface amigable. Este tablero cuenta con cuatro hojas: la primera es la Caratula, la segunda es el Tablero de Control, la tercera es la Introducción de Datos y la cuarta es el Seguimiento a los Planes de Acción.El tablero de control de indicadores permite detectar en tiempo real los movimientos de la empresa, identificando fácilmente los que no cumplen las expectativas y así poder tomar las acciones correctivas a tiempo.El costo estimado para la implementación de las propuestas es de  18304 Bolivianos siendo un costo aceptable para la empresa debido a los beneficios inmediatos que  traerá. En conclusión, el documento elaborado estabiliza el sistema de gestión de YPFB Logística S.A. y proporciona los lineamientos para la certificación ISO 9001 versión 2008. Además se propone una herramienta “Tablero de Control de Indicadores” que permite direccionar ágilmente  a la empresa hacia los objetivos trazados.</t>
  </si>
  <si>
    <t>https://drive.google.com/file/d/1OaHFgrlO67J5uXE8fbu_qN2Xo3nZdg71/view?usp=sharing</t>
  </si>
  <si>
    <t>https://drive.google.com/file/d/18eg9k-DYdt3Z00Ru6lPkXQ8B4MaRVNBy/view?usp=sharing</t>
  </si>
  <si>
    <t>https://drive.google.com/file/d/1UkCVr-IAZH-UCDJv20jkhkbWOzAfEi-t/view?usp=sharing</t>
  </si>
  <si>
    <t>LUZ MAYA REVOLLO TERÁN</t>
  </si>
  <si>
    <t>ING. M.SC. IVÁN MÉNDEZ VELÁSQUEZ</t>
  </si>
  <si>
    <t>DISEÑO DE UN SISTEMA DE GESTIÓN DE MANTENIMIENTO PARA LA FLOTA DE MIXERS Y LA DOSIFICADORA DE LA PLANTA READY MIX COCHABAMBA DE SOBOCE S.A.</t>
  </si>
  <si>
    <t>luz.revollo@gmail.com</t>
  </si>
  <si>
    <t>IND-374-2010</t>
  </si>
  <si>
    <t>Sistema de Gestión de Mantenimiento (SGM), Plan de Mantenimiento Preventivo (PMP)</t>
  </si>
  <si>
    <t>A partir del diagnóstico de la Planta Ready Mix Cochabamba de SOBOCE S.A. se identificó las potencialidades y las oportunidades de mejora del área de mantenimiento mediante la Evaluación de Desempeño Organizacional. Dicha evaluación permitió conocer el índice de gestión del área de mantenimiento.A continuación se desarrollo un análisis operacional de mantenimiento, con el fin de conocer el funcionamiento básico de la flota de mixer y la dosificadora, para este análisis se elaboró Diagramas de Pareto, Diagramas Causa efecto, también se realizó un Análisis de Criticidad  y con ello se determinó cuáles son las causas de falla  más comunes que se presentaron dentro los equipos en referencia.Posteriormente se elaboró un PMP para la flota de mixer y la dosificadora, en el cual se detalló la frecuencia con la cual se deben realizar las actividades de mantenimiento y la persona responsable de ejecutarlas.Por otra parte se realizaron mejoras de las Órdenes de Trabajo y los Partes Diarios de acuerdo a lo requerido por el departamento de mantenimiento, también se propuso la implementación de los índices de Gestión de Mano de Obra y los índices Gestión de Equipos, los cuales fueron integrados en el sistema para su respectiva evaluación.Con la información recopilada, se determinaron los requerimientos del sistema en base a los cuales se elaboró el diseño lógico del SGM, dicho sistema fue desarrollado para tener la capacidad de:§  Generar Órdenes de Trabajo y Partes Diarios parcialmente llenas.§  Controlar el punto de reposición de los materiales y repuestos disponibles en almacenes.§  Controlar la salida y la devolución de las herramientas.§  Controlar la disponibilidad de los equipos. §  Generar informes del control de los índices de gestión de mantenimiento. Finalmente se estimaron los costos de análisis y elaboración del sistema, costos de implementación, costos de capacitación y costos de operación para el sistema de gestión de mantenimiento. Así también, se mencionaron los beneficios cualitativos que el SGM ofrece a la unidad productiva.</t>
  </si>
  <si>
    <t>https://drive.google.com/file/d/1hPqgCpCV29AF5UefCuyzE9zupA-7Jk0n/view?usp=sharing</t>
  </si>
  <si>
    <t>https://drive.google.com/file/d/1lVcx3qIrbgjMPnk-AEnILR1x2P_QUA6T/view?usp=sharing</t>
  </si>
  <si>
    <t>https://drive.google.com/file/d/10wPxYrqmDV6qwvtJdvPDQo9o2EHDbF5f/view?usp=sharing</t>
  </si>
  <si>
    <t>BORIS CLAROS OLIVERA</t>
  </si>
  <si>
    <t>DISEÑO LÓGICO DE UN SISTEMA INFORMÁTICO PARA LA ADMINISTRACIÓN DE RECURSOS HUMANOS DE E.M.S.A.</t>
  </si>
  <si>
    <t>boris.bco@gmail.com</t>
  </si>
  <si>
    <t>IND-375-2010</t>
  </si>
  <si>
    <t>Diseño lógico, Sistema Informático, Recursos Humanos, Empresa Municipal de Servicios de Aseo, E.M.S.A., Proceso Unificado.</t>
  </si>
  <si>
    <t>Dentro de la Empresa Municipal de Servicios de Aseo E.M.S.A., se cuenta con el Departamento de Recursos Humanos, el cual se encarga de administrar  la información de los funcionarios de la empresa, con el uso de varios documentos físicos y digitales, por lo que se precisaba de un único sistema informático que organice y agrupe toda esta información, facilitando la realización de las actividades del encargado de Recursos Humanos, como ser: el registro de cargos y personal, el registro de asistencia, calculo de finiquito y la generación de reportes.Por lo que se realizó el diseño lógico de un sistema informático denominado SAPEMSA que significa Sistema de Administración de Personal para la E.M.S.A., para realizar dicho diseño se opto primeramente con la elaboración de un diagnostico del sistema actual del departamento de Recursos humanos, en el cual se estableció la manera en que se procede en cada uno de las actividades del departamento. Posteriormente se efectuó la identificación del personal de la empresa según la estructura orgánica en actual vigencia, esto con la finalidad de determinar los atributos que se deben de registrar dentro del sistema, además de calcular la cantidad de información con la que  se contaría.En cuanto a las tecnologías de modelamiento de software se ha usado Proceso unificado como método de desarrollo del sistema, por sus características de organización y asignación de tareas, asegurando así la producción de un diseño de software de muy alta calidad que satisfaga las necesidades de los usuarios finales. Para el cumplimiento de las actividades se estableció la división del sistema en los siguientes módulos:Ø  Modulo de Administración de Cargos: En el cual se registraran los nuevos cargos que formaran parte de la estructura orgánica de la empresa. Ø  Modulo de Administración de Personal: En este modulo se maneja toda la información de los funcionarios de la empresa, como ser el registro de la información personal, además de los estudios realizados y la documentación enviada o recibida por el mismo como ser memorándums o solicitudes, en otra de las opciones del modulo se podrá generar el reporte del kardex en el cual se podrá visualizar información relevante del trabajador. Además se gestionara la información de las personas que tendrán acceso al sistema, estos están clasificados en tres tipos que son: el Encargado de Recursos humanos, que tiene acceso a todos los módulos, El Encargado de Activos Fijos que tiene acceso al modulo de administración de Personal en la opción de realizar asignación de activos, y finalmente el usuario denominado Gerente que tiene acceso al modulo de generación de reportes. Ø  Modulo de Control de Asistencia: En este modulo se registrara las asistencias, ausencias y salidas, además el sistema generara reportes de cada uno de estosØ  Modulo de Control de Retiros: Cuando un funcionario se retira de la empresa por cualquier motivo se debe de realizar el cálculo del finiquito, el cual lo realiza  SAPEMSA de forma automática. Ø  Modulo de Generación de Reportes: Para la generación de reportes se cuenta con el presente modulo, en el cual se cuenta con reportes pre establecidos, además de la generación de un reporte flexible que se puede armar con la selección de varios atributos requeridos.Ø  Modulo de Generación de Backup: El sistema permite la generación de un respaldo de la base de datos, así en caso de que se produzca algún tipo de error se podría cargar el respaldo de la base de datos y volver a un estado anterior.Ø  Modulo de Integración del sistema de Recursos Humanos con el sistema de Activos Fijos: En este modulo se indican los cambios que se realizaron para integrar SAPEMSA con otro sistema ya existen que es el Sistema de Activos Fijos para E.M.S.A. (SAFEMSA).Como validación para la división del sistema se tomo en cuenta las consideraciones normativas que establece la Ley 1178 “Ley de Administración y control gubernamental”, estableciendo la compatibilidad entre SAPEMSA y el Sistema de Administración de Personal (SAP).Además se estableció la factibilidad técnica, operacional y financiera del sistema informático, aplicando técnicas de estimación de costos para desarrollo de software, demostrando que los beneficios tácticos y estratégicos de la implementación de SAPEMSA son mayores que los costos estimados.Por lo que el Diseño lógico del Sistema de Administración de Personal para EMSA (SAPEMSA) tiene la capacidad de mejorar la administración de recursos humanos, debido a que permita una organización más adecuada de la información, optimizando el tiempo de procesamiento y así optimizando la generación de reportes.</t>
  </si>
  <si>
    <t>https://drive.google.com/file/d/13S6N6OI0tYK6PpvwQwP7hkkSYKKxONmy/view?usp=sharing</t>
  </si>
  <si>
    <t>https://drive.google.com/file/d/16p3eES5z27wvGeKktiz5uEf34Et8zKX9/view?usp=sharing</t>
  </si>
  <si>
    <t>https://drive.google.com/file/d/1VsXTdxSuw2-SY2iaqcfD_nF97rtYwxf_/view?usp=sharing</t>
  </si>
  <si>
    <t>NESTOR M. HUAYLLANI ALVARADO</t>
  </si>
  <si>
    <t>DISEÑO DE UN PLAN DE NEGOCIOS DE FORTALECIMIENTO PARA LA ASOCIACIÓN DE PRODUCCIÓN TEXTIL K’ANCHAY</t>
  </si>
  <si>
    <t>ne.mi777@gmail.com</t>
  </si>
  <si>
    <t>IND-376-2010</t>
  </si>
  <si>
    <t>Plan de negocios, K’anchay, Mypes, Rentabilidad, Poleras, Asociación.</t>
  </si>
  <si>
    <t>El presente trabajo se presenta como un plan de negocios el cual busca la ampliación de la producción de poleras de varón de la Asociación K’anchay. El objetivo principal del mismo es demostrar técnica y financieramente dicha ampliación. Durante el estudio de mercado se evaluó la posibilidad de incursionar en el mercado local, analizando a la competencia y al consumidor final.La materia prima es la tela pique, botones, hilos y cuellos, los insumos requeridos son: etiquetas de telas bordadas, etiquetas de cartón y bolsas de polipropileno.Por medio de la ingeniería del proyecto se determino e identifico los diferentes equipos y maquinarias requeridas para la confección de poleras. Para la conclusión del proyecto se establecieron las funciones del personal y el organigrama de K’anchay de la nueva empresa.Establecida la maquinaria, personal y materia prima, se establecieron los costos de funcionamiento del taller así como los ingresos y utilidades proyectadas a obtenerse. Con estos valores se determinaron un VAN = 40403 $us. y un TIR = 40% y la relación Beneficio / Costo de 1,66 donde se concluye que la ampliación de la producción de K’anchay desde el punto de vista financiero y técnico es factible.</t>
  </si>
  <si>
    <t>https://drive.google.com/file/d/1Fmoy3joK84i5j02LTYw7xCDEvhbKXqqv/view?usp=sharing</t>
  </si>
  <si>
    <t>https://drive.google.com/file/d/1mkEuSOM-7XdCJVK_9ry5_O0v5GFRMzZp/view?usp=sharing</t>
  </si>
  <si>
    <t>https://drive.google.com/file/d/1Etokfl-aCVZcDbBl2TkgUzdNpFeORaZw/view?usp=sharing</t>
  </si>
  <si>
    <t>FREDDY MARCELO SURRIABRE DICK</t>
  </si>
  <si>
    <t>DISEÑO DE UN SISTEMA DE GESTIÓN DE LA SEGURIDAD Y SALUD EN EL TRABAJO PARA LA EMPRESA DE CONFECCIONES ROMAN JEANS</t>
  </si>
  <si>
    <t>fm_sur@hotmail.com</t>
  </si>
  <si>
    <t>IND-377-2010</t>
  </si>
  <si>
    <t>Empresa de confecciones ROMAN JEANS, Seguridad y Salud, Sistema de Gestión, Prevención y control de Riesgos</t>
  </si>
  <si>
    <t>En primera instancia, lo que se hizo fue determinar la situación actual de la empresa en lo que se refiere a condiciones de seguridad y salud en el trabajo. Para ello, se obtuvo información mediante una entrevista con el gerente y haciendo observaciones y seguimiento de todas las actividades que se realizan en la empresa. Es así que, mediante la entrevista con el gerente, se pudo obtener información sobre políticas, planes y programas referidos a la seguridad y salud en el trabajo, con los cuales la empresa de confecciones Roman Jeans no cuenta. Es decir, que la empresa no posee de políticas de seguridad y salud en el trabajo, ni cuenta con planes y programas para prevenir y controlar los riesgos presentes en la empresa.A través de las observaciones y seguimiento, se pudo obtener información referida a los siguientes aspectos: organización de la empresa, elementos básicos de seguridad, descripción de las instalaciones y el flujograma funcional del proceso productivo. Así mismo, se realizó la identificación y evaluación de riesgos, que es una de las principales actividades a realizar, para posteriormente determinar las medidas preventivas y de control. Esta actividad se la realizó utilizando un método simplificado de identificación y evaluación de riesgos, tomando en cuenta la normativa BS 8800:1996, la cual permite la evaluación de riesgos teniendo en cuenta la probabilidad y potenciales daños que puedan ocasionar los riesgos.Una vez obtenida toda la información necesaria, y realizada la identificación y evaluación de riesgos, se procedió a el diseño del Sistema de Gestión de Seguridad y Salud en el Trabajo. Para tal fin, se utilizó como texto guía, el documento ILO-OSH - Directrices relativas a los Sistemas de Gestión de la Seguridad y Salud en el Trabajo. Documento elaborado por la OIT (Organización Internacional del Trabajo), el cual establece los principales elementos que debe contener un Sistema de Gestión de la Seguridad y Salud en el trabajo. Estos elementos son: Políticas de Seguridad y Salud en el Trabajo, Organización, Planificación y Aplicación, Evaluación, y por último la Acción en pro de mejoras.Teniendo en cuenta estos elementos, se realizó el diseño del Sistema de Gestión de la Seguridad y Salud en el trabajo para la empresa de confecciones Roman Jeans. En lo que se refiere a las políticas, se establecieron como base seis políticas, que están referidas al compromiso de la empresa de cuidar y proteger la seguridad y salud de todos los trabajadores. Así mismo estas políticas establecen el direccionamiento y los principales valores y criterios a seguir en las actividades que se realizan en la empresa. Posteriormente se definió una estructura organizativa acorde a lo establecido en la Ley General de Higiene, Seguridad Ocupacional y Bienestar, en donde se estable la necesidad de crear un Comité Mixto de Seguridad y Salud ocupacional.Luego del establecimiento de la estructura organizativa, se desarrollaron todos los planes y programas orientados a prevenir y controlar todos los riesgos identificados en la empresa. Los planes y programas desarrollados son los siguientes: Programa de prevención y control de: Riesgos de accidentes, Riesgos de contaminantes Físicos, Riesgos de Contaminantes Químicos, Riesgos de Contaminantes Ergonómicos, Contra incendios. También se desarrollaron los siguientes programas: Programa de Procedimientos de materiales, equipos y maquinaria, Plan de Emergencias y primeros auxilios, Programa para la dotación de equipos de protección individual, Sistema de Señalización, Programa de Orden y Limpieza y por último el Programa de Capacitación del Personal.Finalmente se determinaron procedimientos para realizar la evaluación y mejora continua del Sistema de Gestión de la Seguridad y Salud en el Trabajo. Esto a través de encuestas y registros, que se elaboraron con la finalidad de determinar el grado de cumplimiento del Sistema de Gestión, y determinar si las medidas y controles establecidos son adecuados para prevenir y controlar los riesgos identificados. De esta manera se diseñó todo el Sistema de Gestión de Seguridad y Salud en el trabajo para la empresa de confecciones Roman Jeans.Como última actividad, se realizó un análisis beneficio/costo de la implementación del Sistema de Gestión de la Seguridad y Salud en el Trabajo. Esto con la finalidad de justificar por otro tipo de medios, en este caso, a través de los impactos económico y social, la implementación del sistema en cuestión.Después de realizado todo el trabajo, se pudo concluir que las condiciones actuales de la empresa en términos de seguridad y salud en el trabajo, son ineficientes e inadecuadas, razón por la cual es necesario la implementación de un Sistema de Gestión de la Seguridad y Salud en el trabajo que permita establecer y mantener condiciones seguras de trabajo. Es así que el Sistema de Gestión propuesto, se lo ha realizado tomando en cuenta todas las características propias de la empresa, haciéndolo adecuado para su implementación en la empresa de confecciones Roman Jeans.</t>
  </si>
  <si>
    <t>https://drive.google.com/file/d/1FIihlxSDMr2ZLY7YeWbyxtTyJc_dzKZz/view?usp=sharing</t>
  </si>
  <si>
    <t>https://drive.google.com/file/d/1iligNOju6GiCrw46WG1pzr13pnwU98zn/view?usp=sharing</t>
  </si>
  <si>
    <t>https://drive.google.com/file/d/1LWK8AAEzTPm6oc9wDoVmk1MnXNmC4Bzu/view?usp=sharing</t>
  </si>
  <si>
    <t>PATRICIA MARCELA LIZARAZU RIOS</t>
  </si>
  <si>
    <t>DISEÑO DE UN MODELO DE GESTIÓN DE INOCUIDAD ALIMENTARÍA SEGÚN LA NB ISO 22000:2005 PARA LA EMPRESA VIGOR EN SU LÍNEA DE LÁCTEOS.</t>
  </si>
  <si>
    <t>patty_1310@hotmail.com</t>
  </si>
  <si>
    <t>IND-378-2010</t>
  </si>
  <si>
    <t>Sistema de Gestión de Inocuidad Alimentaria (SGIA), Inocuidad, Buenas Prácticas de Manufactura (BPM´s), Puntos Críticos de Control (PCC´s), Hazard Analysis Critical Control Point (HACCP).</t>
  </si>
  <si>
    <t>La Empresa VIGOR, como una alternativa de solución para aumentar sus consumidores, vio la necesidad de implementar un Sistema de Gestión de Inocuidad de sus Alimentos, mediante el aseguramiento en el control de sus procesos y, así presentar a sus consumidores un producto seguro y con calidad de exportación, de esta manera poder crecer no solo en el mercado interno, si no también beneficiando al crecimiento de nuestra región y país, para esto requirió del diseño de un modelo aplicado a la Empresa, que debido a sus condiciones también podrá ser aplicado por empresas que quieran iniciarse en el campo de la producción de lácteos.Primeramente se realizó un diagnostico de evaluación de pre- requisitos con el cual se pudo identificar los puntos de falencias y en función a estos se planteó soluciones para poder cumplir con los prerrequisitos del Sistema de Gestión de Inocuidad Alimentaria.Posteriormente se dio cumplimiento a los requisitos generales que exige la Norma Boliviana ISO 22000:2005, mediante la aplicación del Plan HACCP, con un control en cada una de las etapas de los procesos de elaboración de los productos, con el cual se eliminó la contaminación existente.Una vez implementado el Plan HACCP, se propusieron sistemas de verificación, validación y mejora del sistema a través de la mejora continua, que consiste en la medición del desarrollo del sistema por medio de indicadores y la aplicación de auditorias internas para identificar no conformidades con el objeto de aplicar medidas correctivas y una vez eliminadas, poder solicitar una auditoria externa y dar paso a la certificación ISO 22000:2005.A medida que se desarrolle el sistema se procederá a desarrollar la documentación paralelamente ya que la interacción de ambos hace que funcione eficazmente el sistema.Posteriormente se realizara la determinación de costos para la implementación de pre- requisitos y para el desarrollo del sistema de gestión de inocuidad alimentaria.</t>
  </si>
  <si>
    <t>https://drive.google.com/file/d/1I-uULaiQsAPpPWmO6_nCm386Ik-mpvIp/view?usp=sharing</t>
  </si>
  <si>
    <t>https://drive.google.com/file/d/10Qth4QizcUH-fZ5XYC7PyYEVleJHYIet/view?usp=sharing</t>
  </si>
  <si>
    <t>https://drive.google.com/file/d/1G1zFcxnFiiVeYT9HCym44s0xP-E-Pndv/view?usp=sharing</t>
  </si>
  <si>
    <t>NAYELY REINAGA BALDERRAMA</t>
  </si>
  <si>
    <t>ING. MABEL MAGARIÑOS VILLARROEL</t>
  </si>
  <si>
    <t>ESTUDIO DE FACTIBILIDAD DE UNA PLANTA GENERADORA DE OXIGENO MEDICINAL EN COCHABAMBA</t>
  </si>
  <si>
    <t>IND-379-2010</t>
  </si>
  <si>
    <t>Proceso PSA- Adsorción por diferencia de presión, Licitaciones.</t>
  </si>
  <si>
    <t>El Trabajo Final de Grado pretendió determinar la factibilidad comercial, técnica y financiera de la Implementación de una Planta Generadora de Oxigeno Medicinal en Cochabamba.El proyecto pretende brindar un servicio a la sociedad, participando en el mercado del oxígeno medicinal desempeñando el papel de oferente, con una estrategia de comercialización basada en precio, ya que el problema identificado es justamente el alto precio de venta debido a un mercado oligopólico. Dada la importancia del problema central, el proyecto espera causar un impacto en el aspecto social, tecnológico y económico dentro del escenario cochabambino seleccionado.Se realizó un estudio de mercado a través del cual se colectaron los datos suficientes y competentes para poder elaborar una confiable proyección de la demanda del producto.Dentro el estudio técnico se seleccionó el Proceso PSA (Adsorción por diferencia de Presión), esto porque tiene un uso más industrial que el proceso de Licuefacción y Destilación Fraccionada, que es de aplicación de tipo experimental y necesita ambientes más controlados, en cambio la tecnología PSA es más resistente ante el entorno.Se determinó también la localización óptima de la planta en la carretera Blanco Galindo Km. 6,5. Referente a la ingeniería del proyecto se elaboró planes y diseño del proceso productivo, requerimiento de mano de obra y definición de la estructura organizacional más conveniente.De acuerdo al análisis financiero se obtuvo los siguientes indicadores:·       Sin financiamiento externo:VAN = 33.906 [$us]·       Con financiamiento externo:VAN = 73.538 [$us] En ambos casos, con financiamiento y sin financiamiento el VAN resulta ser mayor a cero, lo que señala que el proyecto es factible, se obtiene también un TIR en las dos opciones mayor a la TMAR(15%), lo que indica que el proyecto es suficientemente rentable.Se realizó un análisis de sensibilidad, modificando el precio de venta y la cantidad vendida, y los indicadores siguen siendo aceptables aún en un escenario pesimista.</t>
  </si>
  <si>
    <t>https://drive.google.com/file/d/1T8co4Fz2PQ-6my9kOWTiTCHIcI4bQD3D/view?usp=sharing</t>
  </si>
  <si>
    <t>https://drive.google.com/file/d/175R-Xqh_f5ML0bVM9nlPzXAqHAAa67lG/view?usp=sharing</t>
  </si>
  <si>
    <t>https://drive.google.com/file/d/1Gq9KnzBwfoTPjCRQ1Sxxc_3ntJWDaLJO/view?usp=sharing</t>
  </si>
  <si>
    <t>INDIRA ABIGAIL ALMARAZ PARRADO</t>
  </si>
  <si>
    <t>KAREN JIMENA LÓPEZ QUIROGA</t>
  </si>
  <si>
    <t>ING. JORGE FLORES HUALCA</t>
  </si>
  <si>
    <t>ESTUDIO DE FACTIBILIDAD PARA LA COMERCIALIZACIÓN DE AGUA NATURAL EMBOTELLADA Y LA IMPLEMENTACIÓN DE UNA PLANTA DE TRATAMIENTO DE AGUAS</t>
  </si>
  <si>
    <t>indialm@hotmail.com</t>
  </si>
  <si>
    <t>IND-380-2010</t>
  </si>
  <si>
    <t>Planta de tratamiento de agua, rentable, factible, ingeniería de proyecto, estudio de mercado, evaluación financiera y económica, evaluación del impacto ambiental, estructura organizacional.</t>
  </si>
  <si>
    <t>Partiendo de la insatisfacción de la demanda en cuanto se refiere al consumo de agua embotellada en la provincia de Cercado, se vio la necesidad de instalar una planta de tratamiento de agua, teniendo como antecedente una propiedad por la cual corre una vertiente natural en la zona de Pacata Baja.Para la realización del estudio de factibilidad la metodología empleada fue: 1)  Recopilación de información y datos (secundarios y primarios). 2) Análisis de la información obtenida. 3) Concluir y poder recomendar. Se procedió a realizar un análisis desde el punto de vista fisicoquímico y microbiológico del agua, siendo punto de comparación los parámetros establecidos según la norma NB 512, para poder concluir si era apta para el consumo humano. Concluyendo que el agua necesitaba seguir un proceso.Después de analizar los procesos necesarios, se determinó las operaciones para el tratamiento del agua. Las cuales serian: Ozonizado, Filtrado, Pulido y Desinfección con radiación ultravioleta. Y a partir de esto se pudo determinar la maquinaria necesaria para el proceso productivo, la distribución de planta y las especificaciones a las que deberían estar sujetos las obras civiles, según la reglamentación Inocuidad Alimentaria de SENASAG.Se identificó los insumos y materiales para el proyecto, así como también los proveedores.En relación a la demanda se estableció la capacidad de producción óptima para poder satisfacer el consumo de agua embotellada.A la par se llevo a cabo una investigación de mercados, la cual nos permitió conocer la demanda del producto, el perfil del consumidor, sus hábitos de consumo, ayudando de esta forma en la toma de decisiones para el lanzamiento del producto.Se identificó el tipo de organización lineo-funcional, como la más adecuada para la administración de los recursos humanos de la planta y se pudo realizar una estimación de la cantidad de mano de obra y el costo de la misma.En lo que respecta al estudio del plan de marketing, para poder realizar el lanzamiento del producto en el mercado, se realizo una evaluación de los escenarios externos, comprobándose que estos estaban a favor del proyecto. También se siguió el modelo de Porter, para evaluar la competencia en el mercado.Se desarrolló una evaluación económica social y financiera del proyecto, mediante indicadores económicos como el TIR (Tasa Interna de retorno), VAN (Valor actual neto) y Relación Beneficio Costo B/C. Posteriormente se realizó el análisis de sensibilidad para determinar las variables que tiene alta influencia en el proyecto.Se evaluó los impactos ambientales del proyecto, identificando su categoría según la Secretaria Nacional de Recursos Naturales y Medio Ambiente.</t>
  </si>
  <si>
    <t>https://drive.google.com/file/d/1nAzhE_jIyI_FEOM-bcQncK3VeqVvPjtS/view?usp=sharing</t>
  </si>
  <si>
    <t>https://drive.google.com/file/d/1tjoRB-0Zzwnedloz7AY5eScjXbZ4FwdU/view?usp=sharing</t>
  </si>
  <si>
    <t>https://drive.google.com/file/d/1J53JjNactcUrvvnmCAogxSGtY7ZSjOwK/view?usp=sharing</t>
  </si>
  <si>
    <t>LUIS FERNANDO GUZMÁN FERNÁNDEZ</t>
  </si>
  <si>
    <t>BALERIO VIRREIRA MENECES</t>
  </si>
  <si>
    <t>DISEÑO DE UN SISTEMA DE GESTIÓN DE CALIDAD BASADO EN LA NORMA ISO 9001:2008 PARA EL ÁREA DE PRODUCCIÓN DEL PDTF</t>
  </si>
  <si>
    <t>nandito_guz@hotmail.com</t>
  </si>
  <si>
    <t>IND-381-2010</t>
  </si>
  <si>
    <t>Sistema, Gestión, Calidad, Proceso, Producto y/o Servicio, PDTF, Norma ISO 9001:2008, Diagnostico, Cliente y Requisito</t>
  </si>
  <si>
    <t>Un Sistema de Gestión de Calidad es el conjunto de elementos interrelacionados de la organización que trabajan coordinados para establecer y lograr el cumplimiento de la política de calidad y los objetivos de calidad, generando consistentemente productos y servicios que satisfagan las necesidades y expectativas de sus clientes. El Programa  de Desarrollo de Tecnologías de Fabricación (PDTF) al trasladarse a sus nuevas instalaciones a EX METALCO ubicado en el Km. 11 de la avenida Blanco Galindo  vio por conveniente organizarse y trabajar bajo un Sistema que le permita crecer y competir en el mercado del rubro de metalmecánica. Frente a esta situación el Director del PDTF vio por conveniente realizar el diseño de Sistema de Gestión de Calidad bajo la norma ISO 9001:2008 para el área de producción deseando alcanzar los beneficios que trae la implementación del Sistema. Con la implementación  de este proyecto se quiere lograr mayor número de clientes, mantener la confianza de los clientes, entrar en competencia con otras empresas, prestigio de la UMSS en desarrollo de tecnologías e investigación, trabajando de forma ordenada en los procesos internos, haciendo toma de decisiones en base a hechos, haciendo un seguimiento, medición y control de todos los procesos, permitiendo un crecimiento serio de su personal y así tomar el camino de mejora continua.Se realizo la investigación de los requisitos requeridos por la Norma ISO 9001:2008 y aplicables al programa PDTF. Se pudo diagnosticar al programa en base a los requisitos que presenta la Norma ISO 9001:2008, estableciendo los puntos de no conformidad Mayor, Menor y las Observaciones u Oportunidades de Mejora.Con los resultados obtenidos del diagnostico se procedió al Diseño del Sistema de Gestión de Calidad empezando por comprometer a la dirección del PDTF. Luego se procedió a definir lo que es la Misión y Visión del PDTF e identificar los productos y servicios que se realizan.Posteriormente se procedió a la identificación de los procesos y se creó dos procesos nuevos; Gestión de Calidad y Recursos Humanos. Se hizo un descripción de los mismos mediante un modelo de procesos que contiene las operaciones de los procesos y el detalle de  estos en actividades, además de  determinar las entradas y salidas de los procesos.Se realizo el diseño de mapa de procesos y la interrelación de los mismos para el funcionamiento correcto con lo cual se procedió a elaborar la documentación, entre los documentos más destacados que se hicieron  están el Manual de calidad, el manual de procedimientos, los instructivos de trabajo, el modelo de procesos y otros. Se informo de los avances a los distintos encargados de los procesos y se tomaron consideraciones de cada uno de ellos para incluirlas dentro de la documentación y se establecieron sus roles y funciones dentro del Sistema de Gestión de Calidad.Como último se hicieron consideraciones acerca de los costos de implementación y los beneficios que tendría para el Programa PDTF el implementar el Sistema de Gestión de Calidad.</t>
  </si>
  <si>
    <t>https://drive.google.com/file/d/1io9asga5QkXVI9y5-sUKg3z6q7AqLWON/view?usp=sharing</t>
  </si>
  <si>
    <t>https://drive.google.com/file/d/1lxaIUsb5nbzW-6evP837XCNEmc9_pmYc/view?usp=sharing</t>
  </si>
  <si>
    <t>https://drive.google.com/file/d/16vyu0p2KkTygLovIXKpvWJpdo03-a7CI/view?usp=sharing</t>
  </si>
  <si>
    <t>KAROL HILDA MARTINEZ SABA</t>
  </si>
  <si>
    <t>PLAN DE GESTIÓN EN SEGURIDAD E HIGIENE OCUPACIONAL PARA EL FONDO DE LA COMUNIDAD S.A. FFP</t>
  </si>
  <si>
    <t>karolmsk@hotmail.com</t>
  </si>
  <si>
    <t>IND-382-2010</t>
  </si>
  <si>
    <t>Plan de Gestión en Seguridad e Higiene Ocupacional para el Fondo de la Comunidad S.A. FFP, Seguridad y Salud Ocupacional, Higiene Industrial</t>
  </si>
  <si>
    <t>El Fondo de la Comunidad S.A. FFP vió por conveniente implementar un Plan de Gestión en Seguridad e Higiene Ocupacional para la identificación, prevención, control y/o eliminación de peligros o condiciones inseguras que puedan provocar un incidente que afecte al personal, clientes e instalaciones; manteniendo la continuidad en el desarrollo de sus funciones; ya que se pudo evidenciar que la entidad dentro de sus actividades no cuenta con sistemas de prevención específicos relacionados con la prevención de riesgos laborales dentro las áreas de ergonomía y Seguridad Laboral.La metodología mas adecuada utilizada en la elaboración del proyecto se presenta a continuación:Como primer paso, se realizó un diagnóstico actual en todos los niveles del Fondo de la Comunidad S.A. FFP, el cual representó el elemento básico para obtener información confiable y adecuada, a partir de ello se realizó una identificación y evaluación de peligros, plasmado en mapas de riesgos; lo que nos permitió el desarrollo de medidas correctivas y factibles para el siguiente paso que fué el plan de gestión en seguridad e higiene ocupacional. Para la realización del  Plan de Gestión de Seguridad e Higiene Ocupacional, nos basamos en diversas normas y leyes tales como: NFPA 10 (National Fire Protection Association), OHSAS 18001, Ley General Nº 16998 de Higiene, Seguridad Ocupacional y Bienestar, NB – 55001  Señalización de seguridad, mediante las cuales se identificaron los requisitos legales y organizacionales aplicables a la institución. Posteriormente se realizó un plan de sensibilización y capacitación al personal, con el propósito de  interiorizar a los funcionarios de la entidad en temas de seguridad y la importancia de su aplicación. Finalmente se elaboró un estudio de análisis de costos como propuesta para la implementación del Plan, tomando en cuenta señalización, equipamiento entre otros.Se procedió a la elaboración de un Plan de Emergencias el cual representó para el personal de la institución una base para actuar de manera correcta en cualquier incidente que podría suscitarse dentro las instalaciones de la misma.Se espera que el Plan de Gestión en Seguridad e Higiene Ocupacional, sirva de base al Fondo de la Comunidad S.A. FFP como guía para mejorar el desempeño de sus operaciones en temas de seguridad y salud ocupacional, propiciando las bases para minimizar los peligros y riesgos más relevantes a la salud, accidentes y otros.A través de los resultados obtenidos se pudo concluir que la estructura y el enfoque del Plan en base los criterios de la OHSAS 18001, es una muy buena base para iniciar la implementación de un Sistema de Gestión de Seguridad y Salud Ocupacional en la entidad acorde con la actual legislación, con asesoría particular y con las pautas dadas por el Ministerio de Trabajo. Este compromiso mas que un apoyo moral es mas un apoyo económico para poder vencer los peligros e impactos, como también los riesgos laborales, identificados y las sugerencias de mejora, basadas en estos, mediante la ejecución de la auditoria y monitoreo realizado en el Plan, consiguiendo establecer una línea de base y un entendimiento todavía mejor de los mismos. Se recomienda realizar revisiones de forma mas continua de la lista de los peligros identificados y considerados como los mas relevantes al interior de la entidad y mantenerla actualizada como un documento vivo dentro del Plan.</t>
  </si>
  <si>
    <t>https://drive.google.com/file/d/1TFVlq8GdqUszwKVZlWCOCHqhSshR_ui0/view?usp=sharing</t>
  </si>
  <si>
    <t>https://drive.google.com/file/d/1v6j_iKofw2JrEJiiX8DBhIUXwJ4KNAGi/view?usp=sharing</t>
  </si>
  <si>
    <t>https://drive.google.com/file/d/1yWXwz5P4ZVRGKkCidefLr5a93rzZlxQb/view?usp=sharing</t>
  </si>
  <si>
    <t>PERCY  WALTER CHAMBI ZEGARRA</t>
  </si>
  <si>
    <t>MSC.ING. MARÍA DEL CARMEN ARNEZ CAMACHO</t>
  </si>
  <si>
    <t>PLAN DE SEGURIDAD INDUSTRIAL PARA EL COLEGIO AGUA VIVA DE ROCA</t>
  </si>
  <si>
    <t>IND-383-2010</t>
  </si>
  <si>
    <t>Plan de Seguridad Industrial Agua Viva de la Roca, Prevención, Módulos, Implementaciones, Programa de Capacitación.</t>
  </si>
  <si>
    <t>El Objetivo principal de este proyecto fue realizar un “Plan de Seguridad Industrial para el Colegio Agua Viva de la Roca”, tal que permita reducir los niveles de riesgo a los que están expuestos los estudiantes, profesores y administrativos y de esta manera se podrá prevenir todas las probables lesiones y enfermedades mediante una eficiente administración, que garantice un lugar de trabajo y estudio seguro é higiénico.La Metodología seguida para resolver el problema de seguridad en el colegio, está basada fundamentalmente en la ejecución de un Diagnostico sobre Seguridad e Higiene Ocupacional en los distintos ambientes de aprendizaje del Colegio. Los datos del diagnostico, permita la identificación de los riesgos para su posterior análisis, identificando deficiencias en la infraestructura, las instalaciones y los equipos con los que cuenta el Colegio Agua Viva de la Roca. Con la información recabada en el análisis de riesgos se procederá a la evaluación de los mismos para luego realizar un diagnostico sobre seguridad, se procederá a la elaboración de las normas y reglamentos internos, acerca de la Seguridad e Higiene Ocupacional para los ambientes del Colegio Agua Viva de la Roca.Se puede concluir que existe un escaso conocimiento sobre las leyes y normas de Seguridad e Higiene Ocupacional, tanto por parte de los estudiantes,  profesores y administración. En el Colegio se presenta riesgos moderados, tanto en los centros de aprendizaje, centros de recreación, como en el ambiente de trabajo. Es necesaria la implementación de este plan de Seguridad Industrial en el Colegio Agua Viva de la Roca.</t>
  </si>
  <si>
    <t>https://drive.google.com/file/d/1bDpDuLuLM__Q6upgyAy98Pb4zW87omwW/view?usp=sharing</t>
  </si>
  <si>
    <t>https://drive.google.com/file/d/1ZnD2vl2HEukNTQTRC7NKuX29SUEtlvoY/view?usp=sharing</t>
  </si>
  <si>
    <t>https://drive.google.com/file/d/1m8qTBDScdoCTCrDHGYSuF7HvNrxcpjh5/view?usp=sharing</t>
  </si>
  <si>
    <t>ESTHELA LÓPEZ CORO</t>
  </si>
  <si>
    <t>NATALY MARIBEL PÉREZ LEDEZMA</t>
  </si>
  <si>
    <t>ING. ALEX CHOQUE FLORES</t>
  </si>
  <si>
    <t>APLICACIÓN DE LAS HERRAMIENTAS DEL JUSTO A TIEMPO PARA INCREMENTAR LA PRODUCTIVIDAD DE MXM CONFECCIONES EN EL ÁREA DE PRODUCCIÓN DE POLERAS TIPO POLO Y T-SHIRT</t>
  </si>
  <si>
    <t>esthela.lc@gmail.com</t>
  </si>
  <si>
    <t>IND-384-2010</t>
  </si>
  <si>
    <t>Área de producción, Sector Textil, poleras tipo Polo y T-Shirt, Herramientas del justo a Tiempo, Incremento Productividad</t>
  </si>
  <si>
    <t>El proyecto se realizó enfocado a incrementar la productividad de MxM Confecciones en el área de producción de poleras tipo Polo y T-Shirt,  aplicando las herramientas del Justo A Tiempo. Para determinar las herramientas necesarias del Justo A Tiempo, se realizó el diagnóstico de la empresa, con la ayuda de la Matriz Mandala y el Árbol de Problemas,  se identificó el problema central, sus diferentes causas y efectos, enfocándose en el área de producción, donde se logró identificar los problemas generales y específicos en esta área, entre los mas importantes se encuentran; la mala distribución de planta, la inexistencia de registros de producción, falta de trabajo eficiente y uniforme por parte de los operarios, no existe un control de material utilizado, los operarios no tienen conocimiento acerca del mantenimiento de las maquinarias, los operarios no son polivalentes y la producción es por lotes de cantidades numerosas. Realizando el diagnóstico interno se concluyó que MxM Confecciones, cuenta con una baja productividad en el área de producción.Después de realizarse el diagnóstico de la empresa, se seleccionaron las herramientas del Justo A Tiempo, que ayudan a dar solución a los problemas encontrados, las cuales son: 5s, tarjetas Kanban, Sistema Modular, Sistema de Jalar, Kaizen, Producción nivelada (Heijunka), Mantenimiento autónomo (Jishu Hozen), Círculos de calidad y verificación de procesos (Jidoka). Con la aplicación de todas las herramientas seleccionadas, en el sistema de pagos  propuesto se valora el trabajo en equipo, la destreza y habilidad de cada operario.Las tarjetas seleccionadas para la empresa fueron tres: Kanban de producción, Kanban de proveedor y Kanban de urgencias, las cuales serán usadas en la sección de producción y almacén para tener datos exactos de los movimientos de materia prima e insumos. Para organizar la empresa de manera más eficiente se utilizó la herramienta de las 5s, primero se clasificó los materiales del área de producción, de acuerdo a la frecuencia de uso, a las maquinarias que se encontraban paradas, se realizó un control del estado en el que se encontraban, para venderlas después. Con la ayuda de la segunda herramienta se logró ordenar la planta por secciones, dando un lugar a cada cosa y cada cosa en su lugar alcanzando eliminar las pérdidas de tiempo. Para mantener la limpieza y el orden se propone concientizar permanentemente a los operarios con ayuda de algunos afiches.Con la aplicación del sistema modular se llegará a reducir los tiempos de producción y aquellas actividades que no agregan valor al producto final, reduciendo las esperas en un 100% y los traslados innecesarios en 75%; de esta manera se podrá incrementar la producción a 500 unidades al mes de poleras tipo Polo y 360 unidades al mes de poleras tipo T-Shirt, obteniendo una respuesta rápida a las exigencias del mercado, incrementando la calidad del producto y reduciendo el porcentaje de prendas defectuosas, mejor aprovechamiento de la superficie de la planta y cumplimiento con los plazos de entrega. Incrementando el trabajo en equipo y el desarrollo del potencial humano. El pago a los operarios es en función al trabajo en equipo, la habilidad y destreza individual, el incremento en la remuneración a los operarios es de 31% y el impacto sobre la utilidad alcanza un 63% de incremento.La herramienta de mantenimiento autónomo (JISHU HOZEN) ayuda a emplear el equipo como instrumento para el aprendizaje y adquisición de conocimiento, desarrollar nuevas habilidades para el análisis de problemas y creación de un nuevo pensamiento sobre el trabajo, mediante una operación correcta y con verificación permanente se evite el deterioro del equipo, mantener las condiciones necesarias para que el equipo funcione sin averías y rendimiento pleno y mejorar la seguridad en el trabajo.El principal beneficio, al implementar el círculo de calidad  de producción es la solución de los problemas detectados por el personal de planta y el gerente de producción; se propuso  que la reunión de este círculo sea realizado los días viernes diez minutos después de terminar la jornada de trabajo, para el tema de calidad del producto final, se propuso las fichas técnicas de medidas, con las que se tendrá un control exacto de las medidas comparadas con los estándares. Otro resultado es la confianza y compromiso de los operarios al realizar prendas de calidad y sin defectos, logrando un trabajo en equipo y un buen clima laboral.Producción Nivelada (Heijunka), ayudará a no ejecutar lotes grandes de un modelo después de otro, produciendo lotes pequeños. Esto significa que debe fabricarse cada día la cantidad necesaria del día, en poleras tipo Polo 25 unidades y 18 unidades de poleras tipo T-Shirt, obteniendo una producción flexible que puede cambiar en función a la demanda.La filosofía Jidoka establece parámetros óptimos de calidad en el proceso de producción, con las fichas técnicas de confección propuestas, se mejorará la calidad del producto, se podrá prevenir errores y aproximarse al 100% de inspección de las prendas durante la confección, en el sistema Jidoka se compararon los parámetros del proceso de producción contra los estándares establecidos, si los parámetros del proceso no corresponden a los estándares preestablecidos el proceso se detiene, alertando que existe una situación inestable en el proceso de producción la cual debe ser corregida, esto con el fin de evitar la producción masiva de partes o productos defectuosos, esta herramienta ayudó a cumplir con los estándares de calidad exigidos por el mercado de Chile.Los beneficios que se obtienen al aplicar las herramientas del Justo A Tiempo son: crear equipos de trabajo y dentro de estos mismos desarrollar la multifuncionalidad del operario, establecer ambientes de trabajo agradables y seguros donde el sitio de trabajo será un lugar  grato donde llegar cada día, habrá un desarrollo del potencial humano y la moral en el trabajo será alta, se logrará la reducción de tiempos de entrega, con mejor calidad de las prendas, al tener una cultura sobre los cuidados de la empresa. La producción de poleras tipo Polo alcanzará a 500 unidades al mes y de poleras tipo T-Shirt a 360 unidades al mes, dándose un incremento en la producción de 46% y 152% respectivamente. Para la implementación de este proyecto se realizó un análisis acerca de los recursos humanos, técnicos y económicos necesarios, para lo cual se tendrá que contratar  personal, compra de activos fijos,  material de limpieza y otros que ayudarán a mantener el orden de la empresa. La inversión asciende a Bs. 9.994, esta inversión es mínima  respecto al impacto sobre la utilidad, de esta manera se obtuvo una mejora del 175%.</t>
  </si>
  <si>
    <t>https://drive.google.com/file/d/1O7LfC26ziqTZDGeCUpWXgDea1_Gt8Bng/view?usp=sharing</t>
  </si>
  <si>
    <t>https://drive.google.com/file/d/1hFS3D4l1-m3cV8xCn-bZvKZAAG-eq31L/view?usp=sharing</t>
  </si>
  <si>
    <t>https://drive.google.com/file/d/1MlbgbF_m1jCmcdeyTqHVWetZ0jgG9fXB/view?usp=sharing</t>
  </si>
  <si>
    <t>JENNY COCA GARCÍA</t>
  </si>
  <si>
    <t>RAQUEL MENESES LÓPEZ</t>
  </si>
  <si>
    <t>IDENTIFICACIÓN Y EVALUACIÓN DE RIESGOS LABORALES PARA LA EMPRESA DE SERVICIO MUNICIPAL DE AGUA POTABLE Y ALCANTARILLADO SEMAPA.</t>
  </si>
  <si>
    <t>jenny_cg@hotmail.com</t>
  </si>
  <si>
    <t>IND-385-2010</t>
  </si>
  <si>
    <t>Planta de Tratamiento de Agua Potable y Alcantarillado SEMAPA, Seguridad Industrial, Identificación de Riesgos, Equipos de Protección Personal EPPPrimeramente se consultó toda la información bibliográfica al respecto, para poder obtener toda la información requerida para este estudio, se realizó entrevistas, encuestas; la información perseguida se basó en identificar los riesgos a los que se encuentran expuestos los trabajadores de la empresa SEMAPA.Para la evaluación de riesgos se empleó el método de evaluación de riesgos  William Fine, con su aplicación se obtiene un valor de la magnitud del Riesgo analizado y como consecuencia, si el mismo debe ser corregido de inmediato o se puede tolerar en esas condiciones. Una vez valorada la magnitud de riesgo este método permite comprobar si la inversión que hay que realizar para eliminarlo o reducirlo está justificado o no, desde el punto de vista económico. Este aspecto se conoce como justificación de costos.De la evaluación se pudo obtener la siguiente información: los riesgos a los que están expuestos, tipo de riesgos, causas y efectos de los riesgos, magnitud del riesgo, consecuencias de los riesgos de cada proceso; para posteriormente con estos datos poder dar solución a aquellos que requieren una corrección inmediata.Posteriormente se realizó la estimación de los costos  de todos aquellos ítems necesarios y obligatorios para la prevención de los accidentes y enfermedades de trabajo, realizando un análisis de costo-beneficio y  una proyección a diez años.Se puede concluir en base a todo ello que la identificación y evaluación de riesgos permite a la empresa realizar una descripción de acciones, con el fin de diseñar, mantener o mejorar los controles de riesgo. Con los datos obtenidos de la empresa SEMAPA necesita invertir en la seguridad industrial de la infraestructura y dotación de EPP’s tanto para oficinas como para las sub-estaciones de aguas residuales y agua potable. Por lo que la empresa requiere Implantar normas, reglamentos de seguridad industrial, crear procedimientos de trabajo para cada área, brigadas de seguridad con los trabajadores, sindicato y administración de SEMAPA, para crear una mayor conciencia de la importancia de la seguridad industrial en su puesto de trabajo como también poder prevenir actos inseguros de los operarios.</t>
  </si>
  <si>
    <t>https://drive.google.com/file/d/1Y06sp6xembXYI0fy-6BQir8ACNGBPX65/view?usp=sharing</t>
  </si>
  <si>
    <t>https://drive.google.com/file/d/1zvPjSq4Ay9n0tWhVjPO2rY4gZF9RbwxX/view?usp=sharing</t>
  </si>
  <si>
    <t>https://drive.google.com/file/d/159xZnmNQx3C-LGbgXZg54MYAvcJ-bG-G/view?usp=sharing</t>
  </si>
  <si>
    <t>DANIEL JORGE GONZALES ANTEZANA</t>
  </si>
  <si>
    <t>MSC. DUSAN SALAVERRY BLAJOVIC</t>
  </si>
  <si>
    <t>DESARROLLO E IMPLEMENTACIÓN DE UNA METODOLOGÍA DE  MEJORA DE EFICIENCIA EN PLANTA DE EMBOL S.A. - COCHABAMBA</t>
  </si>
  <si>
    <t>gonzalesantezana@gmail.com</t>
  </si>
  <si>
    <t>IND-386-2010</t>
  </si>
  <si>
    <t>EMBOL S.A., Producción, Eficiencia, Mantenimiento Productivo Total (TPM).</t>
  </si>
  <si>
    <t>Debido a la necesidad de contar, con una herramienta de mejora continua para la planta de embotellado de EMBOL S.A. de la ciudad de Cochabamba, se desarrolla la implementación del pilar de mejora enfocada de la filosofía japonesa del Mantenimiento Productivo Total (TPM, según sus siglas en ingles).Se ejecutan trabajos para preparar la implementación del pilar de mejora enfocada, definiendo la gestión, los integrantes y responsabilidades que se tienen que cumplir para que el trabajo sea sostenible en el tiempo. De la misma forma se define la forma en que el pilar de mejora enfocada se tiene que relacionar con el resto de la organización cerrando con ello el círculo de trabajo.Se desarrollan trabajos de identificación y cuantificación de las pérdidas (tiempos no productivos), desarrollando con esto, un sistema de monitoreo para el seguimiento de la eficiencia y pérdidas de las líneas.Con los datos generados se conforma el primer equipo de mejora, cuyo trabajo parte del análisis de la información proporcionado por el sistema de monitoreo,  y sigue los pasos de la metodología CAPDo del TPM, para la solución de los problemas detectados.</t>
  </si>
  <si>
    <t>https://drive.google.com/file/d/198LraZZbQB49Ij4uBeT0vuLOtrzhzjQd/view?usp=sharing</t>
  </si>
  <si>
    <t>https://drive.google.com/file/d/1c-7LnwD-NaXIw4yiGSHf-rmfladH54Nc/view?usp=sharing</t>
  </si>
  <si>
    <t>https://drive.google.com/file/d/1I9wobF9ba9_4r3yBEFn1dGoZiJ7F0sX0/view?usp=sharing</t>
  </si>
  <si>
    <t>ERICK HANSEL LIZARAZÚ OROZ</t>
  </si>
  <si>
    <t>PROYECTO DE FACTIBILIDAD PARA LA EXPORTACIÓN DE PAPAYA EN CONSERVA A LA REPUBLICA ARGENTINA</t>
  </si>
  <si>
    <t>erickhanssel@hotmail.com</t>
  </si>
  <si>
    <t>IND-387-2010</t>
  </si>
  <si>
    <t>Concentrado en Almíbar, Grupos Económicos, Broker, precio FOB, TIR, VAN.</t>
  </si>
  <si>
    <t>El presente proyecto de exportación de conservas de fruta, nació como una iniciativa empresarial con el objetivo de cubrir la demanda de un mercado internacional en continuo crecimiento, debido al cambio de hábitos de consumo de una parte importante de la población mundial.Se plantearon los objetivos en base a las características y requerimientos de una empresa nueva en el ramo, para determinar el método de conservación más adecuado para la papaya, que mantenga sus propiedades y además tenga una presentación atractiva. Otro objetivo trazado fue el determinar el mercado destino que tenga las características más favorables para el nuevo producto de la nueva empresa. Así también, se realizó un estudio para determinar los materiales y equipos necesarios para el correcto procesamiento de la fruta. Se inició con un estudio de la producción de papaya a nivel mundial, identificando los mayores productores a nivel mundial y sus principales mercados. Dentro de esta lista destacan países como Brasil, México y Nigeria, además de Venezuela y Ecuador que se encuentran dentro del territorio Sudamericano. Posteriormente se realizó el estudio de la producción de este fruto exquisito dentro del territorio nacional, concluyendo que el Trópico Cochabambino es el mayor productor de esta fruta, y del cual se proveerá la empresa de su materia prima.Posteriormente se realizó el análisis de los métodos de conservación existentes para determinar que el concentrado de almíbar es el más adecuado, debido a sus características y presentación.Así mismo se realizó una investigación de mercados internacional para determinar los países con los cuáles sería ventajoso realizar contratos de compra y venta. Se pudo concluir que Bolivia por tratarse de un país en vías de desarrollo es favorecido grandemente por varios grupos económicos a nivel mundial, destacándose entre ellos la Unión Europea, el Mercado Común del Sur, Estados Unidos y la Comunidad Andina de Naciones, que son las regiones con las cuáles Bolivia goza de una liberación de aranceles del 100%.Finalmente y en base a un análisis por indicadores se pudo evidenciar que la República Argentina cuenta con las mejores características de mercado para el producto, constituyéndose así como destino para la exportación de este producto.Posteriormente se elaboró, de acuerdo a las características del proceso productivo la lista de materiales e insumos necesarios para una óptima producción de papaya en almíbar.También se hizo una investigación detallada para determinar el tipo de sociedad más adecuada que es una de responsabilidad limitada (S.R.L.) ya que la empresa se constituirá con personas profesionales que realizarán aportes monetarios iguales para la inversión y además aportes de conocimiento para el buen funcionamiento de la misma.Se hizo un estudio para determinar la ubicación más óptima de la planta, concluyendo que ésta será ubicada en la zona peri-urbana de la ciudad de Cochabamba por que no requiere de un abastecimiento constante de materia prima, ya que al tratarse de productos netamente destinados al mercado exterior las cantidades iniciales no serán grandes. Estas cantidades se determinaron de acuerdo al requerimiento del mercado. Inicialmente serán de 3500 latas de kilogramo mensuales que serán exportadas en contenedores por vía terrestre con un precio FOB Buenos Aires y el contrato será de manera directa con un Broker instalado en el país destino.Se elaboró un organigrama especificando las funciones y requisitos para los cargos propuestos en el proyecto, dividiendo la empresa en cuatro departamentos: Departamento de producción, Departamento de Comercialización, Departamento Financiero y Departamento Administrativo bajo una Gerencia General encargada del control de todos estos departamentos.Se analizó financieramente el proyecto determinando su factibilidad positiva en base a los indicadores de: Tasa Interna de Retorno y Valor Actualizado Neto.</t>
  </si>
  <si>
    <t>https://drive.google.com/file/d/19mn9oUMsBFp2EmLebY1t-8vgu7nLY_4W/view?usp=sharing</t>
  </si>
  <si>
    <t>https://drive.google.com/file/d/1_95B1VXYkqtYTqy6VYi668v0uXujyf7u/view?usp=sharing</t>
  </si>
  <si>
    <t>https://drive.google.com/file/d/1LXdU4Zy63K3YPj3L_xdyN6Q2ldfh3Kkr/view?usp=sharing</t>
  </si>
  <si>
    <t>MERIDAZURITAELVIA PAM</t>
  </si>
  <si>
    <t>MIRABAL CANO MADELLEINE</t>
  </si>
  <si>
    <t>ING. ROBERTO J. MANCHEGO CASTELLÓN</t>
  </si>
  <si>
    <t>ESTUDIO DE FACTIBILIDAD DE UNA PLANTA RECICLADORA DE LLANTAS DE GOMA EN LA     CIUDAD DE COCHABAMBA</t>
  </si>
  <si>
    <t>merida.pamela@gmail.com</t>
  </si>
  <si>
    <t>IND-388-2010</t>
  </si>
  <si>
    <t>Llantas recicladas, Llantas de goma, Granulado de caucho, Caucho granulado, Aditivo asfaltico, Generación de llantas, Planta Recicladora de llantas.</t>
  </si>
  <si>
    <t>El estudio de factibilidad que se realizo para la instalación de una planta reciclado de llantas en la ciudad de Cochabamba, nació principal mente para dar una solución al tema de la contaminación ambiental provocada por la quema de llantas de goma a cielo abierto, ya que el principal problema del almacenamiento de llantas usadas es la ocupación de grandes espacios físicos además de generar su almacenamiento un ambiente propicio para la proliferación de la fauna nociva.Se conjugo dos ideas principales, eliminar el problema almacenamiento de llantas usadas en lugares de acopio sin que la combustión de las mismas sea una opción, y agregarle valor a un desecho urbano.Ya en otros países, el constante desarrollo de la tecnología combinada con la conciencia ambiental de las personas, busco eliminar el problema ambiental de las llantas usadas y beneficiarse de uno de sus componentes en el mejoramiento de sus avenidas y autopistas.Para determinar si la instalación de una planta recicladora de llantas en la ciudad de Cochabamba era factible, se siguieron varios pasos. Primeramente se realizo una investigación sobre la cadena que sigue la generación de llantas usadas, así mismo se determino la cantidad de llantas usadas que se tiene actualmente en el basurero de KaraKara.El siguiente punto que se vio, fue determinar los posibles mercados del producto terminado que se obtendría a partir de las llantas usadas, su uso, la demanda actual del producto en el mercado nacional e internacional y la competencia del mismo.El mercado principal del producto su uso como aditivo asfaltico, para ser usado en la planta Asfaltadora PROMAN de la ciudad de Cochabamba, ya que contaba con toda la maquinaria necesaria para poder realizar la mezcla del granulado de caucho con el asfalto.Se vio así mismo la producción actual de mezcla asfáltica de la planta PROMAN, donde el 5% de la mezcla asfáltica estaría compuesta por el granulado de caucho siendo de esta forma calculada la demanda del granulado de caucho en el mercado.De acuerdo a la ubicación de su principal  mercado y la localización de la materia prima, se busco la ubicación más optima para la instalación de la planta recicladora de llantas, donde por medio de la técnica cualitativa de los puntajes ponderados, se determino que el botadero de Kara Kara presenta mayores beneficios para la localización de la planta recicladora  que las demás alternativas.Una vez determinada la localización de la planta se vio toda la parte de ingeniería del proyecto, la maquinaria necesaria, el proceso por el cual pasan las llantas usadas y los productos que se obtienen, así mismo se vio la distribución de la planta las obras civiles y servicios necesarios para el funcionamiento de la misma.Para determinar abastecimiento de la materia prima, se vio las principales provincias del departamento de Cochabamba que tiene mayor generación de llantas usadas, el incremento de la generación de llantas en años siguientes de acuerdo al crecimiento del parque automotor del departamento de Cochabamba (fuente principal: Datos INE).Posteriormente se vio el tema financiero, donde se determino el precio del granulado de caucho de acuerdo al precio del mismo en otros países. El incremento de costos que generaría el uso del granulado de caucho en la mezcla asfáltica es mínimo en comparación a los beneficios que aportaría su uso.El precio que se fijo para la comercialización del granulado de caucho fue de 265$us la tonelada, que incluso es menor al  de la competencia. De acuerdo a un análisis financiero se determino que la instalación de la planta recicladora de llantas en la ciudad  de Cochabamba es factible.Desde la instalación, hasta la puesta en marcha y funcionamiento de la planta recicladora de llantas, esta no representa un impacto negativo al medio ambiente, é incluso su funcionamiento estaría contribuyendo con la eliminación de un problema ambiental.De acuerdo a la categorización que realiza el Art. 25 de la Ley del Medio Ambiente de Bolivia, N° 1333. El proyecto se encontraría dentro de la categoría 3: “No requiere de EIA analítica específica”.</t>
  </si>
  <si>
    <t>https://drive.google.com/file/d/1Gq6V6blFTLexTWX_nKT_qo65G5u9p0S4/view?usp=sharing</t>
  </si>
  <si>
    <t>https://drive.google.com/file/d/10TOBAIFPf8HD0V-urdjcQ8iQN5NjgXag/view?usp=sharing</t>
  </si>
  <si>
    <t>https://drive.google.com/file/d/1SqTmLYh4tS881rET73akjC2lCZYkquMt/view?usp=sharing</t>
  </si>
  <si>
    <t>BLADIMIR MARCELO PACHECO SILVETTY</t>
  </si>
  <si>
    <t>DISEÑO DE UN PLAN DE SEGURIDAD E HIGIENE OCUPACIONAL PARA LA COOPERATIVA FOTRACAR LTDA.</t>
  </si>
  <si>
    <t>checo_bps@hotmail.com</t>
  </si>
  <si>
    <t>IND-389-2010</t>
  </si>
  <si>
    <t>Cooperativa Fotracar Ltda., Proceso Productivo, Identificación y Evaluación de riesgos, Herramientas y Técnicas, Incentivo y Compromiso.</t>
  </si>
  <si>
    <t>Primeramente se realizo visitas periódicas al lugar de trabajo para determinar hábitos y costumbres de los empleados, y posteriormente se realizaron entrevistas y cuestionarios para determinar en qué situación se encontraban en temas de seguridad e higiene ocupacional.Seguidamente se realizo la identificación y evaluación de riesgos para cada uno de los procesos con los que cuenta la cooperativa, y también se realizaron mediciones de ruido con un sonómetro, mediciones de luz con un luxómetro, mediciones de temperatura con un termómetro. Dando resultados de una cooperativa con falta de seguridad e higiene ocupacional. Luego se realizo un informe de evaluación de riesgos, para dar soluciones a los problemas y riesgos encontrados con acciones recomendadas para cada uno de los procesos de la Cooperativa Fotracar Ltda.Posteriormente se determino la creación de un comité mixto de seguridad e higiene ocupacional que será la encargada de cumplir y hacer cumplir con las normas de seguridad y llevar adelante la implementación del plan de seguridad e higiene ocupacional.Se determinaron los planes de prevención de accidente y un procedimiento en caso de que existiese, también el plan de prevención y protección contra incendios, también los equipos de protección individual y señalización, como también el plan de primeros auxilios y un procedimiento en caso de ocurriese.En base al informe de acciones recomendadas y los planes de seguridad e higiene ocupacional se determinaron los costos necesarios para la implementación del proyecto, como también se propuso un cronograma de implementación del proyecto.Y finalmente se realizaron las conclusiones: la seguridad e higiene ocupacional es un trabajo de todos. Y recomendaciones: mantener un compromiso y un incentivo en temas de seguridad e higiene ocupacional trae muchos beneficios.</t>
  </si>
  <si>
    <t>https://drive.google.com/file/d/16DQWK_AqsPxNuaAdfJpz25rrAbtlfCWj/view?usp=sharing</t>
  </si>
  <si>
    <t>https://drive.google.com/file/d/1ZsuDmJk7OKEqx47ZESUFddRPY_-fgLxi/view?usp=sharing</t>
  </si>
  <si>
    <t>https://drive.google.com/file/d/1TDCX_9_7AvIh9lQT8suXIWmviHH-tdym/view?usp=sharing</t>
  </si>
  <si>
    <t>OBANDO ESTRADA ALEJANDRO</t>
  </si>
  <si>
    <t>FERNÁNDEZ BOLEA MAURICIO FERNANDO</t>
  </si>
  <si>
    <t>ING. NELSON HINOJOSA</t>
  </si>
  <si>
    <t>ESTUDIO DE FACTIBILIDAD PARA LA IMPLEMENTACIÓN DE UNA PROCESADORA DE ALIMENTO        BALANCEADO PARA LAS ZONAS LECHERAS DE LA PROVINCIA CERCADO DEL DEPARTAMENTO DE  COCHABAMBA.</t>
  </si>
  <si>
    <t>II-2010</t>
  </si>
  <si>
    <t>alex_pucho@hotmail.com</t>
  </si>
  <si>
    <t>IND-390-2010</t>
  </si>
  <si>
    <t>Alimento balanceado, Ganado lechero, Factibilidad, Distrito 9, Requerimiento nutricional</t>
  </si>
  <si>
    <t>La provincia cercado del departamento de Cochabamba es una región dedicada a la crianza de ganado bovino con fines de producción lechera. La calidad y cantidad de producción lechera depende en gran medida de la alimentación que se da al animal. El alimento debe contener los nutrientes suficientes para las etapas de crecimiento, desarrollo y producción.  La alimentación en base a especies forrajeras sufre de inconvenientes debido a que su disponibilidad es temporal y a los crecientes niveles de urbanización que presenta la zona.  El alimento balanceado es un producto procesado  que satisface los requerimientos del animal y enmienda los inconvenientes mencionados.Para el presente proyecto y según las necesidades del mercado se consideraron tres etapas importantes en la vida del ganado lechero; la etapa de crecimiento, producción y etapa seca. Tomando en cuenta estas etapas y considerando que el requerimiento nutricional es distinto en cada una de ellas se presentaron tres líneas de producción.Se obtuvo una demanda total proyectada de alimento balanceado de 516.123 quintales el primer año de funcionamiento y de 673.424 quintales el último año. La oferta total proyectada de alimento balanceado para el primer año de funcionamiento del proyecto fue de 314628 quintales y el último año de 393.423 quintales. El balance oferta demanda proyectado proporciono una demanda insatisfecha de alimento balanceado de  201.495 quintales el primer año y de 28.000 quintales el último año de funcionamiento del proyecto. Los precios del alimento balanceado que considero el presente proyecto son de: 12,14 US$/QQ para la etapa de crecimiento, 12,85 US$/QQ para la etapa de producción y 11,42 US$/QQ para la etapa seca.La capacidad máxima calculada ascendió a  700 quintales al día, es decir 168.000 quintales al año, lo que significa el 60% de la demanda insatisfecha de alimento balaceado al 100% de capacidad, Del total de la cantidad producida anualmente, el 35 % de alimento balanceado es destinado para la etapa de crecimiento, el 48 % de balanceado es destinado a la etapa de producción y el 17 % de balanceado es destinado a la etapa seca. La macrolocalización del proyecto residió en el distrito 9 de la provincia Cercado del departamento de Cochabamba. Como microlocalizacion se obtuvo a la zona de La Maica.La ingeniería del proyecto se inició con la formulación de raciones teniendo en cuenta los siguientes aspectos: requerimiento nutricional en las tres etapas del ganado lechero, costos de los ingredientes que componen la ración, composición nutricional de los ingredientes a utilizar. Con estos datos se realizó la formulación mediante un  modelo de programación lineal propuesto que tuvo por objetivo  minimizar el costo de la mezcla de los alimentos seleccionados (maíz, sorgo, torta de soya, afrecho de trigo, fostato di-calcico, sal común, pre-mix VIT-MIN).Según el balance de masa realizado para los procesos de molienda y mezclado se obtuvo la ración de ingredientes para 2 TM de alimento balanceado en las tres etapas considerando un desperdicio del 2% en el proceso de molienda de granos (maíz y sorgo). Se determino la realización de la etapa pre-operativa del proyecto en 275 días, con la realización de 11 actividades, los costos previos a la ejecución del proyecto alcanzaron un monto de US$ 9.397.La inversión realizada el año de implementación alcanza a US$ 50.6620, de este total la inversión física constituye el 60,35 %, la inversión diferida representa el 1,85 % y el capital de trabajo significa el 37,80 %. Se determino que la totalidad de la inversión fuera financiada en un 53%  por una entidad financiera, y el 47 % por aporte propio de los socios inversionistas. Las utilidades netas generadas s ascienden a 50.380 US$ el primer año y 132.236 US$ el último año.La evaluación financiera realizada en el proyecto presenta los siguientes indicadores, los cuales favorecen a  la viabilidad del proyecto: V.A.N: 424.573 US$, T.I.R.: 26.22 %, B. /C.: 1.02, P.R.I.: 9 años 3 meses. La evaluación económica realizada en el proyecto presenta los siguientes indicadores: TIR: 19.58%, VAN: 447.545 US$, B/C: 1.04. La evaluación ambiental realizada  determina que el proyecto pertenece a la categoría 4, lo cual significa que  no incurre en daños hacia el medio ambiente.El análisis de sensibilidad contemplo: una Disminución del 4 % en los ingresos totales que percibe el proyecto. Con lo que se obtuvo una  T.I.R. de 11,24 % y un V.A.N de US$ 95.203, también contemplo un incremento del 6 % en el costo de las materias primas. Con lo que se obtuvo una  T.I.R. de 10,02 % y un V.A.N de US$ 67.825.</t>
  </si>
  <si>
    <t>https://drive.google.com/file/d/12oiGbSsqaxmzexffNQ3UlVSmPFwIFGzH/view?usp=sharing</t>
  </si>
  <si>
    <t>https://drive.google.com/file/d/1y90EZJgPm3-U6Z2JC02lWAtncDQuYUvk/view?usp=sharing</t>
  </si>
  <si>
    <t>https://drive.google.com/file/d/1yIfOflwRcpfKBPxnL-OWfOmjOmk3Wkmi/view?usp=sharing</t>
  </si>
  <si>
    <t>CLAUDIA LORENA RODRÍGUEZ HEREDIA</t>
  </si>
  <si>
    <t>ESTUDIO DE FACTIBILIDAD PARA LA IMPLEMENTACIÓN DE UNA PLANTA INDUSTRIAL DE HUEVO LÍQUIDO PASTEURIZADO EN AVÍCOLA ROLÓN</t>
  </si>
  <si>
    <t>clo_rh@hotmail.com</t>
  </si>
  <si>
    <t>IND-391-2010</t>
  </si>
  <si>
    <t>Estudio de Mercado, Indicadores Financieros, Huevo Líquido Pasteurizado.</t>
  </si>
  <si>
    <t>El estudio de Factibilidad para la Implementación de una Planta Industrial de Huevo Líquido Pasteurizado en Avícola Rolón, nace por el consumo de los productos de huevo u ovo productos han crecido sustancialmente, ya que el consumo ha alcanzado su más alto nivel en los últimos años, debido a que los clientes son cada vez más exigentes. Por lo cual se ve por conveniente aprovechar este incremento en la producción para industrializar el huevo fresco de gallina. La falta de estudios e información hacen preguntarse sobre si es un momento adecuado para la introducción de este producto a Cochabamba y a las principales ciudades del país.Se comenzó el proyecto con una intensiva investigación de mercado, estudiando el mercado consumidor, proveedor, distribuidor y competidor. Determinando que existe una demanda insatisfecha para los hongos frescos, determinando el perfil del consumidor, la estrategia comercial entre otros objetivos. Con la investigación de mercado se procedió al pronóstico de la demanda del producto a nivel Cochabamba.El tamaño de la planta fue calculado por medio del pronóstico y al crecimiento esperado de captación de mercado a nivel Cochabamba y también con el ingreso del producto a las ciudades de Santa Cruz y La Paz para el año 2011. Con la información obtenida en este apartado se determinó también todos los materiales e insumos necesarios para la planta. La localización fue obtenida a través de una evaluación cualitativa de puntos, donde se analizaron 2 microlocalizaciones, escogiendo el puntaje mayor correspondiente a la sección Tiquipaya de la provincia Quillacollo. La Ingeniería del proyecto se la realizó obteniendo información la empresa OVOBEL ubicada en el país de Bélgica, comprendiendo los procesos desde la recepción de los huevos de la granja de Avícola Rolón hasta la producción de Huevo Líquido Pasteurizado. Se ilustró en un organigrama el personal y las funciones del equipo trabajador de la planta. Posteriormente se estimaron los costos para la implementación y ejecución de la planta. Con toda la información de costos se procedió a la preparación de esta información para realizar el respectivo análisis financiero usando indicadores como el TIR, VAN, R B/C. Se sometió el flujo a un análisis de sensibilidad para  las variables más influyentes. Concluyendo que el proyecto es rentable. 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</si>
  <si>
    <t>https://drive.google.com/file/d/1t6oy-4MI4uMRDmxHwlzx2csScSxQ9oNG/view?usp=sharing</t>
  </si>
  <si>
    <t>https://drive.google.com/file/d/1YsSWGpiCp4kZzdihGL8A671ZZvom-aYp/view?usp=sharing</t>
  </si>
  <si>
    <t>https://drive.google.com/file/d/1ndQ2g3eRmvDKps2OvNuy0Zpqf4k1hLkb/view?usp=sharing</t>
  </si>
  <si>
    <t>LIZETH LUIZAGA TAPIA</t>
  </si>
  <si>
    <t>PLAN DE NEGOCIOS - CONSULTORA LUIZAGA</t>
  </si>
  <si>
    <t>lizeth_luizaga@hotmail.com</t>
  </si>
  <si>
    <t>IND-392-2010</t>
  </si>
  <si>
    <t>Plan de negocios, servicios, consultora, ISO 9001.</t>
  </si>
  <si>
    <t>El proyecto nació ante la necesidad de muchas empresas del medio de implementar sistemas de gestión de calidad, debido a la necesidad creciente por parte de los clientes hacia requisitos más exigentes respecto a la calidad. Se diseñó el negocio con el objetivo de asesorar a las empresas en la planificación, documentación, implementación y control de sistemas de gestión de calidad, así mismo, se proporcionaron las bases del mantenimiento de esos sistemas mediante los servicios de diagnóstico y recomendaciones, capacitación en calidad, auditorías internas del sistema de gestión de calidad, diseño, implementación y desarrollo de sistemas de gestión de la calidad, análisis y mejoras en procesos. Para el estudio de mercados se utilizó el listado de empresas asociadas a la Cámara de Industrias de Cochabamba, que inicialmente eran 213, posteriormente considerando a grandes y medianas empresas, se contó con un universo de 71 empresas, haciendo cálculo de la muestra fue de 60 empresas. Del análisis oferta – demanda, la demanda potencial efectiva para el año 2009 fue de entre 19 y 21 empresas, con un crecimiento del 25% de la demanda durante los próximos 5 años.Del análisis de microlocalización (selección de posibilidades de ubicación, criterios de localización, índices de ponderación, cálculo del valor relativo del precio, cálculo del valor de las variables subjetivas, matriz de media de preferencia de localización) se estableció que la ubicación ideal para la consultora es la Av. América N°1745. También se procedió a  realizar el mapa de macro-procesos de la consultora siguiendo el ciclo PHVA y la planificación operativa para el primer año de funcionamiento.Se determinó que la estructura orgánica de la consultora será dinámica y flexible, conformada por personal de planta y consultores especialistas. Estará compuesta por gerencia general y dos áreas más (marketing y operaciones).Los ingresos aproximados que se percibirán por prestación de servicios hasta el quinto año son $us. 19,840 a empresas medianas y $us. 80,798 a empresas grandes.El valor de la inversión es de $us. 21,604 que será financiada por aporte propio, la liquidez para el año cinco de operaciones será de $us. 18,855 y la utilidad pronosticada para el mismo año será de $us. 24,684.De acuerdo a los indicadores de rentabilidad: VAN con la suma de $us. 15,091; TIR 45% respecto de una tasa de descuento del 20 % y relación beneficio-costo 1.26, el proyecto se hace viable.</t>
  </si>
  <si>
    <t>https://drive.google.com/file/d/1-1-e2F3e_wSzmRy5wQ7L1sh8DlOap2mr/view?usp=sharing</t>
  </si>
  <si>
    <t>https://drive.google.com/file/d/16DFCyUy84N6M4qMHtHFfVbPrMfQT5f9z/view?usp=sharing</t>
  </si>
  <si>
    <t>https://drive.google.com/file/d/1xF9qyOTmV5s_bJrfztxIoQu2FGw4qPnd/view?usp=sharing</t>
  </si>
  <si>
    <t>CASASOLAS MÉRIDA EBERT JULIO</t>
  </si>
  <si>
    <t>ING. NELSON GALLINATE TORRICO</t>
  </si>
  <si>
    <t>APLICACIÓN DE CAD (DISEÑO ASISTIDO POR COMPUTADOR)    PARA   LA ELABORACIÓN DE  ORDENES DE PRODUCCIÓN Y PLANOS DE PUERTAS EN UTD (ULTRA TECH DOORS LTDA.)</t>
  </si>
  <si>
    <t>ebertjulio@hotmail.es</t>
  </si>
  <si>
    <t>IND-393-2010</t>
  </si>
  <si>
    <t>Ultra Tech Doors Ltda., Programación Visual Basic, Diseño Asistido por Computador,  Hoja de Procesos, Metodología TLO, Metodología IPO, Aplicación Tecnologías CAD.</t>
  </si>
  <si>
    <t>Ultra Tech Doors Ltda. es una empresa manufacturera de puertas de madera, con un mercado importante en Estados Unidos de Norteamérica, Esta empresa se encuentra comprometida con la innovación tecnológica, no solo invirtiendo en maquinaria de punta para sus distintos procesos productivos, sino también en el área de dirección y desarrollo, es en estas áreas donde ha visto como necesidad, buscar los mecanismos necesarios para mejorar la eficiencia en dos áreas especificas de la empresa; en la Jefatura Técnica y la Jefatura de Planificación, ambas encargadas de generar la información necesaria para toda la empresa, que va desde la elaboración de hojas de ordenes de producción (para los operadores de las maquinas), calculo de requerimiento de materia prima (para realizar el movimiento de materia prima), elaboración de planos (para los encargados de control), tiempos de producción (para la planificación de la producción), pesos y volúmenes de las puertas(para la exportación).Para mejorar la eficiencia de información, se planteo a la gerencia de la empresa, diseñar y programar dos aplicaciones, una para cada Jefatura, que trabajen independientemente, pero a la vez se puedan conectar a través de una base de datos de esta forma disminuir los tiempos de elaboración de información mediante la programación especifica y orientada a las necesidades de la empresa.Primeramente se realizo, la aplicación para la Jefatura Técnica, la cual es  encargada de realizar los planos de las puertas, para que puedan ser utilizadas como herramienta de control  por los responsables del ensamblado, es así que se diseño una aplicación del Visual Basic utilizando la plataforma de Auto CAD, esta aplicación puede realizar los planos de puertas, tableros y molduras según las distintas variaciones en las medidas que el cliente desee. Los planos de las puertas y sus componentes son almacenados en una base de datos y guardados con un único código que es el número de Orden de Producción (OP). El programa también es capaz de realizar nuevos diseños de puertas, con otras medidas.Luego se diseño la aplicación para la Jefatura de Planificación, la cual elabora toda la información requerida por otras áreas de la empresa, tomando como base referencial; los planos de las puertas diseñadas por la Jefatura Técnica, es de este modo que se diseño una aplicación en el lenguaje de Visual Basic utilizando la plataforma de Excel, de esta forma la Jefatura de Planificación puede llamar un plano especifico, mediante el código único asignado  a este, que es el numero de Orden de Producción (OP),  es con este código que la aplicación es capaz de elaborar automáticamente las hojas de ordenes de producción, calcular; la cantidad de materia prima para cubrir el pedido, el tiempo estimado de producción, el peso y volumen de las puertas.Al finalizar el trabajo, se tomaron tiempos de elaboración de planos y hojas de órdenes de producción y se compararon con el tiempo utilizando en las aplicaciones, donde se demostró que las actividades que toman horas de trabajo y pasible a fallas potenciales por cálculo manual y cantidad de variables utilizadas, se pueden realizar más eficientemente,  reduciendo el tiempo de trabajo en un 80%. Es así que se demostró el alcance y potencialidad de las tecnologías CAD dentro la empresa.Se recomienda que la empresa invierta, en desarrollo completo de la aplicación, que contemple todos los diseños de puertas de la empresa, y que además estos se orienten más hacia  la cotización de sus productos, de esta forma se podrá colocar en el internet, partes del programa principal y el cliente podrá realizar y cotizar sus propios diseños.</t>
  </si>
  <si>
    <t>https://drive.google.com/file/d/1LyogOxJY52eIDGuS_fsUFigjUZIHJupA/view?usp=sharing</t>
  </si>
  <si>
    <t>https://drive.google.com/file/d/1bXYPf6nvA0JGQlGTwhlrz-zuSpLuLBQk/view?usp=sharing</t>
  </si>
  <si>
    <t>https://drive.google.com/file/d/1gseawf7RgI031XdYrHkrEj_zDEvfj72t/view?usp=sharing</t>
  </si>
  <si>
    <t>LIRIO DANIELA BRAVO HUMEREZ</t>
  </si>
  <si>
    <t>NIDIA MARICELA CHOQUE HEREDIA</t>
  </si>
  <si>
    <t>ESTUDIO DE FACTIBILIDAD PARA LA INTRODUCCIÓN DE UNA MARCA EN EL MERCADO DE JUGO DE FRUTAS A BASE DE PULPA</t>
  </si>
  <si>
    <t>dali3_15@hotmail.com</t>
  </si>
  <si>
    <t>IND-394-2010</t>
  </si>
  <si>
    <t>Sistema discontinuo, HACCP, pruebas Con- Sin = Del, flow sheet, escenario competitivo, escenario conservador.</t>
  </si>
  <si>
    <t>El proyecto que se realizó para Industrias “Food Sebitas” SRL  atacó el monopolio de Jugos de Frutas a base de Pulpa en Cercado- Cochabamba, se determinó que existe una demanda insatisfecha del 16 % de la población,  trabajó en un escenario conservador por ser el más realista, se determinó que los sabores de mayor preferencia del consumidor son: Manzana y durazno, con lo cual se incrementara los ingresos en la empresa. Para dicha demanda se estableció un plan de producción discontinuo, vale decir por lotes.Se estableció poner énfasis en el plan de marketing establecido en el proyecto ya que representa la base para que la empresa pueda posicionarse y lograr una mayor participación en el mercado de jugos de frutas a base de pulpa de Cochabamba, además de diferenciarse de la competencia agregando mayor valor a nuestro producto.Las materias primas e insumos se adquirirán del mercado local, sin embargo la maquinaria será importada desde México del proveedor Portaluppi, debido a las características que poseen y los costos bajos.Para dicha maquinaria el proyecto propuso el Parque Industrial de Santivañez que ofrece ventajas incomparables en cuanto a espacio y costos de adquisición, como también en aspectos legales, asesoramiento en proyectos, liberación de impuestos los primeros siete años,  entre otros.Mediante un estudio técnico se determinó la secuencia de operaciones y los procesos de producción, los cuales optimizan los recursos utilizados, identificando problemas que se suscitan: demoras, acumulación de trabajo, etc.; mediante el uso de cursogramas analíticos.El proyecto propuso la implementación del sistema HACCP que analiza los puntos críticos de control y de esa manera se cuida la calidad y la inocuidad de nuestro producto.A la vez se planteó de acuerdo a la demanda, la estructura orgánica de la empresa, definición de funciones, asignación de actividades y delimitación de autoridad. Obteniendo así que para la implementación de la planta se necesitaran  treinta y dos  trabajadores fijos y diez trabajadores eventuales, los cuales serán para el proceso  de seleccionado.El proyecto produce un impacto ambiental de la categoría tres debido a que  no causará mayores problemas al medio ambiente ni a la población, ya que los impactos negativos originados por la ejecución del proyecto son menores y pueden ser mitigados mediante las medidas correctivas adecuadas. Por otro lado el proyecto será beneficioso ya que genera fuentes de empleo, incrementará los ingresos de la población, genera opción de elección en la compra del producto para los consumidores, además de cuidar el medio ambiente.En la estructura financiera se reflejo todos los gastos tanto de operación como de puesta en marcha, para así obtener una perspectiva definida del mercado  de jugos frutas, de tal manera que sirva de guía para la toma de decisiones para un inversionista en este caso, “Food Sebitas” SRL.El proyecto realizo un análisis de sensibilidad en el cual se determinó que este es sensible al incremento de precios de la materia prima hasta en un 10 %, para teniendo así nuestra rentabilidad en un nivel aceptable, sin producir perdidas.La inversión total necesaria para la implementación del proyecto asciende a Bs. 4473152,3 la cual tomó en cuenta lo mínimo necesario para el buen funcionamiento de la planta y todos los aspectos legales y ambientales puestos en orden.</t>
  </si>
  <si>
    <t>https://drive.google.com/file/d/13ia3qqKuTl7TzMZW7UO3aILTJ40kI6ig/view?usp=sharing</t>
  </si>
  <si>
    <t>https://drive.google.com/file/d/1NU8v7gSLUJb1MRM9TDvnCrqvClel6opy/view?usp=sharing</t>
  </si>
  <si>
    <t>https://drive.google.com/file/d/16Qw3lOhh6SwBHOgCVeR4zkJLMW83dfSR/view?usp=sharing</t>
  </si>
  <si>
    <t>TANIA JAVIER PORTILLO</t>
  </si>
  <si>
    <t>PROPUESTA Y DESARROLLO DE UN SISTEMA DE GESTION DE CALIDAD EN BASE A LA NORMA ISO 9001:2008 EN LA EMPRESA GRINAL S.R.L.</t>
  </si>
  <si>
    <t>taniecita2@hotmail.com</t>
  </si>
  <si>
    <t>IND-395-2010</t>
  </si>
  <si>
    <t>Gestión de Calidad, ISO  9001:2008, Industria de Jugos, GRINAL S.R.L.</t>
  </si>
  <si>
    <t>La gestión de calidad es una herramienta valiosa para la optimización y control de una empresa, en este contexto se propuso el diseño de un sistema basado en la norma ISO 9001 versión 2008 para una empresa productora y envasadora de jugos de fruta, aguas naturales y saborizadas denominada Industrias Alimenticias GRINAL S.R.L. ubicada en la ciudad de Cochabamba.Para la propuesta se confeccionaron en primer lugar una metodología que permite evaluar el grado de cumplimiento de los requisitos de la norma de gestión de calidad con el uso de un cuestionario con cuarenta preguntas obteniendo un nivel medio de los requisitos exigidos, precisando que la empresa requiere el diseño del sistema de gestión de calidad en función de la documentación de registro apoyados en la norma ISO 9001:2008.Se procede a definir los elementos básicos de la gestión de calidad como son el compromiso de la dirección, la visión, misión, objetivos de calidad, la organización y la definición de los medios de control del cumplimiento de conformidades; se diseñaron el manual de la calidad, el manual de procedimientos, manual de funciones, guia de la calidad, plan de calidad y los indicadores para evaluar el cumplimiento de los objetivos formulados en el sistema.Posteriormente el establecimiento de un cronograma de implementación permitió definir el tiempo de su puesta en marcha y las etapas necesarias, el presupuesto de los costos de la ejecución de la norma ISO 9001:2008 asciende a Bs79.000 para el sistema de gestión de calidad, para la certificación es Bs189.000 haciendo un total de Bs268.000.Para la evaluación de la factibilidad de implementación del proyecto propuesto se realizo una estimación de ingresos y costos con y sin proyecto, desarrollando un flujo de fondos y estado de resultados para las próximas cinco gestiones, realizando el calculo de la Tasa Interna de Retorno en ambos casos, se determino que con la implementación del sistema se tendrá un TIR del 57% favorable a las expectativas de crecimiento recomendando su puesta en marcha en forma gradual.</t>
  </si>
  <si>
    <t>https://drive.google.com/file/d/12tAXmhxO31uw-_Z3xMK6kTbNXxFIRtbE/view?usp=sharing</t>
  </si>
  <si>
    <t>https://drive.google.com/file/d/1l55vN2Gmbz7_JmlSJwJNnnmVPJT9KV6S/view?usp=sharing</t>
  </si>
  <si>
    <t>https://drive.google.com/file/d/1IJFMbQFImi14iAmuCgVVzIuFdHkKR0yJ/view?usp=sharing</t>
  </si>
  <si>
    <t>JOSE MANUEL TROCHE SOUZA</t>
  </si>
  <si>
    <t>ING. RICHARD ARIEL VILLARROEL CAMACHO</t>
  </si>
  <si>
    <t>DISEÑO DE UNA PLANTA DE CONSERVA DE PAPAS</t>
  </si>
  <si>
    <t>jtrochesouza@hotmail.com</t>
  </si>
  <si>
    <t>IND-396-2010</t>
  </si>
  <si>
    <t>Papas nativas en conserva tipo gourmet, Biodiversidad, BioTop, diseño de planta industrial, análisis financiero</t>
  </si>
  <si>
    <t>En este Proyecto se pretende diseñar una planta procesadora de conservas de papa, estandarizar e industrializar el proceso actual, para la elaboración de su producto papas nativas en conserva tipo gourmet.Su gran aceptación en los diferentes mercados de este producto, en especial de La Paz, Cochabamba y Santa Cruz, motivó a que la empresa BioTop industrialice su proceso que en la actualidad es artesanal.Las materias primas utilizadas para la producción de papas nativas en conserva tipo gourmet son: Papa nativa de la variedad Waycha, liquido de gobierno compuesto por sal, ácido ascórbico y ácido cítrico. El objetivo general del presente proyecto de grado es diseñar una planta de conserva de papas, cuya capacidad de producción satisface la demanda proyectada por la empresa.El diseño de la planta se realizó estudiando las características, disponibilidad, abastecimiento de materias primas y suministros requeridos en la producción de las papas en conserva.Se calculó y dimensionó los equipos de: tanque de agitación, intercambiador de doble tubo, exhauster, autoclave, planta de tratamiento de agua, tamizador y caldero de vapor de agua.Se determinó los costos de cada uno de los equipos requeridos en el proceso productivo y los servicios necesarios en la instalación y operación de la planta, la inversión total asciende a un monto de 202890 $us. Del análisis financiero del cual se concluyó que la TIR es de 29,42%, el VAN es de 192201$us y la relación beneficio/costo es de 1,06.</t>
  </si>
  <si>
    <t>https://drive.google.com/file/d/147K75RWl1LZoePTIkNcIWrBZoDfQ8wS6/view?usp=sharing</t>
  </si>
  <si>
    <t>https://drive.google.com/file/d/1YSms_aeay3Rh5G4lp76a_auHkTN63CAp/view?usp=sharing</t>
  </si>
  <si>
    <t>https://drive.google.com/file/d/1673UAmgJiu-U__P6v8Gv3LSXCV9qunv6/view?usp=sharing</t>
  </si>
  <si>
    <t>ERICK SAUL PACHECO FLORES</t>
  </si>
  <si>
    <t>PLAN DE NEGOCIOS PARA LA CREACIÓN DE UNA INSTITUCIÓN MIRCOFINANCIERA (IMF) EN LA CIUDAD DE COCHABAMBA</t>
  </si>
  <si>
    <t>ericksaul@gmail.com</t>
  </si>
  <si>
    <t>IND-397-2010</t>
  </si>
  <si>
    <t>Plan de Negocios, Microfinanzas, Microcrédito, Emprendedurismo, Inclusión financiera, Factibilidad</t>
  </si>
  <si>
    <t>Considerando el contexto social, político y económico por el que atraviesa el país, es importante imaginar y visualizar todo el desarrollo económico del entorno productivo con el que se va proyectando el medio tanto a nivel regional como nacional. Este es el punto crucial donde muchas empresas, personas naturales y jurídicas se empeñan en buscar medios económicos y financieros para llevar adelante los objetivos que por su naturaleza habían planeado. Es éste el momento en el que recurren a préstamos bancarios como elemento fundamental para coadyuvar con el crecimiento, desarrollo y puesta en marcha de sus planes y objetivos inmediatos; sin embargo se ven claramente frustrados, ya que al recurrir a una u otra entidad financiera se dificultan sus aspiraciones debido a que las condiciones y requisitos que requieren las entidades normalmente son inalcanzables o por el contrario carecen de justificación.Como una alternativa muy importante con relación a este aspecto se encuentran las Instituciones Microfinancieras (IMF`s), empresas dedicadas al microcrédito, que en su origen establecen una filosofía de cooperación y fomento a micro y pequeños empresarios que no tienen acceso al Sistema Bancario tradicional por el tamaño de sus operaciones y por los requisitos que éstas exigen. De un tiempo a esta parte las empresas Microfinancieras se han convertido en un instrumento de desarrollo para sectores deprimidos, pero con grandes condiciones de realizar emprendimientos empresariales, ya sean artesanales, comerciales o industriales; dichos emprendedores requieren instituciones financieras que les permitan acceder a créditos en mejores condiciones en cuanto a trámites y requisitos de acuerdo a sus posibilidades.El mercado para la empresa “LA SALVADORA S.R.L.”, son las personas económicamente activas dedicadas a la micro producción, comercio minorista y construcción.La empresa ofrece productos financieros para distintos segmentos de mercado, de acuerdo a sus características propias de plazo, requisitos, tasa de interés y agilidad en su tramitación, sin pagos adicionalesLa empresa es una Sociedad de Responsabilidad Limitada S.R.L. su estructura orgánica está conformada por un directorio como máxima autoridad seguida de un gerente general el mismo que tiene bajo su responsabilidad toda la estructura de la empresa, Tiene como jefes de línea al gerente de marketing que responsable de la prestación de los servicios financieros; un gerente administrativo y financiero es el responsable del manejo administrativo, contable; un gerente de créditos, responsable de la evaluación, calificación y aprobación de los créditos solicitados. Después esta todo el personal de operaciones que tienen a su cargo cada uno de los jefes de línea La empresa realizará una inversión de  106,899 $us de los cuales, el 15% 16,155.00 $us es aporte propio y el 85%, 90,744 $us se financiará con una entidad financiera o socios capitalistas a una tasa de interés del 11% anual. La empresa el primer año de funcionamiento espera tener 92,640 $us de ingresos por colocación en créditos con un incremento gradual anual del 25% según el programa de servicio proyectado. El rendimiento sobre el capital propio tiene una tasa de retorno (TIR) del 25.97%, y el indicador  Beneficio – Costo es de 1.71. Lo que demuestra que el presente proyecto es viable.</t>
  </si>
  <si>
    <t>https://drive.google.com/file/d/1BkzXCM17DwhWdYOWEinKzHURwem-e0DK/view?usp=sharing</t>
  </si>
  <si>
    <t>https://drive.google.com/file/d/1L8EvcUYnkzCxGQSyGo26T_I21gLMQ9Cl/view?usp=sharing</t>
  </si>
  <si>
    <t>https://drive.google.com/file/d/1J3yaFnG5CmstGSo2D13wNnu1J8OA7nu6/view?usp=sharing</t>
  </si>
  <si>
    <t>DANIELA ANTEZANA VARGAS</t>
  </si>
  <si>
    <t>JIMENA HINOJOSA BUSTAMANTE</t>
  </si>
  <si>
    <t>PLANIFICACIÓN ESTRATÉGICA PARA LA EMPRESA CONSTRUCTORA SOHINCO S.R.L.</t>
  </si>
  <si>
    <t>daniela.antezana.vargas@gmail.com</t>
  </si>
  <si>
    <t>PROYECTO DE GRADO.</t>
  </si>
  <si>
    <t>IND-398-2010</t>
  </si>
  <si>
    <t>Empresa constructora SOHINCO S.R.L., Misión, Visión, Objetivos a largo plazo, Planificación estratégica, estrategias, Planificación operativa, Competitividad</t>
  </si>
  <si>
    <t>El objetivo del presente Proyecto de Grado fué el de lograr que la empresa constructora SOHINCO S.R.L. sea una empresa competitiva y tenga un mejor escenario futuro, a partir de la aplicación e implementación de la Planificación Estratégica.En primer lugar se realizó la identificación del problema utilizando la herramienta árbol de problemas, además de formular el objetivo general con sus respectivos objetivos específicos.El siguiente paso fue el de definir la metodología a ser utilizada, para lo cual se consultó a varios autores de planificación estratégica, llevando a la conclusión de adaptar un modelo teórico en base a las necesidades del estudio a realizarse.Como tercer  paso se desarrolló un análisis externo  mediante la identificación de factores externos clave en sus cinco categorías principales, lo cual nos permitió identificar oportunidades y amenazas con sus respectivas causas y consecuencias, para de esta manera proceder con la realización de la Matriz de Evaluación del Factor Externo (EFE). Para el desarrollo del análisis competitivo se utilizó el modelo de las cinco fuerzas de Porter y para identificar a los competidores más importantes la Matriz de Perfil Competitivo. Para concluir el análisis externo y comprender el comportamiento del mercado se realizó el análisis de la Matriz Pestal. El siguiente paso consistió en realizar un diagnóstico interno que enfocó las áreas funcionales de la empresa desde un punto de vista sistémico, con ello se pretendió analizar la situación  en la que se encontraba la empresa, mediante el diagnóstico de productividad  y la evaluación de funciones además de la identificación de políticas y valores empresariales, Luego se procedió con la identificación y evaluación de las fortalezas y debilidades de la empresa, con sus respectivas causas y consecuencias, para que con esta información se proceda con la realización de la Matriz de Evaluación del Factor Interno (EFI), concluyendo el análisis interno con la identificación de contingencias, vulnerabilidades y competencias nucleares. Para la realización del análisis financiero se procedió al cálculo  de los índices de rentabilidad, índices de rotación de activos, índices de liquidez y los índices de endeudamiento.Como paso final se realizó la propuesta de solución al problema identificado, empezando con  la elaboración de la declaración de la Visión y Misión de la empresa, para poder determinar los objetivos a largo plazo, estrategias básicas, finalidades y los factores críticos de éxito con sus respectivas  restricciones y limitaciones. Luego se procedió a la formulación, análisis y selección de las estrategias, a partir de la reflexión estratégica realizada para las fortalezas, oportunidades, debilidades y amenazas. La primera herramienta utilizada para la formulación de la estrategia fue el FODA Estratégico mediante la creación de cuatro tipos de estrategias FO, DO, FA, DA. La segunda herramienta utilizada fue la Matriz de Posición Estratégica y Evaluación de la Acción (PEEA), que nos brindó opciones de estrategias a ser tomadas en cuenta para la empresa. La siguiente herramienta utilizada fue la Matriz Interna y Externa (IE), la cual utiliza la información de las matrices EFE y EFI. Como última herramienta utilizada para la etapa de formulación fue la Matriz de la Estrategia Principal que analiza el crecimiento del mercado y la posición competitiva. Para realizar la selección de estrategias a ser utilizadas en la etapa de implantación de la estrategia se utilizó como única herramienta la Matriz de la Planeación Estratégica Cuantitativa que nos indicó en forma objetiva las alternativas de estrategias a aplicarse en la empresa.Para implantación de las estrategias seleccionadas se realizó el nombramiento de cada Plan Estratégico con sus respectivas líneas estratégicas para proceder finalmente con la realización de la Planificación Operativa mediante la selección de líneas estratégicas a llevarse a cabo en la siguiente gestión.</t>
  </si>
  <si>
    <t>https://drive.google.com/file/d/1paR94yeIQtJdqk7sBHtt_CdnndKRZNE9/view?usp=sharing</t>
  </si>
  <si>
    <t>https://drive.google.com/file/d/1VRrWwGmj5C9I123RT2b-aNplJVyxs3CS/view?usp=sharing</t>
  </si>
  <si>
    <t>https://drive.google.com/file/d/1Fm2_kly1EpG3XFq8aAr5SRZxPEC0gspd/view?usp=sharing</t>
  </si>
  <si>
    <t>ETIEN SILBANO TRUJILLO CAMACHO</t>
  </si>
  <si>
    <t>RAMIRO RIVERO CUÉLLAR</t>
  </si>
  <si>
    <t>ING. RAFAEL OVIDIO ALTAMIRANO</t>
  </si>
  <si>
    <t>GESTIÓN EMPRESARIAL PARA MEJORAR LA COMPETITIVIDAD DE LA FÁBRICA HIELO “CRISTAL”</t>
  </si>
  <si>
    <t>etien_trujillo@gmail.com</t>
  </si>
  <si>
    <t>IND-399-2010</t>
  </si>
  <si>
    <t>Fábrica de Hielo “Cristal”, Competitividad, Investigación de Mercados, Modelo de Gestión de Mejora Continua (Ciclo PDCA), Optimización de la Producción y Direccionamiento Estratégico.</t>
  </si>
  <si>
    <t>La fábrica de hielo Cristal, ha visto por conveniente realizar un estudio que refleje el estado actual de la Empresa tanto de su ambiente interno y externo, con el fin de tener información que permita tomar mejores decisiones para mejorar su competitividad a mediano plazo. Primeramente se realizó un diagnóstico de la situación actual y se recabó la información disponible acerca de las actividades, procesos, la organización actual, etc. Todo ello con el fin de establecer la situación actual, y elaborar una propuesta que mejore de manera integral su competencia en el mercado, todo en base a la matriz de limitaciones y causas, el método FODA y las 5 fuerzas de Porter, herramientas que facilitan determinar las posibles soluciones a sus problemas. También se realizo entrevistas al propietario, al personal y una investigación de mercados, se observo el proceso de producción, comercialización, seguridad en la fábrica y aspectos de mantenimiento. Todo ello mediante el análisis de Pareto, cursogramas sinópticos y revisión de datos históricos y la realización de un pronóstico de producción. Se registró y se observo claramente como es el método actual de trabajo. Se hizo un seguimiento de tiempo, asociado a las actividades ya que cada máquina tiene diferente volumen de producción diaria también a elementos mecánicos, eléctricos y ubicación de la planta. En el siguiente paso se procedió a la medición de la cantidad de horas hombres necesarios, para su funcionamiento, en esta medición se uso las técnicas de métodos y reingeniería. Con los datos recabados se procedió a la determinación de un modelo de gestión enfocada en la aplicación de la filosofía de la mejora continua. En este trabajo se propone la fase inicial de la implementación, que mediante una serie de “acciones” específicamente para cada área de la organización se pueda ir solucionando y controlando los problemas. También se elaboró una serie de políticas y normas como parte del marco estratégico que se propone. También mediante un análisis de los datos se procedió a la planificación de la producción, eliminación de tiempos ociosos del personal, reasignando tareas, eliminando recorridos innecesarios, logrando así una mejora en el proceso y las actividades. Asociados a la producción se estimo el costo que conlleva el mantenimiento de las máquinas y equipos. Con la elaboración del manual de funciones el personal sabrá que funciones debe de cumplir, que actividades debe de seguir y que apoyo deben de recibir de la administración. Se realizo la optimización del uso de la maquinaria como parte de la propuesta y se compararon estos costos con los de la producción actual, observándose un incremento de la producción y el aumento de los beneficios alcanzados mediante la elaboración del análisis económico del proyecto en el cual se calculó el TIR incremental que nos indica que es factible realizar este proyecto tanto para mejorar la competitividad de la fábrica.</t>
  </si>
  <si>
    <t>https://drive.google.com/file/d/1NyFRnKYp9lsxY2NSUP6piLbbq1_vp8rd/view?usp=sharing</t>
  </si>
  <si>
    <t>https://drive.google.com/file/d/1YtSKZMe4FGzY-3LtMDXjevgYM5Xnpmeo/view?usp=sharing</t>
  </si>
  <si>
    <t>https://drive.google.com/file/d/1WYUOBXCqAZrtHlHaAkNhmC6ZH0wfAbfS/view?usp=sharing</t>
  </si>
  <si>
    <t>FABIOLA VÁSQUEZ TERCEROS</t>
  </si>
  <si>
    <t>DISEÑO DE UN PLAN ESTRATÉGICO Y OPERATIVO DE MARKETING ORIENTADO A LA CAPTACIÓN Y RETENCIÓN DE CONSUMIDORES LOCALES PARA LA EMPRESA A.S.A.R.T.I.</t>
  </si>
  <si>
    <t>fabyta357@hotmail.com</t>
  </si>
  <si>
    <t>IND-400-2010</t>
  </si>
  <si>
    <t>Marketing Integral, Diagnóstico Empresarial, Evaluación por Indicadores, Sistema de Gestión, Estudio de Mercado.</t>
  </si>
  <si>
    <t>El propósito del presente proyecto fue realizar un “Plan estratégico y operativo de marketing orientado a la captación y retención de consumidores locales para la empresa A.S.A.R.T.I.La metodología que se utilizó para el estudio, partió de un diagnostico de la situación actual de la empresa a través del análisis de:Variables internas: fortalezas y debilidades.Variables externas: oportunidades y amenazas.Las cuales permitieron identificar las ventajas y desventajas de la empresa en el mercado en el que se desenvuelve.La investigación de mercados ayudo a conocer y seleccionar los mercados aptos para la venta de los productos, la demanda potencial de los mismos, los competidores, la participación en el mercado de la marca y el grado de aprovechamiento de las variables de la mezcla de marketing.La información recolectada en la etapa anterior fue analizada y adecuada mediante herramientas de gestión, este proceso de adecuación de la información permitió seleccionar la estrategia de crecimiento intensivo de penetración en el mercado; con el apoyo de las técnicas de Benchmarking y Merchandising, fueron la base para la elaboración del plan de marketing de los próximos tres años.Dentro del plan de marketing se definió objetivos de ventas y de mercadotecnia, para cumplirlos se basaron en las estrategias de posicionamiento, cuota de mercado, diferenciación y también en cada una de las variables de la mezcla de marketing.Se desarrollaron planes para: el producto, precio, distribución y promoción; que permitieron realizar la evaluación del impacto financiero que ocasionará.Con el propósito de garantizar el cumplimiento del plan se elaboro la propuesta de un modelo de sistema de gestión basado en la metodología del Cuadro de Mando Integral.Finalmente se recomendó la implementación del plan de marketing propuesto, por ser referente para estudios posteriores de nuevos mercados y por los beneficios económicos y sociales que genera.</t>
  </si>
  <si>
    <t>https://drive.google.com/file/d/1lSmPeJHz0uOxT35EgMKfr0OUTgXpNx4E/view?usp=sharing</t>
  </si>
  <si>
    <t>https://drive.google.com/file/d/1u7eClN3LVA6T0yCLWZjpTWPXDEtw33k5/view?usp=sharing</t>
  </si>
  <si>
    <t>https://drive.google.com/file/d/1YkfoU30zFiNnGuDZ0BObm_oSbGvVKXrb/view?usp=sharing</t>
  </si>
  <si>
    <t>GUDNAR EDGARDO FERNÁNDEZ ANGULO</t>
  </si>
  <si>
    <t>CLAUDIA TAPIA CASTELLÓN</t>
  </si>
  <si>
    <t>PLAN DE GESTIÓN DE SEGURIDAD INDUSTRIAL PARA LA EMPRESA INQUIBOL.</t>
  </si>
  <si>
    <t>clau_877@hotmail.com</t>
  </si>
  <si>
    <t>IND-401-2010</t>
  </si>
  <si>
    <t>INQUIBOL, Seguridad Industrial, Gestión, Método General de evaluación de Riesgos</t>
  </si>
  <si>
    <t>El objetivo del presente proyecto es realizar un Plan de Gestión de Seguridad Industrial para la empresa Inquibol.Primeramente se realizo un diagnostico a la empresa Inquibol y se recabo toda la información disponible acerca de las actividades, proceso productivo, estructura orgánica, estructura de las instalaciones, etc. toda esta información recabada nos permitió conocer las condiciones actuales de la empresa Inquibol en cuanto a seguridad industrial.Con toda la información recabada se procedió a la identificación de riesgos, la cual se la llevo adelante mediante un análisis de cada área de la empresa, considerando tanto los riesgos asociados a la actividad, al proceso productivo como también a la infraestructura con la que cuenta la empresa Inquibol.Una vez habiendo identificado todos y cada uno de los riesgos existen en la empresa, se realizo la evaluación de los mismos, proponiendo soluciones y acciones correctivas que puedan minimizar los riesgos anteriormente identificados.Luego de haber realizado tanto la evaluación como la identificación de los riesgos se procedió a elaborar el plan de seguridad industrial, con el desarrollo de este plan se pretende minimizar los riesgos de la empresa, mejorar el rendimiento del área de producción y por consiguiente incrementar la productividad de la empresa, todo esto con la propuesta de la organización de la  Seguridad Industrial para la empresa, un plan de capacitaciones, un registro de accidentes y enfermedades ocupacionales, un mapa de rutas de evacuación, una propuesta de equipos de protección personal completos para todo el personal de la empresa, señalización para todas las aéreas, un programa de mantenimiento para las maquinarias y equipos de la empresa, además de un cronograma que facilite la ejecución del plan de seguridad industrial, al momento de ser implementado.Por último se estimo el costo total que representaría la aplicación del Plan de seguridad industrial.</t>
  </si>
  <si>
    <t>https://drive.google.com/file/d/1Jkine9MpXmCKtVKt-Ua391faW58vSp-P/view?usp=sharing</t>
  </si>
  <si>
    <t>https://drive.google.com/file/d/1ldRUaTIcygkhTsFekp3lAPeHBJdvDwx0/view?usp=sharing</t>
  </si>
  <si>
    <t>https://drive.google.com/file/d/1uQeo8iV55fRostk6vrt2qV45wNqkgdsL/view?usp=sharing</t>
  </si>
  <si>
    <t>LAURA VANESSA PEREZ CLAROS</t>
  </si>
  <si>
    <t>OPTIMIZACIÓN DEL PROCESO PRODUCTIVO EN LA EMPRESA LÁCTEOS ANGOSTURA</t>
  </si>
  <si>
    <t>baby_yeila@hotmail.com</t>
  </si>
  <si>
    <t>IND-402-2010</t>
  </si>
  <si>
    <t>Productividad, Balanceo de línea, Buenas prácticas de manufactura (BPM), inocuidad, Capacidad ociosa, Cuello de botella.</t>
  </si>
  <si>
    <t>El proyecto es una propuesta de solución a incrementar la productividad de la empresa Lácteos  Angostura. Para ello se realizó un diagnostico productivo del sistema de producción actual. Se realizo la toma de tiempos de producción estándar en cada una de las etapas del proceso productivo de la leche pasteurizada y queso, hasta obtener el producto terminado, donde se determinaron los principales problemas que ocasionan cuellos de botella y actividades improductivas en el proceso de  producción.Con la aplicación del estudio de tiempos y Movimientos  se llego a reducir los tiempos de producción y aquellas actividades que no agregan valor al producto final (tiempo ocioso), el proyecto de grado sugirió realizar actividades simultaneas a determinadas actividades improductivas, además propuso nuevas formas de realizar las tareas fáciles y flexibles adaptables  a las necesidades cambiantes del mercado, de esta manera se incremento la productividad en el área de producción. Se  realizo la evaluación de los resultados obtenidos, considerando un análisis del balanceo de línea por el método tradicional, este es el método con el que se  determino el tiempo estándar, tiempo de ciclo y la eficiencia con la que actualmente trabaja la empresa en sus dos líneas de productos.   Posteriormente se estableció un plan de implementación de las mejoras realizadas, estableciendo plazos, materiales e insumos, maquinarias, capacitaciones  y el costo total de implementación, que luego sirvieron para realizar las recomendaciones que se requieren para efectuar el seguimiento y evaluación del plan.Para apreciar el impacto económico en un futuro, se realizo proyecciones de la utilidad neta a lo largo de cinco periodos (años), estas proyecciones muestran el beneficio que trae hacia la empresa el implementar el proyecto.Finalmente se llegó a determinar el beneficio- costo que la empresa obtendría al implementar el proyecto cuyo resultado es satisfactorio ya que genera situaciones ventajosas para la empresa.</t>
  </si>
  <si>
    <t>https://drive.google.com/file/d/1JHuCcqk1_kqlJ41l5V5HGNf_50MEmIoz/view?usp=sharing</t>
  </si>
  <si>
    <t>https://drive.google.com/file/d/17A9Y3H-zPWvG-OaRwdDLRxN-A-t1t8-C/view?usp=sharing</t>
  </si>
  <si>
    <t>https://drive.google.com/file/d/1KbVNZOOi5y-FoGRBT35caLodB5zWd_7_/view?usp=sharing</t>
  </si>
  <si>
    <t>PATRICIA ALCARAZ CAMACHO</t>
  </si>
  <si>
    <t>SHIRLEY MARGOT GUTIERREZ SILVESTRE</t>
  </si>
  <si>
    <t>ING. RODRIGO CARLOS ECHEVERRIA HERRERA</t>
  </si>
  <si>
    <t>ESTUDIO DE FACTIBILIDAD PARA LA IMPLEMENTACIÓN DE FORRAJES HIDROPÓNICOS EN EL MUNICIPIO DE TACOBAMBA DEL DEPARTAMENTO DE POTOSÍ</t>
  </si>
  <si>
    <t>el_hai@hotmail.com</t>
  </si>
  <si>
    <t>IND-403-2010</t>
  </si>
  <si>
    <t>Municipio de Tabobamba, Forraje Verde Hidropónico (FVH), Proyecto de Factibilidad, Planta de Producción de Forrajes</t>
  </si>
  <si>
    <t>El municipio de Tacobamba en el departamento de Potosí es uno de los más pobres del país el principal ingreso de los habitantes es el proveniente de la producción agraria, siendo esta reducida ya que depende de los cambios climáticos y cuenta también con problemas tales como la erosión de los suelos y la falta de agua. Los animales en la región son de consumo propio de los pobladores, las expectativas de crecimiento son muchas, lo que deriva en la migración hacia regiones con mayores perspectivas como las zonas mineras.Forraje Verde Hidropónico es un alimento de alta calidad nutritiva y de excelente sabor para los animales. En su forma de producción, no requiere de tierras de cultivo, lo que permite a los habitantes de la región el destinar sus tierras de cultivo especialmente paras el cultivo de alimentos propios del consumo humano. Otra de las características de FVH es que no requiere mucha agua para su cultivo. Lo que representa que no se requiere de épocas específicas del año para realizar este cultivo, que se realiza en cualquier clima, para obtener el alimento forrajero de forma rápida. Otra de sus ventajas es el rendimiento que llega a dar, ya sea en el peso del cultivo en si o en la calidad animal, representa una mejora sustancial en el peso animal, en los derivados como los cueros, lana, etc.La planta forrajera esta estimada para cubrir la demanda del Municipio con la que se bajaran los costos de producción y se mejorara la producción agraria, la planta cuenta con distintos módulos para el funcionamiento optimo, cada uno esta calculado para un rendimiento elevado de las plantas forrajeras que se cultivaran que en este caso son el trigo y la cebada. Este proyecto es netamente social, es por eso que se dio mayor énfasis en las ganancias para la población que si bien lo fuerte de no es exactamente la generación de empleos, pero se tiene un ahorro de materia prima e insumos.  Se tiene un crecimiento en la economía que derive de la producción animal. Según estudios realizados en países vecinos por la FAO. Se sabe que esta forma de cultivo de forrajes a dado un buen desarrollo y es recomendada para regiones andinas y de bajo potencial dentro el agro como lo es este municipio.</t>
  </si>
  <si>
    <t>https://drive.google.com/file/d/10RCiiogLoErtwWhdqYQlav_UiIzdbS31/view?usp=sharing</t>
  </si>
  <si>
    <t>https://drive.google.com/file/d/1MtD6A1pmiWLox69cYcgklVmH_3rrQKAK/view?usp=sharing</t>
  </si>
  <si>
    <t>https://drive.google.com/file/d/1tTe5nYETvvZ5lDUMXfns3NWgsQskvWMi/view?usp=sharing</t>
  </si>
  <si>
    <t>OSMAN RUSOF RIVAS QUIÑONES</t>
  </si>
  <si>
    <t>PLAN DE CAPACITACIÓN EN LA PRODUCCIÓN DE MARROQUINERÍA PARA MUJERES AUSPICIADO POR LA CURTIEMBRE TAURO LTDA.</t>
  </si>
  <si>
    <t>IND-404-2010</t>
  </si>
  <si>
    <t>Capacitación, Curtiembre, Marroquinería, Motivación, Aprendizaje</t>
  </si>
  <si>
    <t>El plan  de capacitación  que se desarrollo  fue por la idea de  mejorar la calidad de vida  de mujeres de escasos recursos, esto se pudo  planificar mediante un estudio de mercado, con una encuesta que nos dio el parámetro para el desarrollo de un procedimiento inicial de programa de capacitación  en trabajos en cuero para mujeres.Se recopilo la información con una metodología de investigación de mercados, después  se realizo un diagnostico de la situación actual de nuestro  nicho objetivo, para ello se  diseño un cronograma  anual  de capacitación.Para todo esto   el plan diseñado contempla la contratación o convocatoria de 100 mujeres , de las cuales  se seleccionara solo a 50 mujeres, esto  por los aspectos de interés , sobre todo, la voluntad ganas etc.; Lógicamente que  Tauro  solo tiene la capacidad de compra de maquinaria  para 50 mujeres, estas trabajaran para Tauro durante dos años, con el diseño y la elaboración de prendas de cuero como billeteras carteras cinturones etc.,Las trabajadoras percibirán un sueldo de 600 Bs.- , ya que solo  estarán 2 hrs.  3 veces ala semana , esto  se debe  a que no se perjudicara de sobremanera la actividad  cotidiana de trabajo de las mujeres seleccionadas; durante estos dos años  la producción que se realizara  será a favor  de Tauro Ltda.,después de este tiempo las trabajadoras   podrán trabajar desde sus casas , ya que Tauro  dotara en calidad de regalo  la maquinaria  para que estas puedan realizar trabajos en cuero , exclusivamente, para sus ventas y sus beneficios propios.Para ello todas las trabajadoras deben estar concientes del  trabajo de sus compañeras y de su esfuerzo, ya que esto debe servir de aliciente para que todas  logren el mismo resultado.Un factor de gran importancia para la Curtiembre Tauro Ltda., es que no debe de considerar al proceso de capacitación, como un hecho que se da una sola vez  para cumplir con un requisito. La capacitación debe realizarse en forma continua, tomando en cuenta los cambios en los requerimientos de los clientes y sobretodo la competencia.El apoyo de Gerencia General en  la Curtiembre Tauro es importante, ya que  esta debe estar presta a recibir sugerencias como aporte para limar las falencias que existe en todo proceso de aprendizaje y sobretodo prestando atención a los trabajos desempeñados por nuestras trabajadoras.Nuestras trabajadoras  al ser parte de  este proyecto proyectarían  o llegarían a  generar no solo nuevas fuentes de empleo sino también una visión de independencia económica para mujeres con calidad de trabajo potencial.Con todo lo indicado se pretende alcanzar  una rentabilidad alta ya que  con el incremento de mano de obra de  nuestras trabajadoras se elevará  las cantidades de producción y por ende las ganancias, todo esto en un mediano plazo, ya que  se pudo evidenciar la gran cantidad de cuero que se desperdicia en Tauro,  y esta seria muy bien aprovechada  a través de este plan de capacitación.Al final de este   plan  no olvidemos que la definición clara de objetivos  para las trabajadoras es fundamental en el aprendizaje de futuras  alumnas y las políticas e incentivos  aumentara  de sobremanera la calidad de  productos terminados y por supuesto la rentabilidad.</t>
  </si>
  <si>
    <t>https://drive.google.com/file/d/1XtWjBmUGclzEZR61tnbNCer807B8vz4L/view?usp=sharing</t>
  </si>
  <si>
    <t>https://drive.google.com/file/d/1Yp3oy7KvT5feqEOZS4ydZZDP_uedUu-w/view?usp=sharing</t>
  </si>
  <si>
    <t>https://drive.google.com/file/d/1HP5GLze2hBjcd-5R_zbgtoIBep1E_BJZ/view?usp=sharing</t>
  </si>
  <si>
    <t>ROXANA FORTUNATA CAMACHO CAERO</t>
  </si>
  <si>
    <t>XIMENA SILES NOGALES</t>
  </si>
  <si>
    <t>DISEÑO DE UN SISTEMA DE GESTIÓN DE LA CALIDAD BASADO EN LA NORMA NB-ISO 9001:2008 PARA LA EMPRESA ROMAN JEANS.</t>
  </si>
  <si>
    <t>roxan_ce@hotmail.com</t>
  </si>
  <si>
    <t>IND-405-2010</t>
  </si>
  <si>
    <t>Empresa Roman Jeans, Planificación del sistema de gestión de calidad, mejora continua, satisfacción del cliente y calidad del producto.</t>
  </si>
  <si>
    <t>La planificación e implementación de un sistema de gestión de calidad y la adopción de un enfoque basado en procesos constituyen herramientas clave para el incremento en la satisfacción del cliente y la mejora de los procesos. Es por esto que se ha desarrollado el diseño de un sistema de gestión de calidad para la empresa de confecciones Roman Jeans en base a la norma ISO 9001: 2008.Inicialmente se define el alcance del proyecto, que comprende el proceso de producción de la empresa. Posteriormente se determinó la metodología a seguir para el desarrollo del trabajo que incluyó la recolección de información disponible acerca de las actividades y procesos de la organización, además de las herramientas de análisis para la información obtenida.Después se efectuó el diagnóstico de la situación actual de Roman Jeans con respecto a la calidad mediante el cuestionario denominado “lista de verificación”, que permitió determinar el grado de conformidad de la empresa con relación a los requisitos de la norma.Con la información obtenida, se elaboró la planificación del sistema de gestión de calidad desde tres enfoques: La planificación estratégica, que permite establecer directrices en materia de calidad para la organización, desarrollar la política y los objetivos de la calidad. La planificación propia del sistema de gestión de calidad, muestra el enfoque basado en procesos aplicado a la organización y da respuesta a la necesidad de establecer la estructura de los procesos y actividades que interrelacionados permiten alcanzar los objetivos de la calidad. El último punto de vista desarrollado fue el de la planificación operativa o del producto y el proceso, donde se establecieron los requisitos de calidad del producto, las especificaciones de su realización y los recursos necesarios involucrados.Además se desarrolló una estructura documental para la  empresa que incluyó el manual de funciones de la organización, el manual de la calidad, los procedimientos y registros exigidos por la norma y otros documentos necesarios paran el sistema de gestión de calidad.Posteriormente se calcularon los costos del proyecto que demuestran los beneficios económicos a largo plazo, que se conseguirán con la implementación del sistema de gestión de la calidad.</t>
  </si>
  <si>
    <t>https://drive.google.com/file/d/1xTkBl0lOzkki6qfh288O30xNeysdfAae/view?usp=sharing</t>
  </si>
  <si>
    <t>https://drive.google.com/file/d/1WOghVjmsmHCpI1V5WpLAORxGteS6J05H/view?usp=sharing</t>
  </si>
  <si>
    <t>https://drive.google.com/file/d/1CxpZJ7yQmPCkGm9YxneaL3c4bewKkzB6/view?usp=sharing</t>
  </si>
  <si>
    <t>CAROLINA DÁVILA RODRÍGUEZ</t>
  </si>
  <si>
    <t>ESTUDIO DE FACTIBILIDAD PARA LA INSTALACIÓN DE UNA PLANTA DE PRODUCCIÓN DE LECHE Y DULCE DE LECHE DE SOJA</t>
  </si>
  <si>
    <t>carito_lierdr@hotmail.com</t>
  </si>
  <si>
    <t>IND-406-2010</t>
  </si>
  <si>
    <t>Estudio de Mercado, Indicadores Financieros, Dulce de leche de soja.</t>
  </si>
  <si>
    <t>El estudio de factibilidad para la instalación de una planta de producción de leche y dulce de leche de soja, nace por el incremento del precio de los lácteos registrado en la gestión 2008 en el departamento de Cochabamba con el fin de convertirse en una alternativa de consumo ante esta circunstancia ya que el incremento de los lácteos en esta gestión ha alcanzado su más alto porcentaje. Por lo cual se ve por conveniente aprovechar este incremento en los precios para incursionar en el mercado de la leche y dulce de leche de soja. Se comenzó el proyecto con una investigación de mercado, estudiando el mercado consumidor, proveedor, distribuidor y competidor. Determinando que existe una demanda insatisfecha para la leche de soja. Con la investigación de mercado se procedió al pronóstico de la demanda del producto en el departamento de Cochabamba.El objetivo principal es demostrar la factibilidad de la instalación de una planta de producción de leche y dulce de leche de soja, siendo necesario también determinar el comportamiento del mercado para establecer el alcance del proyecto, así como determinar los procesos a utilizarse para la producción de leche  y dulce de leche de soja De acuerdo al análisis de la demanda insatisfecha y la disponibilidad de tecnología se determinó que la planta tendrá una capacidad máxima de  200 L para el quinto año de producción.Se determinó los costos de cada uno de los equipos requeridos en el proceso productivo y los servicios necesarios en la instalación y operación de la planta.Se determinó que la mejor alternativa de localización del proyecto es en la zona sud del departamento de Cochabamba.Se realizó una estimación de los costos para la instalación y ejecución de la planta. Con toda esta información se procedió a realizar el respectivo análisis financiero usando los indicadores financieros: TIR, VAN, B/C y el punto de equilibrio. Se realizó una Evaluación de Impacto Ambiental, concluyendo que el mismo es viable de manera ambiental. Finalmente el estudio de factibilidad demostró que el proyecto es financieramente rentable.</t>
  </si>
  <si>
    <t>https://drive.google.com/file/d/17fY7BqXf6SbC9aA1fLUEH3tCG03BVhvi/view?usp=sharing</t>
  </si>
  <si>
    <t>https://drive.google.com/file/d/1UQOsTGNTXG8HQRi16G2PbeX_Kxdj7gTu/view?usp=sharing</t>
  </si>
  <si>
    <t>https://drive.google.com/file/d/126R-7EEq0bttaM8mFe4zULDC9-AeC3Ex/view?usp=sharing</t>
  </si>
  <si>
    <t>JAVIER NOGALES CAMACHO</t>
  </si>
  <si>
    <t>ANÁLISIS Y MEJORAMIENTO DEL ÁREA DE PRODUCCIÓN, EN LA INDUSTRIA MADERERA FAMALIT LTDA.; UNIDAD PRODUCTIVA ASERRADERO.</t>
  </si>
  <si>
    <t>tazin18@hotmail.com</t>
  </si>
  <si>
    <t>IND-407-2010</t>
  </si>
  <si>
    <t>Producción, Productividad, Niebel y Freivalds, métodos, estudio tiempos, estudio rendimientos, BOLFOR.</t>
  </si>
  <si>
    <t>El presente trabajo se llevo acabo en la empresa del rubro maderero FAMALIT Ltda. de nuestra ciudad, dicha empresa está dedicada a la producción de productos madereros para la construcción, tales como: vigas, listones, tablas entre otros. En la cual se vio la necesidad de realizar mejoras al área de producción y cambiar el tipo de sostenibilidad empírica que tenia, ya que debido a las mayores necesidades de los clientes y al crecimiento continuo del mercado es que en estos últimos años la empresa contaba con dificultades para lograr los niveles de producción requeridos.El proyecto tuvo como objetivo fundamental el de proponer mejoras en el proceso de producción a través de la aplicación de un estudio de ingeniería de métodos y tiempos, así  a la vez establecer parámetros para las operaciones y lograr posteriormente apoyo al manejo y control de rendimientos volumétricos mediante un estudio de factores de rendimiento.El primer paso para lograr ese propósito fue el de la recopilación de información y definición de parámetros tales como los antecedentes, objetivos y alcance del proyecto, para posteriormente orientar el trabajo a un diagnostico actual de la empresa y obtener evidencias de las falencias y complicaciones que se encontraron dentro el área de producción, esto mediante técnicas y herramientas que se llevaron adelante a lo largo de todo el estudio, como ser; análisis FODA, herramientas de la ingeniería de métodos: “diagramas de proceso”, “diagrama de cuadrilla” etc., cada uno aplicado acorde a las necesidades especificas de cada proceso.En el desarrollo del estudio de tiempos se determino el tiempo estándar de fabricación mediante el método de “estudio de tiempos con cronometro” por ser el más adecuado al tipo de industria. Finalmente se realizo un estudio de rendimiento volumétrico maderable, ya que la empresa se veía en la necesidad de contar con factores de rendimiento que permitieran programar operaciones (recepción-entrega) tanto internas como externas, así como establecer y pronosticar volúmenes tanto de materia prima como de productos terminados.</t>
  </si>
  <si>
    <t>https://drive.google.com/file/d/1tlvhAPz1OVtJOurp6dG5WV-InLBJ4Ljy/view?usp=sharing</t>
  </si>
  <si>
    <t>https://drive.google.com/file/d/1hB2sUIgb-I88ng8byCRaPzv1KfVll4sR/view?usp=sharing</t>
  </si>
  <si>
    <t>https://drive.google.com/file/d/1Ml3q4IHd_W-Vw760SYCLP5cK_J75FzlL/view?usp=sharing</t>
  </si>
  <si>
    <t>VICTOR ANTONIO MOLINA LOAYZA</t>
  </si>
  <si>
    <t>PLAN ESTRATÉGICO DE MARKETING PARA LA COMERCIALIZACIÓN DE EMBUTIDOS. CASO: EMPRESA MARDELY</t>
  </si>
  <si>
    <t>v-a-m-l@hotmail.com</t>
  </si>
  <si>
    <t>IND-408-2010</t>
  </si>
  <si>
    <t>Matriz de Evaluación de factores internos y externos (EFI – EFE), Matriz de perfil competitivo (MPC) y Plan Estratégico de Marketing.</t>
  </si>
  <si>
    <t>Inicialmente se identificó el problema central que conllevó a la realización del proyecto, posteriormente se determinó que  la opción más adecuada para la solución del problema fue la elaboración de un plan estratégico de marketing, limitando el estudio a un solo producto, chorizo tipo viena, que es considerado como el de mayor demanda y el producto estrella de la empresa en estudio.Posteriormente se consulto toda la información bibliográfica al respecto, para poder elaborar un plan estratégico de marketing, detallando los puntos más importantes a considerar con relación a su estructuración y diseño.La metodología empleada para la ejecución del proyecto fue: Primeramente la elaboración de una evaluación de la empresa, utilizando para ello el análisis FODA, dicho análisis permitió conocer las fortalezas, oportunidades, debilidades y amenazas que afectan  las actividades de la institución en relación a su principal competencia; se empleo también  la evaluación de factores internos y externos (EFI y EFE), esta herramienta nos permitió evaluar las fortalezas, debilidades, amenazas y las oportunidades que tiene la empresa. También se utilizó la herramienta de la  matriz de perfil competitivo (MPC) que identificó a los principales competidores de la empresa, así como sus fuerzas y debilidades particulares, en relación de una muestra de la posición estratégica de la empresa.Otra herramienta que se utilizó fue el análisis de Porter que fue utilizado para determinar la capacidad de la empresa para explotar sus ventajas competitivas en su mercado de referencia, la cual no depende solamente de la competencia directa que ahí se encontró, sino también del papel ejercido por las fuerzas rivales como los competidores potenciales, los productos sustitutos, los clientes y los proveedores.Una vez realizado la evaluación de la empresa, se prosiguió a la elaboración de un estudio de mercado que nos permitió conocer las características que toma en cuenta el cliente al momento de realizar la compra del producto, se pudo determinar que un 75% de las personas que fueron encuestadas, consumen el tipo de producto que fue motivo de análisis, también el estudio dio a conocer que, las principales empresas que se encuentran bien establecidas en el mercado objetivo son SOFIA, DILLMANN y Pio Rico.Seguidamente después de realizar el estudio de mercado, se diseñó el camino estratégico que se seguirá en la estructuración de las estrategias de marketing que se consideró para introducir el producto en el mercado regional. Las estrategias adoptas con relación al marketing mix fueron; para la primera variable la estrategia a implantar fue la diferenciación del producto, para la segunda variable fue establecer precios competitivos con relación a la competencia, para la tercera variable se emplea la estrategia de uso de intermediarios y la distribución selectiva y posteriormente para la ultima variable se utilizó la estrategia de la mezcla promocional, con los cuales se lograron alcanzar los objetivos propuestos.Para concluir el trabajo se realizó una evaluación financiera con el cual se pudo determinar que el proyecto si es ejecutado tal cual se menciona en cada uno de sus procesos, este será económicamente rentable y viable.</t>
  </si>
  <si>
    <t>https://drive.google.com/file/d/1SE2pvwLlj90Eulk-WYD3EwEyPyiGTbOQ/view?usp=sharing</t>
  </si>
  <si>
    <t>https://drive.google.com/file/d/1w3OkrxfVHHUUNao__cz8gWB0HwNnPhml/view?usp=sharing</t>
  </si>
  <si>
    <t>https://drive.google.com/file/d/1wtjfJzFoU8wxvdi1L7rFCneQEmCauR1W/view?usp=sharing</t>
  </si>
  <si>
    <t>ERLINDA NAVIA ATOCHA</t>
  </si>
  <si>
    <t>ING. ORLANDO LUIS MERCADO DEHEZA</t>
  </si>
  <si>
    <t>ESTUDIO DE FACTIBILIDAD PLANTA DE ELECTROLITO</t>
  </si>
  <si>
    <t>enavia.23@gmail.com</t>
  </si>
  <si>
    <t>IND-409-2010</t>
  </si>
  <si>
    <t>Dirección General de Sustancias Controladas (DGSC).</t>
  </si>
  <si>
    <t>La necesidad de haber realizado el estudio fue de ver la posibilidad de introducir al mercado Boliviano, electrolito. El electrolito conocido con el nombre de ácido para baterías, es una dilución del ácido sulfúrico en agua desmineralizada. La concentración de ácido sulfúrico es de alrededor de 35% en peso, para una densidad de 1,26 g/cc. en Cochabamba. Así también hubo una escases en la oferta e incremento en la demanda el año 2009, según información de la DGSC de esta manera se definió el alcance del trabajo y se realizó la metodología de estudio.Se realizó un previo estudio de características del electrolito en nuestro país, mediante llamadas telefónicas y se estableció estas densidades por departamento: En La Paz, Oruro y Potosí venden electrolito con una densidad de 1,28 (g/cc); Cochabamba, Tarija y Sucre con una densidad de 1,26 (g/cc); Santa Cruz, Beni y Pando con una densidad de 1,23-1,25 (g/cc).Se definió un valor para la comercialización de 45.000 L/mes, y como va ir incrementando la demanda según pronósticos, se pensó incrementar el volumen de producción el 2013 a 90.000 L/mes.Se determinó la distribución de planta en base a algunas ecuaciones de diseño, así también para el  presente proyecto las cotizaciones y selección de alternativas, fueron las más importantes, esto debido a la realidad de la implementación de las empresas, la tecnología es muy cambiante y cada vez mejor a nivel internacional. En Bolivia se tienen pocas ventajas competitivas.De la evaluación financiera se  concluyó: VAN =3.285.174 Bs, TIR=50%, RBC=2,85 y ROI=1,61. Dado un financiamiento al 200.000 $us  del Fondo Financiero Privado Fies s.a. con una tasa de interés del 12 % anual con un plazo de 5 años, con amortización constante y con garantía hipotecaria. Y aporte propio de 241.500 $us, que se recuperará al tercer año de producción.Con el proyecto se pretendió ofrecer un producto demandado a nivel Nacional, también generar más empleos.</t>
  </si>
  <si>
    <t>https://drive.google.com/file/d/1PwvZw2j6Bx1tq7bLyGIVghl42GOe6LRs/view?usp=sharing</t>
  </si>
  <si>
    <t>https://drive.google.com/file/d/1cV8m3EYK_DtaXVP8_hDeUNLlZspFppka/view?usp=sharing</t>
  </si>
  <si>
    <t>https://drive.google.com/file/d/1uDHMxnbPtzbHvJGugzGJarPk74sRI1dM/view?usp=sharing</t>
  </si>
  <si>
    <t>HERMOGENES EDUARDO TAPIA CAMACHO</t>
  </si>
  <si>
    <t>PLAN DE SEGURIDAD Y SALUD OCUPACIONAL PARA LA EMPRESA FLORALEX</t>
  </si>
  <si>
    <t>edu_scream@hotmail.com</t>
  </si>
  <si>
    <t>IND-410-2010</t>
  </si>
  <si>
    <t>Trabajadores, Prevención, Control, Rosas, Claveles, Cultivo, Pos cosecha,  Plaguicidas, Fertilizantes, NTP 330, Invernadero</t>
  </si>
  <si>
    <t>La floricultura expone a los trabajadores a una serie de agentes químicos y biológicos, los efectos a largo plazo son procesos patológicos que aparecen después de un período de latencia y que se deben a exposiciones repetidas. Entre los efectos a largo plazo que se han relacionado con la exposición a plaguicidas figuran lesiones epidérmicas, lesiones nerviosas y efectos muta génicos. La seguridad se convierte en una herramienta valida para efectivizar la protección de los recursos humanos  contra los riesgos y enfermedades ocupacionales, resguardando de esta manera  la salud psicofísica, logrando proporcionar un ambiente agradable de trabajo y condiciones segura  que colaboren con el desempeño en  su cotidiana labor.El proyecto tuvo como objetivo principal de Realizar un Plan de seguridad y Salud ocupacional en la empresa Floralex.La empresa está ubicada en la zona de Marquina a 3 Km de la Provincia de QuillacolloEl estudio realizado tuvo una metodología, que se resume a continuación:a)     ReconocimientoEsta etapa requiere del conocimiento de los riesgos ambientales que surgen como resultado de las operaciones y procedimientos de trabajo. Un buen reconocimiento se logra familiarizándose con los procesos, estudiando la toxicidad de los agentes contaminantes, revisando las actividades de trabajo e identificando la presencia de riesgos.b)    EvaluaciónRequiere del juicio o decisión que generalmente comprende la medición de las magnitudes de las concentraciones del ambiente laboral. La evaluación se logra de la siguiente manera:• Midiendo la exposición, lo que se conoce como monitoreo ambiental.• Valorando la capacidad del daño, comparando con estándares establecidos.c)     ControlEstá reflejado en recomendaciones para eliminar los factores ambientales que ocasionan enfermedades, entre las recomendaciones se pueden mencionar: Modificar o cambiar el proceso, Buscar alternativas de nuevas sustancias de menor toxicidad, Rotación de personal, Reubicación, Aislar o encerrar las zonas de trabajo.Como resultado del estudio realizado se emitieron las siguientes conclusiones.· Con la identificación de los peligros presentes, se realizo una Evaluación de riesgos, para poder tomar medidas correctivas para controlar y minimizar los riegos en la empresa Floralex.· Gracias a la implementación del Plan de Seguridad y salud ocupacional se podrá controlar, prevenir y minimizara los riegos existentes en Floralex.· Con los cursos de capacitación, se podrá instruir, educar y concienciar al personal sobre los cuidados que se debe tener en su desenvolvimiento habitual.La implementación de un sistema de Señalización, permitirá poder prevenir y controlar los actos inseguros· Se determino la relación Costo Beneficio, el costo que significara la implementación y el beneficio que no puede cuantificarse pero si, ofrecer y garantizar condiciones de trabajo aceptables y idóneas, que toda persona exige en una fuente laboral.</t>
  </si>
  <si>
    <t>https://drive.google.com/file/d/1mA9xbpo7YWDPoeK9N2VgDBgCLNrdrOt4/view?usp=sharing</t>
  </si>
  <si>
    <t>https://drive.google.com/file/d/1OjG1hNpyb8fws3xe1AvOwO0JTOtPA9kl/view?usp=sharing</t>
  </si>
  <si>
    <t>https://drive.google.com/file/d/1i5KshFO6HNG0wYm3d3dEyffrCGXYPylu/view?usp=sharing</t>
  </si>
  <si>
    <t>ERICK ARIEL MUÑOZ PONCE DE LEÓN</t>
  </si>
  <si>
    <t>SISTEMA DE PLANIFICACIÓN ESTRATÉGICA APLICADA A LA INDUSTRIA DE LA ANGORA CULTURA.</t>
  </si>
  <si>
    <t>erick_mpdl@hotmail.com</t>
  </si>
  <si>
    <t>IND-411-2010</t>
  </si>
  <si>
    <t>Cunicultura, Análisis estratégico, planificación, externo, interno.</t>
  </si>
  <si>
    <t>La Planeación Estratégica implica la definición de objetivos, metas empresariales, pensar en proyectos de cambio y renovación empresarial, no solo en términos de coeficientes y magnitudes cuantitativas, también poniendo énfasis al orden cualitativo.Entonces, el presente trabajo tomó a la Planeación Estratégica como tema central de estudio e investigación, y para lo cual se seleccionó a la industria de  la ANGORA CULTURA como eje principal de estudio, por lo cual se selecciono a la empresa “NATURAL” como  objeto de nuestro estudio, ya que carece de una planificación estratégica.En la empresa “NATURAL” se hizo un análisis interno y externo, para conocer la situación actual de la misma, y a si poder mejorar el rendimiento de la empresa a base de una propuesta que será generada gracias a estrategias  que puedan mejorar la situación de la empresa.En este estudio se hizo un análisis de todos los procesos dentro de la empresa, formadas por comercialización, administración, producción y organización. En la cual se encontraron varios factores negativos que perjudicaban a la  empresa; una vez obtenida esta información se pasó a un planteamiento de estrategias que puedan  mejorar y acabar con estos problemas.Esta selección de estrategias fue formada a través de un análisis FODA, MEP, EFI, EFE, MCPE, etc. Llegando a encontrar los factores claves de existo para la empresa, y así poder  establecer 3 estrategias importantes para la implementación de la planificación.Se reformularon la misión y la visión actual de la empresa, con otras que tienen mejor enfoque a futuro, dándole a la empresa mas seriedad y estableciendo su razón de ser, se propuso un nuevo modelo de organigrama dentro la empresa, que ayudo a tener una mejor distribución del personal y tener sus respectivos cargos y obligaciones.Una vez hecho este análisis, una serie de conclusiones y recomendaciones, ayudaron a tener una mejor visión de la empresa a futuro y contar con un método de crecimiento a corto plazo, pero dando en este documento una guía para el cuidado del conejo y como poder implementar una empresa dedicada a este rubro.</t>
  </si>
  <si>
    <t>https://drive.google.com/file/d/17PrdaeOowVJibWyyZe75KaqYF7anpb2F/view?usp=sharing</t>
  </si>
  <si>
    <t>https://drive.google.com/file/d/1w2SDW94ZnPSEITwB-Zld1tXEXU399-pN/view?usp=sharing</t>
  </si>
  <si>
    <t>https://drive.google.com/file/d/1DXYT9X0hTdbCFQbB4b_reYqiZ_AedXGz/view?usp=sharing</t>
  </si>
  <si>
    <t>JUAN PABLO TORRICO CATORCENO</t>
  </si>
  <si>
    <t>ESTUDIO TÉCNICO FINANCIERO PARA EL INCREMENTO DE LA CAPACIDAD PRODUCTIVA DE LA EMPRESA ANITA.</t>
  </si>
  <si>
    <t>juampytorrico@hotmail.com</t>
  </si>
  <si>
    <t>TESIS DE GRADO</t>
  </si>
  <si>
    <t>IND-412-2010</t>
  </si>
  <si>
    <t>Incremento de Capacidad, Análisis Financiero, tamaño de planta, Ropa de bebe.</t>
  </si>
  <si>
    <t>Bolivia cuenta con una cantidad considerable de empresas dedicadas a la producción de ropa, está definido que existen una gran variedad de medianas y pequeñas empresas que se dedican a este rubro, el presente proyecto propone una alternativa para el desarrollo  de este mercado mediante la producción de ropa para bebe tejido en lana e hilos, como apoyo a las MyPES.Actualmente la producción nacional no abastece la demanda existente en el país, por lo que una gran mayoría de la población consume productos de importación. Por tal razón el aprovechamiento de esta oportunidad de lanzar un producto al mercado, contribuirá al desarrollo socioeconómico de la ciudad de Cochabamba.La fabrica “Anita” es una pequeña empresa que se dedica a la producción y comercialización de ropa para bebe en tejido de lana e hilos, esta empresa  inició sus actividades en la ciudad de Oruro el año 1974, dedicándose así a la producción de ropa y lencería  para bebe en tejido a maquina y decorado con artesanía hecha a mano. Frecuentemente esta empresa no puede cubrir la cantidad de pedidos que recibe, siendo así una perdida considerable para la empresa y el país. El presente proyecto por las razones antes mencionadas pretende obtener una base técnica financiera que permita decidir la alternativa de invertir en la ampliación de la capacidad productiva de la empresa “Anita”.El estudio de mercado tiene como fin determinar la cantidad de demanda y oferta existente en este mercado. Gracias a esta cuantificación se determinarán, las condiciones del mercado donde se introducirá el producto en estudio, la capacidad de la planta y el precio adecuado para la venta del producto. El mercado en estudio del presente proyecto corresponde a las provincias de Cercado y Quillacollo, del Departamento de Cochabamba.En la población estudiada, los productos de la empresa “ANITA” son conocidos por un 31.7% de los puntos comerciales de la ciudad de Cochabamba. Se observo que en Cochabamba existe un 23.3% de puestos y tiendas que comercializan estos productos. Un 76.1% de los puntos comerciales están dispuestos a comercializar estos productos.La capacidad de la fabrica “Anita” antes de implementar el presente proyecto es de 640 (docenas/año), y teniendo 240 días laborales por año. Se ha establecido tomar un incremento de capacidad productiva cada cierto intervalo de tiempo.Entonces la mejor opción de tamaño de planta esta en realizar un incremento de tamaño después de un determinado periodo combinando tres opciones de tamaño de planta, se realizara un incremento en el año cero de 1600 (docenas/año) de capacidad de planta, a partir del año cuatro se realizara un incremento para llegar hasta una capacidad de 1920 (docenas/año), y por ultimo a partir del año 7 se incrementara a una capacidad de 2560 (docenas/año).Realizando una evaluación de factores cualitativos y cuantitativos, se decidió por el emplazamiento de la zona nor-este de la provincia Cercado en la ciudad de Cochabamba, debido a que ofrece características más adecuadas para el proyecto.Para analizar la factibilidad del proyecto, se resumen los beneficios y se clasifican los costos en los que incurre el proyecto, se calculó la depreciación de los activos fijos y la amortización del activo diferido.En cuanto al financiamiento del proyecto se tiene un 68% financiado por los socios accionistas, y un 32% restante por una entidad financiera.Realizando el estado de resultados, se obtuvo el flujo neto de caja y se determinaron los indicadores propuestos:·       VAN = 87261 Bs.·       TIR   = 20%.·       Relación Beneficio Costo = 1.39La interpretación de estos resultados permite recomendar la inversión y desarrollo del proyecto.</t>
  </si>
  <si>
    <t>https://drive.google.com/file/d/1LgKqorZ1FGfDOyEe9_o59okFMvatWcZ8/view?usp=sharing</t>
  </si>
  <si>
    <t>https://drive.google.com/file/d/1-NCov-CHMW4IsfukGL0j1FYNUPRW7fzi/view?usp=sharing</t>
  </si>
  <si>
    <t>https://drive.google.com/file/d/1PVqQ2G-h4R4-oGe-TpqyG5IGopqUDEMo/view?usp=sharing</t>
  </si>
  <si>
    <t>ARIEL SARAVIA MAMANI</t>
  </si>
  <si>
    <t>DISEÑO DE LA ESTRUCTURA ORGANIZATIVA BAJO EL ENFOQUE BASADO EN PROCESOS PARA LA INCUBADORA DE EMPRESAS DE BASE TECNOLÓGICA”EMBATE” DE LA FACULTAD DE CIENCIAS Y TECNOLOGÍA.</t>
  </si>
  <si>
    <t>leira1307@yahoo.com</t>
  </si>
  <si>
    <t>IND-413-2010</t>
  </si>
  <si>
    <t>Incubadora de Empresas de Base Tecnológica “EMBATE”, Emprendimiento, Enfoque basado en procesos.</t>
  </si>
  <si>
    <t>El Diseño de la estructura organizativa  bajo un enfoque basado en procesos para la Incubadora de Empresas de Base Tecnológica “EMBATE” de la Facultad de Ciencias y Tecnología (FCyT), nace ante la necesidad de proporcionar a esta institución de una herramienta de gestión, que le permita lograr sinergia y eficiencia durante su funcionamiento.Se inicio el proyecto con la recolección de toda la información correspondiente a incubación de negocios en Bolivia y Latinoamérica, considerando también aquellas instituciones que apoyan de diversas maneras el desarrollo de emprendimientos. Además se recolecto información de los Centros de Investigación, Programas y Proyectos de la FCyT. Posteriormente se realizo un análisis comparativo entre modelos de organización y sistemas de incubación de incubadoras de negocio a nivel nacional e internacional. También se realizo un análisis FODA de la FCyT, para determinar las potencialidades y factores diferenciadores que esta posee para el desarrollo de emprendimientos.Una vez realizadas las actividades anteriormente mencionadas se realizo el direccionamiento estratégico, consistente en la estructuración de la misión, visión, naturaleza y valores, bajo los cuales se regirá EMBATE. Ya teniendo un norte, información sobre modelos de incubación y  conociendo el potencial de la FCyT, se pudo determinar los procesos básicos que formarán parte de la estructura organizativa de EMBATE, mediante la adecuación de un modelo organizativo de incubación, que responde a las necesidades de la comunidad estudiantil emprendedora de la FCyT.  Finalmente se realizó la ilustración del organigrama, que pudo dar paso a la documentación de los procesos y la definición de indicadores para su medición y control. Con lo que se pretende que EMBATE sea una unidad de incubación eficiente en el desarrollo de emprendimientos nuevos y exitosos.</t>
  </si>
  <si>
    <t>https://drive.google.com/file/d/15KuSdTPyc-lOt4Nfie2TVgftAryo6Dor/view?usp=sharing</t>
  </si>
  <si>
    <t>https://drive.google.com/file/d/16t_RCnUdZ49K08thcDwew4OKqihbb3cL/view?usp=sharing</t>
  </si>
  <si>
    <t>https://drive.google.com/file/d/1_ZAleWiH9iZHjs3aeVjWMzogmO3yW4_Q/view?usp=sharing</t>
  </si>
  <si>
    <t>MIRKO SERGIO BUSTILLOS QUEVEDO</t>
  </si>
  <si>
    <t>ESTUDIO DE FACTIBILIDAD PARA LA EXTRACCIÓN DE ACEITE ESENCIAL DE JENGIBRE PARA LA EXPORTACIÓN.</t>
  </si>
  <si>
    <t>mirkobustillos@hotmail.com</t>
  </si>
  <si>
    <t>IND-414-2010</t>
  </si>
  <si>
    <t>Factibilidad, aceites esenciales, jengibre.</t>
  </si>
  <si>
    <t>El jengibre es una especie aromática introducida al trópico de Cochabamba por los programas de desarrollo alternativo, actualmente la producción es bastante reducida debido a la falta de interés existente entre los productores debido a la falta de una demanda local de esta especie y la inexistencia de opciones de industrialización.El proyecto plantea una oportunidad de inversión para obtener un producto con valor agregado utilizando la inversión en infraestructura y capacitación realizada por el Desarrollo alternativo, lo cual pueda repercutir positivamente en los productores y brinde beneficios a los inversores.Inicialmente se determinó el comportamiento del mercado objetivo siendo el más atractivo la Unión Europea y el principal importador de aceite esencial de jengibre la Republica de Francia. La política comercial planteada es de penetración en un mercado ya existente con un producto semielaborado orientado a un mercado institucional, el precio propuesto es 158 dólares, la política es de precios moderados.Se determinó la disponibilidad de materia prima al inicio del proyecto, se planteó la necesidad de incrementar la disponibilidad en 3 momentos dentro de la vida de proyecto, el tamaño del proyecto se lo ajusto a la disponibilidad de materia prima, siendo la capacidad inicial del 33% trabajando con 535 [qq] al año, el cuarto año incrementado al 66% trabajando con 1.069 [qq]  al año y finalmente entre el año 7 al 10 trabajar al 100% a partir de 1.604 [qq].El tipo de organización planteado para el proyecto es mediante una sociedad de responsabilidad limitada, esto debido a que la magnitud de la inversión del proyecto es demasiado elevada para un emprendimiento individual. La ruta crítica del proyecto es de 51 semanas, esto contempla las etapas de contratación de personal, negociación con los proveedores y posibles clientes, tramites de financiamiento, adquisición de activos fijos, instalación de servicios y puesta marcha.La inversión total del proyecto es de 194.767 dólares y el financiamiento total es de 220.000 dólares, los cuales deben ser 90.000 de aporte propio y 130.000 dólares financiados por deuda de una institución financiera al 8% de interés a 10 años plazo.En el análisis financiero se consideró una tasa de descuento desde el punto de vista económico de 16% y se tuvo los siguientes resultados desde el punto de vista sin financiamiento:Desde el punto de vista financiero se consideró una tasa de descuento mixta entre el aporte propio de los inversores y los intereses de la deuda dando un valor de 10,1%.El análisis de sensibilidad encontró 2 escenarios riesgosos para el proyecto, siendo estos la disminución del precio final del producto en 8% a 146 dólares y un incremento en el precio de la materia prima del 33% a un precio de 240 Bs. por quintal.</t>
  </si>
  <si>
    <t>https://drive.google.com/file/d/1_3apRHlJXBLqrtcPnt2hwWX_x7Rto-9i/view?usp=sharing</t>
  </si>
  <si>
    <t>https://drive.google.com/file/d/1-t3T7M_PfbNC7XuHpOWGlyM5ah_PojsI/view?usp=sharing</t>
  </si>
  <si>
    <t>ERIKA ESCALERA CAMPOS</t>
  </si>
  <si>
    <t>ING. JUAN RAÚL MEDRANO ZAMBRANA</t>
  </si>
  <si>
    <t>PROGRAMA DE MEJORAMIENTO DE LA OPERATIVA LOGÍSTICA EN EL ÁREA DE ALMACENES COMO UN COMPONENTE ESTRATÉGICO PARA LA COMERCIALIZADORA “AGRO IMPORT COLUMBIA S.R.L"</t>
  </si>
  <si>
    <t>erika10bo@yahoo.com</t>
  </si>
  <si>
    <t>IND-415-2010</t>
  </si>
  <si>
    <t>Comercializadora Agro Import Columbia S.R.L., Procedimientos, ALMACENES, Recepción, Despacho, Programa de Mejoramiento de la Operativa Logística.</t>
  </si>
  <si>
    <t>El presente trabajo fue desarrollado en la comercializadora Agro Import Columbia S.R.L.,  específicamente para los procesos y procedimientos operativos en el área de almacenes que se encarga de recepcionar y despachar mercadería  teniendo un impacto y relación directa con los clientes internos y externos, el trabajo abarca a los diferentes departamentos donde se presta el servicio de almacenamiento, siguiendo parámetros y procedimientos estándar de operación para el control y gestión de las actividades que se desarrollan, en busca de la consecución de los objetivos de la comercializadora. Se realizó un diagnostico en el área de almacenes donde se identifico diferentes problemas tomando en cuenta la recepción y despacho de productos, por tal razón se opto llevar a cabo la estandarización de procesos y procedimientos operativos para dicha área, contemplando los principios de logística y atención al cliente.Se consideraron principios relevantes como ser: el enfoque por procesos, el enfoque de sistemas para la gestión de almacenes, el enfoque al cliente, la alineación de objetivos y la búsqueda de descentralización de actividades, utilizando herramientas del diagnostico organizacional.Considerando la importancia que tiene el manejo logístico que requiere la comercial, se pretende implementar un encargado de logística, el cual se encargará de hacer seguimiento en los procesos y documentos de mercadería que llegue al área de almacenes ofreciendo un servicio eficiente al cliente y teniendo la documentación correspondiente para el requerimiento de mercadería y evitando de esta forma los siguientes aspectos: la infidelidad del cliente, productos faltantes, mercadería que presente daños en productos (abiertos, dañados y no aptos para la aplicación), mercadería con vencimiento menor a 6 meses y la existencia de productos caducados en almacén los cuales ocasionan costos.El proyecto concluye con la implementación de la operativa logística en el área de almacenes, el cual ofrece un control preciso en la recepción y despacho de mercadería, ahorro en el costo de almacenamiento, control de la gestión de almacenamiento y planificación de los requerimientos de mercadería, beneficios al área de ventas garantizando de esta forma la subsistencia y fortalecimiento de la comercializadora y fundamentalmente la mejor atención al cliente.</t>
  </si>
  <si>
    <t>https://drive.google.com/file/d/1SAei-LUv_InFDpT48PyKRvKhabpnwVJr/view?usp=sharing</t>
  </si>
  <si>
    <t>https://drive.google.com/file/d/1E8BcffpsOqigVTHmaaTOaYm2vpa-jsmp/view?usp=sharing</t>
  </si>
  <si>
    <t>https://drive.google.com/file/d/1noa3cij5DGy6FJA_6INPaF1pibTiXnrS/view?usp=sharing</t>
  </si>
  <si>
    <t>DADEIVA OSINAGA SANDOVAL</t>
  </si>
  <si>
    <t>ROSA MARIA ALELUYA</t>
  </si>
  <si>
    <t>TACTICA DE MANEJO DE RESIDUOS ELECTRICOS Y ELECTRONICOS EN LA CIUDAD DE COCHABAMBA</t>
  </si>
  <si>
    <t>dade_bebita@hotmail.com</t>
  </si>
  <si>
    <t>IND-416-2010</t>
  </si>
  <si>
    <t>Residuos Electricos y Electronicos,manejo,estrategia,tactica,tratamiento.</t>
  </si>
  <si>
    <t>De un modo u otro los equipos electrónicos (EE) forman parte de nuestra forma de vida. Desde televisores en las casas, celulares y MP3 en nuestras manos y computadoras en escritorios. Con que  cada nuevo EE que ingresa al país uno o más EE se convierten en residuos o se vuelven  obsoletos  y  se  almacenan  en  hogares,  empresas  y  comercios  para  luego  ser desechados.Ante esta situación, se realizó un diagnóstico sobre la generación de residuos eléctricos y electrónicos  (REE)  en la ciudad de Cochabamba a nivel de los hogares y empresas para estimar cantidades de generación, identificar actores, revisar aspectos legales y plantear mecanismos de gestión.Con el volumen de EE en aumento y por el corto tiempo de vida útil, pronto se convertirán en residuos eléctricos y electrónicos (REE). El comportamiento generalizado de la población varía según el REE aunque la preferencia es la reparación y venta, siendo otro hábito extendido el almacenamiento.El problema radica cuando estos REE deben ser dispuestos, inicialmente porque la población considera   que  los  REE  son  similares  a  los  residuos  sólidos  urbanos  y  los  dispone conjuntamente y segundo referido al tema normativo, porque el Reglamento de Gestión de Residuos  Sólidos (1995) menciona que los residuos de electrodomésticos deben tener un manejo separado del aseo urbano aunque el municipio aún no resuelven este tema. Añadir que en el país no se han identificado centros de tratamiento de los REE y los procesos de reciclaje son artesanales y a muy baja escala y se carece de información general y detallada principalmente del sector informal.La actual gestión de los REE en las ciudades en estudio es limitada, las empresas prestadoras del  servicio de aseo sólo condicionan no recolectar los residuos de gran volumen (cocinas, refrigeradores y TV), sin embargo, los REE de menor peso y volumen son confinados en los sitios de  disposición final. Estos residuos son potencialmente peligrosos y de alto impacto al medio ambiente y la salud humana por la presencia de compuestos tóxicos en su estructura (metales pesados, plásticos con materiales pirorretardantes bromados).Aunque la vida útil de un EE está en función del equipo, se evalúo la vida útil del EE vs el poder aquisitivo del hogar, en general, los hogares con mayor poder aquisitivo renuevan los EE con mayor  frecuencia,  es  el  caso  de  refrigeradores,  televisores  y  planchas,  mientras  que  en celulares, la renovación de ese artículo es casí similar en todos los estratos menor a 3 años.Además se evaluó la disposición que hacen de los EE cuando no funcionan, en general, 3 de cada 10  hogares reparan los EE, también 3 de cada 10 hogares los venden y 30% de los hogares almacenan los EE, el restante lo donan.Para el 2015 la generación percápita de REE incrementará en 50% con relación al 2008, es decir, de 2.2 a 3.3 kg·hab-1·año-1 y la participación de los REE vs los RSU aumentará de 1.2% a3%.Así,  para  generar  un  programa  de  gestión  de  los  REE,  es  necesario  que los  actores se encuentren  involucrados  en  el  ciclo  de  vida  del  EE  y  lleguen  a  reconocer  parte  de  la responsabilidad. Para obtener esta informacion y estos datos utilizamos estas herramientas: metodos estadisticos de recoleccion de informacion,Analisis de la matriz FODA,Analisis de procesos indutriales,Investigacion de mercado, herramientas claves de la mercadotecnia,etc.Con estos datos y la gran ayuda de estas herramientas logramos formular estrategias de tratamiento y manejo de residuos electricos y electronicos.Adicionalmente, es necesario avanzar en las siguientes líneas de trabajo:       •  Elaborar un marco regulatorio para la gestión y el manejo integral de los REE.DesarrollarInvestigar los ciclos de vida de los EE más relevantes.Concientización  y  difusión  de  la  gestión  de  los  REE  a  la  población  y  actores  de importacion.</t>
  </si>
  <si>
    <t>https://drive.google.com/file/d/1T3fN3oq5dM01SByc-yO9Y5oZ6IQK2LSd/view?usp=sharing</t>
  </si>
  <si>
    <t>https://drive.google.com/file/d/1e4N_t2crBuWDxL-1IGNFA-wEg7BZA0jO/view?usp=sharing</t>
  </si>
  <si>
    <t>https://drive.google.com/file/d/1i_YbG2sNCU3EK3ljC3NtC-3gqEEDF2kt/view?usp=sharing</t>
  </si>
  <si>
    <t>BORIS GONZALO VILLEGAS SANTANDER</t>
  </si>
  <si>
    <t>DISEÑO DEL SISTEMA DE GESTIÓN DE CALIDAD BASADO EN LA NORMA ISO9001 VERSIÓN 2008 PARA LA ORGANIZACIÓN INDUSTRIAS ALIMENTICIAS LA MODERNA S.R.L. EN LA CIUDAD DE COCHABAMBA</t>
  </si>
  <si>
    <t>bvill_santander@hotmail.com</t>
  </si>
  <si>
    <t>IND-417-2010</t>
  </si>
  <si>
    <t>Mapa de procesos, Sistema de Gestión de Calidad, ISO 9001:2008, enfoque basado en procesos, mejora continua, plan de implementación, estructura documental, Sistema, implementación, calidad.</t>
  </si>
  <si>
    <t>El Diseño realizado para la organización fue elaborado por la necesidad de tener una gestión de la organización y de esta manera  poder mejorar la calidad del producto y obtener la satisfacción del cliente. De esta manera se comenzó realizando un diagnostico con la ayuda de todo el personal de la organización para poder determinar todas la falencias que la organización presenta en cuanto a la manera en que se planea las actividades diarias, como se las controla, como se las analiza y se resuelven esas falencias para poder subsanarlas o mejorarlas y poder de esta manera ofrecer un producto que satisfaga los requisitos de los clientes.De este diagnostico se pude concluir que la organización se maneja de una manera muy empírica, gracias a la experiencia que adquirieron en los 35 años que se encuentra en el mercado, lo que no los privo de un crecimiento dentro el mercado cochabambino, pero tampoco los dejo incursionar en otros mercados, no se realiza controles adecuados para cumplir con los requisitos de los clientes, no se hace una planeación acorde a las necesidades que presenta la organización, no se hace ningún seguimiento a las actividades por lo que no se hace un análisis en base a datos y resultados para poder obtener una gestión organizacional adecuada, productos de calidad que cumplan con los requisitos del cliente.Es de esta manera que el diseño realizado para la organización no solo ayudara a conseguir una mejor gestión de la organización, también asegura que todas las actividades que se lleva a cabo estén coordinadas, para así lograr la calidad y la satisfacción del cliente, es decir ayudara en la manera de planear, controlar y mejorar todas las actividades y elementos que tiene la organización que influyen en el logro de la calidad y en el cumplimiento de los requisitos del cliente.</t>
  </si>
  <si>
    <t>https://drive.google.com/file/d/18ACuGuD7i2Zlb0bwHM4SFRoLhnvFQDAy/view?usp=sharing</t>
  </si>
  <si>
    <t>https://drive.google.com/file/d/1A6tVLN6rtw7L0io9_7KH17ps0Tir9OQi/view?usp=sharing</t>
  </si>
  <si>
    <t>https://drive.google.com/file/d/1OLtxlBwrcKCyHHJBnFOcNkxNlGhA4ojz/view?usp=sharing</t>
  </si>
  <si>
    <t>ROJAS ARAMAYO JANETH</t>
  </si>
  <si>
    <t>DISEÑO DE UN SISTEMA DE GESTIÓN DE CALIDAD BASADO EN LA NORMA ISO 9001:2008 PARA LA EMPRESA RECA-TEC S.R.L.</t>
  </si>
  <si>
    <t>lajanerojas@hotmail.com</t>
  </si>
  <si>
    <t>IND-418-2010</t>
  </si>
  <si>
    <t>Sistema de Gestión de Calidad (S.G.C.), Norma ISO 9001:2008, diagnóstico, calidad, gestión por  procesos, satisfacción del cliente, diseño.</t>
  </si>
  <si>
    <t>El motivo por el cual se realizó el Diseño de un sistema de gestión de calidad para la organización fue para que la empresa pueda contar con una herramienta muy útil para la empresa recauchutadora de llantas que es un sistema de gestión de calidad basado en la norma ISO 9001:2008 ya que esta norma esta enfocada  principalmente en la satisfacción del cliente, el manejo adecuado de los documentos, eficacia en los procesos. De esta manera la empresa tiene la opción de poder implementar el S.G.C. y después en un futuro lograr la certificación de la misma. Para lograr este cometido la norma cuenta con una serie de requisitos que la organización debe cumplir, para lo cual se realizó la matriz FODA y un check list para la organización basado en los requisitos de la norma, analizando punto por punto donde de esta manera se encontró una serie de no conformidades por parte de la empresa respecto a los requisitos de la norma ISO 9001:2008 las cuales se tomó en cuenta para realizar el diseño del S.G.C.Se redefinió la misión, visión y política de calidad logrando cumplir algunos de los requisitos que expresa la norma, seguidamente se elaboró un FODA estratégico de acuerdo de acuerdo a la matriz anterior.Seguidamente se definió los procesos necesarios para el sistema de gestión de calidad, elaborando el mapa de procesos y sus respectivas interrelaciones, también se elaboró mapas de procesos de acuerdo al círculo de Deming (ciclo PDCA) que ilustra los procesos del sistema de gestión de calidad dentro el ciclo PDCA y también con la normaSe elaboró un enfoque sistémico para los procesos del sistema de gestión de calidad donde incluyen entradas, salidas, documentación e indicadores que servirán como dispositivo de medición para cada proceso. Se identificó la documentación necesaria la cual servirá para comenzar con la estructuración del sistema de gestión de calidad para la empresa.Se definió la metodología para la estructura del sistema de gestión de calidad, fundado en la norma ISO9001:2008 que consiste en: (Requisitos de la documentación, Manual de Calidad, Procedimientos del SGC, descripción de los procesos (mapas), estructura organizacional, seguimiento, medición y control de los procesos y mejora continua)Se logró la estructuración del sistema elaborando un manual de calidad(se siguió punto por punto la norma ISO9001:2008), la creación de procedimientos, planes, registros e instructivos que se vieron necesarios para la organización, siguiendo un formato de creación de los procedimientos, instructivos y registros debidamente codificados y redactados. Los objetivos de calidad se elaboraron junto con sus indicadores de gestión para obtener un control de seguimiento y medición y lograr su total cumplimiento. También se elaboró un plan de implementación para el sistema de gestión de calidad donde se contemplaron las siguientes actividades: 1) Reunión de inicio, 2) Capacitación del personal de producción, 3) Implementación del sistema de gestión de calidad, 4) Divulgación de la política y de los objetivos de calidad, 5) Prueba del sistema de gestión de calidad durante un corto tiempo, 6) Realización de la auditoria interna, 7) Revisión de la dirección, creando un cronograma para el plan de implementación del S.G.C.de la empresa. Finalmente se hizo una estimación de los costos que conlleva el Diseño y el plan de implementación, para que la empresa pueda conocer lo la realización de este trabajo.</t>
  </si>
  <si>
    <t>https://drive.google.com/file/d/1wi_ohyT1q6IQDGP93VKNEvgP5NLM2Til/view?usp=sharing</t>
  </si>
  <si>
    <t>https://drive.google.com/file/d/1vBRJGzXgfrYsMbvbT4hvm7CpWBdU9HCt/view?usp=sharing</t>
  </si>
  <si>
    <t>https://drive.google.com/file/d/1-6EshPgTwRLla5N2_pjBbYg2k83bvpP2/view?usp=sharing</t>
  </si>
  <si>
    <t>WILSON ALFARO FLORES</t>
  </si>
  <si>
    <t>PLANIFICACIÓN ESTRATÉGICA Y OPERATIVA PARA LA EMPRESA AGUA PURA NATURAL PARAÍSO.</t>
  </si>
  <si>
    <t>wil.alfaro@hotmail.com</t>
  </si>
  <si>
    <t>IND-419-2010</t>
  </si>
  <si>
    <t>Agua Pura Natural Paraíso, Agua embotellada, Planificación,  Estratégica, Operativa,  Botellones, Dispensers, Investigación de Mercados.</t>
  </si>
  <si>
    <t>El presente proyecto, es la planificación estratégica y operativa para la empresa Agua Pura Natural Paraíso. Al inicio de este proyecto la empresa desconocía la situación en que se encontraba, ya que no contaba con información documentada ni adecuada, tanto de la parte financiera, productiva y operativa.  Para el desarrollo de este proyecto se realizó la evaluación de los factores críticos de éxito; primeramente se identificaron claramente los factores externos para este sector, es decir, las oportunidades y amenazas; al mismo tiempo se desarrolló un trabajo dentro de la empresa para conocer como se llevaban a cabo todas las actividades al interior de esta, lo que ayudo a identificar claramente las debilidades y fortalezas existentes.Para el análisis de los factores externos se desarrolló un estudio de mercado (encuestas), a esto se sumó también los datos del INE, de su encuesta realizada al sector manufacturero en Bolivia. La herramienta que se utilizó para este análisis, fueron las 5 fuerzas de Porter, que como principal resultado mostró, el elevado grado de rivalidad existente entre los competidores de este sector, lo que fue tomado en cuenta para la elaboración del plan.El análisis que se realizó al interior de la empresa, se inició con la elaboración de los estados de resultados de los últimos tres meses, para esta elaboración se tomaron en cuenta el pago del 100 % de impuestos, el costo de la mano de obra incluidos sus beneficios sociales, también se tomo en cuenta el costo de todos los insumos y materiales, que en algunos casos se prorrateó entre los litros producidos, también contempló los gastos de administración y finalmente la depreciación de la maquinaria, el resultado de este análisis fue, que la empresa se encontraba en perdida, una situación preocupante y que debía solucionarse a la brevedad posible. También se observó, siguió y analizó el desarrollo de los procesos y actividades diarias dentro de la empresa, y producto de todo este análisis, se concluyó que la empresa a pesar de sus varios años de vigencia en el mercado, se encontraba en un nivel básico de organización, sus actividades se desarrollaban de manera improvisada y el personal no tenía sus funciones bien definidas al interior de esta, sumándose a esto las ventas reducidas y la ausencia de un marco estratégico básico, y en consecuencia, inexistencia de una gestión estratégica (metas y objetivos).Considerando todos estos aspectos y en función a los resultados del análisis, se procedió a desarrollar un plan operativo de trabajo aplicable a las actividades de la empresa con las medidas requeridas para solucionar los problemas encontrados y fundamentalmente mejorar cada área de la empresa elevando su productividad.También se desarrolló un plan estratégico que permita lograr la consolidación de la empresa en el mercado, la reducción de costos de distribución, incremento en el número de clientes y por consiguiente el crecimiento en las ventas de la empresa.Como parte fundamental de los planes se planificaron los gastos y se proyectaron las ventas, y con estos se elaboraron los flujos de fondos y estados de resultados proyectados para los tres años que durara el plan. Finalmente, en base a los estados de resultados, se concluyó que después de la implementación del plan, la empresa Agua Pura de Mesa Paraíso, se convertirá una empresa rentable y atractiva para nuevas inversiones.</t>
  </si>
  <si>
    <t>https://drive.google.com/file/d/1FF6DXjSpHAFGvSAVZwsgMO4_UK7YUxlS/view?usp=sharing</t>
  </si>
  <si>
    <t>https://drive.google.com/file/d/1jVvkbOJXeo_zpTJhBhwImADrzsp7Y7mK/view?usp=sharing</t>
  </si>
  <si>
    <t>https://drive.google.com/file/d/1XXCB6kanj8XMOV0LAs2R-jpiRxeofa43/view?usp=sharing</t>
  </si>
  <si>
    <t>HENRY GUSTAVO COCA MAMANI</t>
  </si>
  <si>
    <t>ING. MAGARIÑOS VILLAROEL MABEL G</t>
  </si>
  <si>
    <t>ESTUDIO DE INGENIERÍA DE MÉTODOS PARA LA PRODUCCIÓN DE MANGOS DE MADERA PARA PALAS EN LA EMPRESA “BLECHNER REPRESENTACIONES”</t>
  </si>
  <si>
    <t>IND-420-2010</t>
  </si>
  <si>
    <t>Empresa Bleichner representaciones, Estudio de métodos, Tiempo estándar, Productividad, Balance de Línea.</t>
  </si>
  <si>
    <t>Primeramente se realizó un Análisis de todo el proceso productivo de la empresa de cada una de sus operaciones que se realiza en el proceso productivo de mangos de madera para palas.Para este análisis se empleado todas las herramientas disponibles de la Ingeniería de métodos como ser: “Diagrama de procesos”, “Diagrama de recorrido de materiales”.Realizando un estudio de ingeniería de métodos se  determino todo los tiempos estándares de cada una de las operaciones que se realizan en el proceso productivo de fabricación de mangos para palas. Tomado mucho énfasis en la operación de corte de tronca ya que al inicio del proceso es muy complicado determinar el número de unidas que tiene la materia prima (Troncas de Eucalipto) por ser estas una función del  diámetro de la tronca.En base a los resultados del análisis de métodos de trabajo y estudios de tiempo, se desarrollo propuestas de cambio para el proceso productivo en la empresa Blechner representaciones.También se realizo un balanceo de la línea de producción determinando así las horas hombre y el número adecuado de operarios   También se elaboro el costo posible de las mejoras para saber la posibilidad de inversión de parte de la empresa Blechner representaciones. Dando como resultados económicos positivos con un incremento de la productividad y una reducción del costo de producción.</t>
  </si>
  <si>
    <t>https://drive.google.com/file/d/14TxRMI42uDFKVNkyY1w0fX-ERI0TcT1r/view?usp=sharing</t>
  </si>
  <si>
    <t>https://drive.google.com/file/d/1uPtRa1xN9GoIiyXHbF-TodV2vBcxH9Lg/view?usp=sharing</t>
  </si>
  <si>
    <t>https://drive.google.com/file/d/1psFFnx8I84eYSR1XXTjdxceLDCnaFCh0/view?usp=sharing</t>
  </si>
  <si>
    <t>JANETH ARIANA ORELLANA PADILLA</t>
  </si>
  <si>
    <t>ING. ZOILO CORDERO VIDEA</t>
  </si>
  <si>
    <t>PLAN ESTRATÉGICO DE LA EMPRESA EBANOR S.R.L.</t>
  </si>
  <si>
    <t>IND-421-2010</t>
  </si>
  <si>
    <t>Plan estratégico, Balance de Resultados, PyMEs</t>
  </si>
  <si>
    <t>El objetivo del presente proyecto es realizar una Planificación Estratégica para la empresa “EBANOR S.R.L”.En primera instancia se realizó un diagnóstico de la situación actual de la empresa; mediante la recabacion de información requerida para la aplicación de la Metodología de Diagnóstico para empresas PyMEs industriales y de servicios con un enfoque basado en los sistemas de administración para la Calidad Total. Dicho análisis permitió establecer propuestas de mejora al interior de la empresa, mismas que fueron incluidas en el Plan Estratégico propuesto a la empresa “EBANOR S.R.L”. Posteriormente se desarrollo talleres de carácter participativo, cuyo resultado es la declaración de la misión y visión de la empresa, además de la determinación de los principios y valores que la guiarán. Como siguiente paso se determinó y analizó las ventajas o desventajas al interior de la empresa, traducidas en fortalezas y debilidades (análisis interno), además de posibles oportunidades o amenazas del entorno (análisis externo). Para posteriormente formular estrategias preventivas, reactivas y contraestrategias junto con los planes contingentes en función a la información obtenida, para su posterior evaluación y selección tomando en cuenta los agentes afectados, reacciones y consecuencias.También se elaboró la Carta Gantt del Plan Estratégico y Operativo, además de presentar el despliegue de las fichas descriptivas del Plan, líneas de acción, actividades y tareas a ser realizadas en un horizonte de 5 años. Finalmente se definió la inversión y costos del Plan Estratégico mediante el empleo de técnicas de proyección y matemática financiera junto con la proyección del estado de resultados con y sin proyecto, lo cual permitirá describir mejor  del beneficio neto del Plan Estratégico.</t>
  </si>
  <si>
    <t>https://drive.google.com/file/d/1veLRB2DLpQA_GBTvhQFwiBNFWueDV0CP/view?usp=sharing</t>
  </si>
  <si>
    <t>https://drive.google.com/file/d/1KZuFGi6iYMTVoh8luiuR53_xLxdKIdCe/view?usp=sharing</t>
  </si>
  <si>
    <t>https://drive.google.com/file/d/1U9U1-80FFhLErt_YXVGYpe_adrcaIjxp/view?usp=sharing</t>
  </si>
  <si>
    <t>NELFY LILIANA CÁRDENAS MONTAÑO</t>
  </si>
  <si>
    <t>PLAN DE CAPACITACIÓN EN SEGURIDAD INDUSTRIAL Y SALUD OCUPACIONAL PARA LA CURTIEMBRE TOMY LLDA.</t>
  </si>
  <si>
    <t>yflen_18@hotmail.com</t>
  </si>
  <si>
    <t>IND-422-2010</t>
  </si>
  <si>
    <t>Capacitación, Adiestramiento, Plan, Seguridad Industrial, Motivación</t>
  </si>
  <si>
    <t>Diferentes definiciones han ayudado  a conocer con mayor propiedad las técnicas de una determinada área, en este caso herramientas como la Capacitación y motivación. En el desarrollo  del trabajo de investigación se mencionó  una serie de definiciones que ayudaron  a reunir aquellas piezas necesarias para completar la idea de que una empresa debe ser ideal si reúne los requisitos mencionados. El resultado obtenido en el trabajo de campo, el cual fue plasmado en el Modelo Real, tuvo un resultado que ayudo a conocer la situación actual que vive la empresa en cuanto a su características de producción, riesgos y accidentes que se presentan en la curtiembre, todo ello respaldado por cuadros que mostraron un detalle de todo lo ocurrido en la Gestión 2009 y, como antevente para ayudar a proponer algo que reduzca el índice y frecuencia de accidentes por la falta de prevención y capacitación.En este proyecto de grado se buscó mejorar la capacitación de los trabajadores mediante técnicas e instrumentos en seguridad industrial y salud ocupacional para todas las áreas de la curtiembre, siendo la motivación un factor para el cambio de actitud de las personas. La metodología que se utilizó  para el plan de capacitación fue el método de aprendizaje socializado ya que tiene por objetivo la integración social, el desarrollo de las actividades grupales y sentimientos comunitarios.El proceso enseñanza -aprendizaje pude ser organizado individualmente, pero generalmente este método agrupa a los participantes para el logro de objetivos comunes.El Plan de capacitación para la Gestión 2011, la misma que incluyó  costos, fechas tentativas, capacitadores  en función al tema, objetivos de la capacitación para saber si  el curso debe reprogramarse o no.No se pudo dejar de lado el presupuesto ya que es necesario para cumplir con los objetivos, en este caso se realizó  de un presupuesto de capacitación, inducción e inclusive premios para motivar al personal que más  cumplió con la norma del uso de equipos de protección personal y la aplicación de los conocimientos adquiridos en la capacitación, dicho presupuesto ascendió a un monto de Bs. 134.570 como inversión total para el logro del Objetivo General propuesto.</t>
  </si>
  <si>
    <t>https://drive.google.com/file/d/18gLV1cc25JMfR7S2haiY3vXWy7v6bSDJ/view?usp=sharing</t>
  </si>
  <si>
    <t>https://drive.google.com/file/d/1Vt2MfAHHv8YZcoXLwr3VjL7vEKv_4gGy/view?usp=sharing</t>
  </si>
  <si>
    <t>https://drive.google.com/file/d/13h7t9Kyd1r-3xFclcgrRzIpnpKMxTOOo/view?usp=sharing</t>
  </si>
  <si>
    <t>ROXANA MAGALY VALDIVIA TORRES</t>
  </si>
  <si>
    <t>PLAN DE APLICACIÓN OPERATIVA DE PRODUCCIÓN MÁS LIMPIA EN LA EMPRESA INDUSTRIAL DEL MATADERO  MUNICIPAL DE COCHABAMBA</t>
  </si>
  <si>
    <t>IND-423-2010</t>
  </si>
  <si>
    <t>Plan, Operativa, Producción, Limpia, Industrial, Matadero</t>
  </si>
  <si>
    <t>El presente proyecto de grado el cual busca la Producción Más Limpia conduce al ahorro de materias primas, agua y/o energía; a la eliminación de materias primas tóxicas y peligrosas; además reduce los impactos negativos de los productos sobre el ambiente, la salud y la seguridad. El objetivo principal es diseñar un Plan de Aplicación Operativa de Producción Más Limpia en el Matadero Municipal de Cochabamba como instrumento en la gestión de la producción y su relación con el medio ambiente.La industria de mataderos, es una de las actividades económicas cuyos procesos productivos están relacionados con un alto impacto ambiental. La producción de carne es una industria de gran variedad e influencia sobre el medio ambiente, la economía regional, nacional y el ámbito social.Por medio del plan de acciones de operación en planta se sugiere: la reducción de la fuente realizando buenas prácticas en el proceso productivo, valoración de residuos, aspectos de desempeño ambiental, realizar un control de la contaminación y Evaluación de las Necesidades de Mano de Obra y Personal.Las inversiones se hace referencia a bienes de capital (compra, instalación), capital de trabajo adicional, capacitación, adecuaciones, mejoras de infraestructura y servicios, además se establecieron los ingresos y producción proyectadas a obtenerse. Con estos valores se determinaron un VAN (12%) = 36.248 $us. y un TIR = 38.04%, podemos afirmar que el proyecto es rentable.</t>
  </si>
  <si>
    <t>https://drive.google.com/file/d/1q-v-pRfRDC-X7233RyrKziCYjlmQL2cz/view?usp=sharing</t>
  </si>
  <si>
    <t>https://drive.google.com/file/d/19iHycP123a3wI-ST8zAYHSXKZ12tZziD/view?usp=sharing</t>
  </si>
  <si>
    <t>https://drive.google.com/file/d/1ZBNzblHDnBWN5XYvx5FqAXdjnIc3103g/view?usp=sharing</t>
  </si>
  <si>
    <t>CARLOS JUSTINIANO RODRÍGUEZ</t>
  </si>
  <si>
    <t>ESTUDIO DE FACTIBILIDAD PARA LA IMPLEMENTACIÓN DE UNA PLANTA DE PROCESAMIENTO Y COMERCIALIZACIÓN DE HARINA INSTANTÁNEA PARA REFRESCO DE LINAZA</t>
  </si>
  <si>
    <t>thusty_jr@hotmail.com</t>
  </si>
  <si>
    <t>IND-424-2010</t>
  </si>
  <si>
    <t>Lino - Linaza</t>
  </si>
  <si>
    <t>La necesidad de haber realizado el estudio fue de ver la posibilidad de introducir al mercado de Cochabamba, harina instantánea para refresco de linaza. La linaza es rica en grasa, proteína y fibra dietética. En promedio, datos de investigaciones realizadas establecen que la linaza café canadiense contiene 41% de grasa, 20% de proteína, 28% de fibra dietética total, 7.7% de humedad y 3.4% de ceniza, el cual es un residuo rico en minerales. La composición de la linaza puede variar dependiendo de la genética, el medio ambiente, el procesamiento de la semilla y el método de análisis utilizado en su cultivo. Por lo tanto, su contenido de aceite puede ser alterado a través de métodos de cultivo tradicionales, y también afectado por la geografía de la zona de producción. Se realizó un previo estudio de los respectivas propiedades medicinales: la Harina de Linaza, es un producto que tiene características nutricionales excepcionales, ayuda a mejorar la digestión, evitar el estreñimiento, previene problemas del corazón, disminuye los niveles de colesterol y triglicéridos en sangre, aumenta las defensas del cuerpo contra sustancias que provocan cáncer, etc.Se definió un valor para la comercialización de 79.200 bolsas de 250 gr. para el año 1.De la evaluación financiera se  concluyó: VAN =58.795.4 $, TIR=26,23%. Dado una inversión 51.378 $us, con el 100% de aporte propio.Con el proyecto se pretendió ofrecer un producto demandado a nivel Local y generar mas empleos para la región.</t>
  </si>
  <si>
    <t>https://drive.google.com/file/d/1GmuJsp2SAZaPHmi37C4dWXT3y7F8SRX1/view?usp=sharing</t>
  </si>
  <si>
    <t>https://drive.google.com/file/d/1f2Dc6xfw9mZDAG29WjilC-p3eAMp_Gar/view?usp=sharing</t>
  </si>
  <si>
    <t>https://drive.google.com/file/d/1pFiWQsXQIUGrchhWmGTuMYcK2sNeJ1tg/view?usp=sharing</t>
  </si>
  <si>
    <t>JAVIER CANDIA IRAHOLA</t>
  </si>
  <si>
    <t>LÓPEZ MORALES MARCELO CRISTIAN</t>
  </si>
  <si>
    <t>PLANIFICACIÓN ESTRATÉGICA Y CUADRO DE MANDO INTEGRAL PARA LA EMPRESA SERING S.R.L.</t>
  </si>
  <si>
    <t>I-2011</t>
  </si>
  <si>
    <t>jcandia22@hotmail.com</t>
  </si>
  <si>
    <t>IND-425-2011</t>
  </si>
  <si>
    <t>Planificación Estratégica, Planificación Operativa, Cuadro de Mando Integral, Mapa Estratégico, Tablero de Comando, Indicadores, SERING S.R.L.</t>
  </si>
  <si>
    <t>La empresa SERING S.R.L. vio la necesidad de realizar un plan con objetivos estratégicos, por la falencia en el establecimiento de objetivos a mediano y largo plazo y el progresivo crecimiento del sector eléctrico en el país. En ese sentido se planteo lo siguiente: Objetivo general: Desarrollar un Plan Estratégico y Cuadro de Mando Integral para la empresa SERING S.R.L. que le permita alcanzar sus objetivos.El Proyecto contempla la realización de un Diagnostico Integral  y evaluación de la condición actual de la empresa. Este diagnostico en el cual estan incluidos el análisis interno y externo. El análisis interno determino que la empresa tiene un aprovechamiento de sus fortalezas por encima de sus debilidades, además concluyo que la empresa en la actualidad cuenta con liquidez para poder operar, pero existe mucha inestabilidad tanto en los ingresos como en las utilidades. El análisis externo determino los mercados que resultan atractivos para la empresa son: las empresas Industriales manufactureras, empresas mineras, empresas petroleras y las obras civiles. Se determino que la competencia actual es elevada debido a que las empresas identificadas como competidoras son grandes y el objetivo es superarlas.A continuación se diseño un marco estratégico, planificación estratégica y la planificación operativa. A partir de las matrices: matriz FODA, matriz EFE, matriz EFI, matriz PEYEA, matriz IE, matriz de la gran estrategia y la matriz MCPE se determinaron los  siguientes objetivos estratégicos principales: penetración de mercados y empresas de riesgo compartido. Los planes estratégicos con los cuales se desarrollo la planificación operativa son los siguientes: penetrar el mercado de obras civiles, penetrar el mercado de empresas petroleras, penetrar el mercado de empresas mineras y  crear consorcios temporales.Finalmente se diseño el Cuadro de Mando Integral, tomando en cuenta los objetivos estratégicos determinados por la matriz FODA, y se los adecuo a las perspectivas: financiera, clientes, procesos internos y aprendizaje y crecimiento.Los resultados fueron la generación de la Planificación Estratégica y el Cuadro de Mando Integral para la empresa SERING S.R.L.</t>
  </si>
  <si>
    <t>https://drive.google.com/file/d/1NYRXGfIiZoDeZ903TSf4nEL3QB1SR5o6/view?usp=sharing</t>
  </si>
  <si>
    <t>https://drive.google.com/file/d/19tTj0V1IrRHWjEgqMuyzy7ZvQoNaSZJ3/view?usp=sharing</t>
  </si>
  <si>
    <t>https://drive.google.com/file/d/1vX8RoirwtZZ1pm3xxlBzHggNJOWk5QVj/view?usp=sharing</t>
  </si>
  <si>
    <t>MARIBEL XIMENA SALAZAR MORALES</t>
  </si>
  <si>
    <t>PLAN DE HIGIENE, SEGURIDAD OCUPACIONAL Y BIENESTAR PARA ELFEC S.A., SEGÚN LA RESOLUCIÓN ADMINISTRATIVA 038/01</t>
  </si>
  <si>
    <t>Maribel.salazar.m@gmail.com</t>
  </si>
  <si>
    <t>IND-426-2011</t>
  </si>
  <si>
    <t>INS de Paracaya, Adquisición de Conocimiento, Metodología AMENITIES,  Determinar Rol,  Sistema Colaborativo de Aprendizaje (CSCL).</t>
  </si>
  <si>
    <t>La empresa ELFEC S.A., es una organización que se encuentra en elevados niveles de seguridad e higiene, la empresa busca la certificación de la Norma NB OHSAS para lo cual se requiere cumplir con varios requisitos entre otros contar con un Plan de Higiene, Seguridad  Ocupacional y Bienestar debidamente aprobado.Los aspectos fundamentales a considerar en la inexistencia de un Plan dentro de una empresa es a causa de: falta de documentación sobre planes por lo tanto no existe una metodología específica para la elaboración del mismo, por otro lado la interpretación de los criterios se encuentra a criterio personal y por último estado debido a que no existe políticas de control y seguimiento ni sanciones para las empresas que cumplan con lo establecido por Norma.La empresa ELFEC S.A. cuenta con un elevado nivel de seguridad e higiene debido a que cuenta con normas, procedimientos y reglamentos internos, pero no satisface con lo exigido por la “Ley General de Higiene, Seguridad Ocupacional y Bienestar” que es el Decreto Ley Nº 16998”, en su totalidad de los puntos analizados los cuales se encuentran señalados en la Resolución Administrativa 038/01.Los puntos que incumplen con lo establecido por el Decreto Ley  Nº 16998, puntos analizados que se encuentran fuera de la norma son: Iluminación, protección contra caídas y el orden y la limpieza de acuerdo a los puntos establecidos por la Resolución Administrativa.A razón de la problemática se vio conveniente establecer distintas propuestas de mejora para los problemas de iluminación como ser: selección de luminarias de acuerdo a la altura de piso a techo, relocalización de escritorios, alumbrado general localizado y la distribución de las luminarias, por otro lado para el problema de la protección contra caídas se estableció como solución el colocado del barandal en uno de los lados de la rampa de atención al cliente que es la que se encontraba sin la seguridad requerida por norma y por ultima para el orden y la limpieza se estableció un programa de limpieza el cual fue elaborado de acuerdo a la 5’s japonesas extraídas de las 9 que existen actualmente tomando 5 puntos a trabajar: seleccionar, ordenar, limpiar, estandarizar y autodisciplina.Así mismo después de realizar el diagnostico a nivel empresa se estableció que existen puntos débiles dentro de la empresa en seguridad e higiene industrial, para los cuales se han establecido soluciones dos de los cuales se encuentran ya mencionados con anterioridad y los otros puntos son: el sistema de alarma y las vías de circulación peatonal, para el sistema de alarma se ha establecido como propuesta de mejora cambio de la señalización por uno en idioma castellano y además informar del inicio y funcionamiento del mismo, finalmente se ha establecido como solución para los problemas a las vías de circulación peatonal, implementar un programa de educación vial en la semana de prevención de riesgos que brinda la empresa anualmente y también realizar el colocado de señalización de uso obligatorio.Con la elaboración del Plan de Higiene, Seguridad Ocupacional y Bienestar  se ha contribuido a la certificación de las Norma NB OHSAS 18001:2007, cumpliendo con un requisito legal para la obtención de la certificación, se analizo la situación exacta de la empresa en cuanto a seguridad, higiene por lo que se determino que la empresa se encuentra en elevados niveles de Higiene y Seguridad Industrial debido a que cumple en un alto porcentaje con lo exigido por norma.El desarrollo de un Plan genera las siguientes ventajas dentro de una empresa: crea un sentido de pertenencia y responsabilidad del trabajador por su lugar de trabajo, reduce el número de accidentes y/o enfermedades profesionales, mediante la prevención y control de riesgos y/o control total de pérdidas.Se concluye entonces que el trabajo debería realizarse en todas las empresas debido a que es responsabilidad social de la empresa cuidar de sus empleados, protegiéndolos contra accidentes y ofreciéndoles un ambiente adecuado de trabajo, debido a que el recurso principal de cualquier organización o empresa es el recurso humano.</t>
  </si>
  <si>
    <t>https://drive.google.com/file/d/1GS4wwvfRSgRTLCEoO2Y4-1tiNvnMVZuW/view?usp=sharing</t>
  </si>
  <si>
    <t>https://drive.google.com/file/d/1B3gbYXBd01ZC9EzJyU9Y_Ia2Lh_OjxsK/view?usp=sharing</t>
  </si>
  <si>
    <t>https://drive.google.com/file/d/149dkiPagEM3JilT7w6zAujxuOpP6evR3/view?usp=sharing</t>
  </si>
  <si>
    <t>ALAN MILTON BACARREZA ENCINAS</t>
  </si>
  <si>
    <t>DISEÑO DE UN PLAN ESTRATÉGICO PARA LA EMPRESA CREACIONES KETY</t>
  </si>
  <si>
    <t>alanbacarreza@hotmail.com</t>
  </si>
  <si>
    <t>IND-427-2011</t>
  </si>
  <si>
    <t>Gestión estratégica de empresas, plan estratégico, plan operativo, microempresa textil.</t>
  </si>
  <si>
    <t>Como consecuencia de la falta de capacidad organizativa en la microempresa Creaciones Kety, se vio oportuno el diseño de un plan estratégico para la misma. Plan que tenía el objetivo de superar las mencionadas falencias organizativas de la empresa mediante un análisis de su situación actual y con respecto al ambiente, logrando así focalizar todos los recursos de la empresa hacia la potenciación de la competitividad de la organización.Para lograr el desarrollo de la competitividad mediante el diseño de un plan estratégico, primero se realizo un diagnostico del rubro al cual pertenece la empresa, determinando sus características actuales y potenciales futuras, así como las oportunidades y amenazas con respecto a la empresa. Posteriormente de realizo un diagnostico detallado de la situación actual de la empresa; análisis de productividad, y determinación de fortalezas y debilidades.En base a la información interna y externa a la organización se relaciono la posición relativa de la misma en el medio con la ayuda de varias herramientas de la gestión estratégica de empresas; análisis de las cinco fuerzas de portes, matriz BCG, matriz, Peyea, FODA valorado, y otras.Gracias a la comprensión de la posición relativa de la empresa en el medio, y una comprensión profunda de la misma, se esbozaron estrategias con la ayuda de la matriz FODA estratégico. Estrategias que fueron evaluadas en la matriz cuantitativa de la planificación estrategia o MCPE, para poder seleccionar dos estrategias adecuadas a los objetivos de la empresa, así como a sus características y a la situación del medio.En base a las dos estrategias seleccionadas se diseñaron dos planes estratégicos respectivos cuyas líneas estrategias son consistentes con los objetivos de cada plan. Cada plan fue diseñado para ser realizado en un periodo de cinco años, y se detallaron los recursos necesarios para su cumplimiento así como, su límite de tiempo, y responsable asignado.Junto a cada plan estratégico fue diseñado también un plan operativo que explica a detalle las acciones a realizarse en el periodo de un año. De esta forma se logro diseñar un plan estratégico que ayudo a Creaciones Kety a identificar sus circunstancias presentes así como su relación con el entorno, y de forma más importante definir una guía de acciones a seguir a mediano y corto plazo que incremento la competitividad de la empresa mediante el desarrollo de la calidad de su servicio, producto, productividad e imagen.    Finalmente cabe mencionar que el plan estratégico diseñado para la empresa Creaciones Kety es una guía propuesta de acciones a seguir a mediano, y como cualquier plan es necesaria su reevaluación anual adaptando las acciones, y corrigiendo falencias, manteniendo el rumbo hacia la consecución de las metas fijadas por la empresa.</t>
  </si>
  <si>
    <t>https://drive.google.com/file/d/1Cc2Fgn_dBMRRj9pKgIgEqAOuJMi2MVW6/view?usp=sharing</t>
  </si>
  <si>
    <t>https://drive.google.com/file/d/1QUJ3xKtY7R9TG7uTA-ASiR14NA9p2VIy/view?usp=sharing</t>
  </si>
  <si>
    <t>https://drive.google.com/file/d/1Z7QIfuNGjutAnpvrau6KvvRrwh0MN_xN/view?usp=sharing</t>
  </si>
  <si>
    <t>GARCÍA PÉREZ GABRIELA</t>
  </si>
  <si>
    <t>ROCHA CUENCA GREGORIO</t>
  </si>
  <si>
    <t>DESARROLLO DE UN SISTEMA DE GESTIÓN DE ALMACENES DE PRODUCTOS TERMINADOS Y PRODUCTOS  IMPORTADOS   PARA LA EMPRESA ALMANZA CORP. S.R.L.</t>
  </si>
  <si>
    <t>gabychulita8@hotmail.com</t>
  </si>
  <si>
    <t>IND-428-2011</t>
  </si>
  <si>
    <t>Gestión de Almacenes, Diagnostico de la Productividad, Indicadores de Gestión, Control e Identificación de la mercadería, Planificaciones de la Compra.</t>
  </si>
  <si>
    <t>Para la realización y entendimiento del proyecto  se aplicó: Enfoque sistémico de la organización, diagnostico de la productividad, matriz de limitaciones y causas, y análisis ABC.  Se realizó el análisis factorial y causal donde se tomaron en cuenta a las funciones (departamentos o procesos; según el análisis sistémico de una empresa) y se determinó el grado de eficiencia o productividad de cada una de estas y del sistema en general, dividiendo cada función en elementos de estudio presentados en forma de cuestionarios y analizados en su grado de satisfacción.Para la evaluación se inició con el análisis del sistema actual que se maneja en el Almacén  para comprender la forma de recepción, codificación, almacenamiento, organización y seguridad en el almacén. Con el objetivó de tener un conocimiento del sistema actual del almacén. Para esta evaluación se utilizaron los  métodos: cuestionario,  entrevista  y observación.Se realizó la propuesta de un organigrama interno del almacén, cuadro de cargos, cuadros de control mediante indicadores para el diagnostico de la productividad, sistemas de control de la mercadería, sistema informático y la seguridad y salud ocupacional del personal dentro el almacén.Para concluir se utilizó la técnica  de Análisis de Costo - Beneficio, qué tiene como objetivó fundamental  proporcionar  una  medida  de  los  costos  en que se incurren en la realización del proyecto, y a su vez se comparó  dichos  costos previstos con los beneficios esperados de la realización del proyecto de un sistema de gestión de almacenes de productos terminados e importados de la empresa Almanza CORP. S.R.L.</t>
  </si>
  <si>
    <t>https://drive.google.com/file/d/1KwJuT6qM2tJ4Q2JyJ_2jx01e-Asq4jvB/view?usp=sharing</t>
  </si>
  <si>
    <t>https://drive.google.com/file/d/1WMVJiNkJessFWD3XNRBjtuMAXg1DgjI1/view?usp=sharing</t>
  </si>
  <si>
    <t>https://drive.google.com/file/d/1Mc1T-v1NtOgUtDMn61dcsZAJ_lJydM8G/view?usp=sharing</t>
  </si>
  <si>
    <t>AZURDUY NOGALES FRANZ JULIO</t>
  </si>
  <si>
    <t>TARIFA HERRERA GONZALO</t>
  </si>
  <si>
    <t>DR. EDWIN TORREZ</t>
  </si>
  <si>
    <t>ESTUDIO PARA LA IMPLEMENTACIÓN DE UNA NUEVA LÍNEA DE PRODUCCIÓN EN LA EMPRESA VIDAGUA SRL.</t>
  </si>
  <si>
    <t>franz_azurdy@hotmail.com</t>
  </si>
  <si>
    <t>IND-429-2011</t>
  </si>
  <si>
    <t>Estudio de Implementación de una nueva línea de producción, investigación de mercados y experimental, Plan de Marketing, Propuesta de un Sistema de gestión de Inocuidad alimentaria ISO 22000, ingeniería de proyectos, evaluación financiera.</t>
  </si>
  <si>
    <t>Se desarrolló un estudio Técnico-Económico para la implementación de una nueva línea de producción en la empresa “Vidagua.srl”.Primeramente se realizó un diagnostico de la situación de la empresa para determinar la nueva línea de producción, llegando a ser el hielo para bebidas con características como ser color, sabor y aroma. Luego se realizo una investigación de mercados para ver su aceptación, haciendo estudios exploratorios, descriptivos y explicativos. Para así poder realizar un plan de marketing, y determinar las líneas de acción adecuadas. Se hizo un estudio experimental en laboratorio, los estudios involucrados al producto fueron los siguientes; prueba de acidez (PH), prueba de Grados Brix, prueba de absorvancia y por ultimo pruebas de estabilidad, un estudio de ingeniería de proyecto, un estudio de los requerimientos de los recursos humanos y organización del proyecto, finalmente se realizó la evaluación financiera del proyecto. Los resultados de la implementación de esta nueva línea de producción, es acorde a las condiciones actuales de la empresa y a la factibilidad técnica, experimental y financiera del proyecto.</t>
  </si>
  <si>
    <t>https://drive.google.com/file/d/1NpANJ8AyHyjRMcl-rd_A5nNP0cccge2M/view?usp=sharing</t>
  </si>
  <si>
    <t>https://drive.google.com/file/d/1PkN0WwDFgFUnEZ3yvkuNjvHzyalNj5Rx/view?usp=sharing</t>
  </si>
  <si>
    <t>https://drive.google.com/file/d/1-k0pgroiiuUGJi0wY4eEtA8f39UN8Xpp/view?usp=sharing</t>
  </si>
  <si>
    <t>SERGIO RIVERO ACHÁ</t>
  </si>
  <si>
    <t>ESTUDIO DE FACTIBILIDAD PARA LA INSTALACIÓN DE UNA PLANTA DE GENERACIÓN DE ENERGÍA ELÉCTRICA Y TÉRMICA A PARTIR DE BIOMASA RESIDUAL EN UNA EMPRESA MADERERA</t>
  </si>
  <si>
    <t>rivero.sergio.a@gmail.com</t>
  </si>
  <si>
    <t>IND-430-2011</t>
  </si>
  <si>
    <t>Cogeneración, gasificación, energía eléctrica y térmica, biomasa, industria maderera, Mecanismo de Desarrollo Limpio (MDL), grupo electrógeno, motores de combustión interna.</t>
  </si>
  <si>
    <t>Se realizó primeramente un estudio de mercado interno en el que se determinaron los requerimientos de energía eléctrica y térmica de MAOR S.A., y un estudio de mercado externo en el que se determinó la factibilidad en términos de mercado de la comercialización de los excedentes de energía eléctrica generados, donde se estableció a la población de Guayaramerín como mercado meta del proyecto.Posteriormente se definió el tamaño de la planta, que para el presente proyecto corresponde a la potencia eléctrica y térmica de los equipos a instalar, mediante un análisis de los factores: mercado, materia prima y tecnología a utilizar. Se determinó que el volumen de residuos generados por las operaciones forestales, proceso de aserrado y procesos de manufactura de la empresa podrían alimentar una planta de una potencia eléctrica de hasta 4.7 MW y que la tecnología más adecuada para el aprovechamiento de este tipo de residuos es el de la gasificación en conjunto con motores de combustión interna.Se determinó que aunque se cuenta con gran cantidad de biomasa, de acuerdo a los requerimientos de MAOR S.A. debe instalarse una planta de una potencia eléctrica de 1.2 MW que consistirá en tres motores a gas con una potencia eléctrica de 400 kW cada uno, funcionando modularmente en conjunto con tres gasificadores.Posteriormente se determinó el proceso de generación de energía eléctrica y térmica, los equipos, instalaciones y personal requeridos, la localización y distribución de los equipos de la planta y finalmente las obras civiles necesarias.Se realizó un análisis del marco regulatorio del proyecto en el que se determinó que de acuerdo a la Ley de Electricidad, deberá constituirse una nueva empresa encargada de la generación de energía y la cual realizaría la venta tanto a MAOR S.A. como a la cooperativa COSEGUA.Se realizó una evaluación del impacto ambiental del proyecto de acuerdo a la Ley 1333 de Medio Ambiente y se determinó que el proyecto corresponde a una categoría tres, por lo que para obtener la licencia ambiental la nueva empresa deberá contar con Medidas de Mitigación y un Plan de Adecuación y Seguimiento Ambiental (PASA) adicionalmente a la ficha ambiental. Además se determinó que la importancia de los impactos del proyecto se encuentra dentro del rango de impactos irrelevantes a impactos moderados.Posteriormente se analizó la posibilidad de la inclusión del proyecto como parte del Mecanismo de Desarrollo Limpio para la obtención de los denominados bonos de carbono. Se determinó que este cumple con los criterios de elegibilidad y con el principio de adicionalidad de este mecanismo. Se estimó que con la ejecución del proyecto se tendría una reducción en la emisión de gases de efecto invernadero de 6,712 toneladas de CO2 equivalentes por año. También se estableció que la implementación del proyecto como parte del MDL deberá esperar que el Estado boliviano decida si continúa con dicho Mecanismo y cumpla con los compromisos asumidos en el Protocolo de Kioto.Finalmente se realizó la evaluación financiera y económica del proyecto determinando un VAN de 343,993 USD, un TIR de 15.46% y una relación B/C de 1.57. Mediante un análisis de sensibilidad se determinaron las variables críticas: el precio de venta de la electricidad, los costos de generación y el monto de la inversión. Se estableció que la realización del proyecto tendría un impacto positivo para el Estado boliviano puesto que permitiría el reemplazo del uso de 2.5 millones de litros por año de diesel por parte de la cooperativa COSEGUA y la empresa MAOR S.A. Por el reemplazo de esta cantidad de diesel se estima un ahorro de 2.33 millones de dólares anuales para el Estado en la subvención de este carburante.</t>
  </si>
  <si>
    <t>https://drive.google.com/file/d/1aGudd9rH1FeAbZy5JEoJcVuiCcNY9M0G/view?usp=sharing</t>
  </si>
  <si>
    <t>https://drive.google.com/file/d/1ZuUXrHKGMXHKptIx1jSzZXzxpqxJnKpW/view?usp=sharing</t>
  </si>
  <si>
    <t>https://drive.google.com/file/d/1HN4tYdk8IsYAC2MunDnXdHYhRkmdFdbT/view?usp=sharing</t>
  </si>
  <si>
    <t>ERWIN DOUGLAS SENZANO ARCE</t>
  </si>
  <si>
    <t>ING. MSC. ALFREDO COSSIO PAPADOPOLIS</t>
  </si>
  <si>
    <t>ESTUDIO DE FACTIBILIDAD PARA LA IMPLEMENTACIÓN DE UNA PLANTA DE SEPARACIÓN Y CLASIFICACIÓN DE RESIDUOS SÓLIDOS EN EL RELLENO SANITARIO DE JARKA LOMA, DE LA EMPRESA MUNICIPAL DESCENTRALIZADA GERES-SACABA.</t>
  </si>
  <si>
    <t>erwindou@yahoo.es</t>
  </si>
  <si>
    <t>IND-431-2011</t>
  </si>
  <si>
    <t>Planta de Clasificación de Residuos Sólidos, Manejo de Residuos Sólidos, Reciclaje, Generación Per-cápita, Tratamiento de Residuos Sólidos.</t>
  </si>
  <si>
    <t>La Empresa Municipal Descentralizada GERES, es la encargada de realizar la Gestión Integral de Residuos Sólidos en el Municipio de Sacaba. Por esta situación la Empresa decidió implementar una “Planta de Clasificación de Residuos Sólidos”, que busca reducir los elevados volúmenes de residuos que se confinan en el relleno sanitario y por consecuencia aumentar la vida útil del mismo.El Municipio de Sacaba tiene una población de 117,100 habitantes (Según Censo 2001), con una tasa de crecimiento del 5.62% anual, haciendo una población actual aproximada de 179,847 habitantes.La Generación de Residuos sólidos es directamente proporcional al crecimiento de la población, y de otros factores que inciden en la misma son el estrato social, la educación y las costumbres. El estudio realizado al respecto nos proporciona que la generación per-cápita del municipio es de 0.37 kg/hab/día; el peso volumétrico es 296.74 kg/m3; la composición de los residuos sólidos es 60.94% de materia orgánica, 39.06% de materia inorgánica.El proyecto tiene por finalidad recuperar los materiales inorgánicos que pueden ser reintroducidos al círculo productivo que alcanza el 19.25%, y seleccionar la materia orgánica para su posterior tratamiento como compost.  La recolección diarios de residuos comunes  de domicilios, centros educativos, mercados, plazas y vías públicas tiene un promedio de 48.33 toneladas.La demanda local del papel, vidrio y de cartones supera en gran medida a la oferta de todos los centros de acopio de la región, los demás materiales como las botellas PET, plásticos, metales y hojalatas son exportados a los países vecinos.La Planta de Separación y Clasificación que se instalará en el relleno sanitario de Jarka Loma del Municipio de Sacaba tiene una capacidad para procesar aproximadamente 80 a 90 toneladas de residuos por turno. Son 16 personas que operarán la Planta, un encargado de planta, doce operarios (seleccionadores de materiales), un encargado de mantenimiento, un responsable de almacenes, y un responsable de limpieza.El responsable de la inversión e instalación de la Planta es La Alcaldía Municipal de Sacaba, debido a su limitada asignación presupuestaria se solicitará cofinanciamiento al Fondo Nacional de Desarrollo Regional el 50% de la inversión inicial. La inversión inicial es de 519,815.57 Dólares Americanos.La Evaluación Financiera del proyecto obtuvo un Valor Actual Neto de 222,551.45 dólares americanos, Tasa Interna de Retorno de 39.13% y una Relación de Beneficio-Costo de 1.86; los tres indicadores indican una rentabilidad del proyecto.</t>
  </si>
  <si>
    <t>https://drive.google.com/file/d/1opkqjTEvLjWOU_grqbD8WiCHjuJZs0Hy/view?usp=sharing</t>
  </si>
  <si>
    <t>https://drive.google.com/file/d/1_KtkeygvfJr1sBcWUjfzG6jUMVHUgpAb/view?usp=sharing</t>
  </si>
  <si>
    <t>https://drive.google.com/file/d/18QHUU6j8INvcTOcZikfX-hlZQu23Bw62/view?usp=sharing</t>
  </si>
  <si>
    <t>HUMBERTO MORALES LÓPEZ</t>
  </si>
  <si>
    <t>FRANZ NOEL ZAPATA PÉREZ</t>
  </si>
  <si>
    <t>DR. EDWIN TORREZ QUINTEROS</t>
  </si>
  <si>
    <t>PROYECTO DE FACTIBILIDAD DE PRODUCCIÓN DE CEREALES EXTRUIDOS PARA DESAYUNO EN LA REGIÓN ANDINA DEL DEPARTAMENTO DE COCHABAMBA.</t>
  </si>
  <si>
    <t>hbrt_93@hotmail.com</t>
  </si>
  <si>
    <t>IND-432-2011</t>
  </si>
  <si>
    <t>Cereales para desayuno, Extrusión, Optimización, Método Guerchet.</t>
  </si>
  <si>
    <t>El presente proyecto busca la implementación de una planta procesadora de cereales para desayuno para el mercado de Cochabamba. El objetivo del mismo es demostrar técnica y financieramente la implementación de la planta, establecer el alcance del proyecto así como determinar los procesos tecnológicos a utilizarse para la transformación de las materias primas. Durante el estudio de mercado se evaluó a la población consumidora y además buscar nuevos consumidores del producto en los municipios de Cercado, Sacaba y Quillacollo; también se tiene como mercado secundario a las alcaldías de la región andina del departamento y hoteles de categoría de tres estrellas de la ciudad del Cercado. Para de esta manera obtener el mercado potencial de consumidores de cereales para desayuno.Con los datos de consumo y demanda del estudio de mercado fue posible elaborar el pronóstico del mercado meta y la capacidad de la planta. Además la localización del proyecto será en el complejo productivo integral “biodiversidad y producción comunitaria de granos andinos” ubicado en el sector de Pongo K’asa.La materia prima a utilizarse son las harinas de: trigo, maíz, quinua, cañahua, amaranto, haba y arveja según el capítulo 7 de optimización; y los insumos como: colorantes, antioxidantes, azúcar, melaza y sal emulsionante.Por medio de la ingeniería del proyecto se determinaron los procesos a ser utilizados en el procesamiento de cereales y legumbres, identificándose los diferentes equipos, maquinaria e infraestructura con los requerimientos exigidos para su funcionamiento de la planta. Para la conclusión del proyecto se establecieron las funciones del personal y el organigrama de la futura empresa.Establecida la maquinaria, equipos, personal y materia prima, se hallaron los costos de funcionamiento de la planta así como los ingresos proyectados a obtenerse. Con estos valores se determinaron los parámetros de la evaluación financiera de un VAN = 2520997.39 $us y un  TIR = 40%, donde se concluye que la implementación del proyecto es factible desde el punto de vista financiero y técnico.</t>
  </si>
  <si>
    <t>https://drive.google.com/file/d/1N6sugNiusPKxbzuGSjtQ7uO9WZ7P7hHF/view?usp=sharing</t>
  </si>
  <si>
    <t>https://drive.google.com/file/d/159-cyn0NtPeWof0sP1OxVRX57OBP7N-q/view?usp=sharing</t>
  </si>
  <si>
    <t>https://drive.google.com/file/d/1UenigV8C1EVGHzHLw8a9vDs9JsyZR_Mx/view?usp=sharing</t>
  </si>
  <si>
    <t>CARMEN ROSA SARAVIA CABRERA</t>
  </si>
  <si>
    <t>SISTEMA DE GESTION DE CALIDAD BASADA EN LA NORMA ISO 9001:2008 PARA LA PRODUCCIÓN DE ALIMENTO BALANCEADO DE GANADO VACUNO DE LA ASOCIACION DE PRODUCTORES DE LECHE DEL VALLE DE COCHABAMBA</t>
  </si>
  <si>
    <t>IND-433-2011</t>
  </si>
  <si>
    <t>SGC, Planta de Alimento Balanceado, “apl”, ISO 9001:2008, Norma</t>
  </si>
  <si>
    <t>El proyecto se  ha desarrollado para la Planta de Alimento Balanceado “apl”, que ofrece un producto nutritivo para la alimentación del ganado vacuno. Se planteó como objetivo el diseño de un Sistema de Gestión calidad en el proceso de producción del alimento balanceado.       Inicialmente, para el desarrollo del proyecto se estudió las normas ISO 9000 para tener conocimiento de los requisitos del Sistema de Gestión de la calidad.       Luego se realizó el diagnostico interno, para conocer la situación actual de la empresa respecto al cumplimiento con los requisitos de la norma 9001.       Una vez determinada la situación actual de la empresa se procedió a identificar los procesos que formaran parte del Sistema de Gestión de Calidad, su secuencia e interacción de los mismos, se definió la estructura documental  donde se identificó la elaboración del manual de calidad, manual de procedimientos, instructivos, planes de calidad guías de calidad y registros de calidad  para su elaboración de los mismos.       Para poner en práctica la documentación del Sistema de Gestión de Calidad se desarrolló un plan  para su implementación, donde se establece las etapas con sus respectivas actividades y tiempo de ejecución.       Finalmente se estimaron los costos en que incurrirá la empresa en la implementación y posterior la certificación del Sistema de Gestión de Calidad.</t>
  </si>
  <si>
    <t>https://drive.google.com/file/d/1-IXdKblcdCMG9MkmXzmd2n05JGMlMi4v/view?usp=sharing</t>
  </si>
  <si>
    <t>https://drive.google.com/file/d/1zitbE8IPdQhqPKFjoi57pGh0WHJHLvE1/view?usp=sharing</t>
  </si>
  <si>
    <t>XIMENA ROCÍO SÁNCHEZ LUIZAGA</t>
  </si>
  <si>
    <t>PLAN DE SEGURIDAD INDUSTRIAL E HIGIENE OCUPACIONAL PARA LA EMBOTELLADORA CASCADA S.A.</t>
  </si>
  <si>
    <t>yimhe@hotmail.com</t>
  </si>
  <si>
    <t>IND-434-2011</t>
  </si>
  <si>
    <t>Seguridad Industrial, Método General de Evaluación de Riesgos, Mapas de Riesgos, Contaminantes Ergonómicos, Contaminantes Físicos.</t>
  </si>
  <si>
    <t>La embotelladora Cascada S.A. ha visto conveniente realizar un estudio de Seguridad Industrial debido a la permanente inseguridad del personal de planta, en los  procesos que se realizan diariamente, por otro lado las características que presenta en la actualidad en cuanto a Seguridad e Higiene no son las adecuadas, en respuesta a estos requerimientos se realizó el  Plan de Seguridad Industrial e Higiene Ocupacional.Primeramente se realizó un Diagnostico, que dio a conocer las condiciones en las que se encontraba la empresa en cuanto a Ingeniería de Seguridad como ser: organización general, organización de la seguridad, descripción de procesos, estado de las instalaciones y personal que interviene, para ello se realizo entrevistas con el Gerente y Jefe de Producción, seguido de un reconocimiento de las instalaciones. Posteriormente se realizo una observación más exhaustiva determinando las principales secciones de la empresa, para determinar características de los puestos de trabajo, maquinaria y equipo existente en cada una de las secciones, materias primas utilizadas en el proceso de producción  y  factores generadores de riesgos  a los cuales se encuentran expuestos los trabajadores. Con toda esta información se procedió a realizar la Identificación y Evaluación de Riesgos. Las metodologías utilizadas para la Identificación y Evaluación de Riesgos fueron: Método General de Evaluación de Riesgos, Clasificación de Accidentes del Trabajo según la forma del Accidente” creada por la Organización Internacional  del Trabajo OIT, Tabla de Valoración de Riesgos Generales propuesta por el Instituto de Seguridad e Higiene en el Trabajo (Madrid España) y Mapas de Riesgos. Con toda la información obtenida del diagnostico y de la identificación y evaluación de riesgos, se procedió a realizar el Plan de Seguridad Industrial e Higiene Ocupacional, en el que se tomó en cuenta la organización de la seguridad, la capacitación, el orden y limpieza, la prevención de riesgos, los equipos de protección personal, los primeros auxilios, la prevención de incendios, la señalización, el manejo adecuado de maquinaria, equipo, herramientas y las acciones a seguir en caso de emergencias, correspondientes a la empresa dentro las cuales se realizaron diferentes propuestas, procedimientos y acciones de respuesta para mejorar la Seguridad e Higiene Industrial.El resultado del Proyecto de Grado es un documento que está acorde a las necesidades de la embotelladora CASCADA S.A. , la implementación del Plan de Seguridad nos permitirá prevenir, controlar, minimizar y eliminar los riesgos identificados, por otro lado ofrecer condiciones de trabajo aceptables y adecuadas.Finalmente, se realizó un Análisis de Costos, que determinó la inversión necesaria para la implementación del Plan de Seguridad Industrial e Higiene Ocupacional, que garantice su ejecución y funcionamiento.</t>
  </si>
  <si>
    <t>https://drive.google.com/file/d/1Tv2W3AhJNy4JO8R5kDC-rLdxzF8Z0eX_/view?usp=sharing</t>
  </si>
  <si>
    <t>https://drive.google.com/file/d/1PTcSPnHNAmYRKoXB8E_4l68zyyY_s4Xq/view?usp=sharing</t>
  </si>
  <si>
    <t>https://drive.google.com/file/d/1rSlvBRksxINLcI0hA075UzqKNLG8oIWn/view?usp=sharing</t>
  </si>
  <si>
    <t>HENRY MENDIETA AYALA</t>
  </si>
  <si>
    <t>YESENIA MADAITH TRIVEÑO UREÑA</t>
  </si>
  <si>
    <t>INVESTIGACIÓN DE MERCADO Y PLAN DE PRODUCCIÓN PARA INCREMENTAR LA          PARTICIPACIÓN DE LA HELADERÍA GABO’S EN EL ÁREA METROPOLITANA DE COCHABAMBA.</t>
  </si>
  <si>
    <t>henry_ma@hotmail.com</t>
  </si>
  <si>
    <t>IND-435-2011</t>
  </si>
  <si>
    <t>Estudio de Mercado, Demanda Potencial, Estrategias de Comercialización, Pronóstico de la demanda, Inventarios, Plan de producción, Análisis Beneficio/Costo.</t>
  </si>
  <si>
    <t>La Heladería Gabo’s es una empresa dedicada a la producción y comercialización de helados, fue creada el 30 de Julio de 1998, ofrece su producto en dos presentaciones, en copa y en cono de galleta con una variedad de sabores. La Heladería cuenta con dos puntos de venta uno ubicado en los ambientes de la Terminal de Buses Cochabamba y otro en el Centro de Eventos y Convenciones Manantial.Los helados Gabo’s tienen una producción intermitente, es decir, no tiene un aprovechamiento total de la capacidad de sus maquinas, por tanto se vio la necesidad de entrar a nuevos mercado e incrementar su participación y la producción.Para  la ejecución del Proyecto se realizó un seguimiento y análisis de los sistemas de producción y comercialización de la empresa, donde se obtuvieron datos históricos de ventas, políticas internas, características de su entorno e indicadores de producción.Para la segmentación de mercado se empleó el método probabilístico estratificado, considerando las zonas geográficas, edad y sexo del universo en estudio.Se efectuó una prueba de degustación  para determinar al grado de aceptación del producto de la Heladería Gabo`s, posteriormente se realizaron entrevistas personales para establecer las características y comportamiento del consumidor en el mercado objetivo. Se determino la demanda potencial considerando la aceptación del producto, frecuencia y promedio de consumo de acuerdo al análisis e interpretación de resultados.Se planteó estrategias de comercialización aprovechando las oportunidades del entorno y la posición estratégica interna con la que cuenta la empresa, que coadyuvaron con el cumplimiento de los objetivos.Mediante las estrategias seleccionadas se planteo planes a largo plazo especificándose las áreas responsables, con una  estimación presupuestaria para el desarrollo de dichos planes.Posteriormente a través de los pronósticos se encontró la demanda futura mediante el empleo de un modelo matemático adecuado al comportamiento de ventas.Se procedió a desarrollar un modelo de inventarios que permitió controlar las cantidades de insumo a requerir para la producción de helados, además de mantener en equilibrio el área de producción con comercialización.El modelo de inventarios permitió determinar los costos incurridos en mantener el inventario en almacén por un periodo de tiempo.Se selecciono estrategias adecuadas a las políticas de la empresa, para el posterior desarrollo del plan agregado de producción, donde se indico la necesidad de mano de obra y las cantidades necesarias a producir para cubrir la demanda pronosticada de un periodo de seis trimestres.Se realizo el plan maestro de producción en el que se detalla la producción semanal por sabores según datos hallados de pronósticos y el plan agregado de producciónUna vez desarrollado las estrategias de comercialización y el respectivo plan de producción se hallo los costos y beneficios asociados al proyecto determinándose que dicho proyecto es aceptado.Los resultados obtenidos cumplieron con los objetivos planteados, alcanzando cuadruplicar la producción  y ventas mediante la incursión de los helados Gabo’s a nuevos mercados.</t>
  </si>
  <si>
    <t>https://drive.google.com/file/d/1nGk0Ie-WjvRfOfMvdUdMlQPzcAm4UcKD/view?usp=sharing</t>
  </si>
  <si>
    <t>https://drive.google.com/file/d/1yxkj5mlUvgrd7Gv8iOQ2uZ_rYYFr82qZ/view?usp=sharing</t>
  </si>
  <si>
    <t>https://drive.google.com/file/d/1EwI5bT2mRsyhMGmURtXqp4aP4oYrw4mh/view?usp=sharing</t>
  </si>
  <si>
    <t>WENDY SOFÍA SANZETENEA RAMÍREZ</t>
  </si>
  <si>
    <t>DISEÑO DE UN PLAN DE SEGURIDAD Y SALUD OCUPACIONAL PARA EL GRUPO EMPRESARIAL VALENCIA SRL.</t>
  </si>
  <si>
    <t>wsanzetenea@gmail.com</t>
  </si>
  <si>
    <t>IND-436-2011</t>
  </si>
  <si>
    <t>Seguridad y Salud Ocupacional, Identificación y evaluación de riesgos.</t>
  </si>
  <si>
    <t>La necesidad de desarrollar el plan de seguridad y salud ocupacional para la empresa, fue porque la empresa no contaba con uno, además de contar con el compromiso por parte de la gerencia general de la empresa para la implementación del plan con perspectivas a largo plazo de sobre esta base, certificar a la empresa con la norma OSHA 1800 para completar su sistema integrado de gestión, contando ya con las certificaciones ISO 9000 (Sistemas de gestión de calidad) y la ISO 14000 (Sistema de gestión de medio ambiente).La metodología desarrollada en el trabajo fue adecuada a las necesidades de la empresa, utilizando el método general, que es aplicado en caso de no existir una evaluación previa, en el que: 1) Se identificaron los riesgos presentes en los puestos de trabajo. 2) Se procedió a evaluar los riesgos que no se pudieron evitar. 3) Se evaluó las condiciones higiénicas, ergonómicas y psicosociales. 4) Se establecieron las medidas correctivas/ preventivas, logrando de esta manera identificar los riesgos que representaban mayor riesgo para la seguridad y salud de los trabajadores, permitiendo así priorizar las medidas preventivas en función a la valorización de riesgos obtenido y al número de personas expuestas al riesgo.Se pudo determinar que los riesgos que producen accidentes y enfermedades profesionales identificados en la empresa no son los únicos factores que tienen influencia negativa sobre la seguridad y salud de los trabajadores, sino que tanbien existen riesgos ergonómicos y psicosociales presentes en los puestos de trabajo. Como complemento al desarrollo del plan, fueron elaborados procedimientos en los cuales se describen de Del plan desarrollado se llegó a la conclusión que es: 1) Es necesaria una primera aproximación con disciplinas como Psicología (relaciones interpersonales, etc.), Fisioterapia (factores ergonómicos), para la prevención, reducción y control de riesgos en la empresa. 2) La implementación de medias preventivas en la empresa no requiere de una mayor inversión económica, solo requiere un cambio de actitud de los trabajadores. 3) Es necesaria la implementación de indicadores que indiquen la evolución de las medidas preventivas realizadas, para así garantizar la gestión, mejora continua en materia de seguridad y salud ocupacional en la empresa.</t>
  </si>
  <si>
    <t>https://drive.google.com/file/d/19RP7ou6CWAx6k6h4ak2fyEYnm0I4DNHc/view?usp=sharing</t>
  </si>
  <si>
    <t>https://drive.google.com/file/d/1up7_Vu7U_aA3LCLUQJlGSf43_DWYQYik/view?usp=sharing</t>
  </si>
  <si>
    <t>https://drive.google.com/file/d/1Au8K-qyOhvkVhCu2lzHyKvn_sWBTUOnY/view?usp=sharing</t>
  </si>
  <si>
    <t>DANIEL TICONA RAMÍREZ</t>
  </si>
  <si>
    <t>SÁNCHEZ MONTECINOS JOSÉ JHONNY</t>
  </si>
  <si>
    <t>ESTUDIO DE FACTIBILIDAD PARA LA INSTALACIÓN DE UNA PLANTA PRODUCTORA DE CARBÓN ACTIVADO A PARTIR DE LA CÁSCARA DE CASTAÑA</t>
  </si>
  <si>
    <t>dan_ t_ram@hotmail.com</t>
  </si>
  <si>
    <t>IND-437-2011</t>
  </si>
  <si>
    <t>Planta Productora de Carbón activado, Adsorción, Estructura porosa, Precursores, Carbonización y activación, Superficie específica</t>
  </si>
  <si>
    <t>Con el conocimiento de que en la realidad de la industria a nivel mundial se precisa cada vez más el carbón activado debido a la necesidad de cada vez mas ejecutar los procesos productivos de una manera más limpia con el fin de precautelar  el medio ambiente, además de que por su propiedad de alta capacidad adsorbente es utilizado para una infinidad de usos desde la purificación de líquidos, gases hasta aplicaciones de tipo industrial y farmacéutico se realizó una investigación de Mercado donde se pudo evidenciar que la demanda es creciente a nivel mundial y nacional,  cabe destacar que en Bolivia no existen empresas dedicadas a la producción de carbón activado por tanto los requerimientos de este producto son satisfechos netamente por importaciones, Además con fines de expandir  la empresa se procedió a la búsqueda de mercados externos apropiados a nuestro producto, en este entendido se seleccionaron los mercados de Perú, y Chile, debido a que en estos países existe una gran actividad en la minería aurífera y sus requerimientos de calidad se ajustan a las de nuestro producto. Posteriormente se definió el tamaño de la planta en base al estudio de mercado donde inicialmente el proyecto tendrá una participación de mercado del 18% en Bolivia, del 8% en el mercado de Perú y 9% en el mercado de Chile, produciéndose  el primer año 353 Tn, de acuerdo a la demanda proyectada en el 2020 se producirá 1138 Tn. La materia prima a utilizar es la cáscara de castaña, existente en nuestro país en la región de Pando y Beni, la cual en la actualidad no es aprovechada con el fin de generar recursos económicos además como  mayor exportador de castaña al mundo las cantidades de materia prima son ingentes.En otro punto se determino la localización del proyecto que  será en el Parque Industrial Santiváñez.  Posteriormente se realizó un  estudio organizacional y legal en la que se definió el tipo Lineal Funcional como estructura orgánica, y como una Sociedad de Responsabilidad Limitada. Prosiguiendo con el estudio también se realizo la ingeniería del proyecto en la cual se investigaron se analizaron los procesos de carbonización y activación a utilizar en la obtención de un producto de calidad orientado al cliente, así también la tecnología requerida para dicho efecto. Posteriormente se sistematizó  la información en base a los anteriores estudios y se efectuó la evaluación financiera obteniéndose un VAN de 1.936.752,84 y una TIR de 27%, con una Inversión total de 608.002,61 $us, en consecuencia  el  proyecto  resulta  rentable de acuerdo a estos indicadores, consecutivamente en base a los indicadores de Van y TIR, tomando como variables la disminución del precio y el incremento del costo de la materia prima se realizó el análisis de sensibilidad, donde el proyecto es mas sensible a la disminución de los precios, para este estudio se considero el proyecto como una  inversión  pura.Finalmente desde el punto de vista medio ambiental el proyecto también es viable, puesto que se categoriza en la categoría 3 dentro la ley 1333, como tal no emite ningún efecto negativo importante al medio ambiente.</t>
  </si>
  <si>
    <t>https://drive.google.com/file/d/1_mG_rEI0UchqY2Lw290uwx90s0WZ_6iP/view?usp=sharing</t>
  </si>
  <si>
    <t>https://drive.google.com/file/d/1l8154rjQsmI0GKrRDTEILOBhdpywM-uv/view?usp=sharing</t>
  </si>
  <si>
    <t>https://drive.google.com/file/d/1b8WQSKlSEAI2xG4IjR_c88-lMY9fWaQm/view?usp=sharing</t>
  </si>
  <si>
    <t>SILVIA ADRIANA GUTIERREZ PIÉROLA</t>
  </si>
  <si>
    <t>ROXANA VEGA SUÁREZ</t>
  </si>
  <si>
    <t>PLANIFICACIÓN ESTRATÉGICA PARA LA CURTIEMBRE TAURO LTDA</t>
  </si>
  <si>
    <t>achiscita@hotmail.com</t>
  </si>
  <si>
    <t>IND-438-2011</t>
  </si>
  <si>
    <t>Curtiembre TAURO LTDA., Planificación Estratégica, Estrategia</t>
  </si>
  <si>
    <t>Debido a que en la actualidad la curtiembre Tauro carece de objetivos y metas mensurables adecuadamente, se pudo concluir que la empresa practica una planificación inactiva. Surgiendo de esta manera la necesidad de elaborar una planificación estratégica para la empresa, que permita el logro de objetivos a largo plazo, cuya ejecución encamine a la curtiembre hacia su sostenibilidad a corto y largo plazo, mediante el uso de indicadores financieros y no financieros.Para la detección del problema central se realizó un diagnóstico inicial para conocer la situación actual de la empresa, mediante entrevistas con responsables de cada área; detectándose falencias en el funcionamiento de sus procesos internos, falta de comunicación entre los diferentes niveles jerárquicos del proceso productivo y administrativo en temas de interés mutuo. Generando desinformación sobre aspectos que involucran intereses comunes, acumulación de tareas y decisiones centralizadas.En lo que respecta al marco estratégico de la curtiembre, se detectó que la misma carecía de principios estratégicos como ser: misión y visión correctamente elaborados, los cuales fueron evaluados para posteriormente ser reformulados en base a objetivos de la empresa, a la vez se elaboraron estrategias básicas, políticas y valores que permitan definir el rumbo de la curtiembre y que involucren a todos los miembros de la empresa.Se realizó una propuesta de mejora para cada área, en base a un enfoque sistémico, clasificando a cada área en procesos estratégicos, de valor y de apoyo, a la vez se elaboraron indicadores financieros y no financieros, que permitan medir el desempeño de cada proceso, monitoreando de esta manera el grado de cumplimento de los objetivos dados.Para la formulación de estrategias, se tomaron en cuenta factores internos (fortalezas y debilidades) como externos (oportunidades y amenazas), así como la elaboración de: matriz del perfil competitivo (MPC), matriz FODA, análisis de Porter, matriz cuantitativa de planes estratégicos (MCPE). Estas herramientas y la combinación de las mismas dieron lugar a la elaboración de cinco estrategias que fueron tomadas en cuenta de acuerdo al grado de contribución para la empresa. Con las estrategias obtenidas se realizó el despliegue estratégico, mediante la evaluación y combinación de las mismas, dando lugar a tres planes estratégicos con un horizonte temporal a cuatro años que contribuyen al logro de objetivos a largo plazo; contemplando el mercado interno, mercado externo y sobre todo un plan que permitió dar un mayor valor al capital humano  dentro de la curtiembre. Cada uno de estos planes fueron desplegados en planes operativos a cumplirse anualmente, todos ellos con sus respectivas fechas de inicio – fin, responsables y presupuestos de gastos e inversión. Para poder tener un mayor control de los planes operativos también se diseñaron indicadores, que con el tiempo permitirán medir el grado de cumplimiento de los mismos.Posteriormente se realizó la proyección financiera del estado de resultados y del flujo de fondos, donde se plantearon cuatro indicadores de atractividad del plan: Indicador relación inversión - utilidad, Indicador rentabilidad, Indicador relación costo del plan estratégico - costos directos y ROE, donde se muestran el resultado de cada uno de ellos. Estos indicadores fueron elaborados de acuerdo a la realidad y necesidades de la curtiembre.Con la implementación del proyecto, los volúmenes de producción incrementarán, alcanzando buenos niveles de venta y rentabilidad de la misma, buscando de esta manera alcanzar los objetivos propuestos para este plan.Para controlar el progreso de los planes propuestos, se sugirió analizar continuamente la evolución de las ventas, para la implementación de los planes se recomendó analizar la capacidad de producción para determinar si existe un cambio y es necesario modificar los planes.Finalmente se recomendó que se deba revisar periódicamente los diversos planes estratégicos, debido a que el entorno en el que se desarrolla la curtiembre cambia continuamente; será necesario modificar y adaptar estos planes para que se acomoden a las necesidades futuras de la curtiembre.</t>
  </si>
  <si>
    <t>https://drive.google.com/file/d/1jAw1X4yieSanukAlyBLtNNb2El2gdosR/view?usp=sharing</t>
  </si>
  <si>
    <t>https://drive.google.com/file/d/1Ffw2Arm0Z4FvRdP8I1ml3m81LtToTwrb/view?usp=sharing</t>
  </si>
  <si>
    <t>https://drive.google.com/file/d/1avlDhS0eE5-A3-TezUHOJePVZgrVjFZ6/view?usp=sharing</t>
  </si>
  <si>
    <t>GUSTAVO ADOLFO CARDOZO AGUILAR</t>
  </si>
  <si>
    <t>DR. OSVALDO WALTER GUTIÉRREZ ANDRADE</t>
  </si>
  <si>
    <t>PLAN ESTRATÉGICO DE MARKETING PARA LA INTRODUCCIÓN DE LA LÍNEA UHT DE LA EMPRESA ILVA (CISC LTDA.) EN EL MERCADO DE COCHABAMBA.</t>
  </si>
  <si>
    <t>cardozo_82@hotmail.com</t>
  </si>
  <si>
    <t>IND-439-2011</t>
  </si>
  <si>
    <t>Industrial Lácteas del Valle Alto (ILVA CISC LTDA.), Marketing Mix, UHT, Investigación de mercados, Marketing estratégico.</t>
  </si>
  <si>
    <t>El proyecto realizado se baso en la metodología propuesta por el autor Lambin Jean Jacques en su libro Marketing Estratégico.Se realizó primeramente la identificación del problema mediante el árbol de problemas, luego se determinó los objetivos del proyecto, la justificación del mismo y la metodología a seguir que fue adecuada del libro mencionado.En cuanto al desarrollo del proyecto se efectuó una descripción general de la empresa, empezando mediante una descripción de aspectos internos de la empresa con el fin de identificar sus Fortalezas y Debilidades, posteriormente se realizó una descripción de aspectos externos a la empresa que pueden llegar a influir en la misma y así se pudo identificar las Amenazas y Oportunidades del medio externo.Luego se realizó la investigación de mercados con el objetivo de conocer las diferentes características que presenta el mercado, del estudio realizado se obtuvo datos como el perfil del consumidor, sus hábitos y costumbres hacia productos lácteos y la demanda estimada.Una vez conocido los resultados del Estudio de Mercado y del Análisis Interno y Externo de la empresa, se utilizó los mismos como insumo en la adecuación de la información donde se cuantificó los aspectos internos como externos en la matriz EFI y la matriz EFE respectivamente, también se utilizó el análisis de Porter como herramienta de identificación de influencias del medio externo, a su vez se realizó la Matriz de Perfil Competitivo que nos ayudo a identificar que la empresa PIL es la más competitiva del mercado.  Después se efectuó un análisis del marketing mix donde se evaluaron las variables: producto, precio, plaza y promoción; para los productos que la empresa ILVA lanzará al mercado de Cochabamba, que son la leche natural UHT, chicolin y frutikid.Posteriormente  se procedió a realizar la evaluación y propuesta de la Misión y Visión de la Empresa, para luego formular los objetivos estratégicos de marketing (posicionamiento y cuota de mercado) y los objetivos operativos del marketing mix (producto, precio, promoción y plaza), con sus respectivas estrategias, planes y líneas de acción y un cronograma de actividades que se debe seguir.Finalmente se desarrolló el análisis financiero para tomar una decisión sobre la viabilidad o no del proyecto. Se realizó un estado de resultados y un flujo de fondos para poder calcular el VAN, la TIR y la Relación Beneficio Costo del proyecto.</t>
  </si>
  <si>
    <t>https://drive.google.com/file/d/1acLrc9KAMiCJorbIIxm57kI8BC-KVekn/view?usp=sharing</t>
  </si>
  <si>
    <t>https://drive.google.com/file/d/1bTe3EuWdRdESw62ZFtoEQcC3uKenFGs0/view?usp=sharing</t>
  </si>
  <si>
    <t>https://drive.google.com/file/d/1RKWD3Deski6u7wMpuu5bpCdoqJP_9l0P/view?usp=sharing</t>
  </si>
  <si>
    <t>FREDDY MARCELO AGUILAR GUZMÁN</t>
  </si>
  <si>
    <t>NELSON BARRERA VEIZAGA</t>
  </si>
  <si>
    <t>ING. DANTE ALVARO GONZALES OLMOS</t>
  </si>
  <si>
    <t>PLAN DE MEJORAMIENTO EN LAS ÁREAS DE PRODUCCIÓN Y COMERCIALIZACIÓN CON UN ENFOQUE ESTRATÉGICO PARA LA EMPRESA QUALITECH SRL.</t>
  </si>
  <si>
    <t>chelo1110@hotmail.com</t>
  </si>
  <si>
    <t>IND-440-2011</t>
  </si>
  <si>
    <t>Fabrica Sopladora de Botellas con Preforma PET, Plan Maestro de Producción, Sistema de Control (diseño de indicadores)</t>
  </si>
  <si>
    <t>La empresa QUALYTECH SRL ve por conveniente realizar un plan de mejoramiento con fines estratégicos, que vincule principalmente a la producción y comercialización, debido a los constantes reclamos de los clientes y la inexistencia de un departamento de comercialización.En este proyecto se hizo mucho énfasis en las visitas continuas a la fabrica, entrevistas a los trabajadores, supervisores de producción y al gerente general, ya que esto logra una visión más completa e integral y así obtener un mejor diseño de planes de mejoramiento, consiguiendo que todo el personal se identifique con los problemas y sus soluciones, estimulando de esta manera al compromiso.Se empezó realizando una descripción general de la empresa para tener una clara información de la situación actual de la empresa, con la información recabada se procedió a realizar un diagnostico interno y externo de la empresa, con el fin de establecer, evaluar y seleccionar las mejores estrategias de mejoramiento.Con los planes de mejora propuestos la empresa contará con documentos de información que contemple los procesos, operaciones, movimientos y controles que permitan alcanzar objetivos claros y coherentes con las estrategias.Para tener un control y un seguimiento de los planes de mejora se realizará un sistema de control mediante el diseño de indicadores que ayuden a medir, evaluar y estimar las mejoras propuestas.Con la elaboración del plan de mejoras se pretende introducir una cultura de cambio, estableciendo  una estrategia de trabajo, orientada al mejoramiento continuo.</t>
  </si>
  <si>
    <t>https://drive.google.com/file/d/1szQrbdwrUqOcfL8Qka86CcHAKgZ0LO1b/view?usp=sharing</t>
  </si>
  <si>
    <t>https://drive.google.com/file/d/1y9YmLlDDtY-gk_W6jDuovtYsZ5Dcns3x/view?usp=sharing</t>
  </si>
  <si>
    <t>https://drive.google.com/file/d/166O0i0aMISp__YVjqVei6ZG5nIVBG5Zp/view?usp=sharing</t>
  </si>
  <si>
    <t>EVELIN LUCIA BECERRA MENECES</t>
  </si>
  <si>
    <t>REORGANIZACIÓN E INGENIERÍA DE MÉTODOS EN LA INDUSTRIA ÁNGEL CONFECCIONES</t>
  </si>
  <si>
    <t>evelin-lbm@hotmail.com</t>
  </si>
  <si>
    <t>IND-441-2011</t>
  </si>
  <si>
    <t>Industria Ángel Confecciones, Reorganización, Estudio de Métodos, Punto de Equilibrio, Indicadores de Desempeño, Costos de Producción.</t>
  </si>
  <si>
    <t>En el área de Producción de la Empresa “Ángel Confecciones”, se ha visto por conveniente realizar un estudio de reorganización aplicando la Ingeniería de Métodos, debido a los permanentes problemas de organización, las cuales ha estado perjudicando la producción de la empresa.Primeramente se hizo una descripción y diagnóstico de la situación actual externa como interna de la empresa con el empleo de las matrices EFI y EFE; aplicando también el árbol de problemas para la identificación del problema central; por otra parte se recabo la información disponible acerca de las actividades del proceso productivo. Posteriormente se hizo el Estudio de Tiempos y Movimientos, estableciendo los factores de nivelación y tolerancias de acuerdo a las distintas situaciones, con las cuales se estableció el tiempo estándar de cada actividad; determinando la eficiencia de la línea de producción. Con el Estudio de Métodos a través de herramientas como son los: Diagramas de Recorrido, Disposición de Planta, Cursogramas Sinópticos y Cursogramas Analíticos; se hizo un análisis de todas las operaciones del proceso identificando cuellos de botellas, exceso de movimientos y luego de un análisis crítico de todos los datos recabados se procedió a la eliminación de operaciones y recorridos innecesarios, logrando así una mejora en el proceso de producción con el rediseño del nuevo lay-out de la planta.Después se realizo la evaluación del desempeño de los recursos humanos mediante entrevistas, observación y análisis, en función a indicadores establecidos (Satisfacción laboral, puntualidad, recursos y condiciones de trabajo), determinando la aplicación de un control del proceso con el fin de controlar, planificar y mejorar los resultados obtenidos. Y finalmente se hizo un análisis de Costo y Beneficio, calculando los Costos Unitarios de Producción de los productos en estudio, luego se compararon y se observo una reducción de 10,08 Bs/docena del costos unitario del brazier  y 12,84 Bs/docena del bóxer. Además de calcular el Punto de Equilibrio generando utilidad en función a los volúmenes de producción propuestos.Del estudio económico realizado (inversión fija, variada, ingreso, etc.), se llegó a la conclusión que el proyecto es: 1) Rentable por cuanto los valores del VAN (230.272 $us) y del TIR (23.1 %) garantizan la recuperación del capital invertido y ganancias adiciónales durante la vida del proyecto; 2) Es viable la implementación de la red de CATV en la localidad  de Sacaba ya que es un mercado potencial  según se demuestra en las diferentes etapas del proyecto y  tiene una infraestructura civil y técnica que tiene condiciones internacionales. 3) El diseño final  cumple con los parámetros establecidos por la FCC y fabricantes, para la transmisión de datos.</t>
  </si>
  <si>
    <t>https://drive.google.com/file/d/1ir96RxesnG51yIR28zgaOGArLuXEQ-Rh/view?usp=sharing</t>
  </si>
  <si>
    <t>https://drive.google.com/file/d/1lBcU2pRWQjFO2BHVr-Vpn1md4Kybrf4f/view?usp=sharing</t>
  </si>
  <si>
    <t>https://drive.google.com/file/d/16xsdcpfOaxYsN5xncjXI3_X4rHgdRJ0K/view?usp=sharing</t>
  </si>
  <si>
    <t>AIDA NATALY MURGUIA REVOLLO</t>
  </si>
  <si>
    <t>ESTUDIO DE FACTIBILIDAD PARA LA IMPLEMENTACIÓN DE UNA MARROQUINERÍA CON LA UTILIZACIÓN DE MATERIA PRIMA CUERINA</t>
  </si>
  <si>
    <t>anmurguia@gmail.com</t>
  </si>
  <si>
    <t>IND-442-2011</t>
  </si>
  <si>
    <t>Estudio de Factibilidad, Productividad, Marketing, Análisis Financiero, Estudio de Impacto Ambiental (RASIM)</t>
  </si>
  <si>
    <t>Hoy en día la moda es un mundo en permanente movimiento, una industria en donde se han ido desarrollando accesorios que han pasado a ser un complemento básico dentro de la misma; así es el caso de las carteras o bolsos, que se han ido convirtiendo en un artículo de uso tan personal y una forma de prolongación de la personalidad del cliente; es con esta idea y a partir de la respuesta positiva que recibe la misma en la Universidad Mayor de San Simón como surge la oportunidad del proyecto.La marroquinería que se pretende implementar en Cochabamba, será un establecimiento que se dedicará a la producción de carteras y bolsos hechos con materia prima cuerina, dirigido al sector femenino de clase media y alta de la Ciudad de Cochabamba; cuyo propósito será de ofertar una cartera diferente y a la vez práctica, sin descuidar las tendencias actuales del mercado.El desarrollo del presente estudio de factibilidad para la creación de una marroquinería con la utilización de materia prima cuerina, consta de diez capítulos en los cuales se probó su rentabilidad y viabilidad.En la introducción se expusieron todos los detalles respecto al planteamiento del tema, lo que permitió establecer como objetivo fundamental el comprobar la viabilidad técnica, organizacional, comercial, legal y financiera de la creación de la empresa. En el capítulo I se presento los antecedentes y generalidades que presenta el proyecto, en donde se abordo en detalles del producto, con el fin de crear un mayor conocimiento del tema, y se ampliaron los conceptos de las diferentes partes que compone el estudio de factibilidad.En el estudio de mercado, se pudo determinar que existe un 89% de aceptación del producto en el mercado objetivo; mediante la correspondiente investigación de mercado se determinó también que existen tres grupos potenciales de clientes, en base a su conducta de compra, los clientes de la zona Norte, de la zona Sud y de la zona Central. Se estableció que el producto se dirigirá al sector femenino comprendido entre 15 y 60 años.A través del estudio de la demanda y la oferta, se evidenció el alto requerimiento existente de carteras o bolsos, y la poca oferta de producción nacional de primera calidad, lo que se tradujo como una ventaja para la marroquinería, la misma que se estima el primer año en una producción de 7914 carteras.En el Estudio Técnico, se muestra que la mejor ubicación para la implementación de una marroquinería es el sector Norte de Cercado Cochabamba, exactamente en la Av. Tadeo Ahenke, debido a que según los factores tomados en el estudio, este nos brinda una mayor viabilidad comercial como también la existencia de un ambiente adecuado para el funcionamiento adecuado de la marroquinería.En el estudio legal y organizacional, se estableció que el tipo de estructura organizacional con el que trabajará la marroquinería será funcional, debido a que la empresa es pequeña y es el mejor modelo que se adapta a las características del proyecto. En cuanto a la estructura legal se adoptó que el tipo de empresa será Unipersonal, debido a las ventajas que presentan la creación y adopción de una figura legal como esta, además se detallaron todos los requerimientos y procedimientos de funcionamiento, y los requisitos referentes a la naturaleza del proyecto como el registro de signos distintivos y de patentes de diseños industriales en FUNDEMPRESA.En el estudio financiero, se especificó que el monto de inversión inicial será de 105381Bs., dicho monto será por aporte propio. A través del análisis de los indicadores financieros proyectados a 4 años, se obtuvo un VAN de Bs. 178.960,4 con una TIR de 35,16% y una RBC 1,18; cuyos indicadores muestran una situación favorable para el proyecto.En el estudio de impacto ambiental se obtuvo como resultado que no existe ningún tipo de impacto ambiental por parte de la marroquinería.Los resultados obtenidos a través del desarrollo de cada uno de los capítulos, demostraron que el proyecto de estudio de factibilidad para la implementación de una marroquinería con la utilización de materia prima cuerina, es perfectamente factible por lo que se recomienda su ejecución.</t>
  </si>
  <si>
    <t>https://drive.google.com/file/d/1eiRG8AjvxyxEU7xmP8EIAsmLURoNJmlW/view?usp=sharing</t>
  </si>
  <si>
    <t>https://drive.google.com/file/d/1YFcpuQUHtoyT9XGEjTZptQrUP9nigVTn/view?usp=sharing</t>
  </si>
  <si>
    <t>https://drive.google.com/file/d/1wghaaSOSsz8s0SFx10W4BgAyAnP7RuHj/view?usp=sharing</t>
  </si>
  <si>
    <t>PATRICIA HERBAS MOYA</t>
  </si>
  <si>
    <t>ALEXANDER VENTURA RIVA</t>
  </si>
  <si>
    <t>DESARROLLO DE UN PLAN ESTRATÉGICO DE MARKETING PARA LA EMPRESA MUEBLES SEÑOR DE SANTIAGO.</t>
  </si>
  <si>
    <t>patriciaherbasmoy@gmail.com</t>
  </si>
  <si>
    <t>IND-443-2011</t>
  </si>
  <si>
    <t>Muebles Señor Santiago (MSS), Planificación Estratégica de Marketing (PEM), Matriz Cuantitativa de la Planificación Estratégica (MCPE)</t>
  </si>
  <si>
    <t>Se ha realizado una planificación estratégica de marketing para la empresa Muebles Señor de Santiago, ya que esta no dedica actividades de marketing para desarrollar adecuadamente sus actividades comerciales.Para este fin se ha seguido un proceso lógico de acciones. En primer lugar, se ha analizado la situación actual de la empresa, investigando la estructura organizativa, el capital humano, los recursos tecnológicos, los principios estratégicos y el Marketing Mix, dando lugar a la identificación de sus fortalezas y debilidades.Luego se ha realizado una auditoria de los factores del entorno, para conocer cuáles son los principales factores exógenos a la empresa y que van a condicionar su comportamiento, representando posibles problemas u oportunidades futuras. Para el desarrollo de esta auditoría se han distinguido dos categorías: macro entorno y micro entorno. Para este último se ha visto realizado una investigación de mercado para los clientes.Con el apoyo de diferentes técnicas se ha resumido y analizado la información obtenida generándose estrategias viables, de las cuales la que mejor se ha adecuado a la situación de Muebles Señor de Santiago, es Penetración en el mercado.Posteriormente, se ha elaborado el direccionamiento estratégico, el plan estratégico en base a objetivos de posicionamiento y cuota de mercado, y el plan operativo, considerando las cuatro variables del Marketing Mix: producto precio, plaza y promoción,  planteando, objetivos, estrategias, planes y líneas de acción a seguir. Las líneas de acción más importantes son las concernientes a la variable promoción, sin que ello signifique que el desarrollo de las demás líneas de acción sea descuidado.Por último, se ha realizado un análisis financiero para ordenar y sistematizar la información monetaria obtenida a lo largo del proceso y concluir que la empresa es rentable con la implantación del proyecto.</t>
  </si>
  <si>
    <t>https://drive.google.com/file/d/1WhA4bLYELYlE3Gu8DqYLUez4GHAtQVkR/view?usp=sharing</t>
  </si>
  <si>
    <t>https://drive.google.com/file/d/1Bl2XkWSJ1G8IMWD2NlW7P7V2wAgWENtG/view?usp=sharing</t>
  </si>
  <si>
    <t>https://drive.google.com/file/d/1B8p-mNFyRhFFOhgmszz34J-yTqT2KooJ/view?usp=sharing</t>
  </si>
  <si>
    <t>RAMIRO VILLARROEL SOTO</t>
  </si>
  <si>
    <t>MODELO DE  RECOLECCIÓN TRANSPORTE Y DISPOSICIÓN FINAL DE LOS RESIDUOS SÓLIDOS EN EL CENTRO POBLADO DEL MUNICIPIO DE OMEREQUE.</t>
  </si>
  <si>
    <t>aiquile29@hotmail.com</t>
  </si>
  <si>
    <t>IND-444-2011</t>
  </si>
  <si>
    <t>Residuos Sólidos, Contaminación, Relleno, Composición, Producción            perca pita, inversión.</t>
  </si>
  <si>
    <t>En Cochabamba y sobre todo en los municipios la generación de residuos sólidos ha tenido un crecimiento importante, estos residuos son depositados en la mayoría de los casos en botaderos que constituyen un problema ambiental. Ante este crecimiento y ante el deficiente manejo de residuos, este estudio propuso como objetivo general: Elaborar un plan de manejo de los residuos sólidos para el centro poblado de Omereque planteando un sistema de recolección, transporte y ubicación de un área para la disposición final de los mismos, brindando la mayor cobertura, para la disminución y prevención de daños a la salud humana, los recursos naturales y el medio ambiente.Inicialmente se realizo un diagnostico del municipio y del manejo actual de residuos sólidos, que permitió identificar los principales elementos del manejo de residuos sólidos. Para alcanzar los objetivos trazados, se realizo una caracterización para determinar la Producción Per Cápita promedio del Municipio (0.474 Kg./ham/día), así mismo se estimo la composición de los residuos sólidos del Municipio.En el Proyecto se propone alternativas para el correcto manejo de residuos en origen, formas de recolección el modelo que se aplicara en la recolección y tratamiento de los residuos restantes, asimismo está la ubicación de contenedores equipos horarios frecuencia de recolección y personal con una visión de corrección en el tiempo y según la demanda. Adicionalmente, el Proyecto  contempla la evaluación del lugar donde se ubica el vertedero Una vez planteado el modelo para el manejo de residuos sólidos, se realizó el análisis económico obteniendo los siguientes resultados: VAN de  12,07 % y un TIR de 11,632 %. Así mismo se llevo a cabo el cálculo del monto que la población pagará por la prestación de dicho servicio.</t>
  </si>
  <si>
    <t>https://drive.google.com/file/d/1-e_Lj1Glv-ZRNWcie_VcSC7KWwuOU48S/view?usp=sharing</t>
  </si>
  <si>
    <t>https://drive.google.com/file/d/15o6CuYR4DsZ3i3ykGmNjWJpT_mCo962t/view?usp=sharing</t>
  </si>
  <si>
    <t>https://drive.google.com/file/d/14waI7tezvnB2Kkj0RbNwVEfOklMC1Ess/view?usp=sharing</t>
  </si>
  <si>
    <t>MARIA NEYDA ORELLANA ORELLANA</t>
  </si>
  <si>
    <t>DISEÑO DE UN SISTEMA APPCC PARA LA PLANTA DE JUGOS DE FRUTAS DE LA EMPRESA “VIGOR”</t>
  </si>
  <si>
    <t>IND-444-2011-1</t>
  </si>
  <si>
    <t>Análisis de Puntos Críticos de Control (APPCC), Buenas Prácticas de manufactura (BPM), Buenas prácticas de Higiene (BPH), Procedimientos Operacionales de Sanitización (POES), 7 principios, Codex Alimentarius.</t>
  </si>
  <si>
    <t>En el siguiente Proyecto  se  desarrolla el diseño de un Sistema de Análisis  de Peligros y Puntos Críticos de Control (APPCC) para una planta de Jugos De Frutas de la Empresa Vigor.Primero se efectuó un estudio general de la planta, respecto a lo pre-requisitos determinando sus falencias en sus procesos productivos, sobre temas relacionados a las Buenas Prácticas de Manufactura (BPM), Buenas prácticas de higiene (BPH), y Procedimientos Operacionales  Estandarizados y de Saneamiento  (POES).Después de realizar el diagnóstico de la planta de jugos de frutas se hizo una serie de recomendaciones para la posterior implementación de las Buenas Prácticas de Manufactura respecto a los 10 aspectos principales, tanto para el sistema APPCC.El presente trabajo dará información  general sobre los pasos preliminares, y los 7 principios del  Sistema APPCC, los peligros en la seguridad  alimentaria y los criterios microbiológicos que deben tomarse en cuenta para la inocuidad de los alimentos que serán consumidos por las personas.También   se explica cómo se  desarrolló el plan  APPCC para la Planta de jugos de Frutas, detallando el análisis de riesgo realizado, los puntos críticos  de control  que se identificaron, el sistema de monitoreo y control, las acciones correctivas que se implantarán en caso de salirse un punto crítico fuera de control, así como también los procedimientos de verificación y  el sistema de registro. Finalmente  se detalla cómo mantener y verificar el plan APPCC  una vez  que este ha sido implantado.Desarrollando de esta manera manuales para la correcta implementación y ejecución de los mismos, además se desarrollaron fichas de descripción para los distintos tipos de jugos, instructivos de trabajo y el Plan APPCC para el cumplimiento de los mismos.</t>
  </si>
  <si>
    <t>https://drive.google.com/file/d/1-DUd09_B__jmBsn3s35glaDEQVVdHx_c/view?usp=sharing</t>
  </si>
  <si>
    <t>https://drive.google.com/file/d/1TIUvTcCZeYwCDq1XoyU5gbs5DGhp_YUm/view?usp=sharing</t>
  </si>
  <si>
    <t>DARWIN OMAR AJATA MALDONADO</t>
  </si>
  <si>
    <t>ESTUDIO DE PREFACTIBILIDAD PARA LA INSTALACIÓN DE UNA PLANTA PILOTO PROCESADORA DE ALIMENTOS EN POLVO.</t>
  </si>
  <si>
    <t>darkman-698@hotmail.com</t>
  </si>
  <si>
    <t>IND-445-2011</t>
  </si>
  <si>
    <t>Manihot esculenta Crantz, Musa Paradisiaca, Planta Piloto, Estudio de Prefactibilidad, Rentabilidad, Alimento En Polvo, Proyecto.</t>
  </si>
  <si>
    <t>La Carrera de Ingeniería Industrial de la UMSS, esta ejecutando proyectos; de la instalación de Plantas Piloto, dirigidas a fortalecer los conocimientos teóricos de los estudiantes con la practica en planta.Se tiene previsto que la planta podría ser financiada con recursos provenientes del IDH y en su fase operativa la Planta Piloto será auto sostenible, para la continuidad de su funcionamiento.La Planta Piloto elaborara harina de plátano y harina de yuca; las cuales sirven para la elaboración de panes, galletas y postres. Por lo que el estudio de mercado en el presente trabajo revelo que existe una gran probabilidad de aceptación por el sector panadero y repostero por el uso de las mismas, las cuales proporcionan un mayor valor nutricional y mejor aspecto a estos productos.Posteriormente se analizo la disponibilidad de la materia prima, insumos y materiales auxiliares requeridos por el proyecto, así como también los proveedores y el precio de cada uno de los materiales que se necesita para la producción de las harinas ya mencionadas.Así mismo se realizo el estudio técnico para la producción de harina de plátano y la harina de yuca; donde se determino que para tiras de plátano y yuca de 0.2 cm de espesor por 2.0 cm de ancho por 3.0 cm de largo, la temperatura apropiada para el secado es de 50°C, con una velocidad de viento de 7.62 m/s, humedad relativa de 13%, con un tiempo promedio de 180 min. En cuanto a la ubicación de la planta se vio por conveniente que esta sea instalada en la Facultad de Ciencias y Tecnología, estando al alcance de los estudiantes para realizar sus prácticas y actividades académicas practicas.En cuanto a la estructura organizacional de la planta se propone adoptar la organización matricial. Seguidamente se realizo la evaluación financiera para determinar la rentabilidad del Proyecto en base a indicadores como el VAN, TIR y RBC. Y por ultimo se concluye que debe llevarse adelante la instalación de la Planta Piloto de Alimentos en Polvo, por que permite fortalecer el proceso de enseñanza-aprendizaje de los estudiantes de la carrera de ingeniería industrial, la misma que podría alcanzar una mínima rentabilidad que servirá para garantizar la continuidad del funcionamiento de la misma.</t>
  </si>
  <si>
    <t>https://drive.google.com/file/d/1wNy4Sjnq2LD23PGEyyCLIxK1zBSDucAT/view?usp=sharing</t>
  </si>
  <si>
    <t>https://drive.google.com/file/d/1inz9zyI1Z7l3rYx82zqEddioWHFeSSqD/view?usp=sharing</t>
  </si>
  <si>
    <t>https://drive.google.com/file/d/1pLuRzQW0chP26IMkS-MeldHe5hb-xTyT/view?usp=sharing</t>
  </si>
  <si>
    <t>MOISÉS NAUM MANUEL NINA</t>
  </si>
  <si>
    <t>PLAN DE SEGURIDAD E HIGIENE INDUSTRIAL PARA LA FABRICA DE PLÁSTICOS F+E LTDA.</t>
  </si>
  <si>
    <t>jonny768@hotmail.com</t>
  </si>
  <si>
    <t>IND-446-2011</t>
  </si>
  <si>
    <t>Extrusión, Polietileno de Alta Densidad, Baja Densidad, Polipropileno, Método Willian Fine, Marco Estratégico, Líneas de Acción, Ley General de Higiene Seguridad Ocupacional y Bienestar, Ley General del Trabajo, Programas de Capacitación y Adiestramiento.</t>
  </si>
  <si>
    <t>Al igual que muchas empresas industriales Plásticos F+E Ltda., ha lamentado en varias de sus secciones de trabajo accidentes no críticos como cortaduras superficiales de los dedos y muy críticos como perdida de dedos entre otros.El desconocimiento a las normas de seguridad exigidas por ley, exigió la necesidad de implementar un plan de seguridad e higiene industrial para toda la empresa que pueda detectar prevenir, reducir y eliminar riesgos, accidentes y enfermedades laborales.El estudio realizado tuvo una metodología desglosado en un Diagnostico hacia la empresa (Evaluación de riesgos, mapa de riesgos, encuestas, apego al D.L  L.G.H.S.O.B), un Marco estratégico (misión, visión, políticas de  seguridad), líneas de acción (registro estadísticos de accidentes, personal capacitado en casos de emergencias contra incendios, primeros auxilios, plan de mantenimiento preventivo, dotación de los equipos de protección personal a cada sección, orden y limpieza).Basado al Titulo V capitulo l articulo 62 de la Ley General del Trabajo se creó un reglamento general de seguridad e higiene industrial para toda la empresa, además se elaboro un manual de funciones para cada sección con medidas netamente preventivas con el fin de hacer de F+E Ltda., un lugar seguro para trabajar.Si bien el 48.51% son riesgos físicos (dolor de oído) de un total de 52 riesgos identificados se propuso la adquisición de orejeras copa 1435 de material hipoalergenicos para la sección de sierra y molino bajando el ruido de 100.9 a 75 dB.La evaluación del plan se desarrollo utilizando el indicador de eficiencia ES=(TRC/TRC)*100 que refleja la proporción de riesgos controlados del total de riesgos existentes.Se recomienda la utilización de materia prima virgen Biodegradable en polietileno de alta densidad, baja densidad, polipropileno y aditivos (pigmentos aromáticos), que ayuden a bajar los niveles de contaminación del medio ambiente (presencia de vapores y ácidos carbónicos), en beneficio de los trabajadores y su entorno.</t>
  </si>
  <si>
    <t>https://drive.google.com/file/d/1FcInP2p7ILsbEhdphvdUmrT3RUqFTXSs/view?usp=sharing</t>
  </si>
  <si>
    <t>https://drive.google.com/file/d/1PPXyvFkiSTlpVqsSaccv-CLtpYre__As/view?usp=sharing</t>
  </si>
  <si>
    <t>https://drive.google.com/file/d/172yvb4wI4xkbA-ftct8_3XFJLDO14epd/view?usp=sharing</t>
  </si>
  <si>
    <t>GISELE MIRIAM CHOQUE QUIÑONEZ</t>
  </si>
  <si>
    <t>IMPLEMENTACIÓN DE HERRAMIENTAS DEL “SISTEMA DE PRODUCCIÓN TOYOTA” EN EL DEPARTAMENTO DE PRODUCCIÓN DE CALZADOS DE CUERO DE LA EMPRESA MANACO S.A.</t>
  </si>
  <si>
    <t>gise_m_181@hotmail.com</t>
  </si>
  <si>
    <t>IND-447-2011</t>
  </si>
  <si>
    <t>Herramientas de la Producción Toyota, Kanban, Poka Yoke.</t>
  </si>
  <si>
    <t>El objetivo general del proyecto fue la implementación de las herramientas del “Sistema de Producción Toyota”, en el departamento de producción de calzados de cuero de la empresa Manaco S.A., los objetivos específicos fueron la implementación de la herramienta Kanban (Especificaciones de Proceso), así también como la herramienta Poka Yoke en el departamento de producción de calzado de cuero.Se realizo el diagnostico de la Empresa del departamento de producción de calzado de cuero, resultado de este se pudo observar la sobreproducción variable que existe en la Empresa.Se identifico también las paradas de producción que se producen en la Empresa, observando que las principales paradas se deben por el atraso en proceso (por falta de experiencia del trabajador) 36 % y las paradas por fallas mecánicas 29%, los cuales fueron reducidas con la implementación de la herramienta Kanban.Cada proceso para ser controlado debe ser medido y para ser medido primero se debe establecer unidades de medida que permitan controlar las características o variables del proceso, así como también la forma de realizarlo, y para esto se implemento las Especificaciones de Proceso.Se implemento también tres Poka Yokes en la Empresa, estas del resultado de un estudio de fallas encontradas en producción.El primer Poka Yoke implementado fue la identificaron de las cuchillas por colores, siguiendo la norma de Codificación de colores que presenta la empresa, con el cual se realizo el pintado de las cuchillas.El segundo Poka Yoke implementado fue la identificación de las cuchillas por numero, Articulo, proyecto y Pieza correspondiente,  colocando una etiqueta identificativa.El ultimo y tercer Poka Yoke implementado fue la identificaron de las bandejas contenedoras de cuchillas,  que presentan la información general (articulo, proyecto, la cantidad de cuchillas que existe en la bandeja y el total de bandejas que existen por modelo), la descripción (donde se detalla las pieza y el numero al que corresponde) y el articulo de las cuchillas de esta manera se disminuyo el desperdicio de cuero en la Empresa.</t>
  </si>
  <si>
    <t>https://drive.google.com/file/d/1V6W1wqEEadgew3FkgcH_g-s-UiMuQEZW/view?usp=sharing</t>
  </si>
  <si>
    <t>https://drive.google.com/file/d/1sRdNwRTKeCM5sDO3cnwdQPOO7Md-N-J1/view?usp=sharing</t>
  </si>
  <si>
    <t>https://drive.google.com/file/d/1OpjLM8VziayES9njc76Cu6GZrurkhG4q/view?usp=sharing</t>
  </si>
  <si>
    <t>GABRIELA ALEJANDRA NOGALES CRESPO</t>
  </si>
  <si>
    <t>DISEÑO DE UN SISTEMA DE GESTIÓN DE CALIDAD DEL PROCESO DE LAMINACIÓN PARA LA EMPRESA COPELME S.A.</t>
  </si>
  <si>
    <t>Gabriela_nogales@hotmail.com</t>
  </si>
  <si>
    <t>IND-448-2011</t>
  </si>
  <si>
    <t>Producción papel tissue, COPELME S.A., Sistema de Gestión de calidad, Laminación, diagnostico de sistemas, Mapa estratégico, Documentación de un Sistema de Gestión de Calidad.</t>
  </si>
  <si>
    <t>La empresa COPELME S.A. es una empresa papelera dedicada a la fabricación de productos de papel tissue, es la empresa nacional con mayor experiencia en el mercado, pero, a lo largo de su historia ha experimentado problemas de calidad que derivaron en cambios de marcas y reformulaciones; a la fecha ha mejorado su calidad pero todavía existe una brecha entre sus productos y productos internacionales.La empresa tiene la intención de expandir su mercado a nivel internacional, además, cada vez incursionan en el mercado nacional nuevas marcas extranjeras, lo que provoca que  el mercado se vuelva más exigente, por lo cual, COPELME se ve en la necesidad de mejorar su calidad para asegurar así su supervivencia.EL proceso de Laminación en el cual se fabrican las bobinas de papel tissue para su posterior conversión en rollitos, ha visto conveniente mejorar la calidad de sus productos gracias a la implementación de un sistema de gestión de calidad basado en la norma ISO 9001:2008,.La empresa no cuenta con un sistema de gestión de calidad y para iniciar el proyecto es necesario realizar un diagnostico de la situación actual del sistema, la recolección de datos fue por medio de encuestas, identificando: las conformidades y no conformidades respecto a las normas ISO 9001:2008. Los resultados se interpretaron con un análisis factorial. Además es importante estudiar el ambiente en el que se desenvuelve el sistema para ello se utilizó el análisis de Porter y matriz de perfil competitivo, con estas herramientas se pudo identificar amenazas y oportunidades de nuestro producto con el mercado.Al tratarse de un sistema de un área de producción se vio necesario el plantear un marco estratégico que guiara a toda la empresa y en el cual se desarrollara el sistema este marco nos sirve para alienar las estrategias y objetivos a los de la organización para ello se plantearon: Misión, Visión, Politica Ambienta, Politica de calidad, valores, limitaciones y restricciones de la empresa. Es importante establecer el marco en el que se desenvuelve el sistema, para, alinearlo a las directrices de toda la empresa.Se realizo un análisis FODA con toda la información obtenida y se plantearon estrategias, objetivos  visto desde las cuatro perspectivas de necesidad que busca satisfacer una empresa primero, necesidades de conocimientos, segundo necesidades internas y de producción, tercero clientes y por ultimo necesidades financieras; estas necesidades están relacionadas ya que no se puede llegar a satisfacer las necesidades financieras sin antes haber aumentado la satisfacción de clientes haber mejorado proceso y y satisfecha las necesidades de conocimientos, además, se explicó la relación entre el cumplimiento de objetivos y las estrategias que se utilizaran para cumplir con estos objetivos.Een un cuadro de mando integral se definieron los objetivos estableciendo indicadores; describiendo la formula de cómo se calcularan, cada cuanto se mediran, las unidades que se utilizaran y las herramientas de análisis para su interpretación, también se determinaron metas a largo plazo y las herramientas para dar seguimiento a los objetivos.Para el cumplimiento de los objetivos se desdoblaron las estrategias en actividades para el desarrollo del plan anual y se mostro la relación que existe entre los objetivos y la política de calidad establecida para la empresa, además se especificaron: los responsables de llevarlas a cabo, los procedimientos con los cuales están relacionadas, las metas anuales y se elaboro un diagrama de Gantt.Una vez planteadas las directrices se definió el sistema identificando y clasificando todos los procesos en un mapa de procesos que asegura la mejora continua. A continuación se analizo estudiando las: entradas, salidas, objetivos, clientes, información entrante, alcance, responsables cada proceso para la elaboración de sus metodologías, procedimientos, instructivos y formularios.Además se elaboraron planes de: auditorías, capacitación, diseño y realización del producto, medición, calibración de equipos y revisión de documentación.Para determinar la conveniencia de implantar un Sistema de Gestión de Calidad se realizo un análisis costo-beneficio en el cual se aprecia que el primer año los costos de calidad reducirían un 3% por disminución en costos originados por la falta de calidad, en especial costos que de desperdicio y devoluciones, que se reducirá ejerciendo mas control en materia prima, ayudando al proveedor para mejorar su calidad y estableciendo mecanismos que ayuden a detectar inconformidades del producto lo antes posible. En conclusión la implementación de un sistema de gestión de calidad ayudara a la empresa COPELME S.A dotándola de herramientas que ayudaran a mejorar su calidad continuamente y esto además de generar costos directos, aumentara la satisfacción de los consumidores, aumentando las ventas.</t>
  </si>
  <si>
    <t>https://drive.google.com/file/d/18h8bYEkF0SptCFGkQb1bvLKPITfV4txx/view?usp=sharing</t>
  </si>
  <si>
    <t>https://drive.google.com/file/d/1a7ghzr_erLqtzBEN4DO0bLnbmxKpL4xX/view?usp=sharing</t>
  </si>
  <si>
    <t>https://drive.google.com/file/d/1IzESWV_cFooCDU9m96CMo-_CJyX3YsSH/view?usp=sharing</t>
  </si>
  <si>
    <t>ESPÍNDOLA BARRIENTOS MARÍA BELÉN</t>
  </si>
  <si>
    <t>ELABORACION DE UN MANUAL DE PROCEDIMIENTOS BASADO EN EL MODELO DE GESTION POR PROCESOS PARA LA PLANTA ENGARRAFADORA DE YPFB VALLEHERMOSO COCHABAMBA</t>
  </si>
  <si>
    <t>IND-449-2011</t>
  </si>
  <si>
    <t>Manual de Procedimientos, Planta Engarrafadora, GLP , Estandarización, Gestión por procesos, Diagramas de flujo, Procedimientos, YPFB</t>
  </si>
  <si>
    <t>https://drive.google.com/file/d/1ydu-7z2x2E0TCsnuThdSYpqosQidddEh/view?usp=sharing</t>
  </si>
  <si>
    <t>https://drive.google.com/file/d/12KxV8CWYW3bjvbrCOXweyCUqjoQIVV0S/view?usp=sharing</t>
  </si>
  <si>
    <t>https://drive.google.com/file/d/1Wz6GYracu43Cz_al45gaNu9NyNpdPIci/view?usp=sharing</t>
  </si>
  <si>
    <t>ROGER TONINO SIVILA BAPTISTA</t>
  </si>
  <si>
    <t>DISEÑO Y DESARROLLO DE UN SISTEMA DE SEGURIDAD E HIGIENE OCUPACIONAL EN LA        “METALMECÁNICA TORMEC”</t>
  </si>
  <si>
    <t>tonino_siba@hotmail.com</t>
  </si>
  <si>
    <t>IND-450-2011</t>
  </si>
  <si>
    <t>Procesar metales, Presupuesto, Mecanizado de piezas,        Identificación y Evaluación de Riesgos, Mejorar las condiciones de Trabajo, Sistema de Seguridad e Higiene Ocupacional.</t>
  </si>
  <si>
    <t>Primeramente se consultó toda la información bibliográfica en tema de Seguridad e Higiene Industrial, era necesario para obtener mayores conocimientos que son relevantes y de mucha ayuda a la hora de elaborar el proyecto, dicha información y documentación se consiguió tanto de recursos físicos como digitales especializados en el tema.Se visitó los puestos y ambientes de trabajo, gracias a esto se recolecto la información necesaria para saber como se encontraban los trabajadores en los procesos, como utilizaban las maquinaria y las herramientas de mano, también nos sirvió para saber si usan equipos de protección personal.   Se consiguió información acerca de varios aspectos en los que se apoyo la investigación en base a Planillas de Inspección dirigidas a todos los trabajadores y operadores de la planta de producción, logrando conocer detalladamente cada sector de la planta, además se reunió información del personal y sus conocimientos en materia de seguridad industrial.Luego hemos estudiado y evaluado las condiciones de trabajo, para mejorar la seguridad y disminuir la carga de trabajo físico y metal, este método de análisis de perfiles de puesto pretende facilitar la apreciación de las condiciones de trabajo, a partir de una evaluación objetiva, identificando los puestos de trabajo más problemáticos y efectuar un seguimiento de los mismos.El Plan de Seguridad e Higiene Ocupacional contemplo un conjunto de propuestas de solución a los riesgos y accidentes que están expuestos los trabajadores de la Metal Mecánica, con el propósito de brindarles un ambiente de trabajo seguro y agradable.Se construyo el Sistema de Seguridad e Higiene aplicado a las actividades que se desarrollan en la planta de producción de la empresa TORMEC, contemplando normas de seguridad industrial, todos los procedimientos en caso de accidentes, incendios, también se desarrollo un Sistema de Señalización en la planta de producción y se creo un Comité Mixto, acompañado de un Dpto. de Almacenes según la Ley General de Higiene Ocupacional (Articulo 6º dela ley 16998). También se desarrolló la propuesta para la mejora del proceso de uso de herramientas y maquinarias, detallando la forma correcta de trabajo para evitar accidentes anteriormente identificados. Posteriormente se desarrolló la propuesta de mejora de los sistemas contra incendios, equipos de protección personal, primeros auxilios, señalización de seguridad y otros factores que se consideraron importantes al implementar en la Empresa.Por ultimo se detalló los costos de implementación del sistema de seguridad en la empresa TORMEC el cual es de  Bs. 29.280 o $us 3.579. Monto con el cual se inicio las mejoras  durante el primer año en TORMEC, según el cronograma tentativo propuesto.</t>
  </si>
  <si>
    <t>https://drive.google.com/file/d/1ahwNs3OuFYIxz4qYFLzVGdi-XtF_AHn7/view?usp=sharing</t>
  </si>
  <si>
    <t>https://drive.google.com/file/d/1_x-g9CQ5ykgSwkjy5HDGwEDBKMlNpWgx/view?usp=sharing</t>
  </si>
  <si>
    <t>https://drive.google.com/file/d/1GYEXe-6wBrN3m0sw0FF0at5TJrCzF1eK/view?usp=sharing</t>
  </si>
  <si>
    <t>DANIELA MALDONADO TORRICO</t>
  </si>
  <si>
    <t>RODRIGO MIGUEL MEDRANO ROJAS</t>
  </si>
  <si>
    <t>DISEÑO DE UN SISTEMA DE GESTIÓN DE CALIDAD BASADO EN LA NORMA NB-ISO 9001:2008 PARA LA INDUSTRIA PANIFICADORA SAN ANTONIO INPASA.</t>
  </si>
  <si>
    <t>danny022001@hotmail.com</t>
  </si>
  <si>
    <t>IND-451-2011</t>
  </si>
  <si>
    <t>NB-ISO 9001:2008, DEMING, Planificación, Manual de Calidad, Calidad, Gestión, Mejora Continua.</t>
  </si>
  <si>
    <t>Actualmente en Bolivia, las empresas están optando por implantar sistemas de calidad basados en la Norma NB-ISO 9001:2008, una de esas empresas es la Panificadora INPASA, que tiene como actividad el procesamiento de alimentos de panadería. Se realizó un diagnóstico de la situación de la empresa con respecto a la Norma, con la finalidad de identificar las conformidades que se hallaban en el cumplimiento de la misma, lo cual nos permitió identificar las falencias que existían dentro de la empresa.Posteriormente se desarrollo la planificación estratégica fijando los objetivos y la política de calidad, realizando un análisis interno y externo de la organización.Se estableció el Sistema de Gestión de Calidad, identificando los procesos y la estructura documental necesaria para sustentabilidad al Sistema. Identificamos al cliente, sus necesidades y las traducimos en características de calidad, desarrollamos un plan de control para alcanzar la satisfacción del cliente a través de la mejora continua.Desarrollamos un plan de implantación para el sistema diseñado, basado en el ciclo P-H-V-A de Deming.Se calcularon y estimaron los costos controlables y costos de la no calidad, en tres escenarios distintos, para poder comparar los costos incurridos antes de la implantación, en el año de implantación y los tres años de mantenimiento.Concluyendo con las recomendaciones para que la implantación del sistema sea optima.</t>
  </si>
  <si>
    <t>https://drive.google.com/file/d/1f9LOOtSwNqQtEItZeA1BDj4buB0ZP7nr/view?usp=sharing</t>
  </si>
  <si>
    <t>https://drive.google.com/file/d/1UCQ98Gz8KmXarlERiRKX0VZQbaliKd_c/view?usp=sharing</t>
  </si>
  <si>
    <t>https://drive.google.com/file/d/10jg6UGSrYMgzT-lAkjxAadfmiWzjBoQK/view?usp=sharing</t>
  </si>
  <si>
    <t>MAURICIO TERÁN TORDOYA</t>
  </si>
  <si>
    <t>IDENTIFICACIÓN, MAPEO Y ANÁLISIS COMPETITIVO DEL CLÚSTER INFORMÁTICO EN COCHABAMBA.</t>
  </si>
  <si>
    <t>mauricio.terantordoya@gmail.com</t>
  </si>
  <si>
    <t>IND-451-2011-1</t>
  </si>
  <si>
    <t>Clúster Informático: Concentración geográfica de empresas interconectadas, proveedores especializados, empresas e industrias relacionadas e instituciones asociadas (universidades, asociaciones) en un ámbito en particular, que compiten pero también cooperan</t>
  </si>
  <si>
    <t>Se considera el fortalecimiento de la cadena productiva y/o el clúster como una política económica importante en diversos países. La cadena productiva se refiere a la relación vertical de empresas, el clúster se refiere a las relaciones verticales y horizontales. No obstante, en la práctica, los dos pueden ser casi iguales, ya que puede distinguir bien la relación horizontal y vertical.El Objeto de Estudio está enfocado geográficamente en la ciudad de Cercado dentro del Departamento de Cochabamba. En el ámbito empresarial se estudió el sector informático. La metodología y las herramientas utilizadas fueron las siguientes:1. Identificación.- Se usó el CAEB-2005 para la clasificación industrial del clúster.2. Recopilación de información.- donde se usaron herramientas como ser la revisión documental y encuesta empresarial a 31 empresas de software cochabambinas. 3. Análisis Competitivo.- Por medio del Diamante de Porter donde se hizo el cálculo del Índice Global de Competitividad que eta basado en la calificación del Nivel competitivo en  5 elementos que se subdividen en 16 factores y estos a la vez en 49 sub-factores. 4. Selección de Estrategias de Solución.- Por medio del Análisis FODA se determinan las estrategias solución a los puntos críticos del sector.El objetivo principal de proyecto es la Identificación, mapeo y análisis del clúster informático de Cochabamba. Donde se ejecutaron los siguientes objetivos:1. Efectuar una identificación de los distintos actores del clúster informático local por medio de un clasificador predefinido.- El sector informático tiene una gran variedad de productos y servicios. Se definió una clasificación específicamente para el sector, esta es una combinación de el CAEB (Clasificación de Actividades Económicas de Bolivia) en su versión 2005. Esto servirá para identificar a los actores que componen todo el clúster informático.2. Realizar un mapeo o descripción de los factores determinantes del clúster informático local. Previamente se realiza un análisis general del contexto informático Mundial, de Bangalore de la India y de Bolivia.  Identificados los actores se realizó la descripción de cada uno de las características de todo el clúster cochabambino por medio de gráficas y tablas. 3. Determinar el Índice Global de competitividad del clúster informático por medio del Diamante de Porter. Se realizó un análisis comparativo entre el clúster informático de Cochabamba con el de Bangalore (India), para determinar el nivel competitivo de cada uno por medio del Diamante de Porter que consta de los siguientes factores: a.      Recursos.- Se analizaron los recursos humanos, de capital, infraestructura tangible e intangible.b.     Demanda.- Centrado en el tamaño del mercado y el comportamiento de sus clientes o usuarios.c.      Proveedores y Empresas Complementarias.- Se analizaron los proveedores de equipos en general y de telecomunicaciones para las empresas de software, también a las empresas complementarias como las que ofrecen un servicio o productos similares a las empresas de software.d.     Rivalidad y Cooperación.- Se estudió el núcleo del clúster que son las empresas que tienen como principal actividad el desarrollo de software. Se analizó el nivel de competitividad y su grado de cooperación mutuo.e.      Gobierno y otros.- Donde se determinó el grado de involucramiento y apoyo del gobierno al sector.4. Adaptar un análisis de sensibilidad para identificar los puntos críticos y problemas prioritarios que limitan la competitividad. Cada uno de los sub-factores tienen un grado de incidencia en la competitividad, por esta razón este análisis de sensibilidad determina que factores son mas influencia en el Índice Global de Competitividad.5. Proponer posibles líneas de acción para superar o reducir los problemas  detectados en base al enfoque de clúster. Determinadas las estrategias se realizan planes estratégicos con sus líneas  de Acción para conforman un programa de desarrollo para el clúster informático cochabambino.Como conclusión del proyecto se dotó al clúster Informático de una herramienta (Diamante de Porter) clave de mejora continua de la competitividad, proponiendo la conformación de un programa de desarrollo para el clúster informático que estaría compuesto por planes estratégicos y sus líneas de acción. El Índice Global de Competitividad del Clúster Informático en Bolivia es de 2.69 (sobre 7), a nivel mundial Bolivia ocupa el 135º  lugar a nivel mundial de los 138 países, lo que demuestra la urgente necesidad de estrategias de desarrollo. La India ocupa el lugar nº 49. Por lo tanto se propones las siguientes recomendaciones:1. Es necesario captar la atención gubernamental y hacer notar que el sector informático es una gran oportunidad para mejorar la situación económica de la región. 2. Siguiendo el modelo de la India en la conformación de un Programa de Desarrollo del Clúster Informático que fomente la asociación y cooperación empresarial e interinstitucional. 3. Actualización de programas académicos, capacitación técnica de alto nivel académico. 4. Aprovechar la cooperación internacional para obtener financiamiento y cooperación 5. Fomentar la empresas extranjeras que servirán de tractoras y definir una normativa legal.</t>
  </si>
  <si>
    <t>https://drive.google.com/file/d/1tEb0vgmmRSDbx1mhJ5d6Gwn8WTqGCsv-/view?usp=sharing</t>
  </si>
  <si>
    <t>https://drive.google.com/file/d/15TNtB7ctaKpbeeyyuMpNePfi96SXhtX6/view?usp=sharing</t>
  </si>
  <si>
    <t>HINOJOSA AGUILAR MARCOS</t>
  </si>
  <si>
    <t>MAMANI ARANIBAR KHALIL ABRAHAM</t>
  </si>
  <si>
    <t>ESTUDIO DE INGENIERÍA DE MÉTODOS PARA EL ANÁLISIS DE LA EFICIENCIA Y ECONOMÍA DE LOS PROCESOS PRODUCTIVOS DE LA LÍNEA DE PRODUCCIÓN DE PANADERÍA EN LA INDUSTRIA PANIFICADORA ZELADA.</t>
  </si>
  <si>
    <t>marcoshinojosa.a@gmail.com</t>
  </si>
  <si>
    <t>IND-452-2011</t>
  </si>
  <si>
    <t>Industria Zelada, Proceso Productivo, Ingeniería de Métodos, Tiempo Estándar, Eficiencia, Productividad, Capacidad Productiva, Análisis Operacional, Ergonomía, Cualidades Organolépticas,  Mejora Continua, Balance de Línea, Rendimiento Financiero.</t>
  </si>
  <si>
    <t>El estudio del trabajo aplicado a la línea de producción de panadería de la Industria Panificadora Zelada, se desarrolló en base a la metodología de la ingeniería de métodos.Inicialmente se realizó el estudio de métodos, el cual consistió en un análisis sistemático de los factores asociados al desarrollo de las tareas de producción (los productos, los materiales e insumos, las máquinas y equipos, los procesos, la infraestructura e instalaciones y la distribución en planta). Como resultado del análisis realizado se identificaron los materiales e insumos primordiales para el proceso y se estudiaron  las propiedades que estos aportan a los productos. Se recopiló  documentación de información técnica, nutricional y general de los productos principales de cada línea de producción. Se evaluaron los factores ingenieriles y los parámetros críticos de cada proceso. Se elaboraron los registros del proceso general para cada línea (diagramas de flujo de procesos, los cursogramas analíticos, los diagramas sinópticos y diagramas de recorrido), los cuales permitieron identificar y evaluar todas las actividades del proceso productivo (productivas e improductivas). Se elaboraron los planos de distribución en planta de cada centro de producción y se analizó la disposición de puestos o secciones de trabajo, las relaciones de espacio disponible y espacio ocupado, la organización y fluidez en movimiento de operarios, materiales, herramientas y productos.A través de la medición del trabajo se definieron todos los elementos que comprenden los diferentes procesos, se clasificaron las actividades de acuerdo a la naturaleza de sus tiempos en actividades de producción, maquinado, alistamientos, demoras y transportes; luego se realizó la toma de tiempos con cronómetro, se aplicaron los ajustes correspondientes en cuanto a calificación de la actuación de los operarios, adoptando un factor de nivelación por velocidad en base a la Norma Británica; posteriormente se determinaron las tolerancias o suplementos aplicables a cada tarea y finalmente se determinaron los tiempos estándar para cada elemento cronometrado, los cuales representan tiempos más justos para los operarios, a un ritmo normal de desempeño y considerando las tolerancias respectivas. Por otra parte, la clasificación adoptada de las actividades, permitió cuantificar los tiempos totales de las actividades improductivas y su impacto en los procesos. Al realizar el análisis de la productividad del método actual, se determinaron los indicadores óptimos para medir la eficiencia, se hizo una evaluación del aprendizaje en las actividades que involucran en mayor grado la destreza de los operarios; se determinaron las capacidades operativas instaladas, comparando estas capacidades se identificaron los cuellos de botella, se establecieron los niveles de operación en promedio y se determinaron los porcentajes de producción de cada tipo de producto. Se calcularon los porcentajes de capacidad aprovechada (que permitieron también estimar las capacidades ociosas) y la productividad de la mano de obra. Con los datos obtenidos se realizó un análisis comparativo entre centros para determinar los valores de los diferentes parámetros para la industria.El diseño del método propuesto fue realizado en base a la estrategia que la industria tiene planeada para trasladar y concentrar todo la infraestructura de producción de la línea de panadería a nuevas instalaciones; inicialmente se realizo el análisis operacional para evaluar varias facetas relacionadas al desarrollo de las tareas (propósito, tolerancias, materiales, maquinaria, herramientas, operarios, secuencia, lugar, etc.). Se hizo una evaluación de los procesos, sus relaciones en secuencia y afinidad, para determinar el tipo de distribución en planta y el modo de organización del trabajo óptimo. Se evaluaron los requerimientos de espacio y las condiciones ambientales adecuadas necesarias, como parte del diseño de los puestos de trabajo. Se estudió la reducción de las actividades improductivas y su impacto, mediante la aplicación de los principios de la economía de movimientos (en cuanto a estandarización de materiales y herramientas). Luego, de entre todas las alternativas de mejoras planteadas, se seleccionaron las que formarían parte del método propuesto. Se desarrolló el diseño del producto en base a tres puntos principales: mejora de la línea de panadería, el incremento en los niveles operativos y el desarrollo de los canales de distribución, se hizo un análisis de la demanda y de los mercados objetivo, se definieron los niveles de operación deseados, se realizó la asignación de carga a los operarios de forma más equilibrada maximizando la eficiencia y minimizando el tiempo ocioso, se determinaron los requerimientos de energía, se analizaron los factores críticos de calidad de los productos de panadería (consistencia y espesor de la corteza, coloración y alveolado de la masa), y se complementó la descripción del método propuesto elaborando los cursogramas analíticos y los diagramas de operaciones múltiples.Posteriormente se realizó la cuantificación de la productividad esperada, en base a los mismos indicadores que se emplearon para la evaluación de la eficiencia del método actual, los valores determinados se emplearon en un análisis comparativo entre el método actual y el método propuesto.Durante el desarrollo del análisis financiero se cuantificó el impacto del nuevo método en la industria a nivel económico, se hizo una estimación de los costos totales, una evaluación de los requerimientos de inversión y las fuentes, un  análisis costo/utilidad para determinar los niveles mínimos de operación para obtener beneficios y compararlos con los niveles propuestos, la proyección del estado de resultados y el flujo neto de fondos para evaluar todas las fuentes o ingresos y los egresos o salidas, todo esto  para finalmente culminar con el análisis financiero propio mediante dos indicadores complementarios: el valor actual neto y la tasa interna de retorno. Finalmente se establecieron las conclusiones y recomendaciones finales del proyecto, a modo de verificar el cumplimiento de los objetivos específicos y el objetivo general planteados para el proyecto; se hizo una evaluación comparativa entre la situación de la industria bajo el método actual y la esperada bajo el método propuesto, destacando las mejoras, ventajas, beneficios y aportes del proyecto realizado para los diferentes actores involucrados o públicos de interés.</t>
  </si>
  <si>
    <t>https://drive.google.com/file/d/1b2Y3bAyvwRhspfTB1c9eRBFPajB6QDEt/view?usp=sharing</t>
  </si>
  <si>
    <t>https://drive.google.com/file/d/1svrSA13AWnKaVIQFbNHc2efKOc5TxVY3/view?usp=sharing</t>
  </si>
  <si>
    <t>https://drive.google.com/file/d/1tlt8sDuOjUPG9A2tgLx6ZCNpoqHUvKmc/view?usp=sharing</t>
  </si>
  <si>
    <t>ZARET KAREN BORDA MORENO</t>
  </si>
  <si>
    <t>PLAN ESTRATÉGICO DE MARKETING PARA LAS EMPRESAS DEL RUBRO CALZADOS Y MANUFACTURAS PERTENECIENTES AL CLUSTER DE CUERO COCHABAMBA</t>
  </si>
  <si>
    <t>II-2011</t>
  </si>
  <si>
    <t>zaret16@hotmail.com</t>
  </si>
  <si>
    <t>IND-453-2011</t>
  </si>
  <si>
    <t>Cluster, Marketing Mix, Matriz EFE, EFI, IE, Matriz BCG, FODA estratégico, Matriz MCPE, Plan estratégico, líneas estratégicas, Plan operativo.</t>
  </si>
  <si>
    <t>El Cluster de Cuero Cochabamba es una institución que agrupa a tres sectores importantes de la región: Sector empresarial, principalmente pymes, el Sector académico y el Sector político, los mismos que trabajan conjuntamente bajo el modelo de la triple hélice. Actualmente la marca del mencionado Conglomerado no se encuentra posicionada en el mercado cochabambino, razón por la cual se diseñó un Plan estratégico de Marketing para las empresas del rubro calzados y manufacturas de cuero del mencionado Cluster.En primer lugar, se realizó el análisis externo al Cluster a fin de determinar las oportunidades y amenazas del mismo, así como también se efectuó el análisis interno del Conglomerado de Cuero analizando a cinco empresas, obteniéndose así las fortalezas y debilidades de las mismas, el análisis de la situación actual sirvió como base para el diseño de estrategias.Posteriormente se realizaron estudios de mercado para los diferentes productos que ofertan  las empresas del Cluster, los cuales son artículos de marroquinería, calzados de mujer, varón y de niño(a), dichos estudios permitieron establecer los perfiles de los clientes de los mencionados artículos, las respectivas proyecciones de demanda, la competencia, el grado de conocimiento del Cluster de Cuero Cochabamba y el grado de aceptación del mismo. Toda la información anteriormente mencionada sirvió para generar estrategias de marketing mediante diferentes herramientas de gestión, dicho proceso se dividió en tres etapas, que se detallan a continuación:La primera etapa llamada “Etapa de los Insumos”, es aquella donde se recolecta la información básica de entrada necesaria para la formulación de estrategias, en esta etapa se emplearon: la Matriz de Evaluación de Factores Externos (EFE), la Matriz de Evaluación de Factores Internos (EFI) y la Matriz de Perfil Competitivo (MPC), las cuales permitieron contar con la información necesaria para el diseño de estrategias de marketing para el Cluster de Cuero Cochabamba.En la segunda etapa llamada “Etapa de Conciliación” se definieron los objetivos estratégicos de marketing (Posicionamiento, Cuota de Mercado y Diferenciación) y se empleó la Matriz de Bostong Consulting Group (BCG), la Matriz Interna Externa (IE), las mismas que sirvieron para determinar la posición competitiva en la que se encuentra el Cluster de Cuero respecto a la Industria de manufacturas de cuero, dando como resultado que el Conglomerado de Cuero se encuentra en el cuadrante Interrogante de la matriz BCG y en el Cuadrante V de la Matriz IE, por lo tanto se concluyó que las estrategias genéricas adecuadas para el mismo son el “Desarrollo de Productos” y “Penetración de Mercado”. En esta etapa también se empleó la Matriz FODA estratégica, la misma que permitió  generar estrategias de marketing  adecuadas para el Cluster.En la tercera etapa llamada “Etapa de la Decisión”, se empleó la Matriz Cuantitativa de Planificación Estratégica (MCPE) con el fin de seleccionar las estrategias más relevantes y de mayor importancia para el Conglomerado de Cuero, las cuales se emplearon para dar cumplimiento a los objetivos de marketing planteados.Con las estrategias seleccionadas en la etapa de la Decisión, se diseñaron planes estratégicos de marketing para las variables del marketing mix (Producto, Precio, Promoción y Distribución) y un plan para la variable Crecimiento, en dichos planes se detallaron las líneas estratégicas de los planes, los gastos e inversiones en los que se incurrirán en la implementación de los mismos, los responsables de la ejecución, los periodos de ejecución.Finalmente se realizó la evaluación financiera del proyecto a fin de determinar la rentabilidad del mismo, dando como resultado que el proyecto es atractivo y rentable.</t>
  </si>
  <si>
    <t>https://drive.google.com/file/d/12JqydtuhjnccysmqpIQ2FwP_G9TssUFt/view?usp=sharing</t>
  </si>
  <si>
    <t>https://drive.google.com/file/d/1UeOSOlEMO6xAX6D0qBzuCHyCgu4dyROP/view?usp=sharing</t>
  </si>
  <si>
    <t>https://drive.google.com/file/d/13FqtMeHBTstZLcmNvFlRxwY5ojZJ2ZqR/view?usp=sharing</t>
  </si>
  <si>
    <t>HUERTA RAMOS MARÍA DEL PILAR</t>
  </si>
  <si>
    <t>VILDOZO ZAMORANO MARCELO</t>
  </si>
  <si>
    <t>ING. MSC. CARLOS ALBERTO RODRÍGUEZ RAMIREZ</t>
  </si>
  <si>
    <t>PLAN DE NEGOCIOS PARA EL ESTABLECIMIENTO DE UNA PLANTA EMBOTELLADORA DE AGUA DE MESA EN LA LOCALIDAD DE IRONQOLLO</t>
  </si>
  <si>
    <t>pilisauria@hotmail.com</t>
  </si>
  <si>
    <t>IND-454-2011</t>
  </si>
  <si>
    <t>Tratamiento del agua, plan de negocios, investigación de mercados, plan de marketing, organización de RRHH, ingeniería de proyectos, evaluación financiera, análisis financiero, impacto ambiental.</t>
  </si>
  <si>
    <t>Se desarrolló un estudio técnico-económico para la implementación de planta embotelladora de agua en la localidad de Ironqollo.Primeramente se realizó una investigación de mercados para determinar las características del mercado potencial de agua de mesa para las regiones que se desea involucrar en el proyecto. Posteriormente se determinó la participación de mercado que se quería tener con el proyecto es decir el tamaño.Se procedió al diseño del proceso productivo partiendo del análisis de la materia prima,  se diseñaron las instalaciones, la organización de recursos humanos, y el plan de marketing.Se hizo un análisis y evaluación financiero para determinar la factibilidad económica, demostrando ser factible en términos económicos y técnicos, además se hizo un análisis de impacto ambiental. Finalmente se presentaron los resultados en formato de Plan de Negocios.</t>
  </si>
  <si>
    <t>https://drive.google.com/file/d/18e5K3NxmkKoT7lB3fWYfl6UsP98PAVGp/view?usp=sharing</t>
  </si>
  <si>
    <t>https://drive.google.com/file/d/190ggPUd0G172XpMfuoLSvcmSBwgGqDlx/view?usp=sharing</t>
  </si>
  <si>
    <t>https://drive.google.com/file/d/1PSs-b97VkGFKoi44oeP6nCXjCg0eMkK5/view?usp=sharing</t>
  </si>
  <si>
    <t>SERGIO FLORES FERNÁNDEZ</t>
  </si>
  <si>
    <t>ESTUDIO TÉCNICO ECONÓMICO PARA LA PRODUCCIÓN Y EXPORTACIÓN DE PRENDAS DE VESTIR ELABORADAS CON FIBRA DE ALPACA</t>
  </si>
  <si>
    <t>sergiofloresf@hotmail.com</t>
  </si>
  <si>
    <t>IND-455-2011</t>
  </si>
  <si>
    <t>Producción prendas de vestir, Alpaca, Clasificación NANDINA, Comercialización a Italia, Evaluación Financiera, Análisis sensibilidad.</t>
  </si>
  <si>
    <t>Primeramente se realizó una investigación de Mercado a nivel local e internacional encontrándose los productos más destacados para la producción, siendo estos los Suertes y Cardiganes, encontrándose al país destino para la exportación, además de analizar a los  competidores y el proveedor principal de materia prima. Se determinó una demanda insatisfecha de prendas de vestir en alpaca, como también se determinó la proyección de demanda de este tipo de productos en el país italiano. Posteriormente se definió el tamaño de la planta tal que pueda producir 2000 prendas de vestir anualmente, identificando los procesos requeridos para obtener el producto esperado, se definió de igual manera que la producción será realizada completamente a mano.Se definió la localización de la planta haciendo un análisis cualitativo de puntos, en el cual ganó la  ponderación la zona sud del departamento de Cochabamba. En cuanto al tipo de infraestructura se opto por contar con una vivienda adaptada para poder iniciar operaciones en ella. El estudio organizacional fue realizado para la planta definiendo el diagrama organizacional, las funciones de cada trabajador y las planillas de salarios.Posteriormente se preparó la información para poder realizar la evaluación financiera determinando un VAN de  68.953 $us, un TIR de 23,11%. También se realizó un análisis de sensibilidad donde fue mostrado que el precio de la materia prima y el precio de venta son las variables más sensibles para la producción de prendas de vestir elaboradas con fibra de alpaca. Se definió una inversión total de 174.196 Bs. Para todo el proyecto definiendo un 100% de aporte propio. La recuperación del capital fue determinado en un periodo de 5,6 años.Finalmente se concluyó que el proyecto es factible manteniendo los volúmenes de producción y el precio de venta.</t>
  </si>
  <si>
    <t>https://drive.google.com/file/d/1_9qLSsnBfjZf0RgRMW3Y7s2ycWruyifS/view?usp=sharing</t>
  </si>
  <si>
    <t>https://drive.google.com/file/d/1DBege3Yy7zwo-3y_CdNWxj7_EhEcj-bG/view?usp=sharing</t>
  </si>
  <si>
    <t>https://drive.google.com/file/d/1Czxohx8VxBuoSVUkf2KR8nwXnC4ivLLi/view?usp=sharing</t>
  </si>
  <si>
    <t>JUAN CARLOS ALIENDRE ORELLANA</t>
  </si>
  <si>
    <t>HECTOR FREDDY GARCIA MIRANDA</t>
  </si>
  <si>
    <t>ESTUDIO  TÉCNICO FINANCIERO PARA DETERMINAR LA FACTIBILIDAD DE REINICIO DE ACTIVIDADES PRODUCTIVAS EN LA LÍNEA DE PRODUCCIÓN DE MERMELADAS Y PROPUESTA DE CREACIÓN DE UN DEPARTAMENTO DE COMERCIALIZACIÓN PARA LA EMPRESA GRINAL S.R.L.</t>
  </si>
  <si>
    <t>ali_ore@hotmail.com</t>
  </si>
  <si>
    <t>IND-456-2011</t>
  </si>
  <si>
    <t>Línea de Mermeladas Planta de tratamiento de agua, factible, ingeniería de proyecto, estudio de mercado, técnico, evaluación financiera y económica.</t>
  </si>
  <si>
    <t>El presente trabajo, desarrolla el estudio técnico financiero para determinar la factibilidad de reinicio de actividades productivas en la línea de producción de mermeladas y propuesta de un departamento de comercialización en la empresa “GRINAL S.R.L.”.Como primer paso se realizó un estudio de mercado, identificando componentes claves sobre la situación de la oferta y demanda del sector de mermeladas en la ciudad de Cochabamba, así como el comportamiento del mercado y se estableció estrategias para la comercialización del producto que se desea lanzar al mercado.   Se identificó   los elementos básicos para la producción, el emplazamiento y requerimientos técnicos a ser necesarios para la ejecución del proyecto;  además de ver los procesos a desarrollarse en cada etapa de la producción y estimación de los rendimientos en los procesos de elaboración de mermeladas en la  empresa “GRINAL S.R.L.”.En cuanto a la restructuración organizacional y administrativa, se desarrolló el análisis respectivo y replanteo de una nueva estructura que considere el desarrollo e implementación de un  departamento de comercialización  con los elementos complementarios para este propósito.Se determinó que el monto a invertir para el proyecto asciende a $us79,877.79 dólares americanos, durante un lapso de 5 años.Financieramente el proyecto es atractivo al presentar un VANE de $us 215,084.49 y un TIRE del 95.47%. La otra perspectiva es la financiera, donde se considera que la inversión inicial será financiada con un 71% mediante un préstamo financiero y el 29% será aporte de la empresa, generando un resultado favorable al retorno esperado del 12% se tiene un VAN $us 167,384.88 y un TIR de 76.60%, tomado en cuenta el rendimiento esperado del proyecto el financiamiento bancario (61%) es favorable. Finalmente se recomienda que la empresa “GRINAL S.R.L.” proceda con el relanzamiento del producto de mermeladas en primer lugar con tres líneas de sabores como ser frutilla, durazno y naranja.</t>
  </si>
  <si>
    <t>https://drive.google.com/file/d/1V5kHMeYKblzOoaZQ_DgJx6a02ttnxzfw/view?usp=sharing</t>
  </si>
  <si>
    <t>https://drive.google.com/file/d/1UQZ0ogOGGZg3KON5NXXrLUtmzG-rX3SU/view?usp=sharing</t>
  </si>
  <si>
    <t>https://drive.google.com/file/d/120JngttVHlg-IpoCovy_DWlDwW5hitkG/view?usp=sharing</t>
  </si>
  <si>
    <t>FERNANDO ANZALDO ALVARADO</t>
  </si>
  <si>
    <t>WILLIAM RODRÍGUEZ ARIAS</t>
  </si>
  <si>
    <t>ESTUDIO DE PREFACTIBILIDAD PARA LA IMPLEMENTACIÓN DE UNA INCUBADORA DE EMPRESAS DE BASE TECNOLÓGICA EN LA FCYT DE LA UMSS.</t>
  </si>
  <si>
    <t>anzaldo_14celtics@hotmail.com</t>
  </si>
  <si>
    <t>IND-457-2011</t>
  </si>
  <si>
    <t>Incubadora de Empresas de Base Tecnológica (IEBT), Empresas de Base Tecnológica (EBT), Gestión de la Tecnología, Modelo de Incubación.</t>
  </si>
  <si>
    <t>El presente proyecto de grado denominado “Estudio de prefactibilidad para la implementación de una incubadora de empresas de base tecnológica en la FCyT de la UMSS”, tiene como propósito central determinar la viabilidad en todas las áreas pertinentes al proyecto, como también la factibilidad del mismo. De esta forma se elaboraron parámetros que permitieron justificar su aceptación.El proyecto está orientado, en una primera etapa a los alumnos emprendedores de la FCyT que tengan ideas de negocios o potenciales proyectos que puedan transformarse en empresas exitosas. La segunda etapa de funcionamiento de la incubadora de empresas está orientada al público en general del departamento de Cochabamba.Es precisamente el mercado de alumnos emprendedores que se analiza en este proyecto, para la obtención de datos que permitan conocer el comportamiento de los mismos. La localización de la incubadora de empresas se ha determinado en base a requerimientos de macro y micro localización sin dejar de lado y tomando en cuenta las expectativas del público objetivo.En cuanto a la elaboración de la ingeniería del proyecto se propone un modelo de incubación de proyectos acorde a las necesidades de nuestro medio, para tal fin se ha considerado las necesidades de nuestro país en cuanto a empresas, las fortalezas de la Facultad de Ciencias y Tecnología (FCyT) en cuanto a experiencia e investigación y las principales debilidades que tienen las PYMES; según la percepción internacional.También se realizo la determinación de la estructura organizacional y la planificación de la ejecución del proyecto. Para finalizar, se procede a la respectiva evaluación financiera del proyecto bajo dos alternativas, una suponiendo que el proyecto es totalmente privado y la otra considerando un proyecto netamente social, donde no prima el lucro. Como se podrá observar los indicadores de rentabilidad y análisis financiero hacen atractivo al  proyecto siempre y cuando sea privado, tales circunstancias no son las mismas para el proyecto con carácter social.</t>
  </si>
  <si>
    <t>https://drive.google.com/file/d/155kj1p-itxTgVYuGCeu2cv5c3jwW1bM-/view?usp=sharing</t>
  </si>
  <si>
    <t>https://drive.google.com/file/d/1Wu3WZcFumidk8SZcTD-5RnHaXBYW8JPB/view?usp=sharing</t>
  </si>
  <si>
    <t>https://drive.google.com/file/d/1uP8PzwL8viUCjDorpfLH6cWMcq8ljgVW/view?usp=sharing</t>
  </si>
  <si>
    <t>OMAR GROVER POMA CANO</t>
  </si>
  <si>
    <t>ESTUDIO PARA LA IMPLEMENTACIÓN DE UN SISTEMA DE LOCALIZACIÓN Y MONITOREO DE VEHÍCULOS Y PERSONAS BASADO EN TECNOLOGÍA “GPS” EN EL ÁREA COMERCIAL DE LA EMPRESA “INCERCO LTDA.”</t>
  </si>
  <si>
    <t>omar.poma.cano@hotmail.com</t>
  </si>
  <si>
    <t>IND-458-2011</t>
  </si>
  <si>
    <t>Sistema    De    Localización    Y    Monitoreo,   Tecnología   GPS, Diagnostico De La Empresa, Estudio Técnico,  Estudio Organizacional, Estudio Financiero, Planificación De La Ejecución.</t>
  </si>
  <si>
    <t>Primeramente se realizó un análisis interno y externo de la empresa INCERCO LTDA., tomando en cuenta las áreas de producción, comercialización y administración; también se realizo encuestas al personal del área comercial para poder conocer la real necesidad de la tecnología GPS a ser implementada, cabe señalar que los resultados de las mismas mostraron una clara necesidad de implementar el sistema de localización y monitoreo de vehículos y personas, sobre todo en el sector de transporte (distribuidores de productos) en donde no existe una eficiente administración de los mismos.Luego se realizó la proyección del mercado con el sistema a implementar, donde se tomaron como principales fuentes de información la predicción de expertos comerciales como el gerente comercial, personal de ventas y también se pudo evaluar la información cuantitativa brindada por la empresa amiga INCERPAZ LTDA. (La Paz), en donde se tuvo la experiencia del manejo de la tecnología GPS, por lo que este dato fue utilizado para medir la coherencia de la proyección cualitativa realizada por los expertos comerciales.Posteriormente se elaboraron estrategias basadas en el sistema “GPS”, donde primeramente se evaluó la posición actual de la empresa y posteriormente a partir de la planificación estratégica se estructuraron estrategias a ser realizadas con el sistema, es importante mencionar que estas estrategias solo fueron realizados en el ámbito de la distribución y promoción debido a que el sistema a ser implementado tiene su alcance a estas áreas.Seguidamente se realizo una descripción detallada del sistema y la forma de implementación en la empresa que va desde la adquisición  de equipos y dispositivo necesarios hasta la contratación de personal capaz de manejar el sistema, también se evaluó a distintas empresas proveedoras de esta tecnología, en la cual se pudo determinar al proveedor óptimo con el cual se realizo el estudio; finalmente se realizo el presupuesto de la implementación de la tecnología con el proveedor seleccionado.Posteriormente se planifico las actividades a realizar para ejecutar el proyecto, determinando el presupuesto y la secuencia de realización.Por último se determinaron los indicadores financieros proyectados, a partir del impacto financiero que generaría el proyecto, complementariamente se realizo el análisis de sensibilidad a partir de escenarios críticos probables que podrían poner en riesgo el proyecto; en cuanto a resultados, estos demostraron numéricamente la rentabilidad del proyecto para la empresa INCERCO LTDA.Con el proyecto se pretende demostrar que la incursión en nuevas herramientas tecnológicas para la gestión de empresas, trae como consecuencia la generación de beneficios, por ello el presente proyecto quiere ser de utilidad para aquellas empresas bolivianas que tienen dudas o temores sobre la adquisición de nuevas tecnologías empresariales.</t>
  </si>
  <si>
    <t>https://drive.google.com/file/d/1OHWujn_hpmD4ixFVHYoN89sT-mbCxuAp/view?usp=sharing</t>
  </si>
  <si>
    <t>https://drive.google.com/file/d/1oQRvFJM-7FWGjDN6Fxl1igi7lRMOy8rF/view?usp=sharing</t>
  </si>
  <si>
    <t>https://drive.google.com/file/d/1Jp1p99BWrMic14v2Yf_mZvRZ_BOWhBjK/view?usp=sharing</t>
  </si>
  <si>
    <t>MARIELA BALDELOMAR LARA</t>
  </si>
  <si>
    <t>MELINA GABRIELA IRAHOLA SÁNCHEZ</t>
  </si>
  <si>
    <t>DISEÑO DE UN PLAN DE INOCUIDAD ALIMENTARIA BASADA EN EL HACCP Y UN PLAN DE SEGURIDAD INDUSTRIAL E HIGIENE OCUPACIONAL PARA LA EMPRESA INDUSTRIAS DEL MOLLE S.R.L</t>
  </si>
  <si>
    <t>elita302@hotmail.com</t>
  </si>
  <si>
    <t>IND-459-2011</t>
  </si>
  <si>
    <t>Industrias del Molle S.R.L., Inocuidad Alimentaria, Análisis de Peligros y Puntos Críticos de Control (HACCP), Puntos Críticos de Control (PCC), Análisis y Evaluación de Riesgos, Seguridad Industrial e Higiene Ocupacional.</t>
  </si>
  <si>
    <t>La Cervecería Boliviana Nacional S.A. Planta Huari, dedicada a la elaboración de cerveza ofrece al mercado el producto Pilsener Huari en sus envases 620 cc. y 330 cc.  Este producto en su Mini-Planta de Envasado pasa por un proceso de pasteurización bajo la supervisión del Departamento de Control de Calidad. Este proceso presentaba problemas en la producción, ya que por las frecuentes fallas en el control eléctrico provocaba paradas de producción, además la adquisición de datos era ineficiente.Planta Huari aplicando políticas de modernización de sus equipos, renovando con tecnología apropiada, vio por conveniente la implementación de un nuevo sistema de control que cubra las problemáticas mencionadas. Para la ejecución del Proyecto se realizó un seguimiento del proceso de pasteurización, se obtuvieron los datos eléctricos de los actuadores y sensores involucrados en el proceso para el dimensionamiento de los equipos de mando, control y visualización. Se seleccionó los equipos de control y automatización (Controlador Lógico Programable), para el reemplazo de toda la lógica de relés y controladores de temperatura.Se diseño los circuitos de control y potencia para los motores, seleccionando los dispositivos de protección, conmutación e interrupción para su funcionamiento. Se dimensionó el tablero principal de control, potencia y de mando (medidas), en base a ubicación y tamaño de los dispositivos requeridos, cumpliendo normas de instalación establecidas, sin dejar de lado la realización de los cálculos de sección de los conductores.En el proceso de pasteurización se realizó un control exhaustivo de las temperaturas en las cuatro primeras zonas, a través del autómata seleccionado, para el cual se requirió tarjetas de entrada y salida analógica.Una vez diseñado e implementado el proyecto se obtuvieron los resultados esperados, cumpliendo con los objetivos mencionados anteriormente. Mejorando el sistema de control, la operación, el monitoreo del proceso en beneficio de los operadores y del personal técnico.</t>
  </si>
  <si>
    <t>https://drive.google.com/file/d/1ZtokA-1HfVXnqWcSYnquW54Q0kFwY5cB/view?usp=sharing</t>
  </si>
  <si>
    <t>https://drive.google.com/file/d/1egZjqixVlHoGeIIJIy6hjOvpvYPFm_fM/view?usp=sharing</t>
  </si>
  <si>
    <t>https://drive.google.com/file/d/1PU2ccoW8M_rHKx_X8alKAgk3Iyn7nqFI/view?usp=sharing</t>
  </si>
  <si>
    <t>PRIMITIVO ILLANES CHINCHILLA</t>
  </si>
  <si>
    <t>ESTUDIO DE FACTIBILIDAD PARA LA IMPLEMENTACIÓN DE UNA PLANTA PROCESADORA DE TÉ DE CEDRÓN Y NARANJO EN COCHABAMBA.</t>
  </si>
  <si>
    <t>primo_illan123@hotmail.com</t>
  </si>
  <si>
    <t>IND-460-2011</t>
  </si>
  <si>
    <t>Diagnóstico, Demanda, Planta Procesadora, Inversiones e Indicadores Financieros.</t>
  </si>
  <si>
    <t>El estudio de Factibilidad para la Implementación de una planta procesadora de Té de Cedrón y Naranjo nace ante la importación de productos manufacturados como el té y los mates de Plantas medicinales, más aun con el  creciente de consumo de productos naturales. La falta de estudios e información hacen preguntarse sobre si es el momento oportuno para la introducción de este Té en la Ciudad de Cochabamba.Se comenzó el proyecto con una intensiva investigación de mercado, estudiando el mercado consumidor, proveedor, distribuidor y competidor. Determinando que existe una demanda insatisfecha de consumidores principalmente en los Supermercados y tiendas de bario. Con la investigación de mercado se procedió al pronóstico de la demanda del producto a nivel Cochabamba.El tamaño de la planta fue calculado por medio del pronóstico y al crecimiento esperado de captación de consumidores a nivel Cochabamba pero también con los ingresos del producto para su respectivo crecimiento. Con la información obtenida en este apartado se determinó también todos los materiales e insumos necesarios para la planta. La localización fue obtenida a través de una Técnica de Brown y Gibson, donde se analizaron 4 micro-localizaciones, escogiendo el puntaje mayor correspondiente a la medidas de preferencia que califican a la provincia Quillacollo. La Ingeniería del proyecto se la realizó adecuando la tecnología a nuestro medio, comprendiendo los procesos más elementales (cosecha de las hojas de Cedrón y Naranjo) hasta un proceso de Sacheteado automático. Se Efectuó la Distribución en Planta y el Flujograma correspondiente para el proceso Productivo.  Se ilustró en un organigrama al personal y las funciones que cumplen los  trabajadores de la planta.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Relación B/C y Recuperación del Capital. Se sometió el flujo a un análisis de sensibilidad  para  las variables más influyentes. Concluyendo que el proyecto es rentable.</t>
  </si>
  <si>
    <t>https://drive.google.com/file/d/1v-NtXMpmQ27r8FYc7Xu5CxoWCefs5O13/view?usp=sharing</t>
  </si>
  <si>
    <t>https://drive.google.com/file/d/1hgcToHGfVEgUeAODkj0Y6xG3ZpnlOxhC/view?usp=sharing</t>
  </si>
  <si>
    <t>https://drive.google.com/file/d/1_LfDX_Ii3RmLfsta7IbjgSYLuVmUdO6J/view?usp=sharing</t>
  </si>
  <si>
    <t>JHERSSON DIONED QUIROGA BUSTOS</t>
  </si>
  <si>
    <t>DISEÑO Y ELABORACIÓN DE LA PLANIFICACIÓN ESTRATÉGICA, ADMINISTRATIVA Y OPERATIVA DE LA ESCUELA DE FÚTBOL AYACUCHO.</t>
  </si>
  <si>
    <t>jhdioned@hotmail.com</t>
  </si>
  <si>
    <t>IND-461-2011</t>
  </si>
  <si>
    <t>Escuela de Fútbol Ayacucho, Análisis FODA, Plan estratégico, Plan de Acción, Métodos de entrenamiento, Fútbol profesional, Fútbol, Deporte.</t>
  </si>
  <si>
    <t>La escuela de fútbol “Ayacucho” es una institución que forma parte  de la Liga de Fútbol Zona Sud, creada el año 2002 con apoyo de instituciones públicas, con el fin de promover e incentivar el deporte del fútbol en la niñez y la juventud de la zona Sud (Distrito 5). El principal problema de la escuela de fútbol “Ayacucho” es la alta disminución de clientes y usuarios del servicio, para solucionar el problema se plantea la mejora de la estabilidad y la sostenibilidad de la institución, proponiendo una economía mixta (privado público), diseñando y elaborando  la planificación estratégica, la  administración y la organización, diseñando un equipamiento adecuado y con las condiciones necesarias para el servicio, la planificación de los servicios y los métodos de enseñanza. Primeramente se realizó un diagnóstico estratégico de la situación que consistió en el Análisis estratégico de la institución o análisis interno donde se tomó en cuenta las aéreas correspondientes a una organización o empresa de servicios. La información se la obtuvo de datos históricos, registros y la observación de sus procesos y actividades.Luego se procedió a realizar el Análisis externo o del entorno; donde se realizó el análisis del entorno competitivo y el entorno general; que consistió en analizar los factores externos y los consumidores, proveedores, la competencia, productos y servicios sustitutos y a posibilidad de ingreso de nuevos competidores. Con los datos obtenidos del análisis estratégico se realizó el Diagnostico estratégico de la institución, en el que se realizó: El análisis FODA y la evaluación de la matriz FODA. Con la información del análisis estratégico y el análisis FODA y la evaluación de las matrices EFI, EFE, la matriz de posición competitiva y la matriz del cliente se procedió a la Formulación estratégica, en el que se realizó el Diseño y elaboración de la planificación estratégica de la institución, estableciendo el direccionamiento estratégico, las estrategias corporativas, competitivas y funcionales y el plan de acción para la institución. Dentro la estrategia funcional se estableció las estrategias de marketing, de información, de recursos humanos y financiera estableciendo sus respectivos objetivos. Una vez establecidos las estrategias se procedió al diseño y elaboración de la planificación administrativa y operativa, donde se definieron la estructura y la organización, las funciones y responsabilidades de las áreas y las líneas de mando del personal requerido. Se estableció la base para el servicio de la institución de acuerdo a los niveles establecidos para la formación y enseñanza de jugadores de fútbol. Se calculó el costo de inversión para la implantación de las estrategias y la etapa operativa de la institución, se establecieron para cada actividad con lo cual se efectuó un análisis financiero donde se obtuvieron indicadores financieros como el VAN, TIR, la relación Costo/Beneficio.</t>
  </si>
  <si>
    <t>https://drive.google.com/file/d/1Vxrf4GV7n6iynasEleEpORY25BmN3WfF/view?usp=sharing</t>
  </si>
  <si>
    <t>https://drive.google.com/file/d/1aEisEMOND3LUFPhGxlbdmC0SKc_WWHJn/view?usp=sharing</t>
  </si>
  <si>
    <t>https://drive.google.com/file/d/1FjFbeypJTqfoFwIlyE2MmoToCxK1FPoU/view?usp=sharing</t>
  </si>
  <si>
    <t>ELMER FERNANDO POMA CANO</t>
  </si>
  <si>
    <t>SISTEMA DE GESTIÓN EN SEGURIDAD Y SALUD OCUPACIONAL PARA LA EMPRESA INCERCO LTDA.</t>
  </si>
  <si>
    <t>boxelm_128@hotmail.com</t>
  </si>
  <si>
    <t>IND-462-2011</t>
  </si>
  <si>
    <t>Sistema de Gestión (SG), de Seguridad y Salud Ocupacional (SySO)</t>
  </si>
  <si>
    <t>El actual desarrollo de la industria de la cerámica en Cochabamba y en Bolivia se debe al aumento de la demanda de los materiales para la construcción, esto ha empujado a INCERCO Ltda., a que invierta en tecnología y modernización de sus instalaciones con el fin de aumentar la capacidad de producción y de proporcionar mejores ambientes de trabajo. Estas mejoras han eliminado y reducido riesgos que antes estaban presentes.Ante estos cambios ocurridos en INCERCO Ltda., se ha evidenciado que existen nuevos riesgos presentes en los procesos que  realiza  la empresa, los cuales han originado accidentes de trabajo poniendo en riesgo la integridad física de los trabajadores.En este sentido se ha estructurado un Sistema de Gestión en Seguridad y Salud Ocupacional, cumpliendo los requisitos de la norma NB-OHSAS 18001, destinado a que INCERCO Ltda., controle sus riesgos que puedan afectar a la salud o integridad física de sus trabajadores o partes interesadas.</t>
  </si>
  <si>
    <t>https://drive.google.com/file/d/1oMkORQY1Q1kOZOL58hKu26hgzf9IXuhM/view?usp=sharing</t>
  </si>
  <si>
    <t>https://drive.google.com/file/d/1MC2gM8HIhCY__rgdCjgafEcuamFRFQ7n/view?usp=sharing</t>
  </si>
  <si>
    <t>https://drive.google.com/file/d/1vzw5WdGNVCUySh6dS4U8Vs6CBhOZX-_q/view?usp=sharing</t>
  </si>
  <si>
    <t>ADAUTO LUIZAGA LIZETH</t>
  </si>
  <si>
    <t>CÁCERES VELASCO MARÍA ELENA</t>
  </si>
  <si>
    <t>DISEÑO DE UN SISTEMA DE GESTIÓN DE CALIDAD BASADA EN LA NORMA ISO 9001:2008 PARA INDUSTRIAS DE ALIMENTOS PALMA VERDE S.A.</t>
  </si>
  <si>
    <t>lizad_lui@hotmail.com</t>
  </si>
  <si>
    <t>IND-463-2011</t>
  </si>
  <si>
    <t>Industrias de Alimentos PALMA VERDE S.A., Sistema de Gestión de Calidad (S.G.C.), Norma ISO 9001:2008, Mejora Continua.</t>
  </si>
  <si>
    <t>Industrias de Alimentos PALMA VERDE S.A. se dedica a la producción y comercialización de palmitos en conserva, destinado el 100% de su producción a la exportación, teniendo dos presentaciones en envases de 800 g y 400 g, y cuatro variedades de presentación las cuales son: enteros, rodajas, trozos y mitades.Industrias de Alimentos PALMA VERDE S.A.  Debe ser consciente que la normalización y sistematización de sus actividades es un factor imprescindible para alcanzar y lograr sus objetivos. Es así que Industrias de Alimentos PALMA VERDE S.A. tiene la necesidad de adquirir  la certificación de calidad a través de un Sistema de Gestión de Calidad basada en la norma ISO 9001:2008. Ya que no cuenta con los procedimientos y procesos documentados ni registrados, lo cual limita el buen funcionamiento del Sistema de Gestión de Calidad.Primero se realizó un diagnóstico de la situación actual de la empresa, se recabó información acerca de la estructura organizacional, producción de la empresa, descripción del producto y el proceso productivo. Todo ello con el fin de conocer el funcionamiento en la planta procesadora de palmito.También se realizó el cuestionario de cumplimiento de requisitos basado en la Norma ISO 9001:2008, en el cual se establecieron el grado de cumplimiento con cada punto de la norma, estableciendo puntos débiles y fuertes, obteniendo como resultado una conformidad, No conformidad menor, No conformidad mayor y Observación.  Al obtener los resultados del diagnostico de la situación actual de  la empresa en cuanto al cumplimiento de los requisitos, se procedió al diseño del Sistema de Gestión de Calidad el cual tiene una estructura basada en la norma ISO 9001:2008.Teniendo la documentación exigida por la Norma ISO 9001:2008, se procedió al diseño del plan de implementación, en el cual se establecieron diez etapas para la realización de este junto al cronograma de actividades determinando el tiempo necesario para cada una de las etapas, en el que se incluyen recursos humanos, financieros y materiales. Con el diseño del Sistema de Gestión de Calidad y su implementación, se busca adquirir una certificación ISO 9001:2008, de tal manera obteniendo beneficios externos e internos. Así cumplir con las exigencias del cliente en cuanto a la calidad del producto y contribuir a la mejora continua de Industrias de Alimentos PALMA VERDE  S.A.  Finalmente se realizo el presupuesto para el diseño e implementación del Sistema de Gestión de Calidad.</t>
  </si>
  <si>
    <t>https://drive.google.com/file/d/1hnCxGKF95IoJtnX0CdCM4YquawA_NEY-/view?usp=sharing</t>
  </si>
  <si>
    <t>https://drive.google.com/file/d/1slpWPvtD4zqtTAE4jxxgHRbBZjFWlDac/view?usp=sharing</t>
  </si>
  <si>
    <t>https://drive.google.com/file/d/11gTykjZf7SJYLn5Xvi3tre1kQom20PSw/view?usp=sharing</t>
  </si>
  <si>
    <t>WENDY LORENA RIVAS SALAZAR</t>
  </si>
  <si>
    <t>MONICA EUGENIA MAMANI RODRIGUEZ</t>
  </si>
  <si>
    <t>PLAN DE SEGURIDAD E HIGIENE INDUSTRIAL PARA LA EMPRESA MANUFACTURA EN VIDRIO COCHABAMBA M.V.C. SRL.</t>
  </si>
  <si>
    <t>wenrivas@gmail.com</t>
  </si>
  <si>
    <t>IND-464-2011</t>
  </si>
  <si>
    <t>Seguridad e Higiene Industrial, Análisis Preliminar de Riesgos (APR), Equipo de Protección Personal (EPP), Manual de Primeros Auxilios.</t>
  </si>
  <si>
    <t>La empresa M.V.C. SRL., ha visto por conveniente realizar un estudio de seguridad e higiene industrial debido a la permanente inseguridad del personal de planta, en los diferentes procesos que se realizan diariamente, por otro lado las características que presenta en la actualidad en cuanto a seguridad e higiene no son las adecuadas.En la actualidad la empresa, no cuenta con un Plan de Seguridad e Higiene Industrial, eso quiere decir que no existen medidas de prevención de Riesgos para detectar, prevenir, controlar, minimizar y eliminar los riesgos existentes en las áreas de trabajo, por otro lado el personal no recibe Capacitación sobre Seguridad Industrial.Primeramente se realizó un diagnostico de la situación actual de todas las áreas de la empresa, se recabó la información disponible acerca de la organización y los procesos que realizan. Para ello se realizaron entrevistas a los encargados de la empresa, se realizó una encuesta y la observación de las operaciones que realizan.Se emplearon las metodologías de Mapa de Riesgos, Análisis Preliminar de Riesgos y el método de George F. Kinney para la identificación, análisis y evaluación de riesgos respectivamente en todas las áreas de trabajo de la empresa, posteriormente se establecieron medidas de control para los riesgos identificados y luego se realizaron mediciones para los riesgos más críticos.Teniendo en cuenta los resultados del diagnostico se procedió a la elaboración del plan de seguridad e higiene industrial, en el que se tomó en cuenta la organización de la seguridad, la capacitación, el orden y limpieza, la prevención de riesgos, los equipos de protección personal, los primeros auxilios, el programa contra incendios y la señalización, correspondientes a la empresa dentro de las cuales se realizaron diferentes propuestas que mejoren la seguridad e higiene industrial.Se realizó una cotización de todas las acciones, equipos y mejoras planteadas dentro el plan para realizar un presupuesto que indique el monto de la inversión para la implementación del plan, también se realizó una proyección de las inversiones para el funcionamiento en un tiempo de cinco años.El resultado es un documento que este acorde a las necesidades de la empresa M.V.C. SRL., la implementación del Plan permitirá prevenir, controlar, minimizar y eliminar los riesgos identificados, por otro lado ofrecerá condiciones de trabajos aceptables y adecuados.</t>
  </si>
  <si>
    <t>https://drive.google.com/file/d/1GlkRIE7se0jaxFu13HzzsdhZh0Wm87aw/view?usp=sharing</t>
  </si>
  <si>
    <t>https://drive.google.com/file/d/1brL3dKt1Z1Gi6mAhx51uYjNsqK5f4_nH/view?usp=sharing</t>
  </si>
  <si>
    <t>https://drive.google.com/file/d/1OOvEs4Gjz-LN_kqR6LYV2XNmIlpJXHfk/view?usp=sharing</t>
  </si>
  <si>
    <t>FIORILO VILLAZÓN JOSÉ FERNANDO</t>
  </si>
  <si>
    <t>ESTRUCTURACIÓN E IMPLEMENTACIÓN DEL PILAR DE MEJORA ENFOCADA DE LA FILOSOFÍA MANTENIMIENTO PRODUCTIVO TOTAL EN EL ÁREA DE SOPLADO DE EMBOL S. A. COCHABAMBA.</t>
  </si>
  <si>
    <t>fioferjos@hotmail.com</t>
  </si>
  <si>
    <t>IND-465-2011</t>
  </si>
  <si>
    <t>Mantenimiento Productivo Total (TPM), Mejora Enfocada, Eficiencia global del equipo (OEE), las 5 s japonesas.</t>
  </si>
  <si>
    <t>En toda empresa manufacturera es necesario contar con diferentes prioridades y técnicas para la aplicación del mantenimiento, basado en un estricto plan, y prolongando la vida útil de los equipos contenidos en ella; así como aprovechar al máximo y brindar fiabilidad de producción, solucionando los problemas que surjan en los mismos.El proyecto de trabajo dirigido se basa directamente en la implementación del pilar de Mejora Enfocada de la filosofía Japonesa “Mantenimiento Productivo Total”.El pilar de Mejora Enfocada es simplemente la eliminación de las paradas no programas causadas por la parte operacional o directamente con las maquinas que se encuentran dentro el proceso, logrando de que el rendimiento y la eficiencia mejoren drásticamente y se logre una eficiencia de excelencia.Implementar el pilar de Mejora Enfocada también nos ofrece disminución de tiempos de producción, mermas y re procesos. Posteriormente nos dará una estructura solida para poder implementar los siguientes 8 pilares.Porque de no realizar esta implementación la empresa corre el riesgo de no tener un producto de calidad, aumenta los tiempos de producción, re procesos continuos, no tener un producto competitivo y seguir  produciendo con las herramientas tradicionales de corrección que solo disminuyen la vida útil de los equipos y mayor costo de los repuestos.El pilar de Mejora enfocada a través de sus dieciséis grandes pérdidas lograØ  Identificar las perdidas Ø  Estandariza las perdidas Ø  Cuantifica las perdidas Ø  Disgregar las perdidas, a través de arboles de disgregaciónØ  Dar solución a las perdidas más importantes Ø  Monitoreo de las mejorasPor lo tanto las empresas buscan un mejor rendimiento por medio de consultas y asesorías, las cuales se concentran en las fallas que presenta. Hacia los últimos años se ha visto que las empresas quieren ser las mejores, para ello buscan la forma de aumentar  la producción, de ser competitivos, de llenar las expectativas del mercado y satisfacer a sus clientes. Por todas estas causas se hacen mejoras en la fábrica, para obtener mejor producción implantar nuevas aplicaciones como las del TPM (Mantenimiento Productivo Total).</t>
  </si>
  <si>
    <t>https://drive.google.com/file/d/1G-JQxmWWXl_VRJBOywTm8H3I1T0ILlxV/view?usp=sharing</t>
  </si>
  <si>
    <t>https://drive.google.com/file/d/1dbBd_4XpOFukHCDldfV8M7_9Wplqdera/view?usp=sharing</t>
  </si>
  <si>
    <t>https://drive.google.com/file/d/1EY_0UzKssB4VgVqdwGV9oRhnVFrnmczn/view?usp=sharing</t>
  </si>
  <si>
    <t>FABIOLA CHOQUE OCAÑA</t>
  </si>
  <si>
    <t>DISEÑO DE UN PLAN DE ANÁLISIS DE PELIGROS Y PUNTOS CRÍTICOS DE CONTROL HACCP PARA LA INDUSTRIA DE PRODUCTOS ALIMENTICIOS RICO PAN S.R.L</t>
  </si>
  <si>
    <t>fafaby23@hotmail.com</t>
  </si>
  <si>
    <t>IND-466-2011</t>
  </si>
  <si>
    <t>Industria de Productos Alimenticios, Inocuidad, Seguridad Alimentaria, Buenas Prácticas de Manufactura BPM’s, Buenas Practicas de Higiene BPH, Procedimientos Operacionales Estandarizados de Sanidad POES.</t>
  </si>
  <si>
    <t>La necesidad de haber realizado el Diseño del Plan de Análisis de Peligros y Puntos Críticos de Control HACCP fue de ver la posibilidad de introducir a la Industria de Productos Alimenticios RICO PAN S.R.L. conceptos y herramientas como Buenas Prácticas de Manufactura, Buenas Practicas de Higiene y Procedimientos Operacionales de Sanidad (Pre-requisitos HACCP), de manera de asegurar la inocuidad de sus productos panificados y la salud de sus consumidores.Se realizó una investigación exploratoria para la determinación de la problemática y procedimientos adecuados.Consecuente a lo anterior se realizó una investigación descriptiva lo cual se determinó soluciones y mejoras en todas las etapas de elaboración del pan. Posteriormente se realizó un diagnostico en planta para verificar la realidad con las exigencias normativas, el cual dio como resultado que la Industria de Productos “RICO PAN” S.R.L. en la mayorías de las áreas cumple de manera parcial de la normativa. La evaluación cualitativa con muestra un 48,51% de cumplimiento de BPM´s y un 62% del cumplimiento del POES, que se efectúan de manera empírica siendo sus principales falencias la falta de áreas específicas dentro la planta, parte de la infraestructura deteriorada, carencia de manuales e instructivos, procedimientos y planes para el control de plagas entre otros.Finalmente se procedió al diseño de Plan HACCP, el mismo que fue elaborado siguiendo los 12 pasos establecidos por el Codex Alimentarius y se desarrolló cada uno de los 7 principios exigidos por el HACCP.Se elaboró la respectiva documentación como Pre-requisitos del HACCP como ser: Manuales de Buenas Prácticas de manufactura BPM´s, Manual de Buenas Practicas de Higiene (BPH), Manual de Procedimientos Operacionales Estandarizados de Sanidad (POES), que fueron elaborados según los requerimientos de la planta, los cuales establecen los lineamientos generales y la sistemática de actuación.Se realizó un descripción detallada de los costos en los cuales deberá incurrir la empresa para estar en condiciones de implementar el sistema diseñado, haciendo un total de $us 4886.67Por último se sabe que en Bolivia existen varias pequeñas y medianas empresas productoras de alimentos que tienen escasas referencias sobre la introducción de Sistemas de Aseguramiento de Inocuidad de los alimentos, por tanto, el presente proyecto es una contribución para el desarrollo de las mismas, implementando Sistemas HACCP que garanticen los procesos y sus productos.</t>
  </si>
  <si>
    <t>https://drive.google.com/file/d/1r2rnI-1mZISzGAjLup882YIBvtn0u2Qd/view?usp=sharing</t>
  </si>
  <si>
    <t>https://drive.google.com/file/d/1TZGbOIJET1UtZNFHqsMVBRiBoE2d4hjG/view?usp=sharing</t>
  </si>
  <si>
    <t>https://drive.google.com/file/d/1SVyGDdgxjFQ1YK_v_xoECo9pbEDM3gcE/view?usp=sharing</t>
  </si>
  <si>
    <t>HANS CHRISTIAN MERCADO SALAZAR</t>
  </si>
  <si>
    <t>DISEÑO DE UN PLAN DE MARKETING ESTRATÉGICO PARA LA EMPRESA DE PUBLICIDAD BUSCINE</t>
  </si>
  <si>
    <t>hanschrs@gmail.com</t>
  </si>
  <si>
    <t>IND-467-2011</t>
  </si>
  <si>
    <t>Publicidad, Monitoreo de Medios, Marketing Estratégico,  Investigación de Mercados, Publicidad Alternativa.</t>
  </si>
  <si>
    <t>Este trabajo de investigación se constituyó como un esfuerzo para alcanzar soluciones prácticas a la situación actual de la empresa de publicidad Buscine. Se desarrollaron propuestas, planes y lineamientos estratégicos mediante un trabajo pensado para optimizar el aprovechamiento de los recursos disponibles dentro de un ambiente de negocios real en el contexto comercial boliviano que está regido por legislaciones, reglamentos y obligaciones.En un inicio se detalló la perspectiva del estudio y su desenlace, en busca de cumplir los objetivos trazados. La presente investigación se realizó apoyándose en los principios de la investigación científica. Se dio inicio al estudio con un diagnóstico interno de la empresa Buscine, el cual aportó una fuente de información significativa. Continuando con la investigación, siguió un análisis del entorno, en busca de reconocer las imposiciones del ambiente externo, considerando las fuerzas económicas, políticas, culturales, ambientales y tecnológicas; las mismas que interactúan constantemente con las funciones de cualquier empresa o institución que desarrolle actividades comerciales. Posteriormente tuvo lugar un monitoreo de medios que permitió identificar el mercado objetivo, el cual tiene necesidades susceptibles a ser explotadas con la oferta del servicio publicitario buscine.Una vez cumplida la recolección de datos, se procede al despliegue de las herramientas estratégicas, las que facilitaron las tareas para establecer y ajustar las estrategias de acción. La parte estratégica se desglosó en enunciados estructurados dentro de lineamientos relacionados a un plan de acción. En la parte final del estudio, se pasa por un análisis financiero que muestra la proyección de un futuro en base a los costos y beneficios de la puesta en marcha y culminación del modelo estratégico de marketing propuesto, en base a la realidad y factibilidad de la empresa Buscine. El resultado de la investigación se constituye en un documento propiamente transcrito, cuya finalidad es la de asistir como modelo de un plan estratégico a ser considerado, por la gerencia de la empresa Buscine, a la hora de tomar decisiones sobre el futuro de la empresa. En las conclusiones se fijó como estrategias más adecuadas las siguientes: ·       Estrategias de Penetración en el segmento nuevo identificado, en la que se puede ingresar al ambiente de los clientes potenciales con ofertas de servicios y beneficios promocionales.·       Desarrollo del producto en la que se plantea mejorar las características del servicio renovando la imagen con los clientes actuales, respondiendo sus exigencias marcando metas de fidelización.·       Estrategias de integración, se ha comprobado la importancia establecer un ambiente estable con la distribución del material publicitario en el que se involucran directamente las empresas de los buses. En las recomendaciones se tiene en cuenta los aspectos siguientes:·       Realizar una mejora dentro de la estructura organizacional de la empresa Buscine, de esta manera se fragmentará las responsabilidades a personal encargado de tareas específicas.·       Un punto importante son los registros y el seguimiento de las transmisiones de la publicidad en los buses, se recomienda establecer una base de datos en un servidor web que permita un fácil control con los registros del cumplimiento de los servicios ofertados.·        El punto sobre el control y seguimiento de las trasmisiones puede ser tratado de una manera factible si se puede llegar a un acuerdo con las empresas de los buses.</t>
  </si>
  <si>
    <t>https://drive.google.com/file/d/1KvI9l0j2wa7knW9jn7eBC7LTJLb9jmbH/view?usp=sharing</t>
  </si>
  <si>
    <t>https://drive.google.com/file/d/1tl9_SwDHxfq00pIJCd8C-vKrRXCzcyGK/view?usp=sharing</t>
  </si>
  <si>
    <t>https://drive.google.com/file/d/1PovDON-jdkwW6vXMIlSpQw-_c-tfFYXf/view?usp=sharing</t>
  </si>
  <si>
    <t>JORGE LUIS GONZALES ROCHA</t>
  </si>
  <si>
    <t>DISEÑO E IMPLEMENTACIÓN DE UN MANUAL DE PROCEDIMIENTOS PARA LA EMPRESA SERING S.R.L.</t>
  </si>
  <si>
    <t>jorzacha@gmail.com</t>
  </si>
  <si>
    <t>IND-468-2011</t>
  </si>
  <si>
    <t>Manual de Procedimientos, Procedimiento, Proceso, Sistema de Gestión de la Calidad, Calidad, SERING S.R.L.</t>
  </si>
  <si>
    <t>La empresa SERING S.R.L. vio la necesidad de implementar un Manual de Procedimientos, que estandarice, controle y defina los procesos desarrollados en la empresa, siguiendo la visión expansionista que tiene, de penetrar en el mercado, petrolero, minero y de generación de electricidad. En ese sentido se planteó lo siguiente: Objetivo general: Diseñar e Implementar un Manual de procedimientos que incluya aquellos procesos requeridos por la empresa que le permita alcanzar sus objetivos.El trabajo dirigido contempla la realización de un diagnóstico y evaluación de la condición actual de la empresa. En este diagnóstico está incluido el análisis interno y externo. El análisis interno determino que la empresa tiene alta experiencia en la ejecución de proyectos y consultorías, alto nivel técnico, alta capacidad de liderazgo, capacidad profesional del personal y compromiso con la empresa; pero se evidencio la inexistencia de procedimientos documentados. El análisis externo determino que existe un elevado potencial eléctrico en el país tanto en la generación, como transporte de energía.Se determino que la competencia actual es elevada debido a que las empresas identificadas como competidoras son grandes y tiene una capacidad financiera mayor.A continuación se realizó la identificación de procesos a través de la entrevista directa, observación de campo e investigación documental, luego se clasificaron los procesos encontrados en la empresa, una vez realizada la clasificación, la alta dirección procedió a realizar la priorización de los procesos en función de sus necesidades. A partir de esta priorización se realizó el diseño y desarrollo de los procedimientos, que fueron revisados y aprobados en trabajo conjunto con todas las partes interesadas, una vez aprobados los procedimientos pasaron a ser implementados como documentos de calidad de la empresa.Finalmente se desarrolló el Manual de Procedimientos y se realizaron pruebas piloto para posteriormente trabajar en la implementación de los procesos documentados en el manual.Los resultados fueron el diseño, desarrollo e implementación de un Manual de Procedimientos para la empresa SERING S.R.L.</t>
  </si>
  <si>
    <t>https://drive.google.com/file/d/1r0zmBcObpjQZOjmGCVbFNt0qXM52L5GZ/view?usp=sharing</t>
  </si>
  <si>
    <t>https://drive.google.com/file/d/1kqDcYRuyLJOtrhssaWsB1Eo-uvp74hYG/view?usp=sharing</t>
  </si>
  <si>
    <t>MAURICIO CARDOZO PERALTA</t>
  </si>
  <si>
    <t>PLAN DE HIGIENE Y SALUD OCUPACIONAL PARA LA PLANTA DE TRATAMIENTO DE EFLUENTES INDUSTRIALES PLANTA COCHABAMBA PIL ANDINA S.A.</t>
  </si>
  <si>
    <t>mau_ing87@hotmail.com</t>
  </si>
  <si>
    <t>IND-469-2011</t>
  </si>
  <si>
    <t>Identificación de Peligros, Evaluación de Riesgos, Medidas Correctivas, Método CEP-UPC, Reglas de Trabajo, Manuales y Procedimientos.</t>
  </si>
  <si>
    <t>Considerando las operaciones y características de la Planta de Tratamiento de Efluentes Industriales, la misma no contaba con medidas establecidas en materia de Seguridad e Higiene Industrial por tanto se propuso un Plan de Higiene y Salud Ocupacional que permita al operador realizar su trabajo bajo los parámetros que dictamina la ley General de Higiene, Seguridad Ocupacional y Bienestar y las resoluciones relacionadas al tema.Para esto se realizo un diagnóstico, determinando la situación actual en materia de Seguridad e Higiene Industrial; de esta manera se pudo obtener información inherente a cada puesto de trabajo que involucra el desarrollo de las diferentes actividades, procesos y equipos con los cuales interactúa el operador, a fin, de realizar la identificación de peligros, adoptar un modelo para la evaluación de riesgos y medidas de corrección.Para cumplir lo antes mencionado, se realizaron actividades en Señalización Industrial, elaborando el Plan de Señalización que comprendió las señales de seguridad requeridas en planta, sus dimensiones y características específicas para cada una de ellas, se consiguió el pintado de estructuras contra caída a distinto nivel, choque con objetos fijos y el pintado de pisos como parte de la delimitación de áreas de circulación; se definieron los planes de Prevención de Accidentes e Incendios, elaboración de Procedimientos de Actuación en caso de Accidentes como medidas de acción importantes, por lo que representa una planta que trata residuos industriales, la elaboración de Manuales para el Almacenamiento de Sustancias Químicas Peligrosas como una de las necesidades de la planta, por la manipulación de productos químicos de forma periódica, así mismo el Manual para el Levantamiento de Cargas dentro el transporte, manipulación y transferencia de productos dentro la Planta, así como la elaboración del manual de primeros auxilios. La capacitación más importante realizada fue el simulacro en caso de incendios dentro sus instalaciones, que tuvo como complemento la manipulación e identificación de los diferentes extintores ubicados en planta.  Asimismo se realizó el análisis de costos operativos que contempla los recursos necesarios para la ejecución del proyecto. Donde el detalle establecía los costos por equipos de protección personal, costos para señalización, costos para mano de obra que involucra la señalización de piso, costos para equipos contra incendios y el costo para capacitación.Finalmente se dio a conocer  las Conclusiones y Recomendaciones, que permitieron a la empresa y a la planta en particular establecer un plan de inversión para la implementación del proyecto.</t>
  </si>
  <si>
    <t>https://drive.google.com/file/d/1mELfD4Y3ZpIQtuZvIuxkxb6WD_0EM9RL/view?usp=sharing</t>
  </si>
  <si>
    <t>https://drive.google.com/file/d/1x11gO5c9HjCft5b_XqTmo1KT81n3IaDC/view?usp=sharing</t>
  </si>
  <si>
    <t>https://drive.google.com/file/d/1QWQgG7h1Dja2pglqgcc61wEiD_D5fKiN/view?usp=sharing</t>
  </si>
  <si>
    <t>FRANZ REINALDO ARNEZ DÁVILA</t>
  </si>
  <si>
    <t>DISEÑO DE UN SISTEMA DE GESTIÓN AMBIENTAL BASADO EN LA NORMA NB/ISO 14001 PARA LA COMPAÑÍA IMPORTADORA EXPORTADORA NACIONAL SUDAMERICANA CIENSA LTDA.</t>
  </si>
  <si>
    <t>extrem_rey@hotmail.com</t>
  </si>
  <si>
    <t>IND-470-2011</t>
  </si>
  <si>
    <t>Sistema de Gestión Ambiental (SGA), DEMING, Auditoria SGA, Programas ambientales, Instructivo de Trabajo, Procedimiento, Evaluación Impacto Ambiental, Aspecto Ambiental.</t>
  </si>
  <si>
    <t>Primeramente se realizó el diagnóstico inicial de la empresa en lo referente a sus actividades, aspectos ambientales, equipo con el que cuenta para desarrollar sus actividades, a partir de ello se hizo la identificación de toda la normativa y legislación ambiental que es aplicable a la organización, también se realiza la evaluación del cumplimiento actual de la norma NB/ISO 14001, con ello se determino la situación actual de la organización en lo referente a gestión ambiental, dicha información fue vital y sirvió de base para el desarrollo de todo el sistema de gestión.Ya con toda la información obtenida, se inició estableciendo una política ambiental que sea acorde a las actividades y necesidades de CIENSA Ltda., una vez establecida la política se establecieron los objetivos y metas ambientales coherentes con la política ambiental, de la misma manera se establecieron y describieron programas ambientales que son vitales para el cumplimiento de los objetivos y metas, dichos programas guardan relación con la política, los objetivos y las metas.Se estableció el formato del manual del sistema de gestión ambiental, del manual de procedimientos, de los registros, etc., en dicho formato se estableció la posición del logo de la empresa, del título del documento y los distintivos necesarios para el desarrollo de todos y cada uno de los documentos.A partir de ello se redacto el manual del sistema de gestión ambiental, el cual contiene todos los puntos de la norma y en cada punto hace referencia a los responsables, procedimientos, instructivos de trabajo, registros, programas, recursos, etc., que sean necesarios para el cumplimiento del punto en cuestión.Posteriormente se redactaron todos los procedimientos mencionados en el manual del sistema de gestión ambiental, indicando en estos procedimientos los objetivos de cada uno, el alcance, definición de términos especiales, las actividades del procedimiento; indicando en cada actividad al responsable de la actividad, los instructivos de trabajo para la actividad si así corresponden, los registros necesarios, los métodos, etc.Seguidamente se redacto el manual de instructivos de trabajo, que es una descripción de actividades de nivel mucho más profundo que un procedimiento, en el cual se describe la forma específica de realizar ciertas actividades contempladas en los procedimientos del sistema de gestión.Se realizo una aproximación de costos que son necesarios para la implementación, operación y certificación del sistema de gestión ambiental, dichos costos contemplan la formación y capacitación de personal, la generación de documentos para los áreas involucradas, la mano de obra directa e indirecta necesaria, la certificación, el mantenimiento y seguimiento del sistema de gestión.Finalmente se hizo algunas conclusiones sobre el sistema de gestión diseñado, además que se realizo algunas recomendaciones para que el sistema de gestión ambiental se consolide a lo largo del tiempo de operación de la organización.</t>
  </si>
  <si>
    <t>https://drive.google.com/file/d/1zyXabCrffrpLetebZWul8VRXZeVj9cB1/view?usp=sharing</t>
  </si>
  <si>
    <t>https://drive.google.com/file/d/1XZNwhPhtIEZhM1P_CUv8ccUVEUOqNwlE/view?usp=sharing</t>
  </si>
  <si>
    <t>https://drive.google.com/file/d/1bstao2xXsZ_yxnmc66f04XEDWXRGwDMO/view?usp=sharing</t>
  </si>
  <si>
    <t>YUCRA CRUZ  CELIA</t>
  </si>
  <si>
    <t>ING. OMAR CÁRDENAS VENEGAS</t>
  </si>
  <si>
    <t>DISEÑO E IMPLEMENTACIÓN DEL SISTEMA DE GESTIÓN DE LA CALIDAD SEGÚN NORMA INTERNACIONAL ISO 9001 VERSIÓN 2008 PARA FIBROLIT S.R.L</t>
  </si>
  <si>
    <t>IND-471-2011</t>
  </si>
  <si>
    <t>1. ISO (Organización Internacional de Estandarización), 2.Calidad (satisfacer las necesidades y expectativas del cliente, 3.Sistema (conjunto de procesos de interactúan) 4.Gestión de la Calidad, 5. Proceso (conjunto de actividades mutuamente relacionadas.</t>
  </si>
  <si>
    <t>El proyecto se desarrolla como respuesta a la necesidad de mejorar los sistemas de producción, estandarizar sus procesos relacionados con el mejoramiento continuo de la calidad, desarrollar conocimientos técnicos para sus productos y establecer controles apropiados a sus procesos que comprenda la optimización en la gestión administrativa y mejora productiva mediante la adecuación e implementación de las normas ISO 9001:2008 para la empresa.En la búsqueda de solucionar la problemática existente en la empresa como es la desorganización respecto a la calidad, la alta dirección de FIBROLIT S.R.L. procedió a optar al desarrollo del proyecto “DISEÑO E IMPLEMENTACIÓN DEL SISTEMA DE GESTIÓN DE LA CALIDAD SEGÚN LA NORMA INTERNACIONAL ISO 9001 VERSIÓN 2008 PARA FIBROLIT S.R.L.” la cual permitió resolver tal problema y dotar herramientas que permiten tomar acciones para las soluciones a corto y largo plazo y más que todo incentivar al personal a la perspectiva de la mejora continua y satisfacción del cliente. En el desarrollo del proyecto, el diseño de la documentación da el margen de la perspectiva de la calidad, se logró identificar y estandarizar los procesos que repercuten directamente en la calidad del producto/servicio y sobre el enfoque a la cultura de la calidad, la satisfacción del cliente, el compromiso en la ejecución de las actividades pertinentes y la mejora continua de los procesos por parte del personal involucrado, como también establecer controles apropiados a sus procesos, esto se obtuvo con el trabajo en cuanto a su información, trabajo en equipo, compañerismo, comunicación. La empresa cuenta con la documentación del Sistema de Gestión de la Calidad que coadyuva a la mejora continua de cada proceso. Como resultado del proyecto se logro implementar el Sistema de Gestión de la Calidad bajo la norma ISO 9001:2008 en los procesos pertinentes de la empresa en relación a la calidad del producto como el servicio para con los clientes.Los principales logros del proyecto tienen que ver con la reducción de los reclamos significativos, esto quiere decir que los procesos involucrados en la realización del producto desempeñan el trabajo de manera eficaz, por que garantiza la estandarización de la calidad en la empresa y se afirma que este proyecto pudo definir una base y un punto de partida para que junto con el sistema de calidad ISO 9001:2008 propuesto, en el futuro se mida, mantenga o mejore el sistema en FIBROLIT S.R.L.Ya que no basta con hacer creer que la empresa trabaja bien, sino que hay que demostrar evidencias, por ello FIBROLIT logra certificar su Sistema de Gestión de la Calidad con la entidad certificadora TÜV RHEINLAND.</t>
  </si>
  <si>
    <t>https://drive.google.com/file/d/1-TLPxxd6Im1Nm2Tu1GhVLMxeB68K5KPl/view?usp=sharing</t>
  </si>
  <si>
    <t>https://drive.google.com/file/d/1pg7ONj5kQoCVoSAoJp2oMkZf9nvaI1u0/view?usp=sharing</t>
  </si>
  <si>
    <t>https://drive.google.com/file/d/1ipdkGdJhbvmOm1duwRLjMuhnBXubLWNx/view?usp=sharing</t>
  </si>
  <si>
    <t>TERESA JANNET RODRÍGUEZ TERRAZAS</t>
  </si>
  <si>
    <t>PLAN DE SEGURIDAD INDUSTRIAL E HIGIENE OCUPACIONAL PARA LA EMPRESA CRISIL S.R.L</t>
  </si>
  <si>
    <t>tere_0sa@hotmail.com</t>
  </si>
  <si>
    <t>IND-472-2011</t>
  </si>
  <si>
    <t>CRISIL S.R.L. Seguridad Industrial e Higiene Ocupacional, Método         General de Evaluación de Riesgos.</t>
  </si>
  <si>
    <t>El objetivo del presente proyecto es realizar un Plan de  Seguridad Industrial E Higiene Ocupacional para la empresa “Crisil” S.R.L.Primeramente se realizó un diagnostico a la empresa “Crisil” S.R.L. y se recabo toda la información disponible acerca de las actividades, proceso productivo, estructura orgánica, instalaciones, etc. toda esta información recabada nos permitió conocer las condiciones actuales de la empresa “Crisil” S.R.L. en cuanto a seguridad industrial e higiene ocupacional.Con toda la información recabada se procedió a la identificación de riesgos, la cual se la llevó adelante mediante un análisis de cada área de la empresa, considerando todos los riesgos, en proceso productivo como también a la infraestructura con la que cuenta la empresa “Crisil” S.R.L.Una vez habiendo identificado todos y cada uno de los riesgos existen en la empresa, se realizó la evaluación de los mismos, proponiendo soluciones y acciones correctivas que puedan minimizar los riesgos anteriormente identificados.Luego de haber realizado tanto la evaluación como la identificación de los riesgos se procedió a elaborar el plan de seguridad industrial e higiene ocupacional, con el desarrollo de este plan se pretende minimizar los riesgos de la empresa “Crisil”  S.R.L., mejorar el rendimiento del área de producción de la empresa, todo esto con la propuesta de la organización de la  Seguridad Industrial para la empresa, un plan de capacitaciones, un registro de accidentes y enfermedades ocupacionales, un mapa de rutas de evacuación, una propuesta de equipos de protección personal completos para todo el personal de Producción, señalización para todas las aéreas, además de un cronograma de actividades que facilite la ejecución del plan de seguridad industrial e higiene ocupacional, al momento de ser implementado.Por último se estimó el costo total que representaría la aplicación del Plan de seguridad industrial e higiene ocupacional.</t>
  </si>
  <si>
    <t>https://drive.google.com/file/d/1EuLlqWnMb5ttXlhBDwrfV4i5kuZ8ufB6/view?usp=sharing</t>
  </si>
  <si>
    <t>https://drive.google.com/file/d/1HtiGQ2qq-FErINwVkm1hV1bR1UU8ZZ5g/view?usp=sharing</t>
  </si>
  <si>
    <t>https://drive.google.com/file/d/1bQrQ-pzkLNRa97_AAq3E6iU7dH8wUfXQ/view?usp=sharing</t>
  </si>
  <si>
    <t>ÁNGEL YANIRO SAAVEDRA GUTIÉRREZ</t>
  </si>
  <si>
    <t>DISEÑO DE UN PLAN DE SEGURIDAD INDUSTRIAL PARA LA PLANTA BENEFICIADORA DE ALMENDRA DE LA EMPRESA TAHUAMANU S.A.</t>
  </si>
  <si>
    <t>yaniro_gs@hotmail.com</t>
  </si>
  <si>
    <t>IND-473-2011</t>
  </si>
  <si>
    <t>Diseño de un Plan de Seguridad Industrial (DPSI), Beneficiadora de Almendra (BA), Evaluación de riesgos. Planta Tahuamanu S.A.</t>
  </si>
  <si>
    <t>El presente proyecto de grado denominado “Diseño de un plan de seguridad industrial para la planta beneficiadora de almendra de la empresa Tahuamanu S.A.”, tiene como propósito central, la disminución y control de todos los riesgos ocupacionales, par un desempeño de actividades seguro.Este proyecto se baso en la Ley de Seguridad, Higiene y Bienestar Ocupacional R.M. N. 16998. Puesto que dicho Plan una vez terminado se presento al Ministerio de Trabajo, para tal efecto se realizo un análisis completo de la ley.Primeramente se justifico la necesidad del Diseño de un Plan de Seguridad Industrial. Con tal efecto, se realizo una identificación y evolución de los riesgos existentes en el desempeño de todas las actividades de la Beneficiadora, el método utilizado para tal efecto es ``La evaluación de riesgos de perfiles de trabajo. Posteriormente se realizo el diagnostico acerca de la que factores necesitaban la implementación de un Plan de Seguridad, estos factores se basaron en el análisis de la Ley anteriormente mencionada.Una vez realizada la evaluación de riesgos y el diagnostico, se procedió al diseño del Plan de Seguridad para disminuir y controlar los riesgos identificados, Durante la implementación se debe hacer un especial énfasis en: Control y protección contra el ruido, Plan de prevención de caída de personal a distinto nivel y plan de protección contra la radiación no Ionizante luz U.V.Para la estimación de los costos se realizo una cotización de la implementación del Plan en la ciudad de Cobija, para el cronograma de implementación se tomo en cuenta: la magnitud de la Planta, la magnitud del personal involucrado en Plan de Seguridad Industrial.Se recomienda la colaboración de la alta gerencia para la implementación del Plan de Seguridad. El cual deber ser ejecutado en la mayor brevedad posible. Finalmente se concluye que como el presente Plan es el Primero en realizarse en la Beneficiadora deberá tener un extenso seguimiento y análisis de los resultados, para poder realizar una mejora continua de dicho Plan.</t>
  </si>
  <si>
    <t>https://drive.google.com/file/d/1Uh1xSqnLdGj-Xatm4gb8HsVTPxBsCJos/view?usp=sharing</t>
  </si>
  <si>
    <t>https://drive.google.com/file/d/1619zRYOJ97G5bEoa2_8A8EJOX7Ll9xdH/view?usp=sharing</t>
  </si>
  <si>
    <t>https://drive.google.com/file/d/1mAHfOC-XtrtA0yH1T1aYU7Qj3jsYTedw/view?usp=sharing</t>
  </si>
  <si>
    <t>OSCAR EDUARDO VARGAS MEJÍA</t>
  </si>
  <si>
    <t>HAROLD MILTON ORTIZ REA</t>
  </si>
  <si>
    <t>ESTUDIO DE FACTIBILIDAD PARA LA IMPLEMENTACIÓN DE UNA PLANTA PROCESADORA DE PIMIENTOS CON FINES DE EXPORTACIÓN A FRANCIA.</t>
  </si>
  <si>
    <t>darwin_oscar@hotmail.com</t>
  </si>
  <si>
    <t>IND-474-2011</t>
  </si>
  <si>
    <t>Planta Procesadora de Pimientos, Pimentón, Exportación, Evaluación  Financiera, HACCP, Hortalizas.</t>
  </si>
  <si>
    <t>A partir de experiencias pasadas por la Empresa KADAR SRL. en exportaciones de palmito se desarrollo este estudio de factibilidad con la intención de exportar pimientos (pimentones como comúnmente se conoce en el mercado local) asados y trozados al mercado Francés. Para este efecto primeramente se realizó un análisis del mercado final recabando toda la información posible que ayudó a  efectuar un análisis cualitativo y cuantitativo de la demanda. Se ofrecerán dos tipos de envases: tipo A F 96/99 * 120 mm con 612 g de P y 321 g (328,5.ml) líquido cobertura y tipo B F 70/73 * 113 mm con 376 g de P y 195 g (199,6.ml) líquido cobertura, el L.G. esta elaborado con salmuera al 3% ácido cítrico al 2%.Posteriormente se determinaron los procedimientos y mecanismo para efectuar exportaciones al      mercado Europeo y por ende al francés, como también los costos que esto generaría al proyecto y los lineamientos generales de comercialización a seguir por la empresa.En cuanto al tamaño de la planta los dos principales factores fueron: la demanda insatisfecha y la capacidad de abastecimiento de la materia prima. La capacidad total de la planta es 308 Tn/año iniciando al 25% de su capacidad e incrementándose en periodos de 3 años hasta llegar a su totalidad al finalizar el horizonte de evaluación.Se localizará la planta en la localidad de Sacaba ya que en la evaluación cualitativa de puntos obtuvo mayor calificación que el resto de las zonas preseleccionadas con un peso de 8.32. El tamaño del terreno se estimó en 1.109 m2.Como siguiente punto se elaboró un sistema de control HACCP (Análisis de Riesgos e Identificación y Control de Puntos Críticos, en español) con el fin de priorizar la calidad e higiene alimentaria del producto ofertado.  En la ingeniería del proyecto se determinó el proceso productivo apropiado según las características de la materia prima local y los requerimientos internacionales. También se determinó la maquinaria y equipos a ser utilizados, las características de las obras civiles y los costos de inversión en activos fijos.Se determinaron los requerimientos de mano de obra, la estructura organizacional de la empresa y los procedimientos y tiempos de ejecución del proyecto previa fase operativa.Con toda la información recolectada se procedió a realizar la evaluación financiera del proyecto considerando las devoluciones impositivas propias de la exportación. Los indicadores fueron: VAN=556.872 $us, TIR=35,66 %, B/C = 1,42 $us y prc. = 3,91 años para el proyecto puro; y con financiamiento: VAN = 581.904 $us, TIR= 50,69 %, B/C = 1,71 $us y prc. = 4,09 años. La inversión total requerida es de 337.511 (Activos Fijos = 257.573, Activos Diferidos = 7.086 e inversión en capital de trabajo = 72.852 en P0). El financiamiento se evaluó al 80% de la inversión requerida en P0 (270.009) a una tasa del 15% pagadero en 5 años.Finalmente se analizaron, de forma general, los impactos al medio realizados por plantas procesadoras de hortalizas y se expusieron normas básicas de seguridad industrial orientado a la inocuidad alimentaria.</t>
  </si>
  <si>
    <t>https://drive.google.com/file/d/1NBvmK7M-pkC8Lpy3Uw6aDceJTwwVrGhO/view?usp=sharing</t>
  </si>
  <si>
    <t>https://drive.google.com/file/d/1l6hKQPGqZCU5DShJHC1iTREKqu7WknJN/view?usp=sharing</t>
  </si>
  <si>
    <t>https://drive.google.com/file/d/1MNpGWWCUppL8J5y_26jQv54hnSjA_qOp/view?usp=sharing</t>
  </si>
  <si>
    <t>JONATAN FISCHER VARGAS</t>
  </si>
  <si>
    <t>DAVID FISCHER VARGAS</t>
  </si>
  <si>
    <t>ESTUDIO TÉCNICO Y ECONÓMICO PARA LA IMPLEMENTACIÓN DE UNA PLANTA PROCESADORA DE VERDURAS PARA ESCABECHE</t>
  </si>
  <si>
    <t>IND-475-2011</t>
  </si>
  <si>
    <t>Planta procesadora, Escabeche, factibilidad, emplazamiento del proyecto, Evaluación técnica financiera</t>
  </si>
  <si>
    <t>El objetivo del presente proyecto es realizar el estudio de factibilidad para la implementación de una planta de procesamiento y comercialización de escabeche a partir de verduras para el mercado laboral. Se desarrolló una investigación de mercados para determinar la demanda del producto en la provincia Cercado de la ciudad de Cochabamba, a la vez se estableció el precio y los planes de producción.Se determinó el tamaño de la planta y se estableció la cantidad de productos que debe producir la planta. Así también se demostró que la ubicación de la planta es la adecuada. Se realizó una descripción de las operaciones necesarias para el proceso productivo, se especificó el tipo de maquinaria y equipos a utilizar, materia prima e insumos. Se determinó el tipo de organización que necesita la planta indicando requerimientos de la mano de obra y cuantificando los costos en que se incurrirá por este concepto. Se realizó una planificación de las actividades a llevarse a cabo.Finalmente se desarrolló una evaluación financiera y económica del proyecto mediante indicadores como el VAN, TIR, RB/C, luego se hizo un análisis de distintas situaciones a las que el proyecto podría enfrentarse en el transcurso de su vida útil.</t>
  </si>
  <si>
    <t>https://drive.google.com/file/d/1gzo_1sB0_Z3RO0SR3BSM4STMoL6-j4bG/view?usp=sharing</t>
  </si>
  <si>
    <t>https://drive.google.com/file/d/1Xq0IA68HvXxNnCnZtd__3jS6EXR3P3ja/view?usp=sharing</t>
  </si>
  <si>
    <t>https://drive.google.com/file/d/1rcgvL1APZovjUHiaGa3ED0BJ1yQVJLPa/view?usp=sharing</t>
  </si>
  <si>
    <t>CHUQUIMIA CHOQUENAIRA YEATSI</t>
  </si>
  <si>
    <t>ROJAS SOLIZ MARIBEL</t>
  </si>
  <si>
    <t>ESTUDIO DE FACTIBILIDAD PARA UNA PLANTA PRODUCTORA DE BANANO Y PIÑA DESHIDRATADA EN EL TRÓPICO DE COCHABAMBA.</t>
  </si>
  <si>
    <t>yesid_beby20@hotmail.com</t>
  </si>
  <si>
    <t>IND-476-2011</t>
  </si>
  <si>
    <t>Planta Productora, Rentabilidad, VAN, TIR, Programa de Mejora Continua de Localización, Factibilidad, Indicadores.</t>
  </si>
  <si>
    <t>La deshidratación es una alternativa de alargar más tiempo la vida de los alimentos reduciendo la cantidad de líquido presente para conservarlo y poder consumirlo en épocas de escases del mismo, de esta manera evitando pérdidas económicas debido al deterioro de estos. Y por ello se realizo un estudio de factibilidad para implementar una planta Productora de banano y piña deshidratado en el trópico del departamento de Cochabamba.Primeramente se determino el potencial de producción de fruta fresca (banano y piña) en el trópico de Cochabamba concluyendo que existe suficiente cantidad de materia prima. Se realizo un estudio de mercado sobre el consumo de banano y piña deshidratada en el mercado local mediante fuentes primarias y secundarias y con ello determinamos las características del producto final.Se estableció las características de la zona de emplazamiento determinando la ubicación en Chimore senda B.Se determino la capacidad de producción de la planta de deshidratado.Se determino el proceso productivo vinculado al sistema de producción de deshidratadores solares.Se determino los recursos humanos y administrativos necesarios para el funcionamiento de la planta.Se determino los recursos necesarios y se estableció los costos de operación y de inversión.Se realizo un análisis económico financiero para determinar los indicadores económicos determinando que el proyecto es viable.Finalmente se realizo un análisis de impacto ambiental logrando determinar que el proyecto genera impactos positivos.</t>
  </si>
  <si>
    <t>https://drive.google.com/file/d/1Jw51gfnn45TljOzuEUND4fNxfsO8_M_g/view?usp=sharing</t>
  </si>
  <si>
    <t>https://drive.google.com/file/d/1z-v9yBuzuie_OPI-1Zh38--XY3zcFMrl/view?usp=sharing</t>
  </si>
  <si>
    <t>https://drive.google.com/file/d/157XH9PCSYzrhN5wpBCkMk1mrnqxtnT_o/view?usp=sharing</t>
  </si>
  <si>
    <t>ALEX QUIROZ QUIROZ</t>
  </si>
  <si>
    <t>ESTUDIO DE FACTIBILIDAD PARA LA IMPLEMENTACIÓN DE UNA PLANTA PILOTO DE FIAMBRES Y EMBUTIDOS PARA LA CARRERA DE INGENIERÍA DE ALIMENTOS DE LA UMSS.</t>
  </si>
  <si>
    <t>exal6alex@gmail.com</t>
  </si>
  <si>
    <t>IND-477-2011</t>
  </si>
  <si>
    <t>Estudio de Factibilidad, Planta Piloto, Ingeniería de Alimentos, Fiambres y Embutidos, Comedor Universitario.</t>
  </si>
  <si>
    <t>Inicialmente se describió el ámbito en el que está enmarcado el proyecto, se establecieron las motivaciones para llevarlo a cabo y porque se lo desarrolló, y las herramientas que emplearon para la evaluación del proyecto en cada una de las etapas de su desarrollo. El objetivo planteado surgió de la necesidad de cubrir la deficiencia en cuanto a la formación práctica de los estudiantes de la carrera de ingeniería de alimentos, y se deriva de ello la planeación de auto sostenibilidad de la planta piloto, ya que la producción se podría comercializar en el comedor universitario.Es así que se realizó un estudio de mercado para determinar la demanda efectiva del comedor universitario en relación a los derivados cárnicos, obteniéndose que los productos cárnicos con mayor demanda  son los fiambres y embutidos (Chorizo tipo viena, chorizo parrillero, chorizo de freír y la mortadela), y las variedades de carne preferida por los comensales son la de pollo y cerdo.Posteriormente se realizó un estudio de materia prima que permitió determinar el costo de los mismos y su disponibilidad. Una vez que fueron determinadas la demanda y la disponibilidad de materias primas se procedió a localizar la planta, cuyos resultados mostraron al predio universitario de ex-metalco como alternativa más apropiada. Seguidamente se determinó el tamaño que deberá tener la planta piloto evaluando factores de mercado, materias primas, financiamiento y tecnología.Seguidamente se realizó el estudio de ingeniería en el que se elaboraron las formulaciones de cada uno de los producto, posteriormente se diseñaron los diagramas de procesos, la descripción del proceso de elaboración y balances de masa, seguidamente se determinó los costos totales de producción, por otro lado se realizó la selección de la maquinaria y equipos en general en función a las características requeridas y su precio, así mismo se elaboró el diseño de la planta, un modelo para el control y aseguramiento de la calidad en las diferentes líneas de producción, agregando un modelo de seguridad industrial pertinente para un óptimo funcionamiento. El estudio siguiente fue el organizacional y legal, el que indicó la relación institucional que tendrá la planta piloto con la estructura orgánica de la UMSS y la FCyT, posteriormente se elaboró la estructura orgánica de la planta piloto y la descripción respectiva de funciones de cada cargo. Luego se encaminó en aspectos legales pertinentes. Seguidamente se determinaron las actividades que deben llevarse a cabo para la ejecución del proyecto, su duración y sus respectivos costos.En la evaluación financiera y económica se procedió al análisis de la información financiera del proyecto desde la perspectiva privada y social. La evaluación privada demostró resultados desalentadores, pero en contrario a ello la evaluación social, demuestra la conveniencia de su ejecución. Por lo que se concluye que el proyecto es factible y se recomienda su ejecución. Un estudio adicional que se consideró para el proyecto es el de impacto ambiental basado en el Reglamento Ambiental para el Sector Industrial Manufacturero, en el que se describieron efectos negativos para medio ambiente en las distintas etapas de ejecución del proyecto, de las que se priorizan los efectos generados por emisiones de residuos sólidos y residuos líquidos de la planta, posteriormente se mencionan los métodos de tratamientos de aguas residuales.</t>
  </si>
  <si>
    <t>https://drive.google.com/file/d/1EFde8uilGNFzeXCqQfL8mgfe72dg9xZn/view?usp=sharing</t>
  </si>
  <si>
    <t>https://drive.google.com/file/d/160MjZEyvGd069Jd30PIVeb2J9Ue2ciJ7/view?usp=sharing</t>
  </si>
  <si>
    <t>https://drive.google.com/file/d/1xpycAFn3jzW-QJ9DROJU5YWBns5LgzzX/view?usp=sharing</t>
  </si>
  <si>
    <t>MAGALY INÉS BELTRÁN SIÑANI</t>
  </si>
  <si>
    <t>ING. JOHANN REICHL</t>
  </si>
  <si>
    <t>ESTUDIO DE FACTIBILIDAD PARA LA IMPLEMENTACIÓN DE UNA PLANTA DE BIODIGESTORES EN KARA KARA</t>
  </si>
  <si>
    <t>magicbeltran@hotmail.com</t>
  </si>
  <si>
    <t>IND-478-2011</t>
  </si>
  <si>
    <t>Biodigestor, Biol, Biogás, pH, Velocidad de carga orgánica, Residuos</t>
  </si>
  <si>
    <t>Se realizó un análisis teórico de la planta de biodigestores tanto con tecnología como la que no tiene tecnología incorporada, luego se procedió a la investigación de mercados que nos ayudó a encontrar mercados para el biol y compost, la investigación de mercados fue dirigida a agricultores y viveristas ya que el producto biol según algunas entrevistas a instituciones del sector se determino que el biol tiene el tipo de sustrato requerido para los cultivos de los agricultores y viveristas.Por lo cual la encuesta se dirigió al sector rural y urbano, pero no en su totalidad departamental, ya que también se hizo una segmentación demográfica. Una vez obtenidos los datos de la investigación de mercados se procede a hacer el detalle de los equipos y maquinarias necesarios para la construcción del biodigestor, también se detallo el proceso productivo con flujos de entrada y salida del reactor para así determinar la cantidad de materia prima requerida para el proceso, también se determino los costos de operación, depreciaciones, totalidad de las inversiones, para posteriormente realizar las evaluaciones financiera, económica social y ambiental del proyecto.En la evaluación financiera se pudo determinar una rentabilidad positiva del proyecto, con un TIR mayor al TMA, con lo cual se pudo decir que el proyecto es atractivo financieramente, en la evaluación económica social se evaluó el indicador beneficio/costo social, donde se aplicó los factores de corrección a los costos del proyecto.En la evaluación económica se determino una gran relación beneficio costo, por lo cual se puede decir que el proyecto cubre los costos de operación además de generar dividendos económicos.Respecto a la evaluación ambiental se tomo en cuenta el análisis por la metodología ETE, en la cual se detallan los impactos reversibles, irreversibles, mitigables, recuperables e irrecuperables. En la cual se pudo determinar la categoría correspondiente del proyecto, quedando el proyecto en la categoría 2, también se realizó la matriz de impactos donde el valor total fue 2, que significó que el proyecto es altamente positivo.Como conclusiones se pudo decir que es aconsejable invertir en el proyecto, ya que todas las evaluaciones dan un valor positivo, además de recomendar un excesivo cuidado con la alimentación de la planta de biodigestores, y control de las características biológicas y fisicoquímicas.</t>
  </si>
  <si>
    <t>https://drive.google.com/file/d/10-1av6BSdpke9KJ4Bh5PNK_9PXLLMtfk/view?usp=sharing</t>
  </si>
  <si>
    <t>https://drive.google.com/file/d/13TTZPKMoZqZOwmPM1ysxcOi9TGZwYXnY/view?usp=sharing</t>
  </si>
  <si>
    <t>https://drive.google.com/file/d/1v7wt7ckaacFomtWRKrtbvJIhNS1Q-BK7/view?usp=sharing</t>
  </si>
  <si>
    <t>PATRICIA EDITH CORRALES ALVARADO</t>
  </si>
  <si>
    <t>NYDIA VERÓNICA VEIZAGA LUIZAGA</t>
  </si>
  <si>
    <t>ESTUDIO DE FACTIBILIDAD PARA LA PRODUCCIÓN Y COMERCIALIZACIÓN DE HUMUS DE LOMBRIZ “EISENIA FOÉTIDA” A PARTIR DE RESIDUOS ORGÁNICOS GENERADOS EN EL MUNICIPIO DE VINTO”</t>
  </si>
  <si>
    <t>patiedith@hotmail.com</t>
  </si>
  <si>
    <t>IND-479-2011</t>
  </si>
  <si>
    <t>Lombricultura, Humus de lombriz, Unidades agrícolas (U.A.), Sustrato Base, Lechos producción, Municipio de Vinto, Residuos Orgánicos.</t>
  </si>
  <si>
    <t>La lombricultura es una biotecnología que estudia la transformación de residuos orgánicos animales y vegetales en un abono rico en micro y macro nutrientes el cual tiene la propiedad de mejorar los suelos en los cuales este es aplicado, de la misma manera le devuelve sus propiedades químicas, físicas y biológicas tratándose de suelos deteriorados.El Municipio de Vinto genera más de ocho toneladas de residuos por día, de los cuales más del 72% son orgánicos, este porcentaje representa un potencial para ser aprovechado tanto por entidades privadas como públicas para minimizar la problemática ambiental que genera la basura.Para la producción y comercialización de Humus de lombriz, se procedió con el diagnóstico del sector agrícola y de fertilizantes para determinar las características de dicho sector.  Se determinó como clientes potenciales del humus de lombriz a las unidades agrícolas del Municipio de Vinto mediante el método cuantitativo de encuesta personal y se calculó una demanda potencial para este mercado de 252 toneladas métricas anuales.Para captar a los clientes potenciales de humus de lombriz y de esta manera satisfacer el 86% de la demanda potencial  hasta el quinto año de operación del proyecto con una producción máxima de 240 toneladas.se determinaron las estrategias de marketing enfocadas en las cuatro variables: Precio, plaza, promoción y producto.Se determinó el proceso óptimo para obtener un producto de alta calidad el cual comienza por la recolección de los residuos orgánicos, pasando por una fermentación de los mismos y terminando en la producción de humus por la lombriz roja de tierra, dicho proceso tiene una duración de tres meses, mediante análisis microbiológicos del producto.Mediante el balance de masa se concluyó que el proceso de producción de humus de Lombriz tiene un rendimiento de 41%, es decir por cada cien kilogramos de materia prima inicial se producen cuarenta y un kilogramos de humus de lombriz.La capacidad máxima de producción de la planta fue calculada en función a tres variables; La demanda potencial, la disponibilidad de materia prima y la capacidad de la maquinaria e instalaciones, esta producción asciende a 240 toneladas de las cuales se determinó que el primer año del proyecto se producirá el 44% es decir 105 toneladas.La zona donde se encuentra localizada la planta de producción de humus cumple con todos los requerimientos necesarios para la crianza y reproducción de la lombriz roja de tierra, desde el punto de vista ambiental, de infraestructura así como disponibilidad de materia prima, tanto animal  (estiércol vacuno) como vegetal (residuos sólidos orgánicos).La inversión total para la puesta en marcha del proyecto ha sido calculada en 443.050 Bs de los cuales 402.569Bs corresponden a los activos fijos, 5.313 a activos diferidos y 35.168 Bs. a capital de trabajo y se estableció de manera ordenada la clasificación tanto de costos como de  ingresos.Se procedió con la categorización del impacto ambiental del proyecto, el cual pertenece a la categoría IV, de bajo impacto ambiental, por lo tanto se concluyo que el proyecto no requiere de un estudio a profundidad de mitigación de riesgos.La evaluación financiera mostró que el proyecto es rentable presentando un VAN= 167.349 Bs., TIR= 29.1 %y B/C= 1.3 Bs. considerando el proyecto con financiamiento como el más rentable..Por lo mencionado anteriormente se concluyó que el proyecto es viable desde la perspectiva técnica, financiera y ambiental.</t>
  </si>
  <si>
    <t>https://drive.google.com/file/d/1BAGFcyYTg_W1wddmbAfz7dhFOG72XuoL/view?usp=sharing</t>
  </si>
  <si>
    <t>https://drive.google.com/file/d/1EMSvEaDNCsSZnqfisdbTFCvEmzAYfKX3/view?usp=sharing</t>
  </si>
  <si>
    <t>https://drive.google.com/file/d/1hQR0HKI9OiVgTcZ2G4ZT9H6pm3Udq2jS/view?usp=sharing</t>
  </si>
  <si>
    <t>GONZALES ROCHA LEONARDO</t>
  </si>
  <si>
    <t>DISEÑO DE UN PLAN DE SEGURIDAD E HIGIENE INDUSTRIAL PARA EL MATADERO MUNICIPAL EMBECA S.R.L.</t>
  </si>
  <si>
    <t>leiogonzales_@hotmail.com</t>
  </si>
  <si>
    <t>IND-480-2011</t>
  </si>
  <si>
    <t>Matadero Municipal EMBECA SRL, Sistemas de Señalización, Equipos de Protección Personal (EPP), Trabajos de Faenado.</t>
  </si>
  <si>
    <t>El Objetivo principal de este proyecto fue el de elaborar un Plan de Seguridad e Higiene Industrial para el Matadero Municipal EMBECA SRL de tal manera que permita prevenir, reducir y eliminar los riesgos de accidentes y enfermedades laborales a los que están sometidos los trabajadores del matadero.La Metodología seguida para resolver el problema de seguridad e higiene en el matadero se ha utilizado el método general de evaluación de riesgos que está basada fundamentalmente en la ejecución del diagnostico es decir, que primeramente se ha realizado un diagnostico de la situación actual de la empresa con el que se ha elaborado un plan de seguridad e higiene industrial que comprende un programa de capacitación, sistemas de señalización y manual de seguridad que estos incluyen un costo y posteriormente sus conclusiones y recomendaciones.Conclusiones y recomendaciones: Se puede concluir que en el área productiva el 50% son de riesgos de accidentes así como cortaduras, golpes, caídas, con una evaluación del 52% de riego moderado de un total de 44 riesgos identificados, se planteo la conformación del comité mixto de seguridad que permita planificar, gestionar y controlar el correcto funcionamiento del plan de seguridad en el matadero.Se recomienda que la administración se encargue del cumplimiento de normas y reglas en cuanto a seguridad e higiene industrial, evitar contratar personal eventual para trabajos de faenado, a falta de capacitación y adiestramiento tienden accidentarse, se sugiere que se contrate un medico y una enfermera para atender las lesiones de cortaduras que existe en el matadero.</t>
  </si>
  <si>
    <t>https://drive.google.com/file/d/1xnAbYn9GljJ8ws8jXQqv2WNMPSDEsjX-/view?usp=sharing</t>
  </si>
  <si>
    <t>https://drive.google.com/file/d/1HGunuEh-mRndc-uRrQpu7xZgoXNtBD72/view?usp=sharing</t>
  </si>
  <si>
    <t>https://drive.google.com/file/d/1oKEQNfBg5VPRGp8KSKXdlzJwmuxq9BOJ/view?usp=sharing</t>
  </si>
  <si>
    <t>REYNA DAFNE ROQUE ALCARAZ</t>
  </si>
  <si>
    <t>DISEÑO DE UN PROGRAMA DE PRODUCCIÓN MÁS LIMPIA ORIENTADO AL SECTOR  LADRILLERO ARTESANAL DE LA ZONA DE CH’AMPA RANCHO</t>
  </si>
  <si>
    <t>Dafne.ra@gmail.com</t>
  </si>
  <si>
    <t>IND-481-2011</t>
  </si>
  <si>
    <t>PML, Eficiencia Energética, Cerámica Roja, Ch’ampa Rancho, Medio Ambiente, Contaminación, Swisscontact, NB 61002</t>
  </si>
  <si>
    <t>El presente documento contiene el informe final del Proyecto de Grado que tiene por objeto la elaboración de un Programa de Producción más Limpia para Ladrilleras artesanales, estudio que se realizó en la zona de Ch’ampa Rancho con el levantamiento de la línea base de mayo a Junio de 2010. El trabajo se divide en 9 capítulos. El primer capítulo corresponde al Marco Referencial en el cual se explica la propuesta  del Proyecto, se establece los antecedentes generales, específicos, definición del problema, objetivos, y la metodología que se utilizó. El Segundo Capítulo muestra lo Antecedentes Generales del Proyecto, donde se realiza una caracterización general del distrito 5, poniendo énfasis en las características geográficas, históricas del sector de Ch’ampa Rancho, descripción de productos ofrecidos y la cantidad de socios inscritos en la Cooperativa de ladrilleros “LA UNION”, además, muestra la situación del sector  en los aspectos sociales y ambientales. Esta información se obtuvo gracias a estudios previos realizados por Energética, Swisscontact y la Universidad Católica Boliviana.El Tercer Capítulo corresponde al Marco Teórico y Metodológico en el cual está basado el estudio. Se toma la concepción de Producción más Limpia establecida por la NB 61002 (IBNORCA), aunque ésta siga en revisión se aplicó el mismo modelo de excelencia expuesto en la norma, debido a que no se encontró por parte de la CPTS (Centro de Promoción de tecnologías sostenibles) estudios realizados para este sector.El Cuarto Capítulo expone la primera etapa que se realizó dentro el sector, denominada “Creación de la base del Programa PML”. Se realizó un análisis FODA de la situación del sector para generar estrategias con el fin de evitar inconvenientes durante el desarrollo del programa de producción más limpia, trabajar con sus fortalezas, disminuir sus debilidades y así garantizar la sostenibilidad del programa propuesto.El Quinto Capítulo corresponde al diagnóstico, se realizaron encuestas de producción más limpia al 50% de los socios de la cooperativa de ladrilleros ¨LA UNION¨ para poder identificar y realizar el análisis en la utilización de materias primas, insumos, disposición de residuos y desechos. Se resumió estos aspectos mediante la realización de un balance de masa y energía.  Se hizo un diagnóstico de la parte de la gestión que aplica la cooperativa, para que a partir de ello salgan las estrategias en la implementación de programa de producción más limpia. Además, en el aspecto Ambiental se calculó las emisiones que producen el sector en general y cada  planta ladrillera mediante factores según la EPA.En el Sexto Capítulo partiendo del diagnóstico realizado en el capitulo anterior se realizó la  Identificación y Evaluación de Aspectos Ambientales y Sociales. Cada operación identificada llegó a ser evaluada para poder priorizar la operación crítica que resultó el proceso de cocción y junto a ella se evaluó alternativas menos contaminantes, más eficientes y socialmente responsables. Entre ellas está el Cambio de tecnología en el proceso de cocción a Hornos más eficientes y menos contaminantes. Sin embargo en las operaciones no priorizadas se llega a realizar medidas operativas de Buenas Prácticas.El Séptimo Capítulo muestra el análisis financiero de las buenas prácticas que se llegó a priorizar. El análisis financiero se realizó para:  1) El cambio de tecnología del Horno Volcán (actual) al Horno Túnel Semicontinuo junto con la inversión de maquinarias en otras operaciones para la reducción de fatiga laboral, tiempos de operación y la diversificación de productos. 2) El cambio de tecnología del Horno Volcán (actual) al Horno MK junto con la inversión de una mezcladora y molino de martillos para la reducción de fatiga laboral, tiempos de operación y recuperación de pérdidas (cascote y chamota). 3) La recuperación de la chamota y el cascote con la tecnología actual (Horno Volcán).Al finalizar el capítulo se muestra una tabla comparativa de las propuestas realizadas, llegando a ser más rentable a largo plazo la inversión de un sistema de producción con el  Horno Túnel semi-continuo debido a la versatilidad de productos que podrían producirse, entre ellos el ladrillo Hueco. El Horno Mk llega a ser viable para ladrilleras que tengan poca capacidad de inversión y quieran seguir produciendo ladrillos macizos, con la diferencia en la reducción de pérdidas generadas por la cocción y recuperación de pérdidas generadas en el transporte.El Octavo Capítulo muestra las estrategias de implementación y monitoreo que se podrían desarrollar en una empresa ladrillera para la reconversión tecnológica y en la aplicación de buenas prácticas operativas mediante la muestra de beneficios que atraen las mismas,  junto con la Gestión que debería aplicar la Cooperativa de ladrilleros LA UNION para dar sostenibilidad, apoyo al Programa mediante la generación de una Política de Producción más limpia. El Noveno Capítulo muestra las conclusiones ambientales, sociales y financieras cuantificables generadas por el proyecto, así como también las recomendaciones para que exista una eficiencia en la implementación, seguimiento y mejora continua del programa.En cuanto a la metodología, el trabajo sigue la siguiente estructura de investigación: Estudio bibliográfico y normativo acudiendo a las normas relacionadas con el tema, utilización correcta de citas textuales y referencias bibliográficas, estudio de campo y sistematización de los datos obtenidos de acuerdo a los métodos y técnicas pertinentes (entrevista, observación y gráficos).A través de los resultados obtenidos se pudo concluir que para disminuir la contaminación ambiental que genera el sector ladrillero, es necesario el cambio de tecnología en el proceso de quemado debido a los problemas sociales, legales y ambientales que aquejan al sector. El proceso actual no cambio mucho desde que iniciaron (hace 50 años), es necesario hacer mejoras tecnológicas para poder competir en el mercado nacional y mejorar el producto ofrecido.La cooperativa de ladrilleros la Unión se muestra comprometida con el proyecto que ejecuta la fundación Suiza de Cooperación para el desarrollo técnico Swisscontat denominada EELA (Eficiencia Energética en Ladrilleras Artesanales), es necesario dar continuidad y aprovechar de parte del sector ese apoyo para la reconversión tecnológica a tecnologías más limpias.</t>
  </si>
  <si>
    <t>https://drive.google.com/file/d/1fFbgrRvjuY1Dt2vumo5a03Gav0rbnqJI/view?usp=sharing</t>
  </si>
  <si>
    <t>https://drive.google.com/file/d/1pcZ5hsMtK9_uwD0vVZAomKr4rboZijen/view?usp=sharing</t>
  </si>
  <si>
    <t>https://drive.google.com/file/d/1Zl0zBhLqhz1NOFRPriRfhpYN1deFiQm_/view?usp=sharing</t>
  </si>
  <si>
    <t>REYNA MABEL ALAVE MONTAÑO</t>
  </si>
  <si>
    <t>DESARROLLO DE UN PLAN INTEGRAL DE SEGURIDAD INDUSTRIAL, SALUD E HIGIENE OCUPACIONAL Y MEDIO AMBIENTAL PARA LA PAPELERA S.A. REGIONAL COCHABAMBA.</t>
  </si>
  <si>
    <t>reynaclics@hotmail.com</t>
  </si>
  <si>
    <t>IND-482-2011</t>
  </si>
  <si>
    <t>Seguridad, papel, riesgo, identificación y evaluación de riesgos, prevención, medio ambiente, accidentes.</t>
  </si>
  <si>
    <t>Con el Desarrollo del Plan Integral de Seguridad Industrial, Salud e Higiene Ocupacional y Medio Ambiental, se logro prevenir y controlar accidentes y enfermedades ocupacionales, minimizando los riesgos a los que los trabajadores estaban expuestos en sus áreas de trabajo, ya que uno de las principales preocupaciones  fue precautelar el aspecto humano, que es uno de los elementos más indispensables en el desarrollo de toda actividad  y de ello depende el desarrollo de un país; y los activos de la empresa, por lo que La Papelera S.A. regional Cochabamba eligió una política de seguridad para la empresa. Al igual que la protección del medio ambiente ocupo un lugar destacado dentro los objetivos  de la empresa, por lo cual también se desarrollo un Manifiesto Ambiental con el fin de minimizar los desechos que causan perjuicios al sistema ecológico.Primeramente se determino las condiciones actuales de trabajo, a través de la observación, encuestas  y entrevistas, tanto al personal administrativo como a los trabajadores de planta industrial. La identificación de riesgo se la efectuó usando listados de control (checs lists) y análisis preliminar de peligros (Preliminar Hazard Analysis, PHA).Para la evaluación de riesgos se aplico el método de George F. Kinney, luego se propusieron acciones correctivas que ayuden a minimizar los riesgos identificados y evaluados. También se procedió a la medición de los factores de riesgo críticos, en este caso se llego a la conclusión de determinar el nivel de ruido, tanto al interno y como al exterior de la empresa.Luego de tener conocimientos de los riesgos presentes se procedió a desarrollar  el Plan de Seguridad, Salud  e Higiene Industrial y Medio Ambiente para controlar, prevenir y minimizar estos riesgos. Se realizo una serie de propuesta tales como: Propuesta de la organización de la seguridad industrial y medio ambiente, se sugirió la creación de un departamento encargada de esta área. También se ha formulado la política, objetivos y principios, la conformación del comité mixto, y la realización de inspecciones los cuales deben ser registrados; Con la capacitación continua se lograra instruir, educar, concientizar y preparar al trabajador para actuar y proceder en la forma más adecuada ante cualquier situación de emergencia; Con la aplicación de las 5´s se lograra prácticas de trabajo más seguras, y una mayor rentabilidad empresarial; Con el cumplimiento del reglamentó de seguridad industrial se creara un ambiente seguro de trabajo; El uso de equipos de protección personal estos ayudaran a minimizar los riesgos; El manifiesto ambiental es el documento técnico legal que se presentara para informar al municipio de los procedimientos del control ambiental, luego de una evaluación este será aceptado o rechazado y en caso de que sea aceptado este otorgara la declaratoria de adecuación ambiental, que es la licencia ambiental; Con el uso del manual de primeros auxilios se podrán adquirir conocimientos y estar capacitado para intervenir prestando auxilio eficazmente; Con la propuesta de simulacros de incendios se podrá estar preparado para hacer frente, oportuna y eficazmente ante la emergencia; Dentro del estudio también se identifico la señalización necesaria para la advertencia y reconocimiento de las áreas de trabajo.También se realizo la estimación de costos lo que nos permitió establecer que el monto necesario para la implementación del plan. Finamente se procedió a realizar las conclusiones y recomendación del proyecto.</t>
  </si>
  <si>
    <t>https://drive.google.com/file/d/1zaIxte6GzE9gr07F1W6RCfSDVFbtzeP0/view?usp=sharing</t>
  </si>
  <si>
    <t>https://drive.google.com/file/d/1YCVMF5WzENv-4XQDFObpoOL4ZxjoU1RS/view?usp=sharing</t>
  </si>
  <si>
    <t>https://drive.google.com/file/d/1_INbU_jl_mamTR4Zb2n_Vy2e7KXDVzrR/view?usp=sharing</t>
  </si>
  <si>
    <t>SOLEDAD DEL ROCIO GARZÓN ORTEGA</t>
  </si>
  <si>
    <t>MSC. ARQ. DAYYANA CAROLINA GARZÓN ORTEGA</t>
  </si>
  <si>
    <t>PROYECTO DE FACTIBILIDAD PARA LA IMPLEMENTACIÓN DEL SUPERMERCADO SUPERGAR EN LA CIUDAD DE TARIJA.</t>
  </si>
  <si>
    <t>sole_773@hotmail.com</t>
  </si>
  <si>
    <t>IND-483-2011</t>
  </si>
  <si>
    <t>Ingeniería del proyecto, Marketing, Enfoque logístico, Factibilidad, Oferta, Demanda.</t>
  </si>
  <si>
    <t>Objetivo generalDeterminar la Factibilidad para la creación de un supermercado en la ciudad de Tarija, en la provincia de Cercado en base al estudio de mercado, para conocer la demanda insatisfecha de los productos de primera necesidad, la cultura de compra, la competencia, los montos de compra y con la frecuencia con que la realizan.Objetivos específicos1) Analizar los servicios que el supermercado ofrecerá para satisfacer las necesidades de los consumidores 2) Establecer un segmento de mercado para determinar los diferentes grupos de clientes 3) Determinar la demanda insatisfecha existente 4) Analizar los precios de los productos de primera necesidad que se van a ofrecer en el supermercado.5) Diseñar las estrategias de marketing para buscar un mejor posicionamiento y competir con la posible competencia.La metodología empleada es la siguiente: 1)  Diagnostico situacional actual. (Macro y micro localización). 2) Estudio de mercado (oferta, demanda, y demanda insatisfecha). 3) Ingeniería del Proyecto 4) Estudio financiero de los costos  y gastos del proyecto. 4) Evaluación financiera5) Diseño de la estructura de la empresa. Conclusiones Se ha diagnosticando una excelente oportunidad para implementar el supermercado mediante los evaluadores financieros favorables de TIR 76.95%, VAN 2.038.952, C/B 2.62 $ Y PRI 2.23 años. Lo cual debería ser ejecutado por ser un éxito seguro.Recomendaciones1) Utilizarlo de la mejor manera  los Datos Estadísticos 2) Tomar enfoque logístico oportuno y constante 3) Ofertar excelente servicio al cliente, atención permanente y personalizada 4) Dar una imagen de solidez y fortaleza con el objetivo de incrementar la capacidad de ventas.</t>
  </si>
  <si>
    <t>https://drive.google.com/file/d/1LReg9GQqrSUW5bnRkrOhoaPDutmWk9s4/view?usp=sharing</t>
  </si>
  <si>
    <t>https://drive.google.com/file/d/1MbX8HsaKJT6Oq2CnxxYwC0dvGPNWb10e/view?usp=sharing</t>
  </si>
  <si>
    <t>https://drive.google.com/file/d/1c5sYoRjIhTVK7OxGKzY8bvXTinlDlmVv/view?usp=sharing</t>
  </si>
  <si>
    <t>CINTHIA AGUILAR CRUZ</t>
  </si>
  <si>
    <t>PLAN ESTRATÉGICO PARA EMPRESA CREACIONES BOLIVIANITA</t>
  </si>
  <si>
    <t>I-2012</t>
  </si>
  <si>
    <t>coneja_acc@hotmail.com</t>
  </si>
  <si>
    <t>IND-484-2012</t>
  </si>
  <si>
    <t>Plan Estratégico, Piedra Bolivianita, FODA, POA, Mapa de Procesos, Indicadores de Gestión.</t>
  </si>
  <si>
    <t>La empresa Creaciones Bolivianita nace como un sueño de familia, cuyo objetivo fue darle un valor agregado a un recurso natural único en nuestro país, llamado ametrino mas conocido como “la bolivianita “.A gran competencia existente dentro de las pequeñas y medianas empresas hace que la empresa “Creaciones Bolivianita “ se encuentre en una lucha constante por la preferencia de la gente, logrando esto mediante un diagnostico inicial de la empresa; en la cual se determino el problema principal al cual se enfrentaba la empresa y que era la “ falta de planificación en las actividades a desarrollar “ teniéndose como resultado del diagnostico el elaborar un plan estratégico que permita mejorar la competitividad de la empresa.Realizando una entrevista tanto al personal como a la parte administrativa de la empresa se pudo formular la visión de la empresa a través de la cual se pudo determinar los objetivos a largo plazo que debía lograr la empresa en un horizonte de tiempo de 5 años.Para lograr desarrollar este plan estratégico se realizo un análisis interno de la empresa de la cual pudo determinarse las fortalezas y debilidades de la misma, y después de realizar un análisis externo pudo determinarse las oportunidades y amenazas a las cuales se enfrentaba la empresa Estos cuatro factores importantes como son las fortalezas debilidades amenazas y oportunidades permitieron determinar las estrategias con ayuda del FODA y análisis de productos y mercados.Teniendo bien definidas las estrategias se realizo su evaluación para poder determinar cuales serian las más sobresalientes con ayuda de la matriz cuantitativa de la planificación estratégica Para cada una de estas estrategias se evaluó las posibles reacciones de los agentes afectados, formulándose para ellos estrategias preventivas, reactivas y cautelares.Terminado este análisis se procedió a formular el plan estratégico basado en las estrategias planteadas, el cual se desgloso en líneas estratégicas y las mismas en actividades tomando en cuenta para los mismos horizontes de tiempo, responsables objetivos, etc. Por ultimo se procedió a una evaluación financiera la misma que permitió considerar el escenario con proyecto y el escenario sin proyecto del cual se pudo determinar los beneficios cuantitativos de la implementación del plan.</t>
  </si>
  <si>
    <t>https://drive.google.com/file/d/1La74LZsbvmsez5T_Uuw193zp58gRTz4R/view?usp=sharing</t>
  </si>
  <si>
    <t>https://drive.google.com/file/d/17RbwRDrZuv4QMyez7rOiITuTZ7jHXIEZ/view?usp=sharing</t>
  </si>
  <si>
    <t>https://drive.google.com/file/d/1xY-u6cF6b75kjBzouhvODv9zrETcCj0y/view?usp=sharing</t>
  </si>
  <si>
    <t>DAYANA SÁNCHEZ POZO</t>
  </si>
  <si>
    <t>PLAN DE NEGOCIOS PARA LA AMPLIACION DE SERVICIOS DE REPARACION Y           MANTENIMIENTO DE EQUIPOS ELECTRONICOS Y DIGITALES DEL HOGAR PARA LA EMPRESA SISTEC (SISTEMAS TÉCNICOS ELÉCTRICOS).</t>
  </si>
  <si>
    <t>DANA_DIANA17@hotmail.com</t>
  </si>
  <si>
    <t>IND-485-2012</t>
  </si>
  <si>
    <t>SISTEC, Cercado-Cochabamba, plan de negocios, servicio de reparación y mantenimiento, penetración de mercado, mercado potencial, inversión y rentabilidad</t>
  </si>
  <si>
    <t>En la provincia Cercado de Cochabamba existen empresas de reparación de equipos  eléctricos y digitales para el hogar, pocas son las que ofrecen servicio de calidad con un precio acorde al daño del equipo y que tenga compromiso de entrega. El problema planteado para el plan de negocios es: ¿Sera factible la ampliación del servicio de reparación y mantenimiento a clientes con equipos eléctricos y digitales del hogar fuera de garantía de fábrica en la provincia Cercado del departamento de Cochabamba?El objetivo general es elaborar un Plan de Negocios para la ampliación de servicios de reparación y mantenimiento de equipos eléctricos y digitales del hogar para la empresa SISTEC. SISTEC (Sistemas Técnicos Eléctricos) es una empresa de servicios de mantenimiento correctivo de equipos electrónicos de usos domésticos y profesional, dedicada a la reparación  y mantenimiento de equipos electrónicos, audio y video. El mercado potencial es el total de personas entre 20 a 69 años del Cercado del departamento de Cochabamba. Durante el primer año se aplicara una estrategia de penetración en el mercado por medio de un esfuerzo publicitario con el propósito de captar clientes e iniciar el posicionamiento de la marca.El Plan de Negocios para SISTEC requiere una inversión de 187,373 Bs. de los cuales el 51% estará financiado por una entidad financiera, se estiman las ventas para el primer año de 516,000 Bs., realizado el flujo de caja se obtiene un VAN de 315,535, TIR 56,73% y un RBC de 2,3 Bs., demostrando la rentabilidad del proyecto.Se concluye que la principal ventaja del proyecto es: el mercado de servicio técnico de reparación y mantenimiento de aparatos eléctricos fuera de garantía en el Cercado de Cochabamba, tiene potencial debido al crecimiento de la población. Las principales desventajas son: Precios bajos e imagen negativa de incumplimiento en reparaciones. Finalmente se recomienda la ejecución e implementación del presente plan de negocios debido a la rentabilidad del mismo.</t>
  </si>
  <si>
    <t>https://drive.google.com/file/d/1jE9EbvKp-xraRZsDL5HpXN3mJbBB5ZN3/view?usp=sharing</t>
  </si>
  <si>
    <t>https://drive.google.com/file/d/1FDsL-oaDFEy0C7xYVEj5pQq8-3YLBi0U/view?usp=sharing</t>
  </si>
  <si>
    <t>https://drive.google.com/file/d/1ffaVWeuvAzkZ2KANWnbKAz6jUmG3h_jT/view?usp=sharing</t>
  </si>
  <si>
    <t>NATALY SÁNCHEZ COCA</t>
  </si>
  <si>
    <t>EVALUACIÓN DE CUMPLIMIENTO PARA LA IMPLEMENTACIÓN DEL PROGRAMA IOSA (IATA OPERATIONAL SAFETY AUDIT) EN LA GERENCIA DE MANTENIMIENTO DE BOA</t>
  </si>
  <si>
    <t>S_nataly8@hotmail.com</t>
  </si>
  <si>
    <t>IND-486-2012</t>
  </si>
  <si>
    <t>Evaluación de cumplimiento, Implementación, Programa IOSA (Auditoría de Seguridad Operacional de la IATA), ISM (Manual de Estándares IOSA), Gerencia de Mantenimiento de Boliviana de Aviación, Procedimientos, Acción Correctiva, Auditoría Interna, Planificación, Certificación.</t>
  </si>
  <si>
    <t>La Gerencia de Mantenimiento es la primera de los distintos departamentos de la Empresa, Pública, Nacional, Estratégica Boliviana de Aviación (BoA) en implementar el Programa IOSA (Auditoría de Seguridad Operacional de la IATA), con el cual se proyecta consolidar a BoA, aumentar su participación en el mercado de transporte aéreo internacional y accediendo a sus beneficios.IOSA ofrece un programa estandarizado de auditoría de la gestión operacional y los sistemas de control de las aerolíneas, basado en estándares y prácticas recomendadas, los cuales son reconocidos internacionalmente y respaldados por un proceso de garantía de calidad riguroso, con el fin de prestar servicio a la industria de las aerolíneas en el sentido de mejorar las operaciones a nivel internacional, reducir el número de auditorías operacionales y poder realizar alianzas comerciales con otras aerolíneas con Registro IOSA.Este Proyecto tiene como objetivo  realizar una evaluación de cumplimiento para la implementación del Programa IOSA (Auditoría de Seguridad Operacional de la IATA) en la Gerencia de Boliviana de Aviación -BoA-Primeramente, tuvieron que efectuarse las listas de verificación a partir de los estándares y prácticas recomendadas de la sección 4 de Ingeniería y Mantenimiento del Manual de Estándares IOSA.  A partir de estas listas se realizó la evaluación de cumplimiento de la Gerencia de Mantenimiento; obteniendo un 74% de cumplimiento general. De esta manera se determinaron los puntos de mejora, las fortalezas de estos puntos, sus causas y finalmente sus acciones correctivas. Esto para lograr la implementación del Programa IOSA en la Gerencia de Mantenimiento.Posteriormente se elaboró la Tabla de Referencia Cruzada, la cual muestra los capítulos y secciones de la documentación de la Gerencia que hacen alusión a los 119 ISARP que se deben cumplir para la implementación del Programa.Por último se efectuó la propuesta de implementación del Programa IOSA en los demás departamentos de BoA a los que aplica el programa, donde se elaboraron los procedimientos de auditoría interna y acción correctiva. Asimismo se realizó la planificación  a seis meses para la implementación específica de la Gerencia de Mantenimiento en base a las acciones correctivas detectadas, la cual esta dividida en cuatro etapas que presentan sus actividades correspondientes. En estas cuatro etapas se desarrollaron las propuestas de implementación de la subsección 1 de Dirección y Control, la subsección 2 de Control de Mantenimiento, la subsección 4 de Organizaciones de Mantenimiento y finalmente en la cuarta etapa se propuso una verificación de la implementación.Cabe indicar que se logró el objetivo planteado ya que muchos de los requisitos de Ingeniería y Mantenimiento de Aeronaves ya están implementados, permitiendo a la Gerencia de Mantenimiento estar lista para la certificación a IOSA.Con la implementación del Programa IOSA se puede mejorar la eficiencia y seguridad operacional tanto en la Gerencia de Mantenimiento como en los demás departamentos de BoA. Asimismo la certificación a IOSA es una ventaja competitiva, porque se puede acceder a una mayor y mejor cantidad de mercados altamente lucrativos, dado los beneficios que este programa ofrece.Finalmente se recomienda realizar evaluaciones de cumplimiento periódicas, utilizando los procedimientos de auditoria interna y acción correctiva para mantener la consecución del Programa IOSA en la empresa y de esta manera al cabo de los dos años de registro, renovar el mismo; con el objetivo de mantener los beneficios que conlleva el Programa y así tener un crecimiento continuo en el mercado internacional.</t>
  </si>
  <si>
    <t>https://drive.google.com/file/d/1djSu6mP9CkptVbgGZRZbQmhkKsX5R6F4/view?usp=sharing</t>
  </si>
  <si>
    <t>https://drive.google.com/file/d/1gKCLg3AvuQ4hZqIuIWsfAO5rQHSm23no/view?usp=sharing</t>
  </si>
  <si>
    <t>https://drive.google.com/file/d/129bwzIIJFux7kKU1w8ScW8tpwqSBB6aV/view?usp=sharing</t>
  </si>
  <si>
    <t>PAOLA ANDREA RIVERA ARANCIBIA</t>
  </si>
  <si>
    <t>ESTUDIO DE FACTIBILIDAD PARA LA PRODUCCIÓN DE TÉ BLANCO PARA LA EMPRESA AGROTÉ EN EL TRÓPICO DE COCHABAMBA</t>
  </si>
  <si>
    <t>rivera_paola22@yahoo.com</t>
  </si>
  <si>
    <t>IND-487-2012</t>
  </si>
  <si>
    <t>brotes de Camellia Sinensis, secado de té, té.</t>
  </si>
  <si>
    <t>La necesidad de haber realizado el estudio fue ver la posibilidad de introducir al mercado Cochabambino un nuevo producto por parte de la empresa AGROTÉ, dentro sus productos de marca “Té Chapare”, de tal forma que el nuevo producto, el té blanco, pueda ofrecer al consumidor una buena alternativa para su dieta alimentaria y favorecer al organismo, de manera tal, que su obtención repercuta  desde los proveedores de materia prima, así también en los que lo transforman en el producto final, dando lugar a un incremento de fuentes de empleo y ganancia de recursos económicos de ambos sectores incluida la empresa.El producto fue elaborado a partir de los brotes del Camellia Sinensis, tomando en cuenta los insumos  adicionales y procesos requeridos para su consolidación como té blanco.El 91% de la población comprendida en la provincia Cercado del Departamento de Cochabamba, dentro del área urbana, consumen té en cualquiera de sus variedades, por lo la población objetivo será considera dentro de este grupo. El precio del producto será de 11, 20 y 33 bolivianos, esto de acuerdo a las diferentes presentaciones de las cajas de 20, 50 y 100 unidades de bolsitas de sopar respectivamente, y en la presentación a granel con un precio de 16 y 31 bolivianos para las cajas de 50 y 200 gr respectivamente.La empresa elaborará 1.574.137 saquitos filtrantes y 3.260.712 gr., en las presentaciones a granel el primer año de producción.La evaluación financiera, mostro que el producto es viable siempre y cuando los concentrados a aplicar cumplan con las exigencias necesarias. La empresa adquirirá equipos y maquinaria de acuerdo con las características necesarias para la producción del té blanco, por lo que se analizo las inversiones de activo fijo, activo diferido y se consideró las depreciaciones correspondientes para cada activo.En la evaluación financiera con financiamiento realizada, se pudo constatar que el proyecto es rentable, reportando los siguientes resultados:VAN = 19.978,59 $usTIR =  20%B/C = 1,37En el análisis de sensibilidad del proyecto se obtuvo los siguientes resultados:Ø  La disminución del 5% del precio de venta de los productos del proyecto, genera un VAN de -17.298,73, una TIR de 11% y una relación B/C de 1,30.Ø  La disminución volumen de ventas en un 13% durante la vida útil del proyecto, genera un VAN de -76.942.45 $us, una TIR es de -4% y una relación B/C de 1,19.Ø  El costo de la materia prima incrementado en un 10%, genera un VAN igual a -5.198,31 $us, una TIR de 14% y una relación  B/C  de 1,32.Al ver los resultados de los anteriores análisis se puede observar que al generarse tales situaciones o escenarios donde los valores cambian el proyecto corre un gran peligro puesto que genera valores que no son atrayentes desde el punto de vista de inversión.</t>
  </si>
  <si>
    <t>https://drive.google.com/file/d/1p0GRITe6VdUWzB6DDxVwbig1NAblP07H/view?usp=sharing</t>
  </si>
  <si>
    <t>https://drive.google.com/file/d/1nprCZASJmaWCcqf4ceGp2GIP2ZPyolBo/view?usp=sharing</t>
  </si>
  <si>
    <t>https://drive.google.com/file/d/1TPBJJ5e3m66TPSuEhhiTYhPIoYkODdxu/view?usp=sharing</t>
  </si>
  <si>
    <t>IVANNA CECILIA PALENQUE CLAVIJO</t>
  </si>
  <si>
    <t>PLAN DE NEGOCIOS PARA EL CENTRO DE DISEÑO Y MODELAJE PARA LAS EMPRESAS MANUFACTURERAS DE CALZADO DEL CLÚSTER DEL CUERO COCHABAMBA</t>
  </si>
  <si>
    <t>ivanna_palenque@yahoo.com</t>
  </si>
  <si>
    <t>IND-488-2012</t>
  </si>
  <si>
    <t>Clúster del Cuero Cochabamba, Unidad de Transferencia de Tecnología, Centro de Diseño y Modelaje, Plan de Negocios, Diagnóstico Interno y Externo, Manufactura de Calzados.</t>
  </si>
  <si>
    <t>El Clúster del Cuero Cochabamba, nace en el año 2008 gracias a la iniciativa de la Agencia Oficial Sueca de Innovación que junto a la Universidad Mayor de San Simón forman el proyecto INNOVA-UMSS dedicado a promover el desarrollo de conglomerados productivos en la región. El Clúster del Cuero Cochabamba agrupa a empresas de los rubros: curtiembres, marroquineras, manufactura de calzados y demás relacionados con el cuero y su proceso. El sector de manufactura de calzados está en su mayoría conformado por pequeñas  empresas quienes presentan falencias a nivel de tecnología pues no cuentan con el requerimiento de capital necesario para la inversión individual, se identificó una gran debilidad en el proceso del diseño y modelaje que genera grandes problemas reflejadas en la baja competitividad del sector frente a las empresas líderes en la región; de ahí que nace la idea de realizar un Plan de Negocios para la creación de un Centro de Diseño y Modelaje para este sector manufacturero, del Clúster.En primera instancia se realizó un diagnóstico interno y externo de la situación en la que se desenvuelve el Clúster del Cuero, encontrando una posición desfavorable para el mismo.Luego se realizó un plan de mercado en el que se definió el mercado meta para el Centro, posteriormente se utilizó las cuatro variables del marketing mix para describir el plan de introducción al mercado, la distribución, la fijación y política de precios, entre otros aspectos.Se realizó un plan de operación donde se definió el equipamiento necesario para un pleno desenvolvimiento del Centro y los detalles inherentes al software a ser utilizado, se realizó así mismo la localización del proyecto con la ayuda del método de puntajes ponderados, encontrando dos alternativas posibles, la primera en predios de la UMSS y la segunda en la zona central del departamento.Fue necesaria la realización de un plan de organización donde se delineo la misión y cultura organizacional del Centro así como su organización, la constitución legal del Centro y el personal necesario para su funcionamiento. A continuación se realizó la planificación de la puesta en marcha y ejecución del plan de negocios encontrando la ruta crítica del mismo.Finalmente se realizó la evaluación financiera para determinar la rentabilidad del proyecto en sus dos alternativas, encontrando que la alternativa que ofrece beneficios es la primera que corresponde a la primera ubicación en predios de la UMSS.</t>
  </si>
  <si>
    <t>https://drive.google.com/file/d/1SkMXFjYHm0HWvjIkeiX7RYYDDxzw8_62/view?usp=sharing</t>
  </si>
  <si>
    <t>https://drive.google.com/file/d/1jay1miTkB7P_V124ELdexwO646R09gne/view?usp=sharing</t>
  </si>
  <si>
    <t>https://drive.google.com/file/d/1xtPFZ0F5hRZGCnnDmO_4-Gop3HKKLdou/view?usp=sharing</t>
  </si>
  <si>
    <t>JHIMMY GONZALO MORALES REVOLLO</t>
  </si>
  <si>
    <t>IMPLEMENTACIÓN DE PROCEDIMIENTOS DE VERIFICACIÓN A INSTRUMENTOS DENTRO LA GERENCIA SECTORIAL DE INSTRUMENTACIÓN Y CONTROL DE PROCESOS EN LA REFINERÍA GUALBERTO VILLARROEL – Y.P.F.B. REFINACIÓN S.A.</t>
  </si>
  <si>
    <t>jhimmymr86@hotmail.com</t>
  </si>
  <si>
    <t>IND-489-2012</t>
  </si>
  <si>
    <t>Verificación, Calibración, Manómetros, Vacuómetros, Manovacuómetros, Balanzas, Multímetros Digitales, PHmetros Digitales, Termopares, Termómetros de Columna de Liquido.</t>
  </si>
  <si>
    <t>La Gerencia Sectorial de Mantenimiento de Instrumentación y Control de Procesos de la Refinería Gualberto Villarroel – Y.P.F.B. REFINACIÓN S.A. vió por conveniente realizar la implementación de procedimientos de Verificación y/o Calibración a instrumentos que se encuentran a su cargo, manteniendo de esta manera, procedimientos adecuados a instrumentos que se encuentran dentro del proceso productivo de la empresa, con el fin de poder afrontar en un futuro cambios y desafíos tecnológicos, cumplir con Requisitos Legales y Otros Requisitos dentro de la empresa y poder responder a observaciones realizadas por la Agencia Nacional de Hidrocarburos (ANH).Primeramente se trato de demostrar los beneficios que traería la calibración y las necesidades de porque es bueno calibrar un equipo, luego se demostró las consecuencias cuando no se calibra un equipo o instrumento y de que manera repercute dentro de las instalaciones, personal, alrededores y medio ambiente.A continuación, se realizó un diagnóstico de la situación actual en la que se encontraban los instrumentos dentro la Gerencia Sectorial de Mantenimiento de Instrumentación y Control de Procesos, y se pudo extraer ciertos criterios para poder realizar una selección de instrumentos a los que se realizaría procedimientos de verificación que involucraran variables del tipo sistemático y aleatorio. Después de dicha evaluación, se seleccionó a instrumentos tales como, Manómetros, Vacuómetros, Manovacuómetros, Balanzas, PHmetros Digitales, Multímetros Digitales, Termómetros de Columna de Líquido y Termopares.Una vez obtenidos los Procedimientos de Verificación, se empezó a utilizar cada uno de ellos a su respectivo instrumento, con el fin de mejorar cada una de las contribuciones involucradas en cada procedimiento y ajustar de manera adecuada la incertidumbre típica combinada resultante de la evaluación de la misma, logrando así, la implementación periódica de cada uno de los Procedimientos de Verificación.Por ultimo se estimó los gastos Pre Operativos y gastos Operativos que involucraría la verificación de instrumentos, contemplando de esta manera, instalaciones para realizar las verificaciones, equipos patrones, capacitación a personal, logrando concluir que los beneficios y ahorros económicos son interesantes.</t>
  </si>
  <si>
    <t>https://drive.google.com/file/d/1sbFw4RwUuvnKseXrmwReAHIyseWnCUTl/view?usp=sharing</t>
  </si>
  <si>
    <t>https://drive.google.com/file/d/1jcC2Qst9vkyBC2wbE75v_2b_UZBvBknh/view?usp=sharing</t>
  </si>
  <si>
    <t>https://drive.google.com/file/d/1PYzHDPf0hzMEz0nH7pUuyh8bgxPe9YgT/view?usp=sharing</t>
  </si>
  <si>
    <t>MIRIAN ISABEL HERBAS ANTELO</t>
  </si>
  <si>
    <t>DISEÑO DE UN SISTEMA DE CONTROL DE CALIDAD BASADO EN LAS NORMAS NB-1211001(LADRILLOS CERAMICOS-CLASIFICACION Y REQUISITOS) Y NB 1211002 (LADRILLOS CERAMICOS- METODOS DE ENSAYO) PARA LA EMPRESA CIMCO LTDA</t>
  </si>
  <si>
    <t>angel_db03@hotmail.com</t>
  </si>
  <si>
    <t>IND-490-2012</t>
  </si>
  <si>
    <t>Ladrillos cerámicos- Ladrillos huecos- clasificación y requisitos. NB-1211002 (Ladrillos cerámicos-métodos de ensayo), procedimientos y registros</t>
  </si>
  <si>
    <t>Se efectuó un diagnostico de la situación actual de CIMCO Ltda. Se diseñó la gestión documental en la base de las normas NB-1211001 (Ladrillos cerámicos- Ladrillos huecos- clasificación y requisitos) y NB-1211002 (Ladrillos cerámicos-métodos de ensayo), procedimientos y registros, 3) Estructurar los métodos para el control de calidad, en base a la NB-1211002 (Ladrillos cerámicos-métodos de ensayo). Se proporcionó principios para la Identificación, evaluación y tratamiento de producto no conforme. Y se realizó el análisis los costos de la  implementación del sistema de control de calidad.Se utilizo la técnica de la recopilación de información. Diagnostico de la situación inicial, desarrollo documental, determinación de puntos de control proceso productivo, simulación de estrategias causa-efectoSe obtuvo los siguientes resultados: dotar a la empresa de un diseño documental en base a las normas técnicas NB 1211001, NB 1211002 Y reglamento de la certificación del producto en base a los puntos de la ISO 9001.Finalmente se elaboró toda la documentación necesaria en base a una estructura documental 2) Se realizo la cotización de equipos y materiales necesarios para la puesta en marcha de las pruebas descritas en la norma 1211002, así también se elaboro el Lay-Out del Laboratorio de Control de calidad</t>
  </si>
  <si>
    <t>https://drive.google.com/file/d/1Sp54r5nvYiQ_LNZB-MNq9l0UAP323CwC/view?usp=sharing</t>
  </si>
  <si>
    <t>https://drive.google.com/file/d/1K5s7EBBtCafQbbTVXCSOIj0VYoJakVpN/view?usp=sharing</t>
  </si>
  <si>
    <t>https://drive.google.com/file/d/1cz0EAWpP186kUTuKTKQWg0Wv51J02-yB/view?usp=sharing</t>
  </si>
  <si>
    <t>JHOVANA CÉSPEDES BALDERRAMA</t>
  </si>
  <si>
    <t>FIORILO BRAVO VANESSA</t>
  </si>
  <si>
    <t>ING. PÉREZ POZO HAROLD FRANK</t>
  </si>
  <si>
    <t>ESTUDIO DE FACTIBILIDAD PARA EL TRASLADO Y AMPLIACIÓN DE LA CAPACIDAD DE PRODUCCIÓN EN LA EMPRESA MADERVAF S.R.L.</t>
  </si>
  <si>
    <t>jhovy_0386@hotmail.com</t>
  </si>
  <si>
    <t>IND-491-2012</t>
  </si>
  <si>
    <t>Estudio de Factibilidad, Traslado y Ampliación de la Producción.</t>
  </si>
  <si>
    <t>En el presente estudio se vio por conveniente realizar un estudio de factibilidad que tiene como objetivos realizar el traslado y ampliación de la capacidad de producción en la empresa “MADERVAF” S.R.L. en el lapso de 5 años de vida del proyecto.Se realizó un Diagnostico a la empresa obteniendo información necesaria del proceso de productivo, ambientes y condiciones en la que realiza el trabajo.Se realizó dos encuesta una dirigida a los clientes potenciales de la clase media alta y alta de la ciudad de Cochabamba se obtuvo información sobre las preferencias que tienen en el momento de realizar el pedido, se realizo otra encuesta a la competencia de la empresa, esta brindo información sobre las ventajas y desventajas que tienen la empresa frente a la competencia.Para incrementar la capacidad de producción se propuso la compra de dos maquinarias una moldurera de cuatro cabezales que sustituirá en el proceso productivo a 3 maquinarias una tupi,  cepilladora o garlopa y grueseadora y una despuntadora que sustituirá a tres maquinas, una escuadradora y  cierra wincha,y una perforadora de esta forma se podrá ampliar la capacidad de producción y cubrir la demanda insatisfecha que existe en la empresa “MADERVAF” S.R.L.Para la localización se identificó lugares cuyos servicios y condiciones satisfacen los requisitos para el traslado de la empresa, se analizaron factores  cualitativos y cuantitativos que incidieron en la decisión para instalar la empresa en la zona oeste específicamente en la primera sección de Quillacollo, distrito 8 el Paso, se ubicó un terreno con todos los requerimientos necesarios para el traslado de la empresa.Se determinó la organización según el tamaño de recursos humanos de la empresa proponiendo una estructura organizativa y un operador en mano de obra indirecta (secretaria), además un anual de funciones según las tareas, responsabilidades, características de cada cargo, atributos, requisitos, seguridad y riesgo para cada uno de los operarios.En el impacto ambiental se analizó las condiciones de contaminación auditiva dentro y fuera de la empresa, además según las categorías del Reglamento Ambiental para el Sector  Industrial Manufacturero (RASIM), la empresa se ubicó en la categoría 3 y está obligado a presentar un Plan de Manejo Ambiental (PMA), realizándose también criterios básicos de seguridad industrial y acciones correctivas de seguimiento.En la evaluación financiera se determinó las inversiones fijas, diferidas y el capital de trabajo requeridas para la ampliación y ubicación de la empresa “MADERVAF” S.R.L. el financiamiento será realizado por  del banco económico con una tasa de 8,5% anual a diez años plazo, se realizó un estado de resultados sin financiamiento y con financiamiento, el flujos de caja con financiamiento generó una TIR de 18% y sin financiamiento una TIR de 21% y el flujo de caja ambas tasas son mayores a la tasa mínima atractiva de retorno que se considero del 15%, con esta tasa se calculo el valor actual neto positivo dando como resultado que el proyecto es rentable.</t>
  </si>
  <si>
    <t>https://drive.google.com/file/d/1VZSA8uqhIHnUbb1J6iTjiauEApGhzYkD/view?usp=sharing</t>
  </si>
  <si>
    <t>https://drive.google.com/file/d/1EPHMn9tNhFujqEumu9Wt5EnXMr-Fgm9m/view?usp=sharing</t>
  </si>
  <si>
    <t>https://drive.google.com/file/d/1YODEQb5M4ofSXljrE8mk4PNbHAghXAZT/view?usp=sharing</t>
  </si>
  <si>
    <t>LIZA PAOLA RAMIREZ LOPEZ</t>
  </si>
  <si>
    <t>MODELO DE PLANIFICACIÓN Y CONTROL EN LA PRODUCCIÓN PARA LA LÍNEA DE CUERO DE LAGARTO DE LA EMPRESA CIENSA LTDA.</t>
  </si>
  <si>
    <t>liza_p_@hotmail.com</t>
  </si>
  <si>
    <t>IND-492-2012</t>
  </si>
  <si>
    <t>Planificación de Requerimiento de Materiales (MRP), Inventario, faeneo, IBCE, predio, veda, Programa Nacional de Conservación y Aprovechamiento Sostenible del Lagarto.</t>
  </si>
  <si>
    <t>Inicialmente se realizo la recopilación de los datos mediante entrevistas, por razón de estas y observación directa se decidió elaborar un Modelo de Planificación y Control en la Producción para la Línea de Cuero de Lagarto de CIENSA LTDA. y se procedió a desarrollar la descripción del proceso productivo.Posteriormente se realizó el diagnostico y análisis de la capacidad, en el cual se determinó la situación actual de la empresa y se realizó un análisis FODA, obteniendo siete estrategias para desarrollarse, se elaboró una matriz cuantitativa de planificación estratégica de la cual se logró determinar que la propuesta de realizar un plan de producción que elimine desperdicios y que coordine la planificación de requerimiento de materiales era la estrategia con mayor ponderación, demostrando la elaboración del proyecto.Después se realizó el análisis de la demanda, se obtuvo información sobre la materia prima en Bolivia, consiguiendo datos pasados tanto de la empresa como de la demanda a nivel nacional en los anteriores años, con la información se determinaron las cantidades que cada año la empresa logra obtener en materia prima. Se procedió a realizar la planificación del requerimiento de los materiales el que se desarrollaron la lista de materiales, el plan agregado de producción, la explosión de las necesidades, el control de la capacidad junto con los costes totales de emisión de pedidos, las salidas del MRP, la toma de decisiones junto a una ficha de control de insumos.El siguiente paso fue identificar las actividades innecesarias en el proceso productivo y sus respectivas causas, se verificó mediante estudio de tiempos y distancias. Se formularon propuestas para la eliminación y/o disminución de los desperdicios junto con el análisis de beneficio costo.Finalmente se consiguió elaborar el modelo de planificación de requerimiento de materiales y disminución de tiempos en el proceso productivo junto con reducción de distancias y una nueva distribución de planta.</t>
  </si>
  <si>
    <t>https://drive.google.com/file/d/1qaKrU3RRqj83YdhKg_CEVXsj6ztdfC8G/view?usp=sharing</t>
  </si>
  <si>
    <t>https://drive.google.com/file/d/1zDMr-5gqUCMrDccWVme2CqYs4Qxj5H7-/view?usp=sharing</t>
  </si>
  <si>
    <t>https://drive.google.com/file/d/1fB6E-R3KCl6z0joAuVveLZ_xImP5I_BZ/view?usp=sharing</t>
  </si>
  <si>
    <t>AMAUTA MEDINA MONTAÑO</t>
  </si>
  <si>
    <t>PLAN DE SEGURIDAD E HIGIENE OCUPACIONAL PARA LA PLANTA BIMBO DE LA CORPORACIÓN INDUSTRIAL DILLMANN CORDILL S.A.</t>
  </si>
  <si>
    <t>amautamm@gmail.com</t>
  </si>
  <si>
    <t>IND-493-2012</t>
  </si>
  <si>
    <t>Plan de Seguridad, Higiene Ocupacional, Identificación de Peligros, Evaluación de Riesgos.</t>
  </si>
  <si>
    <t>La planta Bimbo de la Corporación Industrial Dillmann es la encargada de elaborar día a día diferentes tipos de panes como ser, pan molde, pan de hamburguesa, pan integral, pan para panchito, además de otros productos estacionales como ser, panetones, roscas navideñas y biscochos. La necesidad de haber realizado el Plan de Seguridad e Higiene Ocupacional, parte de los accidentes laborales que sufren los trabajadores de la Planta Bimbo, debido a la falta de  condiciones seguras de trabajo, condiciones de los ambientes de trabajo, ruido, iluminación y temperatura a los cuales están expuestos los trabajadores, además de capacitaciones y simulacros en temas de seguridad e higiene ocupacional.Es por eso que en primera instancia se realizo un diagnostico de la empresa y la planta Bimbo respecto a la seguridad e higiene ocupacional, utilizando técnicas como la observación, encuestas, Entrevistas para determinar el estado de las maquinarias, instalaciones, equipos de protección personal, ropa de trabajo y condiciones ambientales a los cuales se encuentran expuestos los trabajadores. Una vez realizado el diagnostico y con los resultados del mismo, se procedió a realizar el análisis de la planta Bimbo utilizando la metodología espina de pescado, tomando como problema central los ACCIDENTES LABORALES, el análisis nos permitió determinar cuáles son los factores que llevan a que los trabajadores sufran accidentes laborales en Bimbo. Factores como ser falta de mantenimiento preventivo de resguardos de maquinarias, niveles de ruido elevado, iluminación deficiente, falta de capacitación en temas de seguridad e higiene ocupacional entre otros.Realizado el diagnostico y análisis de la planta Bimbo, se procedió a identificar los peligros que generan los diferentes riesgos ocupacionales, utilizando la metodología general para la identificación de peligros y evaluación de riesgos. Además de la metodología de los mapas de riesgos que gracias a su representación gráfica nos identificar de una manera más apropiada donde se encuentran ubicados los riesgos ocupacionales en Bimbo. Los Mapas Corporales Ocupacionales que gracias a su representación gráfica del cuerpo humano, nos permitió identificar cuáles son los sistemas en el organismo que son afectados por los riesgos ocupacionales.Una vez que se logro identificar los riesgos ocupacionales a los cuales se encuentran expuestos los trabajadores, se procedió a la evaluación de los mismos, utilizando la metodología RMPP (Risk Management and Prevention Program, Administración del Riesgo y Programa de Prevención), que consiste en determinar la probabilidad de que los riesgos ocurran y  la consecuencia de los riesgos una vez que estos ocurran, asignando valores numéricos a ambos. Una vez determinado la probabilidad y consecuencia se procede a la multiplicación de los mismos con la que se determina la  gravedad del riesgo, la misma que se cataloga en diferentes niveles como ser intolerable, Significativo, moderado o poco significativo, según los valores numéricos de la gravedad del riesgo.Realizada la evaluación de riesgos, se procedió a realizar, mediciones de ambientes de trabajo determinando el nivel de ruido en dB, Iluminación en LUX, y temperatura en °C para tener datos exactos de las condiciones ambientales a las que se encuentran expuestos los trabajadores.    Una vez realizado la identificación de Peligros, evaluación de riesgos, mediciones de ambientes de trabajo, se procedió a determinación de medidas control para todos los riesgos ocupacionales anteriormente determinados, para lo cual se vio por conveniente que debería existir un encargado de la seguridad e higiene ocupacional en la empresa, para la cual se realizo la estructuración  de un departamento de seguridad e higiene ocupacional, el mismo que estará encargado de hacer cumplir y llevar a cabo el plan de seguridad para la planta Bimbo. También se elaboró un programa de capacitaciones en temas de seguridad industrial, higiene ocupacional, lucha y combate contra Incendios, primeros auxilios y capacitaciones en manejo defensivo para la parte de distribución de Bimbo. Para apoyar las capacitaciones se elaboró un manual de seguridad e higiene ocupacional, primeros auxilios, plan de emergencias, manual de higiene y sanitización, manual de manejo defensivo, los cuales aparte de apoyar a las capacitaciones, serán una guía de las acciones que deberán realizar los trabajadores de Bimbo para actuar de una manera pro – activa con la seguridad. Se determino cuales son las maquinarias, equipos y herramientas que necesitan un mantenimiento correctivo de su sistema de seguridad, además de la determinación de resguardos de maquinarias para aquellas que no cuentan con los mismos.Se determino la cantidad necesaria de equipos contra incendios mismos que llegan a ser 3 extintores de tipo BC, además de un sistema contra emergencias.En las secciones donde la evaluación de riesgos y las mediciones de ambiente dio como resultado iluminación deficiente debido a la mala distribución de las luminarias se realizó la redistribución de la misma con el fin de satisfacer los niveles de lúmenes requeridos.Se realizó la determinación de los equipos de protección personal necesarios,  además de la señalización tanto de obligación, advertencia, salvamento y puestos de trabajo y demarcación vial. Una vez determinada las medidas de control, elaboró los costos para la implementación del Plan de Seguridad e Higiene Ocupacional obteniendo un monto de 16540 Bs. (Dieciséis mil quinientos cuarenta Bolivianos.), una vez determinado los costos para la implementación del plan se determinaron los costos para el funcionamiento del plan en los próximos 5 años, los costos para el primer año son 42828 Bs, para el segundo año 9836 Bs, para el tercer año 10276 Bs, para el cuarto y quinto año 10586 y 10526 Bs, respectivamente.Con las medidas de control propuestas se pretende disminuir y/o eliminar los riesgos ocupacionales existentes en la planta Bimbo, para lo cual se recomendó a la empresa realizar la implementación del plan de seguridad e higiene ocupacional, contratar a un jefe de seguridad para dar continuidad a la seguridad en la planta Bimbo.</t>
  </si>
  <si>
    <t>https://drive.google.com/file/d/15DuoQocetFlsX-ClEEoZ-u_2_lGV-yUO/view?usp=sharing</t>
  </si>
  <si>
    <t>https://drive.google.com/file/d/1NhxgbLzqUJvCk2xeEXlyiYjMBi4m-Tt_/view?usp=sharing</t>
  </si>
  <si>
    <t>https://drive.google.com/file/d/1OyxZwLzujzm1UK25YfLEf5UXuXWc0-1K/view?usp=sharing</t>
  </si>
  <si>
    <t>JENNY DANIELA ZURITA QUIROGA</t>
  </si>
  <si>
    <t>ING. EVELYN RIOS</t>
  </si>
  <si>
    <t>OPTIMIZACIÓN DEL CONTROL DE CALIDAD DEL PROCESO DE FORMADO DE PRODUCTOS EN LA FÁBRICA CIMCO LTDA.</t>
  </si>
  <si>
    <t>IND-494-2012</t>
  </si>
  <si>
    <t>Complejo Industrial de materiales de construcción, Calidad, Optimización, Plan de mejora, Control en línea de producción, Capacitación.</t>
  </si>
  <si>
    <t>El objetivo principal del presente trabajo era mejorar el control de calidad en el proceso de formado de   los productos L6-H (Ladrillo de 6 huecos cuadrados) y L6-E (Ladrillos de 6 huecos redondos) de la fábrica CIMCO Ltda.CIMCO Ltda. es una fábrica dedicada a la producción de ladrillos, tejas y complementos de construcción  donde se identificó como problema central la falta de control durante la línea de producción antes de transportar el ladrillo a los hornos.Se controló diariamente la dimensión de los ladrillos, el peso, se clasificó y contó los ladrillos secos dañados como también los ladrillos húmedos defectuosos a ser reprocesados. Por último se comprobó la veracidad de los registros presentados por el encargado de producción a la jefatura.Después de determinar la situación actual de la empresa se procedió a identificar las áreas donde era necesario tener mejoras, para luego utilizar el método diagrama de causa y efecto para analizar las causas de los problemas encontrados; y el método de Análisis modal de fallas y efectos (AMFE) para determinar las causas, efectos y acciones correctivas.Al cruzar los resultados de los dos métodos y reducir los problemas se obtuvo como resultado que los mismos son: Deficiente control al ingreso de materia prima, Insuficiencia en Mantenimiento, Rotación de personal y Falta de compromiso del personal. Posteriormente, se desarrollaron acciones de mejora, priorizando y determinando el orden de su implementación, así se obtuvo el plan de mejoras. Donde las propuestas fueron determinadas mediante métodos científicos como ser el método científico deductivo y sintético. Posteriormente se presento los costos de implementación de dicho plan.Se implementó el plan de mejoras en un 75% y se obtuvo como cambios positivos una disminución en de ladrillos con exceso en sus dimensiones. Se presentaron diferentes propuestas para motivar al personal como ser capacitaciones e incentivos (que fueron realizados),  se incrementaron puntos de control a lo largo de la producción para lograr de esta manera un mejor desenvolvimiento del personal, se logró reducir la cantidad de ladrillo seco defectuoso y por último se logró reducir la cantidad de ladrillo húmedo defectuoso.Debido a los resultados se concluyó que el elemento más importante  de una empresa es el personal.</t>
  </si>
  <si>
    <t>https://drive.google.com/file/d/1_iKdK3lumLvvHQojP3wwv-BXx3_CRx3m/view?usp=sharing</t>
  </si>
  <si>
    <t>https://drive.google.com/file/d/1lyA4QoLOw8LR1FkLtGLQAqn3I9MfZmJX/view?usp=sharing</t>
  </si>
  <si>
    <t>https://drive.google.com/file/d/1u9ieHAL8GqkB4CHY9d5hbcttagnATv7E/view?usp=sharing</t>
  </si>
  <si>
    <t>MIGUEL ANGEL SILES VEGA</t>
  </si>
  <si>
    <t>DESARROLLO DE UN PLAN DE SEGURIDAD E HIGIENE OCUPACIONAL PARA EL MATADERO “SAN JORGE S.R.L.”</t>
  </si>
  <si>
    <t>IND-495-2012</t>
  </si>
  <si>
    <t>Faeneo, Identificación de Peligros, Evaluación de Riesgos, Equipos de Protección Personal, Señalización, Primeros Auxilios.</t>
  </si>
  <si>
    <t>El Matadero “San Jorge S.R.L.” no cuenta con medias de seguridad correctamente establecidos que contribuyan a la minimización de accidentes.En la actualidad la empresa, carece de un Plan de Seguridad e Higiene Ocupacional, eso quiere decir que no se toman las medidas pertinentes para la identificación, prevención, control, minimización y eliminación de riesgos existentes en las áreas de trabajo. Por otro lado el personal de la empresa no cuenta con Capacitaciones efectivas sobre Seguridad e Higiene Ocupacional esto impiden al personal estar alerta en el caso de algún accidente ocurrido o algún accidente potencial.Primeramente se realizó una recopilación de la información documentada de la empresa, acerca de la organización y los procesos que realiza. Seguidamente se realizó un diagnóstico de la situación actual de todas las áreas de la empresa, a través de entrevistas y la observación de las operaciones que se realizan.Se emplearon las metodologías de Mapa de Riesgos, Análisis Preliminar de Riesgos y el Método de George F. Kinney para la identificación, análisis y evaluación de riesgos para todas las áreas de trabajo de la empresa, posteriormente se establecieron medidas de control para los riesgos identificados y luego se realizaron mediciones para los riesgos más críticos.Una vez concluidos los diagnósticos de Seguridad e Higiene Ocupacional, se procedió a la elaboración del Plan de Seguridad e Higiene Ocupacional, dentro los cuales los aspectos a considerar fueron: la organización de la seguridad, la programación de la capacitación del personal, el orden y limpieza, prevención de riesgos, programa de señalización, la dotación de equipos de protección personal, los primeros auxilios y el programa contra incendios, enfocados a la empresa.Concluido el Plan de Seguridad e Higiene Ocupacional, se realizó una cotización de todas las acciones planteadas, equipos y mejoras considerados dentro del Plan. Que refleje el monto de la inversión para la implementación del Plan. El resultado del proyecto de Grado es un documento que está acorde a las necesidades de la empresa “San Jorge S.R.L.”, la implementación de este proyecto permitirá identificar, prevenir, controlar, minimizar y eliminar los riesgos identificados, como también permitirá ofrecer condiciones de trabajo adecuados para el personal.</t>
  </si>
  <si>
    <t>https://drive.google.com/file/d/18vwevYyZ7A7jq60yFT6_9ZEQz1znxoDL/view?usp=sharing</t>
  </si>
  <si>
    <t>https://drive.google.com/file/d/11LH5rLDBKLV6pBMCnNjQ_KBqO0_Auzng/view?usp=sharing</t>
  </si>
  <si>
    <t>https://drive.google.com/file/d/1uVkdDliJfSR6ABM4DlJ-GnzrzWlG3Q2g/view?usp=sharing</t>
  </si>
  <si>
    <t>IVO VÍCTOR ROJAS ESPINOZA</t>
  </si>
  <si>
    <t>DISEÑO DE UN SISTEMA DE INFORMACIÓN PARA LA GESTIÓN ADMINISTRATIVA DE LA DISTRIBUIDORA VILOMA GAS</t>
  </si>
  <si>
    <t>ovi_reves@hotmail.com</t>
  </si>
  <si>
    <t>IND-496-2012</t>
  </si>
  <si>
    <t>Distribuidora Viloma Gas, Sistemas de Información Administrativo (SIA), Diseño lógico, diseño físico, factibilidad Económica, factibilidad operacional, factibilidad técnica, valle bajo, GLP, Superintendencia de Hidrocarburos.</t>
  </si>
  <si>
    <t>La empresa de Distribución de Gas Licuado de Petróleo en garrafas Viloma Gas, ha decidió que se diseñe un Sistema de Información para la gestión administrativa de la distribuidora, tomando en cuenta los datos establecidos dentro la empresa y proponiendo y mejorando los flujos de información que se tiene en la empresa.Primeramente se realizó un diagnóstico de la situación actual de la Distribuidora Viloma Gas, y se recabo la información disponible acerca de las actividades, procesos de las actividades, la organización actual del sector, etc. Todo ello con el fin de establecer el modelo actual del servicio que presta, a través de una matriz D.A.F.O. También se realizó una análisis de la situación actual de la estructura organizacional, modelando todos los factores que se deberían de revisar y tomar en cuenta para la implementación de un modelo organizacional adecuado a la empresa y al funcionamiento del sistema de información.Se registro y se observo claramente el funcionamiento de las órganos que serán parte del sistema de información, para la elaboración del diseño lógico del sistema. La lista de eventos, el diagrama de contexto, el diagrama de flujo de datos y el diccionario de datos con todos los contextos de estructura de procesos y desarrollo de almacenes. En el siguiente paso se procedió al diseño físico del sistema de información, en base a los datos diseñados en el diseño lógico.Con los datos recabados se procedió a la determinación del diseño de las entradas, diseño de las salidas, diseño de los controles y validación de datos, diseño de la interface y el dialogo en línea, selección del software, selección del hardware y seguridad del sistema de información. Mediante un análisis de factibilidad técnica, económica y operacional se procedió a evaluar si el diseño de sistema de información contaba con los requerimientos adecuados para ser implementado.Se calculó el Beneficio/costo del Diseño del sistema de información otorgando resultados favorables para su prototipado y su respectiva implementación.</t>
  </si>
  <si>
    <t>https://drive.google.com/file/d/1qt2pDS2s-8XhT24kCWSMku1xQxq5opXP/view?usp=sharing</t>
  </si>
  <si>
    <t>https://drive.google.com/file/d/1CKKQ2XM569q-ZgfWmhBNlrvQCTQLnHBE/view?usp=sharing</t>
  </si>
  <si>
    <t>https://drive.google.com/file/d/1nwCSlrDeoJMOH3OMV9wuK7yGfRXrGojm/view?usp=sharing</t>
  </si>
  <si>
    <t>MAURICIO ALEJANDRO OROSCO ENCINAS</t>
  </si>
  <si>
    <t>PLAN DE SEGURIDAD INDUSTRIAL E HIGIENE OCUPACIONAL PARA LA CONSTRUCTORA COSSIO</t>
  </si>
  <si>
    <t>mauri_orosco@hotmail.com</t>
  </si>
  <si>
    <t>IND-497-2012</t>
  </si>
  <si>
    <t>Construcción, Seguridad e Higiene Ocupacional, Método General de Identificación de Peligros y Evaluación de Riesgos, Medidas Preventivas, Control de Accidentes.</t>
  </si>
  <si>
    <t>Inicialmente se realizó un diagnóstico general de la Constructora Cossio y se recabó toda la información disponible acerca de las actividades, proceso de construcción, capacitación de personal y ambientes de trabajo de la constructora Cossio. Se pudo evidenciar que dentro su documentación no cuenta con un Plan de prevención de accidentes en las áreas de trabajo.Con los datos obtenidos se realizó la identificación de peligros mediante el análisis de cada fase de obra de la constructora de edificios, se consideró los riesgos asociados a cada actividad, el proceso de construcción y los ambientes en los que se desarrollan los mismos. Una vez concluida la identificación de riesgos existentes se realizó el análisis de los mismos, proponiendo manuales de procedimientos, instructivos de trabajo y registros, los cuales contemplan las soluciones, medidas preventivas y acciones correctivas que puedan minimizar los riesgos que refleja el diagnóstico. Posteriormente se procedió a la elaboración del Plan de Seguridad Industrial, con el que se pretende minimizar los peligros identificados, creando una cultura de seguridad tanto en los directivos de la empresa como en los trabajadores, resultando esto, en un mejor desempeño de sus diferentes actividades. La propuesta de los manuales de procedimientos, instructivos y registros contempla la designación del encargado de seguridad, la conformación de comités mixtos, programas de capacitación, disposición de señalización, uso de equipos de protección personal, orden y control de desechos, ergonomía, primeros auxilios, trabajos en altura, uso de extintores, investigación de accidentes e incidentes y un plan de emergencia en caso de siniestros, incluyendo también un cronograma que facilite la implementación del Plan de Seguridad.Finalmente se realizó una descripción detallada de los costos en los cuales debe incurrir la constructora para la implementación del Plan, ascendiendo a un total de Bs. 48.981,97.</t>
  </si>
  <si>
    <t>https://drive.google.com/file/d/1TbmkmWU3MMzjcJxiT3C9bnx36Rex53oj/view?usp=sharing</t>
  </si>
  <si>
    <t>https://drive.google.com/file/d/1Dmaw_ntXjQT0RRxzNxIzABe7q13ciSts/view?usp=sharing</t>
  </si>
  <si>
    <t>https://drive.google.com/file/d/1hbCZNgVC9G0Poi055YkaHwzy1IygopUI/view?usp=sharing</t>
  </si>
  <si>
    <t>EMILIO LEDEZMA QUILO</t>
  </si>
  <si>
    <t>IMPLEMENTACIÓN DE UNA PLANTA DESHIDRATADORA DE FRUTAS EN LA UNIBOL QUECHUA  “CASIMIRO HUANCA”, PARA FORTALECER EL PROCESO DE ENSEÑANZA-APRENDIZAJE</t>
  </si>
  <si>
    <t>emilio_2035@yahoo.es</t>
  </si>
  <si>
    <t>IND-498-2012</t>
  </si>
  <si>
    <t>Deshidratado de frutas, Humedad, Velocidad de secado, enseñanza, Aprendizaje</t>
  </si>
  <si>
    <t>El secado de los alimentos es uno de los métodos más antiguos que ha utilizado el hombre para conservar sus alimentos. El hombre primitivo utilizó la energía solar que calentaba el medio ambiente, para secar sus alimentos al aire libre. Actualmente el secado de frutas y hortalizas es un proceso industrial muy importante en la preservación de la calidad de los productos agrícolasEs necesaria la implementación de este proyecto; de deshidratado de frutas; para ayudar en el fortalecimiento del proceso de la formación de los estudiantes de la Universidad Indígena Boliviana Quechua, aprovechando las materias primas locales, en época de cosecha, que actualmente son pérdidas para los productores.El objetivo general del proyecto es realizar un estudio de factibilidad para la instalación de una planta deshidratadora de frutas en la Universidad Indígena Boliviana UNIBOL QUECHUA “CASIMIRO HUANCA”, para fortalecer el proceso deara que no se descompongan practicas  enseñanza – aprendizaje, de sus estudiantes.Siendo su principal finalidad, de fomentar la formación académica, pedagógica y profesional de los egresados con un perfil renovador, innovador, implementando nuevos mecanismos de producción y promoción en el mercado.El presente estudio tiene como meta dos mercados objetivos dentro del departamento de Cochabamba: Las zonas norte, central y sur, de la provincia Cercado y Chimoré, cuarta sección de la provincia Carrasco.  Los productos seleccionados; según preferencia; fueron frutas tropicales deshidratadas de: banano, piña, papaya y la carambola.El Proyecto se localiza en el Municipio de Chimoré, pertenece a la Provincia Carrasco del Departamento de Cochabamba, ubicado al Noreste del Departamento sobre la carretera Principal Cochabamba - Santa Cruz Km. 190 “La Jota”.  Por la disponibilidad de fruta fresca y el establecimiento de la Universidad Indígena Boliviana. De implementarse el proyecto, beneficiará en la formación de los estudiantes con destrezas específicas para el procesamiento de alimentos, aprovechando los Recursos Naturales de la región, mediante la aplicación de tecnologías sostenibles y la tecnología moderna, y generando 7 empleos fijos.Los indicadores de rentabilidad con el análisis financiero se determinó que el proyecto es rentable, donde el VAN es de US$ 111 066,5 y la relación Beneficio/Costos fue de 4,8 y la poca inversión para llevar a cabo el proyecto hace que sea recomendable la ejecución del proyecto de procesamiento de  deshidratado de frutas, ya que los resultados obtenidos bajo las condiciones analizadas son favorables.El balance de valoración de los impactos ambientales muestra que los impactos positivos son mayores que los negativos del proyecto, por esa razón se considera un proyecto compatible con el medio ambiente.</t>
  </si>
  <si>
    <t>https://drive.google.com/file/d/1HLSgiPakslXOxFGyd01q7GSSYY4CjsmI/view?usp=sharing</t>
  </si>
  <si>
    <t>https://drive.google.com/file/d/1KxTpbZVw10Ypm9oDY_NDMm6y-S4qYMcb/view?usp=sharing</t>
  </si>
  <si>
    <t>https://drive.google.com/file/d/17r9hpZmreOvmDg_W0FIbau9kcB5U38Ip/view?usp=sharing</t>
  </si>
  <si>
    <t>PEDRO BEJARANO MARTINEZ</t>
  </si>
  <si>
    <t>RODRIGO CESPEDES VARGAS</t>
  </si>
  <si>
    <t>PLAN DE NEGOCIOS PARA LA FACTIBILIDAD DE UNA LÍNEA DE REFRESCOS EN BASE A TÉ VERDE PARA LA EMPRESA PATUJÚ DEL CLÚSTER DE ALIMENTOS</t>
  </si>
  <si>
    <t>IND-499-2012</t>
  </si>
  <si>
    <t>Elaboración de refrescos en base a té verde, Clúster de Alimentos, Plan de Negocios</t>
  </si>
  <si>
    <t>El constante interés de la sociedad por consumir productos naturales, y sobre todo que preserven y cuiden la salud, hacen que el té verde sea un producto que se integre y cumpla las necesidades requeridas por la sociedad. Además hay que remarcar que cada vez las personas están interesadas en productos y servicios que sean rápidos y efectivos.Bajo este contexto la empresa PATUJÚ en cooperación del clúster de alimentos de la UMSS plantean la elaboración de un plan de negocios para la factibilidad de un refresco en base a té verde con la finalidad de que se responda a la necesidad de la sociedad.La metodología de la investigación utilizada fue de tipo descriptiva transversal, no se manipularon intencionalmente las variables independientes; observando simplemente los fenómenos tal y como se presentan en su contexto natural.Mediante un análisis profundo del proceso productivo, se determinaron las materias primas, insumos, maquinaria y tecnología requerida para el desarrollo óptimo del mismo. De la misma manera se establecieron la ubicación y tamaño de la planta, se realizaron proyecciones de ventas, se dictaron normas de seguridad industrial, se calcularon las necesidades de capital y costos operativos.La información y resultados obtenidos establecieron de forma clara y precisa las bases fundamentales en los aspectos productivos, organizacionales, legales y financieros que precisa la  conformación de una empresa de fabricación de productos de poliestireno expandible.A través de los resultados obtenidos se llegó a la conclusión de que el plan de negocios presenta un mercado atractivo y es viable tanto desde el punto de vista tecnológico y financiero.</t>
  </si>
  <si>
    <t>https://drive.google.com/file/d/1KNcwFuhBtalq2iSmtwmO0glQkxG-S4fC/view?usp=sharing</t>
  </si>
  <si>
    <t>https://drive.google.com/file/d/1cItEAz8Q9MMvqbse0izmj7jk5vwfI9Z1/view?usp=sharing</t>
  </si>
  <si>
    <t>https://drive.google.com/file/d/1hBBt5Ho_9-0DoWGIC5SQlOk2JA-6yYjl/view?usp=sharing</t>
  </si>
  <si>
    <t>JULIO EDGAR MONTAÑO MICHEL</t>
  </si>
  <si>
    <t>ESTUDIO DE MERCADO PARA LA IMPLEMENTACIÓN DEL SERVICIO DE TELEVISIÓN SATELITAL EN EL DEPARTAMENTO DE COCHABAMBA</t>
  </si>
  <si>
    <t>edmonmich84@hotmail.com</t>
  </si>
  <si>
    <t>IND-500-2012</t>
  </si>
  <si>
    <t>TV Satelital, TV por Cable, Decodificadores Modernos.</t>
  </si>
  <si>
    <t>En este trabajo de grado se buscó información sobre el tipo de programación que emite la TV satelital, de los canales existentes en el satélite, también se investigó acerca de la programación que transmite la TV por cable no solamente a nivel Bolivia si no a nivel internacional. Se tomó en cuenta que toda aquella familia que tiene el servicio de TV por cable tiene el poder adquisitivo de obtener un servicio de TV satelital.La investigación de este trabajo de grado se la hizo en el departamento de Cochabamba pero se profundizo más en la ciudad de Cochabamba porque el servicio de TV por cable todavía no ha llegado a las provincias del departamento de Cochabamba además que las familias con mejores ingresos económicos están en la ciudad.Se analizaron que las posibles causas para que el servicio de TV por cable no haya ingresado a las provincias del departamento de Cochabamba son la piratería por parte de los canales de televisión que operan en las provincias, la gran diferencia que existe entre las familias que viven en las provincias y las familias que viven en la ciudad porque se debe tomar en cuenta que en la ciudad de Cochabamba el 88% de las familias tienen televisor sin embargo en las provincias solamente el 36% de las familias tienen televisor y otra posible causa es el pensamiento diferente que existe entre las familias de la ciudad y de las provincias.La piratería quiere decir que los canales que operan en las provincias del departamento de Cochabamba muestran la programación de la TV por cable.    A través del análisis PORTER se determinó en que condiciones se encuentra el mercado de la TV satelital y también el de la TV por cable en la ciudad de Cochabamba, los factores que se tomaron en cuenta fueron la competencia actual la cual es elevada porque existen 2 empresas de TV por cable las cuales son MULTIVISIÓN e INTERAC TV además una empresa de TV satelital la cual es ENTEL, los productos y servicios sustitutos, los cuales son el internet y los decodificadores modernos respectivamente, otro factor son los nuevos entrantes al mercado lo cual es poco probable, el poder de negociación que es relativo y por último el poder de negociación que de igual forma es relativo. Se determinó las fortalezas, debilidades, oportunidades y amenazas que tiene el servicio de TV satelital en comparación al servicio de TV por cable, una gran fortaleza para el servicio de TV satelital va a ser la construcción del satélite Tupac Katari con el cual se van a reducir los costos operativos hasta en un 50%, mientras más satélites tenga un país más accesible será el servicio de TV satelital, la telefonía móvil y también el servicio de internet, pero se debe tomar en cuenta que dicho satélite solamente va a tener una vida útil de 15 años , una gran debilidad es la aparición de los decodificadores modernos.Algo que esta preocupando bastante a las empresas de TV por cable es la aparición de los decodificadores modernos porque estos decodificadores consiguen la programación que emiten las empresas de TV por cable, la familia que se compra los decodificadores modernos no debe pagar ningún tipo de mensualidad, sin embargo una familia que es usuaria del servicio debe pagar sus mensualidades lo que algunas familias quieren evitar es eso.    La realización de las encuestas se la hizo solamente en la ciudad de Cochabamba porque las familias de las provincias no tienen el servicio de TV por cable, la ciudad de Cochabamba se dividió en 5 diferentes estratos los cuales son residencial alta, residencial media, intermedia, intermedia baja y popular los cuales fueron mencionados en orden jerárquico, esto porque la ciudad de Cochabamba tiene una población con diferentes clases sociales se podría decir una población heterogénea, también se quería conocer cual es el estrato que tiene mayor cantidad de familias con el servicio de TV por cable porque todo aquel que tenga el servicio de TV por cable será el posible cliente potencial del servicio de TV satelital. Las encuestas se las hicieron a personas que viven en la ciudad de Cochabamba y que son mayores de 18 años sin importar el sexo.Las encuestas determinaron que ni siquiera la mitad de las familias que viven en la ciudad de Cochabamba tienen el servicio de TV por cable y que las empresas de TV por cable no hacen mucho por mejorar su servicio. En los países del primer mundo casi un 80% de las familias tiene ya sea el servicio de TV por cable o el servicio de TV satelital, la causa es porque ambos servicios son accesibles casi para cualquier familia.También se pudo determinar que en algunas zonas periurbanas de la ciudad de Cochabamba no se instala el servicio de TV por cable  por la falta de postes y cableado, las empresas de TV por cable han puesto poco interés en dichas zonas, a causa de que en estas zonas viven las familias de más escasos recursos de la ciudad de Cochabamba. Se concluye entonces que el mercado de la ciudad de Cochabamba es my reducido, que con el pasar de los años van a desaparecer las empresas de TV por cable en la ciudad de Cochabamba a causa de la aparición de los decodificadores modernos, además que es poco probable que pueda ingresar el servicio de TV por cable a las provincias, lo que se quería saber con el presente trabajo de grado era determinar si es factible o no es factible la implementación del servicio de TV satelital en el departamento de Cochabamba, si fuese factible entonces buscar un grupo de accionistas que deseen invertir en una empresa de TV satelital, pero analizando todo lo anterior se puede determinar que no es factible la implementación del servicio de TV satelital.</t>
  </si>
  <si>
    <t>https://drive.google.com/file/d/17Qv-I0Rime0TX-ZmjIFNO5J1KVjmH8zh/view?usp=sharing</t>
  </si>
  <si>
    <t>https://drive.google.com/file/d/1tE2Va1BmbJ2iJyqGcpAh1IJpifgE4u_1/view?usp=sharing</t>
  </si>
  <si>
    <t>https://drive.google.com/file/d/1UIy0igh4LG2DsOGqAOrGX1XnNX0t3d3y/view?usp=sharing</t>
  </si>
  <si>
    <t>JAEL SDENKA RODRÍGUEZ FERRUFINO</t>
  </si>
  <si>
    <t>ING. ALFREDO PERICÓN</t>
  </si>
  <si>
    <t>ESTUDIO DE FACTIBILIDAD PARA LA EXPORTACIÓN CONJUNTA DE JEANS ENTRE TOPY TOP Y COTEXCO A VENEZUELA</t>
  </si>
  <si>
    <t>sdakito@gmail.com</t>
  </si>
  <si>
    <t>IND-501-2012</t>
  </si>
  <si>
    <t>Exportación, Jeans, Cotexco, Topy top, Factibilidad.</t>
  </si>
  <si>
    <t>Para el mercado nacional, la confección de pantalones jeans en estos últimos años ha experimentado un gran crecimiento, tanto en cantidad de confeccionistas y calidad, como también en consumidores.A pesar de que los aranceles son altos para exportar prendas de vestir, el país también ha empezado a exportar a muchos países. Se puede apreciar en las últimas estadísticas del país que las exportaciones más significativas de prendas de vestir se realizaron a Estados unidos como principal destino y  a Venezuela como segundo destino los primeros años,  y luego se incrementa al segundo destino al llegar al año 2010.El 4 de agosto de 1998 inicia sus actividades Confecciones Textiles Cochabamba COTEXCO.Actualmente la empresa cuenta con la oportunidad de trabajar de manera conjunta con la empresa peruana TOPY TOP, para cubrir el pedido de pantalones jean (40.000 prendas) de  otra empresa en Venezuela. Los productos sobre los cuales se hace el estudio de este proyecto son pantalones de jean ya sean para damas o varones. El convenio expuesto en este proyecto, está dirigido a cumplir la demanda de una empresa específica en el país de Venezuela que se llama TEXTILES Y ACCESORIOS TASLAN C.A. que se encuentra ubicada en la Ciudad Capital Caracas, TASLAN posee 20 tiendas en la ciudad  de Caracas donde oferta este tipo de prendas y otras más. COTEXCO aún no tiene la capacidad necesaria para confeccionar y terminar la cantidad de prendas que demanda TASLAN, pero se hará posteriormente el respectivo análisis para adecuar la empresa, maquinaria y mano de obra necesarias para dicho fin. TOPY TOP que tiene la capacidad necesaria de proveernos de la materia prima, además de otros insumos como ser etiquetas y bolsas necesarias para el envío de las prendas. El problema es saber si será factible para COTEXCO invertir en agrandar la misma empresa y hacer los arreglos necesarios para poder confeccionar 40000 prendas al mes  para después exportarlas conjuntamente con TOPY TOP a Venezuela, motivo por el cual se hace este estudio. El objetivo general es realizar la exportación de pantalones jean a Venezuela conjuntamente  con la empresa peruana TOPY TOP.</t>
  </si>
  <si>
    <t>https://drive.google.com/file/d/1u9n9Fn6xBXdqqEhTz7rTEifmyDGDtrIH/view?usp=sharing</t>
  </si>
  <si>
    <t>https://drive.google.com/file/d/14Ra37VwYRFD0GUs3iVMlnmyHyAIOAl2t/view?usp=sharing</t>
  </si>
  <si>
    <t>https://drive.google.com/file/d/1vGTcaoyW-bF-paMSK_MjCg7NW3U_e9Ye/view?usp=sharing</t>
  </si>
  <si>
    <t>DANIEL EDUARDO ROCA CASTELLÓN</t>
  </si>
  <si>
    <t>HUMBERTO MAMANI ZURITA</t>
  </si>
  <si>
    <t>DISEÑO E IMPLEMENTACIÓN DE UN PLAN DE SEGURIDAD E HIGIENE INDUSTRIAL PARA LOS TALLERES DE: CARPINTERÍA, METAL MECÁNICA Y ELECTRICIDAD DE LA INSTITUCIÓN EDUCATIVA CETWA</t>
  </si>
  <si>
    <t>daniel_eduardo79@hotmail.com</t>
  </si>
  <si>
    <t>IND-502-2012</t>
  </si>
  <si>
    <t>Seguridad, Sofocación, Luminancia, Código de colores, Ergonomía, Capacitación, Higiene, Fases, Metodología</t>
  </si>
  <si>
    <t>El   proyecto es el de desarrollar un Plan de Seguridad e higiene en la institución CETWA. Se realizara un diagnóstico de las áreas de peligro, se desarrollara un plan de prevención y control de riesgos de accidentes, se diseñara un sistema de señalización contra peligros y se creara un comité de seguridad e higiene ocupacional en la empresa para supervisar el desarrollo de la misma en los respectivos talleres de la institución.Se cuantificara costos en los que la institución incurrirá en el estudio y su implementación de organización de la Seguridad e Higiene Industrial.Estos objetivos se realizaran a través del método de causas de Heinrich, inspecciones y método de perfiles de puestos de trabajo, que consiste en una guía de observación simple y rápida sobre las causas de riesgos, para establecer un diagnóstico del área de producción de la institución.Son las que se realizan orientado hacia los tres talleres de la institución compuesta con el objetivo de detectar cualquier elemento que pueda quitarle viabilidad a una operación estas se realizan frecuentemente ,mensual o bimestralmente ,anotando todas las condiciones inseguras con precisión y clasificándolas de acuerdo al grado de pérdidas potenciales.En base a la identificación y evaluación de riesgos y condiciones de trabajo realizada a la institución se puede determinar que existen riesgos considerables en lo que respecta a factores humanos y materiales.Se deberá considerar un Plan de Seguridad e Higiene Industrial como un factor de suma importancia, ya que con una adecuada aplicación, se podrá alcanzar el funcionamiento correcto de las actividades operativas dentro la empresa, y así poder cambiar los hábitos de inseguridad.</t>
  </si>
  <si>
    <t>https://drive.google.com/file/d/19RMxL78GjDU-NIZkbU3rtoueqK96AsUE/view?usp=sharing</t>
  </si>
  <si>
    <t>https://drive.google.com/file/d/10Z197i1KSpnSv5craj80zhbutHH25m3b/view?usp=sharing</t>
  </si>
  <si>
    <t>https://drive.google.com/file/d/1lsWE5AGT6GTq_gHDpwHNd47KVuETmvg5/view?usp=sharing</t>
  </si>
  <si>
    <t>BLADIMIR CARDOZO BENAVIDES</t>
  </si>
  <si>
    <t>OPTIMIZACIÓN DEL PROCESO DE PRODUCCIÓN DE LA EMPRESA PAPELERA VINTO S.R.L</t>
  </si>
  <si>
    <t>blady_7_9_@hotmail.com</t>
  </si>
  <si>
    <t>IND-503-2012</t>
  </si>
  <si>
    <t>Optimización, Tiempos, Presupuesto, demoras, recursos humanos, cuellos de botella</t>
  </si>
  <si>
    <t>Realizar un trabajo de optimización del proceso productivo en una empresa significa mejorar la producción haciendo uso de los recursos con los que cuenta la empresa y así aprovechar al máximo el tiempo de los recursos humanos y equipos.Primeramente se definieron los alcances del trabajo, tomando la decisión de estimar los tiempos y costos de implementación de nueva maquinaria, es decir hacer uso correcto de la maquinaria y espacio físico de planta para incrementar la producción reduciendo las demoras y cuellos de botella.Posteriormente luego de haber hecho un diagnostico de la empresa se planteo una nueva distribución de planta más amplia donde los procesos no se entrecrucen entre ellos y así evitar demoras y cuellos de botella en la producción.Mediante el desarrollo los cursogramas sinópticos y los cursogramas analíticos se puede apreciar de manera más detallada los lugares donde existe demoras y cuellos de botella a los cuales se tendría que eliminar.  Después se hizo un cálculo de la producción con el sistema antiguo y también se realizo el cálculo con el nuevo sistema habiendo incorporado la nueva maquinaria en los ambientes más amplios para reducir los tiempos ociosos para que se incremente la producción.Luego de notar el incremento de en la producción, se realizo el cálculo financiero para hacer énfasis que realizando el proyecto se incrementaría las ganancias de la empresa.</t>
  </si>
  <si>
    <t>https://drive.google.com/file/d/1rRO-uIxnezz4FwPCSSMwMrvL1nO92Le7/view?usp=sharing</t>
  </si>
  <si>
    <t>https://drive.google.com/file/d/1oz9_3zi6VbDSdf_mNyMPYHCwtT69o6iz/view?usp=sharing</t>
  </si>
  <si>
    <t>https://drive.google.com/file/d/16s74KgEb-oKSzGv0gb6vr9eq2-MHuZXD/view?usp=sharing</t>
  </si>
  <si>
    <t>KHELDER MANUEL LOAYZA RIVAS</t>
  </si>
  <si>
    <t>PLAN ESTRATÉGICO DE MARKETING PARA LA LÍNEA ACEITE DE SÉSAMO DE LA EMPRESA AGROINDUSTRIA CRISTAL NATURA DEL CLUSTER DE ALIMENTOS EN LA ZONA URBANA DE COCHABAMBA.</t>
  </si>
  <si>
    <t>papilin_711@hotmail.com</t>
  </si>
  <si>
    <t>IND-504-2012</t>
  </si>
  <si>
    <t>Semilla de sésamo, plan estratégico de marketing, cluster de alimentos y cristal natura.</t>
  </si>
  <si>
    <t>El proyecto está orientado, a mejorar las líneas estratégicas de la empresa agroindustria cristal natura, de su producto aceite de sésamo, el mismo es parte del proyecto INNOVA-UMSS que hace referencia a la creación de CLUSTERS (Conglomerado Productivo), que se encarga de mejorar la competitividad y la innovación de las empresas que forman parte de este, de esta manera en colaboración del centro de investigación y con los alumnos, buscar soluciones profesionales para las empresas y sus necesidades.     Por el cual se procede hacer una investigación del mercado, para determinar estrategias acordes con las necesidades del consumidor, de esta manera se necesita hacer una evaluación de la población objetivo con el fin de obtener datos medibles para la elaboración del proyecto.     En cuanto a la elaboración del mismo, se realizo un análisis tanto interno como externo para determinar la situación de la empresa y su posición actual en el mercado ya que la misma tiene varios años en el rubro de productos naturales, de esta manera se procede a realizar una evaluación financiera del proyecto para la aplicación de las nuevos planes estratégicos a realizarse.</t>
  </si>
  <si>
    <t>https://drive.google.com/file/d/1Uoyt98_wZ9rm1xWg9mlqv1glzNdr2hUa/view?usp=sharing</t>
  </si>
  <si>
    <t>https://drive.google.com/file/d/1zoOlcn-FrCBEM1i6-J0l-5vzgBG51TGg/view?usp=sharing</t>
  </si>
  <si>
    <t>https://drive.google.com/file/d/1uHKhGf_T_YW99c6plTr610HUYeLkoSXv/view?usp=sharing</t>
  </si>
  <si>
    <t>CECILIA ALARCÓN VILLARROEL</t>
  </si>
  <si>
    <t>HUMBERTO GUTIÉRREZ LIMA</t>
  </si>
  <si>
    <t>IMPLEMENTACIÓN DE HERRAMIENTAS DE SUSTENTABILIDAD Y MEJORA CONTINUA DE RESULTADOS EN EL ÁREA DE ENVASADO DE PLANTA PEPSI CBN S.A BASADA EN EL PROGRAMA VOYAGER PLANT OPTIMIZATION.</t>
  </si>
  <si>
    <t>IND-505-2012</t>
  </si>
  <si>
    <t>Sustentabilidad, Mejora continua, VPO (Voyager Plant Optimization).</t>
  </si>
  <si>
    <t>Con el propósito de gestionar sus plantas alrededor del mundo, la compañía ABInBev ha creado distintos programas de excelencia, uno de los cuales es VPO (Voyager Plant Optimization), el cual está enfocado al área industrial de las plantas.El programa mide la eficiencia de la casa VPO, la cual está compuesta de siete pilares: Gente, Mantenimiento, Calidad, Logística, Seguridad, Medio Ambiente y Gestión.El método para sustentar y mejorar resultados está incluido en el Pilar Gestión, que optimiza y estandariza las operaciones de la compañía. En este trabajo se desarrollan cuatro de las herramientas que componen dicho pilar.Primeramente se identificaron las dificultades por las que atravesaba el área de Envasado de la Planta, se seleccionaron ciertas herramientas que contribuyan a su solución y se realizó un diagnóstico del estatus de implementación de las mismas.Se eligieron cuatro herramientas específicas que garantizarían la solución de los principales problemas identificados, las cuales son: Metodología “5 s”, Creación y ejecución de estándares, Sistema de reportes y control de gestión rutinario, y por último, Gestión del conocimiento dentro del cual se aplican Buenas prácticas de operación. Luego se procedió a la implementación, comenzando por la metodología “5 s”, como punto de partida se tomaron las observaciones, realizadas en las auditorías mensuales, que se plasman en el Listado de verificación (Checklist) de implementación de las “5 s”.Posteriormente se evaluó el estado de cumplimiento de la implementación de herramientas de sustentabilidad de resultados y se verificó que si bien se tenían identificadas las tareas críticas del área no se habían definido los indicadores en los que impactaban y por tanto no se las ejecutaba ni controlaba de manera correcta, entonces se procedió a la Creación y Ejecución de Estándares Operacionales, no sin antes definir Indicadores de producto y  proceso (KPI’s y PI’s).Para poder controlar y monitorear el desempeño de los indicadores identificados como críticos, se utilizó la herramienta Sistema de reportes y control de gestión rutinario, con la cual se hace seguimiento por turno, por día y por semana a los indicadores y, en caso de desvíos o activación de disparadores, obliga a realizar un Análisis de Fallos.A modo de asegurar la mejora continua de los resultados (indicadores) del área, sean éstos críticos o no, y cerrar las brechas entre el valor objetivo y el real, se aplicaron Buenas Prácticas de Operación, que resultan de ideas que se convirtieron en buenas y mejores prácticas al haber producido resultados tangibles, medibles y además replicables.</t>
  </si>
  <si>
    <t>https://drive.google.com/file/d/1-fmbpWIkxi3P-YK18lhZjlIHGvbd_Lnh/view?usp=sharing</t>
  </si>
  <si>
    <t>https://drive.google.com/file/d/1WugrLU05HGDO0Y0MWSYEWkuq1cWqdsVG/view?usp=sharing</t>
  </si>
  <si>
    <t>https://drive.google.com/file/d/168XnqV5lN_qJXT2lJ8aIaCFmiSt1hM09/view?usp=sharing</t>
  </si>
  <si>
    <t>SANDRA ELIZABETH ANAYA DOMINGUEZ</t>
  </si>
  <si>
    <t>PLAN DE SEGURIDAD E HIGIENE INDUSTRIAL PARA LA CARPINTERÍA LYRAKI</t>
  </si>
  <si>
    <t>sandraanaya21@gmail.com</t>
  </si>
  <si>
    <t>IND-506-2012</t>
  </si>
  <si>
    <t>Carpinteria Lyraki, Identificación y Evaluación de Riesgos, Seguridad e Higiene Industrial, Accidente, Enfermedad Ocupacional.</t>
  </si>
  <si>
    <t>Primeramente se realizó el diagnóstico de la situación actual de la empresa, a través de recolección de datos, permitiendo establecer que se desconoce la información sobre los accidentes laborales y enfermedades profesionales ocurridas dentro la empresa.Posteriormente se realizó la identificación, clasificación  y evaluación de riesgos en la empresa a través cuestionarios y el método de Identificación y Evaluación General de Riesgos. Estableciendo los peligros asociados a riesgos con valores de probabilidad de ocurrencia y consecuencia, dando como resultado la gravedad del riesgo identificado.Se elaboró el Plan de Seguridad e Higiene Industrial en base a los requerimientos de la empresa en cuanto a riesgos y peligros identificados, estableciendo fichas de medidas de control en el proceso productivo, la implementación de señalización y equipos de protección personal, el orden y limpieza, el ambiente de trabajo, la implementación de un plan de capacitación, manuales de procedimientos en caso de accidentes e incendios.Se planteó medidas de control preventivas dentro la empresa, dirigidas específicamente a la protección de las maquinarias y herramientas, uso correcto de las mismas y adecuado mantenimiento. Además de un correcto etiquetado y almacenaje de sustancias peligrosas dentro la empresa.Se determinó las necesidades de documentación de seguridad e higiene propias de la carpintería y se estructuró un programa de seguridad e higiene industrial que permita al personal realizar sus actividades cotidianas bajo lineamientos estandarizados de seguridad e higiene industrial, a manera de generar un ambiente laboral seguro y confiable.Se sugirió la dotación de equipos de protección personal como medida preventiva altamente requerida dentro la empresa, para evitar accidentes y enfermedades que afectan a los operarios a corto y  largo plazo.Se realizó un plan de capacitación en función a los requerimientos de la empresa.Se sugirió introducir un sistema de incentivos para los operarios y así desarrollar el interés en el cuidado y preservación de su integridad física.Finalmente se concluyó con la elaboración del presupuesto  que representan la implementación y mantenimiento del plan siendo este un valor de 3343 $us. (Tres mil trescientos cuarenta y tres dólares americanos).</t>
  </si>
  <si>
    <t>https://drive.google.com/file/d/17EECExOQe993OkjtcTCcCY_uTUvxp4pW/view?usp=sharing</t>
  </si>
  <si>
    <t>https://drive.google.com/file/d/1zqIKbQEuDo6B8hGtiyyiIu5dlG8HRsKU/view?usp=sharing</t>
  </si>
  <si>
    <t>https://drive.google.com/file/d/13f1l7Mifo9KYf7TjNRIq96AHjrIl4zx8/view?usp=sharing</t>
  </si>
  <si>
    <t>PAOLA ANDREA ZAMBRANA ORTUÑO</t>
  </si>
  <si>
    <t>DISEÑO DE UN SISTEMA DE GESTIÓN DE SEGURIDAD Y SALUD OCUPACIONAL EN BASE A LA NORMA OHSAS 18001:2007 PARA LA PLANTA DE FRUTAS Y LEGUMBRES DE LA CORPORACIÓN INDUSTRIAL DILLMANN S.A.</t>
  </si>
  <si>
    <t>p.zambranao@gmail.com</t>
  </si>
  <si>
    <t>IND-507-2012</t>
  </si>
  <si>
    <t>OHSAS 18001, Sistema de Gestión, Mejora continua, Identificación de Peligros y Evaluación de Riesgos, Seguridad y Salud Ocupacional.</t>
  </si>
  <si>
    <t>La inexistencia de herramientas y procedimientos sistemáticos orientados a la reducción y/o eliminación de riesgos, asociados a las actividades de la planta de Frutas y Legumbres de CORDILL S.A., la ausencia de responsables de  Seguridad y Salud Ocupacional en la planta; la falta de conocimiento de la legislación vigente en seguridad y salud ocupacional, fueron los puntos de partida para la realización de este proyecto, el cual tuvo como objetivo general que la Planta de Frutas y Legumbres disponga de un Sistema de Gestión de Seguridad y Salud Ocupacional en conformidad a los requisitos que establece la norma OHSAS 18001:2007 para que este sea implementado de acuerdo a la disponibilidad de la empresa.Se realizó una descripción de todas las actividades y procesos que se realizan en la planta además de un diagnóstico del cumplimiento legal aplicable en materia de  seguridad y salud ocupacional en base a una lista de verificación y observaciones directas en las diferentes secciones, para determinar: prácticas, procesos, condiciones de trabajo y otros aspectos existentes; de esta manera obtener una referencia del comportamiento respecto a la importancia que da la empresa a la seguridad y salud de su personal.Así mismo, se realizó una identificación de peligros, evaluación de riesgos y determinación de controles, que a través de la elaboración de fichas de seguridad permitió el cálculo del nivel de riesgo de cada una de los peligros asociados a las diferentes actividades que realizan en la planta y de ésta manera se determinaron los riesgos más significativos inherentes a las actividades de la planta.Se desarrollo el Sistema de Gestión de Seguridad y Salud Ocupacional, empezando por la definición de una Política de Seguridad y Salud Ocupacional acompañada de objetivos relacionados a la misma. También se elaboró una propuesta para la constitución de un departamento de Seguridad y Salud Ocupacional defiendo responsables y las funciones de los mismos.Se elaboró un Manual de Seguridad y Salud Ocupacional, que describe la estructura del Sistema de Gestión de Seguridad y Salud Ocupacional, en el que se indica la documentación relacionada que consiste en: procedimientos acorde a las exigencias de la Norma OHSAS 18001:2007 y diferentes necesidades de la planta, se realizaron también diferentes registros relacionados a cada uno de los procedimientos que tienen como fin dar constancia del funcionamiento del Sistema de Gestión; por otro lado se elaboraron manuales: Prevención de riesgos, que detalla los procedimientos a seguir frente a diferentes situaciones de riesgo, Manual de Primeros auxilios que indica el proceder en caso de emergencias médicas. También se elaboro un Plan de Emergencias para hacer frente a situaciones como incendios, terremotos, derrames tóxicos y disturbios sociales.  Se elaboraron Programas de Seguridad y Salud Ocupacional como medidas de control para los riesgos intolerables y significativos. Esta documentación fue elaborada dando conformidad a cada uno de los requisitos de la norma o de las necesidades del Sistema de Gestión de Seguridad y Salud Ocupacional.Por último se estimó el costo que implicaría la implementación de la estructura documental y de los programas de Seguridad y Salud Ocupacional más el costo de funcionamiento de los mismos para los próximos 5 años.Finalizando el proyecto se establecieron conclusiones y recomendaciones que reflejan las necesidades de la planta y las acciones a tomar por la empresa para mejorar las condiciones de trabajo en cuestión de Seguridad y Salud Ocupacional, se recomendó a la empresa la implementación de lo sugerido en el proyecto ya que contar con un sistema de esta naturaleza trae consigo beneficios competitivos y la demostración hacia terceros de la importancia que la empresa tiene para con su personal.</t>
  </si>
  <si>
    <t>https://drive.google.com/file/d/1gpoYH4kyc-HSOHA-My9BsHWjVg6MSDxK/view?usp=sharing</t>
  </si>
  <si>
    <t>https://drive.google.com/file/d/1NTqhmg0zwwIv-OH13t5E9Am9cSrv81Q-/view?usp=sharing</t>
  </si>
  <si>
    <t>https://drive.google.com/file/d/1rwqzk1DuP1hC3V46vI0q3CdtJUbrJ292/view?usp=sharing</t>
  </si>
  <si>
    <t>MIRTHA FABIOLA LUJAN LIZARAZU</t>
  </si>
  <si>
    <t>DISEÑO DE UN PLAN DE SEGURIDAD E HIGIENE INDUSTRIAL PARA PROCESADORA DE POLLOS VEGA “PROVE”</t>
  </si>
  <si>
    <t>fabipad25@hotmail.com</t>
  </si>
  <si>
    <t>IND-508-2012</t>
  </si>
  <si>
    <t>Procesadora de pollos Vega PROVE, Plan de Seguridad e Higiene Industrial, método de George F. Kinney, Buenas Practicas de Manufactura, Comité Mixto, Análisis Beneficio Costo, Ministerio de Trabajo, SENASAG.</t>
  </si>
  <si>
    <t>Actualmente la seguridad e higiene industrial es un tema derivado a un segundo plano por la mayoría de las empresas, es el caso de Procesadora PROVE que como principal problema existe una falta de políticas y normas de seguridad e higiene industrial.Primeramente se realizó un diagnóstico general de la empresa en el cual se observa la organización y todo el proceso productivo, posteriormente se realizó  el análisis específico de la empresa mediante un mapa de riesgos y el análisis preliminar de riesgos, en el cuan se identificó y analizó los riesgos en cada puesto de trabajo.Para la evaluación de riesgos en cada puesto de trabajo se recurrió al método de George F. Kinney en el cual se siguió los siguientes pasos:1.       Se determinó la Magnitud del Riesgo2.       Se evaluó de Riesgos3.       Se desarrolló de Medidas de Control4.       Se seleccionó de la Mejor AlternativaPosteriormente se realizó las mediciones de ruido e iluminación con los equipos respectivos, con los resultados se procedió al cálculo para determinar la gravedad de los mismos.Teniendo todo la evaluación concluida se procedió al diseño del Plan de Seguridad e Higiene Industrial para Procesadora PROVE que contiene 8 módulos:·       MODULO I: ORGANIZACIÓN DE LA SEGURIDAD·       MODULO II: PROGRAMA DE CAPACITACIÓN·       MODULO III: BUENAS PRACTICAS DE MANUFACTURA·       MODULO IV: PROGRAMA PARA PREVENCIÓN DE RIESGOS·       MODULO V: PROGRAMA PARA LA DOTACIÓN DE EQUIPOS DE PROTECCIÓN PERSONAL·       MODULO VI: MANUAL DE PRIMEROS AUXILIOS·       MODULO VII: PROGRAMA CONTRA INCENDIOS·       MODULO VIII: PROGRAMA DE SEÑALIZACIÓN Se determinó el presupuesto de implementación tomando en cuenta los costos de cada módulo, se planteó una matriz tentativa de implementación en el cual se determinan las actividades a seguir en un tiempo determinadoSe estableció los beneficios que se tiene con la implementación del Plan de Seguridad e Higiene Industrial para Procesadora PROVE justificación la realización del proyecto.</t>
  </si>
  <si>
    <t>https://drive.google.com/file/d/1AohvVeEQrY4C_8JQGYHPinKPcs-3-rMK/view?usp=sharing</t>
  </si>
  <si>
    <t>https://drive.google.com/file/d/1xNkLfco3JjceVACmir4lUAtyuPW6iSk8/view?usp=sharing</t>
  </si>
  <si>
    <t>https://drive.google.com/file/d/1lmCmitpk8fibqTMzs1bG-KoRq-YtPpku/view?usp=sharing</t>
  </si>
  <si>
    <t>IVER HENRY MENDOZA CALDERON</t>
  </si>
  <si>
    <t>RAMIRO MONTAÑO LEDO</t>
  </si>
  <si>
    <t>ELABORACIÓN DE UN PLAN DE EMERGENCIAS EN EL EDIFICIO TÉCNICO</t>
  </si>
  <si>
    <t>iver_mendoza_c@hotmail.com</t>
  </si>
  <si>
    <t>IND-509-2012</t>
  </si>
  <si>
    <t>Plan de Emergencias, Emergencia, Mapa de riesgos, accidente, Zona de Seguridad, Rutas de emergencias, Brigadas de emergencias, Simulacros.</t>
  </si>
  <si>
    <t>La Empresa COMTECO LTDA. ve por conveniente realizar un Plan de Emergencia en el Edificio Técnico debido a la posibilidad de presentarse situaciones de emergencia, donde podrían haber pérdidas o lesiones humanas, impactos ambientales, daños materiales, tales eventos están asociados a hechos como incendios, explosiones, caídas de ventanales y otro tipo de situaciones.En la actualidad la empresa y el edificio de estudio no cuentan con un Plan de Emergencia se ha dado a la necesidad de establecer un proceso que permita contrarrestar, prevenir y minimizar las consecuencias adversas que se presentan en una situación de emergencia.En primera instancia se realizó el diagnóstico de la situación actual de todas las áreas del Edificio Técnico, se recabo la información disponible acerca del tema; para ello se realizaron entrevistas a los encargados del área de Seguridad Industrial y se realizó primordialmente la observación de las operaciones que realizan.Se emplearon metodologías de Mapa de Riesgos, Mapa de Rutas de Evacuación, Mapa de Ubicación de Triángulos de Vida, y el método de William Fine para el Identificación y Evaluación de Riesgos respectivamente en todas las áreas de trabajo de la empresa y posteriormente se establecerán medidas de control para los riesgos más críticos.Tomando en cuenta los resultados del diagnóstico se procedió a la elaboración del Plan de Emergencia del Edificio Técnico, en el que tomamos en cuenta las medidas de prevención de los riesgos; plan de primeros auxilio, combate contra incendios y el de Evacuación; también las funciones y responsabilidades de los integrantes y Brigadistas del Plan de Emergencia; y Procedimientos que se realizaran en situaciones de emergencia que están en las manos de los encargados del área.Se estableció la estimación de costos de todos los elementos que se requieren en el Plan, para realizar un presupuesto que diga el monto de la inversión para la implementación del plan.Mediante este proyecto de grado que se establece de acorde a las necesidades de la empresa para la prevención y actuación en situaciones de emergencia.</t>
  </si>
  <si>
    <t>https://drive.google.com/file/d/1kLIlN4t9qP4IRvBATzeoZHt0PZMvWQoA/view?usp=sharing</t>
  </si>
  <si>
    <t>https://drive.google.com/file/d/1Z8W4RIBVYiPBnfzfIFEFFumk6wBqn-TM/view?usp=sharing</t>
  </si>
  <si>
    <t>https://drive.google.com/file/d/1dcG7tbgc1G_7cUKIt_0Ayuttp9gtRupM/view?usp=sharing</t>
  </si>
  <si>
    <t>ISIS VALLE PEÑARANDA</t>
  </si>
  <si>
    <t>PLAN DE MARKETING PARA LA DISTRIBUCIÓN DE PRODUCTOS POR EL CANAL TIENDAS DE BARRIO (T.A.T). CASO: EMPRESA HANSA LTDA.</t>
  </si>
  <si>
    <t>isis_valle@hotmail.com</t>
  </si>
  <si>
    <t>IND-510-2012</t>
  </si>
  <si>
    <t>Canales de distribución, canal T.A.T, productos de consumo masivo, material POP, material POS, trade marketing, merchandising, posicionamiento, diferenciación.</t>
  </si>
  <si>
    <t>HANSA Ltda. es una empresa boliviana fundada en 1907 con características de una sociedad comercial e industrial, actualmente cuenta con la representación de marcas reconocidas a nivel internacional y  mundial. Debido al crecimiento del mercado y el crecimiento poblacional se ha vio conveniente crear en la  División Consumo de la empresa el servicio de distribución por el canal T.A.T.Se diseñó un Plan de Marketing para la implementación del servicio de distribución por este canal, donde primeramente se realizó un Estudio de Mercado que permitió conocer a los competidores y a los clientes intermediarios potenciales del canal, identificar la preferencia de estos y de los consumidores en general.Se realizó el análisis del perfil del mercado competitivo, mediante el análisis de las fuerzas de Porter, donde se identifico que son los proveedores los que tienen un mayor poder de negociación.Posteriormente se realizó el análisis interno y externo de la empresa, que permitió determinar con claridad su posición en el mercado. Se realizó el análisis estratégico FODA que permitió identificar las fortalezas y debilidades de la empresa, también las oportunidades y amenazas del mercado.Después se procedió a realizar el análisis con la Matriz de Factores Internos, con la Matriz de Factores Externos y finalmente con la Matriz de Perfil Competitvo.Finalmente se desarrollaron las estrategias de Marketing Mix teniendo como estrategia básica de desarrollo la diferenciación en el servicio que ofrece la empresa.Las estrategias planteadas son: La estrategia de servicio, planteada con el objetivo de potenciar el servicio en el canal T.A.T. obteniendo mayores ingresos económicos.La estrategia de precio, planteada con el objetivo de introducir productos en el canal a precios competitivos para tener mayor participación en el mercado.La estrategia de distribución, planteada para tener la mayor cantidad de clientes en el canal y tener una mayor cobertura de servicio.La estrategia promoción, con el objeto de promocionar a la empresa y posicionarla en el mercado.La estrategia de posicionamiento, con el fin de posicionar a la empresa en los diferentes canales con el fin de obtener mayores ingresos económicos posicionamiento.Finalmente se concluyó que la implementación del presente proyecto en la División Consumo de la empresa HANSA Ltda. es rentable y permitirá a la empresa  tener una mayor cobertura de servicio, generar mayores ingresos económicos y tener mayor participación en el mercado.</t>
  </si>
  <si>
    <t>https://drive.google.com/file/d/1g2ZiUPpimT7RJLahV6yPltHyqWOUELVJ/view?usp=sharing</t>
  </si>
  <si>
    <t>https://drive.google.com/file/d/1faHrTROnM1IIWC9F6ifUgPytd6uDycq2/view?usp=sharing</t>
  </si>
  <si>
    <t>https://drive.google.com/file/d/16w0L7IHKUoIuDS_hWgyVyvkSnc1RGvek/view?usp=sharing</t>
  </si>
  <si>
    <t>MARÍA DE LOS ÁNGELES GONZÁLEZ LASERNA</t>
  </si>
  <si>
    <t>ING. JESIE TRAVESI VARGAS</t>
  </si>
  <si>
    <t>ESTUDIO DE FACTIBILIDAD PARA EL DISEÑO DE PLANTA Y LA OPTIMIZACIÓN DE PROCESOS DE LA LÍNEA DE PRODUCTOS DESHIDRATADOS PARA LA INDUSTRIA CORONILLA S.A.</t>
  </si>
  <si>
    <t>mdlagonzalezlaserna@gmail.com</t>
  </si>
  <si>
    <t>IND-511-2012</t>
  </si>
  <si>
    <t>Estudio de métodos, Distribución de Planta por Método de Muther, Programa de Seguridad e Higiene Industrial, Análisis Financiero.</t>
  </si>
  <si>
    <t>Se inició con la realización de un Estudio de Tiempos y Movimientos de la Línea de Productos Deshidratados de manera que se obtuvo el Balance de Línea de la misma, y se determinó la Producción Actual.Posteriormente se elaboró una propuesta de mejora de los Procesos de la Línea de Productos Deshidratados, obteniendo un Balance de Línea Mejorado logrando la optimización de la Producción con un resultado del trescientos por ciento de mejora. Una vez obtenida la Optimización de Procesos de la Línea de Productos Deshidratados  se procedió a la aplicación del Método de Muther, comenzando por la Fase 1 con el análisis de producto-cantidad, el análisis de recorrido de los productos y con el análisis de relación entre actividades, seguido por la Fase 2 con el análisis de necesidades y disponibilidad de espacios y concluyendo con la Fase 3 comprendida por la Aplicación de Análisis para la elaboración de las propuestas de Distribución de Planta. Se evaluó las alternativas de distribución de planta propuestas y se prosiguió a la selección de la alternativa más óptima. Se determinaron  los requerimientos de Seguridad e Higiene Industrial mediante la elaboración de un análisis de riesgos y un diagnóstico de la situación, con esta base se elaboró un Programa de Seguridad e Higiene Industrial.Se determinaron  los costos en los que incurrirá la empresa para la implementación del proyecto y se realizó un Análisis Financiero obteniendo un resultado favorable, considerando una tasa interna de retorno del 41,50%. Se recomienda la implementación del programa de control y uso de los equipos de protección personal. También se recomienda capacitar a los trabajadores en el proceso de envasado final del producto y en el proceso de pelado, puesto que resultará novedoso el manejo de la nueva maquinaria.</t>
  </si>
  <si>
    <t>https://drive.google.com/file/d/11u1C-s3K7CkuTf46TC-RRgads5IPylme/view?usp=sharing</t>
  </si>
  <si>
    <t>https://drive.google.com/file/d/1YGl3ewjQzbUzRqi_Hcvfvu4BDspjQHIj/view?usp=sharing</t>
  </si>
  <si>
    <t>https://drive.google.com/file/d/1Wo4jtew4bakvssSvhDygjZO5JXU2csT8/view?usp=sharing</t>
  </si>
  <si>
    <t>HERBAS SORIA LINETH GABRIELA</t>
  </si>
  <si>
    <t>QUISPE MAMANI LIDIA</t>
  </si>
  <si>
    <t>ING. MABEL GLORIA MAGARIÑOS VILLARROEL.</t>
  </si>
  <si>
    <t>PROYECTO DE FACTIBILIDAD PARA LA ELABORACIÓN DE MERMELADA A BASE DE CARAMBOLA.</t>
  </si>
  <si>
    <t>gaby_herbas.87@hotmail.com</t>
  </si>
  <si>
    <t>IND-512-2012</t>
  </si>
  <si>
    <t>Investigación de mercado, Materia prima, Localización y tamaño, Ingeniería del proyecto, organización y aspectos legales, Planificación de la ejecución del proyecto, Aspectos financieros, Evaluación financiera y Evaluación ambiental.</t>
  </si>
  <si>
    <t>De la riqueza frutícola con que cuenta Bolivia, gran parte de su producción es desaprovechado, hay proporciones altas de desperdicio, falta de empresas para su producción y comercialización. Por lo cual el presente proyecto está enfocado en desarrollar un estudio de factibilidad para la elaboración de mermelada a base de carambola. A través del estudio de mercado realizado en las secciones capitales de los departamentos de Cochabamba, La Paz y Santa Cruz, se determinó la demanda potencial de la mermelada de carambola, así mismo, se identificaron las principales características que busca el consumidor final de una mermelada.La materia prima principal para la elaboración de mermelada es el fruto la carambola, fruto que será provista del Trópico de Cochabamba. Los materiales, insumos, requeridos para ostensión del producto final se encuentran disponibles para su compra en el mercado local así también los suministros de fábrica y los servicios básicos que requiere el proyecto serán abastecidos por empresas a fines.Se definió la macrolocalización en el departamento de Cochabamba en base a los factores de localización, así mismo se seleccionó la microlocalización en el municipio de Sacaba, a través de la técnica de puntajes ponderados, considerándose para ello las características principales de los municipios tomados en cuenta.Para determinar el tamaño de la planta se analizaron los factores que condicionan el dimensionamiento del mismo, donde la demanda es la que condiciona el tamaño del proyecto y el programa de producción se realizó considerando la capacidad normal viable. El proceso productivo de la mermelada a base de carambola se describió a través de un flujograma y cursograma sinóptico.Las maquinarias, equipos y herramientas a utilizar serán adquiridos tanto de  importadoras como también de fabricantes nacionales.La distribución de planta se halla sobre 343 m2, en el que se contemplan las siguientes áreas: administrativa, producción, almacén de materia prima, almacén de productos terminados, control de calidad, baños y vestidores. La estructura organizacional para el proyecto será del tipo Line &amp; Staff para una actividad conjunta y coordinada de los órganos de línea y los órganos de staff. La organización esta  dividida en  departamentos: Gerencia, Producción, Administración y Comercialización. La personalidad jurídica que tendrá la empresa será la de una Sociedad de Responsabilidad Limitada (S.R.L.), también se consideró los trámites para la constitución legal y el registro sanitario del producto por medio del cual se muestra que el producto cumple con las normas establecidas que rigen en el país.A través del diagrama de actividades PERT y el diagrama de GANTT, se determinó un tiempo máximo de 37 semanas para la ejecución del proyecto este periodo puede variar de acuerdo a la agilización de trámites u otras actividades llegando a reducir o no el tiempo de ejecución.Para el funcionamiento del proyecto se requiere una inversión en activos fijos de $us.-165.960, activos diferidos $us.- 5.412 y capital de trabajo inicial de $us.- 16.484, haciendo un total de $us.- 187.855. Se prevé que el financiamiento del proyecto será de 30% aporte propio ($us.- 56.357) y el 70% a crédito ($us.-131.499)  a 10 años de plazo con tasa de interés del 12,59%, sin periodos de gracia bajo el sistema SAV. Los costos totales de operación para el primer año de funcionamiento del proyecto ascienden a $us.- 463.128.De la evaluación financiera realizada se obtuvo los siguientes resultados: TIR 45%, VAN   $us.- 263.908, Relación B/C $us.- 1,07 y Periodo de recuperación 6º año. Según estos parámetros de evaluación se concluye que el proyecto es rentable. Así mismo se realizó un análisis de sensibilidad para las variables, precio del producto y costos de materia prima donde  el precio de venta del producto es la variable más sensible, frente a decrementos mínimos el proyecto deja de ser rentable, por lo que se deberá establecer políticas para que esta variable no sufra decrementos a lo largo de la vida útil del proyecto y de esta manera asegurar su rentabilidad. Para la evaluación de impacto ambiental se consideró las actividades desde la etapa de ejecución hasta la etapa de operación. Concluyendo que los impactos negativos que el proyecto puede causar, no son muy altos por tanto no generan efectos adversos al medio ambiente, pudiendo ser mitigados y controlados a través de medidas correctivas de fácil implementación.</t>
  </si>
  <si>
    <t>https://drive.google.com/file/d/18ZK_Tnx4FRRVv36PG-5OZNp0ewEix907/view?usp=sharing</t>
  </si>
  <si>
    <t>https://drive.google.com/file/d/1U0J6YMJQNRt0YTyr1IGuRgCcpjDbrq-i/view?usp=sharing</t>
  </si>
  <si>
    <t>https://drive.google.com/file/d/1_p3sXhOpF-BLe8Uaz-OoFqW8xQCK9vvg/view?usp=sharing</t>
  </si>
  <si>
    <t>MARINA QUIROGA SOTO</t>
  </si>
  <si>
    <t>DISEÑO DE UN PLAN DE SEGURIDAD E HIGIENE OCUPACIONAL PARA LA FÁBRICA DE MUEBLES IBARRA S.R.L.</t>
  </si>
  <si>
    <t>II-2012</t>
  </si>
  <si>
    <t>IND-513-2012</t>
  </si>
  <si>
    <t>Seguridad Industrial, Riesgo, Peligro, Accidente.</t>
  </si>
  <si>
    <t>En Bolivia la seguridad industrial tiene como principales componentes: la seguridad laboral y la salud pública que se ocupa de proteger la salud de los trabajadores; controlando el entorno del trabajo para reducir o eliminar riesgos. Los accidentes laborales a las condiciones de trabajo lo cual pueden provocar enfermedades y lesiones temporales o permanentes o incluso causar la muerte, también ocasiona una reducción de la eficiencia y una pérdida de la productividad de cada trabajador.Cuando los riesgos físicos en un trabajador de carpintería no se puede evitar en su origen, se hace necesario el uso de equipos protectores por parte de los trabajadores, como por ejemplo barbijos, guantes gafas y tapones auditivos, que deben ser proporcionados  por los propietarios, para hacer más seguro el entorno del trabajo y además que resulta más barato que pagar compensaciones.El proyecto tuvo como objetivo principal Diseñar un Plan de Seguridad e Higiene Ocupacional para la FABRICA DE MUEBLES IBARRA S.R.L.El estudio realizado tuvo una metodología, que se resume a continuación: 1ra fase: recolección de la información, (observaciones, entrevistas,  cuestionarios, visitas periódicas), 2da fase: Descripción del proceso productivo, (identificación de peligros  y evaluación de riesgos, procesamiento de datos, identificación de peligros y evaluación de riesgos, evaluación de riesgos), 3ra fase: plan de seguridad e higiene ocupacional, (manual de seguridad y salud ocupacional, plan de prevención protección contra incendios, epp's y señalización, primeros auxilios, control y gestión de riesgos, costo de implementación), 4ta fase: Conclusiones y recomendaciones.Como resultado del estudio realizado se emitieron las siguientes conclusiones.Se evalúa los riesgos en la situación actual de la empresa y según estos se propone cambios. Se elabora un plan de prevención, manual de procedimientos en caso de accidentes y las medidas preventivas en base al análisis de riesgo.Se determina los equipos de protección personal de acuerdo al riego a los que está sometido el trabajador en cada puesto de trabajo, así como también su forma de uso y su mantenimiento.El orden y limpieza es muy importante en este tipo de rubro ya que manteniéndose ordenadas toda las maderas, herramientas y separadas juntamente con la limpieza de todo el galpón de trabajo y galpón de materia prima se puede reducir los accidentes.Se explicó  la importancia de contar con extintores, y como proceder en caso de incendios, el número de extintores por metro cuadrado ser protegido, y forma de utilizar los extintores.Se identificaron las señalizaciones requeridas para el galpón de trabajo y el galpón de materia prima.</t>
  </si>
  <si>
    <t>https://drive.google.com/file/d/1bZ8PC-cM6dzNu9H-L7cmS4AxDU81weDj/view?usp=sharing</t>
  </si>
  <si>
    <t>https://drive.google.com/file/d/1c_VjprQqe1VZlSCDbz6-Fta1NhuM1nqu/view?usp=sharing</t>
  </si>
  <si>
    <t>https://drive.google.com/file/d/1xjlDv_jtICeLHqGKVTlJILzlReqG3DZz/view?usp=sharing</t>
  </si>
  <si>
    <t>NEIDA OQUENDO MUÑOZ</t>
  </si>
  <si>
    <t>LIC. MBA. ALVARO R. VASQUEZ DE LA VEGA</t>
  </si>
  <si>
    <t>DISEÑO E IMPLEMENTACIÓN DE LA ESTRUCTURA ORGANIZACIONAL BASADO EN LA GESTIÓN POR PROCESOS PARA LA EMPRESA EUFORIA MODA”.</t>
  </si>
  <si>
    <t>neida_sattva@hotmail.com</t>
  </si>
  <si>
    <t>IND-514-2012</t>
  </si>
  <si>
    <t>Industria textil, Sistemas de Control, Gestión por Procesos, Manual de Procesos, Manual de Procedimientos.</t>
  </si>
  <si>
    <t>La empresa EUFORIA MODA dedicada a la confección de prendas de vestir femeninas ha visto por conveniente realizar un diseño para la implementación de una estructura organizacional, basada en la gestión por procesos debido a que presenta un bajo nivel de crecimiento, por no  tener sus procesos bien definidos y  personal comprometido con las tareasPrimeramente se realizó un diagnóstico de la situación actual de la empresa EUFORIA MODA y se recabo la información disponible acerca de las actividades, procesos de las actividades, la organización actual del sector, etc. Todo ello con el fin de establecer el modelo actual del servicio que presta, a través del diagrama de causas y efectos de toda la empresa. En función a este análisis se podrá determinar las posibles soluciones al problema.También se realizó el proceso que sigue cada actividad en base a herramientas que muestren la secuencia de las operaciones: demoras, acumulación de trabajo, etc.; mediante el uso de encuestas, entrevistas y observación de las tareas y actividades que realiza cada una de las personas que trabajan en la empresa. Se registró y se observó claramente cual es método de trabajo utilizado por la empresa utilizando el análisis de las cinco fuerzas de la competencia de Porter.  En el siguiente paso se procedió a la realización de un análisis del entorno interno y externo que rodea a la empresa, para conocer las fortalezas, oportunidades, debilidades y amenazas a las que está sometida actualmente. Con los datos recabados y analizados se procedió a la realización del plan estratégico en el cual se desarrolló líneas estratégicas para la reorganización de la empresa. Asimismo se elaboró una ficha descriptiva de planes operativos que permitan diagnosticar el margen de beneficios de la implementación del diseño de mapa procesos y su estructura organizacional. La elaboración del manual de procesos y procedimientos permitirá que el personal conozca las actividades que debe seguir y que apoyo deben de recibir en su sector.Finalmente se realizó los manuales de control que contienen indicadores, comparadores y activadores  que permiten  clarificar y definir donde se realizaran los procesos, la periodicidad de los mismos y los responsables para la medición de los mismos.</t>
  </si>
  <si>
    <t>https://drive.google.com/file/d/1x_27SFhL2L2jH-Wxd30VvmLLU3RRlxgJ/view?usp=sharing</t>
  </si>
  <si>
    <t>https://drive.google.com/file/d/1cG7GwC-2hm_5Eo-nX5rqOxy_ZC0aCBKt/view?usp=sharing</t>
  </si>
  <si>
    <t>https://drive.google.com/file/d/1263BIQ8z-6m_BQjgv2ZlMf3jkQR_jiCN/view?usp=sharing</t>
  </si>
  <si>
    <t>DELMY GALARZA BARRIONUEVO</t>
  </si>
  <si>
    <t>ING. MSC. ALFREDO COSIO PAPADÓPOLIS</t>
  </si>
  <si>
    <t>ESTUDIO DE INGENIERÍA DE MÉTODOS EN LOS PROCESOS DE IMPRESIÓN, CORTE Y EMPAQUETADO DE LA EMPRESA FLEXO PRINT S.R.L.</t>
  </si>
  <si>
    <t>demy_ezz@hotmail.com</t>
  </si>
  <si>
    <t>IND-515-2012</t>
  </si>
  <si>
    <t>Empresa FLEXO PRINT S.R.L, Flexográfica, bobinas, Opp Polipropileno Orientado, Hot Stamping, Tinta Térmica, Hologramas de Seguridad, Schach Off, Ingeniería de Métodos, Estudio de Tiempos, Proceso de Impresión, Proceso de Corte, Proceso de Empaquetado, Diagramas, Cursogramas, Planificación y Control de la  Producción.</t>
  </si>
  <si>
    <t>La empresa Flexo Print S.R.L. dedicada a la impresión flexográfica de etiquetas autoadhesivas, sobre bobinas de banda angosta en los materiales de Polipropileno Orientado (Opp): Opp blanco brillante, Opp transparente, Opp metalizado plata y papel adhesivo blanco alto brillo. La impresión puede o no tener una aplicación especial que es un efecto especial que se agrega a la etiqueta, como ser la aplicación de: Hot Stamping (efecto metalizado), Tinta Térmica, Hologramas de Seguridad y Schach Off (raspadita).El problema central detectado dentro la empresa es el bajo aprovechamiento de los recursos  materiales, humanos y técnicos que se disponen en los procesos de impresión, corte y empaquetado. Es entonces que se realizó el Estudio de Ingeniería de Métodos aplicados a estos procesos.La metodología ejecutada en base a los objetivos específicos del proyecto fue la siguiente:Etapa 1. Descripción de las actividades desarrolladas: Se describió el flujo de la producción flexográfica y todas las actividades realizadas por proceso con el método actual.Etapa 2. Registro de las actividades realizadas en los procesos: Se registraron todas las actividades realizadas mediante diagramas, cursogramas analíticos y sinópticos propios de la ingeniería de métodos.Etapa 3. Análisis de las actividades realizadas en los procesos: Se examinaron y analizaron cada una de las actividades registradas, mediante la técnica del interrogatorio propia de la ingeniería de métodos.Etapa 4. Estudio de tiempos: Se determinaron  los tiempos estándares de todas y cada una de las actividades necesarias para los procesos estudiados.Etapa 5. Propuesta de mejora: Se desarrollaron  las propuestas para mejorar el proceso productivo eliminando las actividades no productivas y se realizó una comparación con el método actual de trabajo describiendo los beneficios que podrían conseguirse con la implementación de las propuestas.Etapa 6. Informe final y conclusiones: Se elaboraron las conclusiones y recomendaciones sobre los resultados obtenidos en el trabajo realizado.El resultado del estudio otorga a la empresa parámetros para la programación y control de la producción,  propone soluciones a todas las deficiencias detectadas en los procesos estudiados, asigna y distribuye equilibradamente las operaciones que cada operario debe realizar, reduce tiempos de ejecución de actividades de búsqueda de herramental, refuerza el Planeamiento y Control de la Producción, otorga bases y fundamentos para realizar el seguimiento y control de material, evita excesos de producción innecesarios, el nuevo método aumenta la capacidad de producción, reduce el costo de fabricación y logra un ahorro de 17.360 Bs/Mes.La aplicación del método propuesto se llevará  a cabalidad en todos los puntos analizados para su correcto funcionamiento con el compromiso de todo el nivel de la empresa desde los dueños hasta los operarios.</t>
  </si>
  <si>
    <t>https://drive.google.com/file/d/1B_YhAPjyV7BMXbuOT6Fp42gZRJpJqqhg/view?usp=sharing</t>
  </si>
  <si>
    <t>https://drive.google.com/file/d/1FK-DFxtauzo7OR2spUXzOBIYwUPzX8jm/view?usp=sharing</t>
  </si>
  <si>
    <t>https://drive.google.com/file/d/1LCLVHcSj_YJHc0Ii7IDRExGhzzngLVz0/view?usp=sharing</t>
  </si>
  <si>
    <t>WILER VÁSQUEZ TERCEROS</t>
  </si>
  <si>
    <t>ING. HEDWIG THEO KOWSOLEEA MEYER</t>
  </si>
  <si>
    <t>DISEÑO Y DESARROLLO DE UN SISTEMA DE GESTIÓN PARA LA FUNDACIÓN CAMINO A LA EXCELENCIA C.A.E., UN INSTITUTO DE TECNOLOGÍAS DE INFORMACIÓN Y COMUNICACIÓN, SOBRE LA BASE DE CONTROL Y MEJORA CONTINUA DE PROCESOS.</t>
  </si>
  <si>
    <t>wiler_vt@hotmail.com</t>
  </si>
  <si>
    <t>IND-516-2012</t>
  </si>
  <si>
    <t>Sistema de Gestión, Mejora Continua, Diagrama de Flujo, Sistemas de Control, Rediseño, Proceso, Guía de Mejora Continua de Procesos.</t>
  </si>
  <si>
    <t>Para el Diseño y Desarrollo del Sistema de Gestión basado en el Control y la Mejora Continua de Procesos, se realizó del diagnóstico de los procesos de la fundación CAE, esto partió de una revisión de las disposiciones con las que cuenta la organización, como su manual de funciones y estructuras orgánicas, reglamentos internos, constitución y un cuestionario estructurado y elaborado específicamente como instrumento de recolección de información que contempla aspectos como el enfoque del proceso, objetivo, descripción, implantación, indicadores, mejora continua, proceso referencial, etc., a partir de esto se realizó la evaluación de la misión y de los procesos actuales con el fin de determinar los aspectos positivos y negativos en cuanto a la gestión, grado de conocimiento y entendimiento de los procesos que la Fundación CAE tiene plasmado en su documentación y lo más importante, tener la visión de los aspectos que se pueden mejorar e implementar.En ésta parte se hizo también una revisión del organigrama actual de la organización para conocer la estructura organizativa que tiene la institución en la actualidad, todo esto para saber de dónde partimos y saber cuál es el concepto de organización que se tiene (si es un organigrama vertical, horizontal, etc.). El diagnóstico de los procesos comprendió también la realización de su inventario, que refleja en realidad un listado de los procesos, subprocesos y actividades de la organización, tomando como punto de partida la revisión de la misión empresarial, para ver la relación que existe entre la misma y lo obtenido en el diagnóstico realizado con anterioridad. El objetivo principal del diagnostico fue la evaluación de los procesos; en esta parte se resaltaron los principales aspectos positivos y negativos de los mismos.Los procesos actuales fueron definidos y diagramados según la metodología siguiente: selección del equipo de diagramación, selección del proceso sobre el cual trabajar, definición el proceso, diagramación el proceso principal, diagramación de las rutas alternativas y de los puntos de inspección. Los procesos propuestos fueron rediseñados en conformidad a las siguientes técnicas de mejora: Análisis del valor añadido, desplazamiento de los puntos de inspección hacia delante o hacia el principio del diagrama, eliminación de la necesidad de los puntos de inspección, eliminación de la duplicación y la representación gráfica y evaluación de los inputs y los proveedores. Además del rediseño de los procesos, el Sistema de Gestión de Procesos comprende también la inclusión de tres nuevos procesos propuestos: el proceso de Gestión de Calidad y Mejora Continua, el proceso de Gestión Estratégica y el proceso de Gestión de Proyectos y Consultoría Empresarial, la finalidad de éstos procesos es que coadyuven en el logro de la misión institucional de la Fundación Camino a la Excelencia CAE. Para el Sistema Gestión se diseñó también  Sistemas de Control de los procesos, en esta parte se desarrolló el sistema de medición de la productividad mediante dichos sistemas de control, indicadores de los procesos, etc.Se elaboró una Guía de Mejoramiento Continuo de Procesos, y lo que refleja es que una vez hecha la diagramación de los procesos propuestos rediseñados con sus respectivos sistemas de control, lo que se debe hacer para seguir adelante en la mejora es contar con una Guía de Mejoramiento Continuo que nos permita paso a paso y de manera continua mejorar los procesos de la Fundación CAE de manera autónoma e independiente, es decir, contar con una metodología estructurada y sistemática que sirva de herramienta para orientar la mejora continua y permanente de los procesos de la institución.</t>
  </si>
  <si>
    <t>https://drive.google.com/file/d/15D-qufy2p7ETN0Y24mIu8Ugyl64z8UID/view?usp=sharing</t>
  </si>
  <si>
    <t>https://drive.google.com/file/d/1XDEUBXs_9GXFIoTLzLQ8_Ocn_zan-CJI/view?usp=sharing</t>
  </si>
  <si>
    <t>https://drive.google.com/file/d/1lBWFLq61iO2hBo-5wN-sr88lIwe6bWkh/view?usp=sharing</t>
  </si>
  <si>
    <t>MARLEN JIMENA ANAYA HUARI</t>
  </si>
  <si>
    <t>ARIEL ARTURO ANDRADE TORRICO</t>
  </si>
  <si>
    <t>IMPLEMENTACIÓN DE UNA LÍNEA DE ARTÍCULOS DE CUERO EN LA EMPRESA “ANGIMAR” PARA LA EXPORTACIÓN A LA UNIÓN EUROPEA.</t>
  </si>
  <si>
    <t>IND-517-2012</t>
  </si>
  <si>
    <t>(SGP) Sistema de Preferencias Generalizado, (UE) Unión Europea, (INCOTERM) Término Internacional de Comercio, Evaluación Financiera, Análisis de Sensibilidad, Exportación.</t>
  </si>
  <si>
    <t>El estudio de Factibilidad para la Implementación de una línea de artículos de cuero en la empresa “ANGIMAR” para la exportación a  la unión europea nace ante la creciente demanda de tener productos de calidad y con un valor agregado que puedan comercializarse en el extranjero, como es el caso de las manufacturas de cuero. Se comenzó el proyecto con una intensiva investigación de mercado, estudiando el mercado consumidor, proveedor, distribuidor y competidor. Determinando que existe una demanda insatisfecha para los artículos de cuero, determinando el perfil del consumidor, la estrategia comercial entre otros objetivos. Con la investigación de mercado se procedió al pronóstico de la demanda de los productos a nivel  de la Unión Europea.El tamaño y la capacidad de producción que tendrá el proyecto se definió por medio del pronóstico y al crecimiento esperado  a nivel específicamente del país de Alemania determinado como nuestro mercado meta. Con la información obtenida en este apartado se determinó también todos los materiales e insumos necesarios para la planta. La localización fue obtenida a través de una evaluación cualitativa de puntos, donde se analizaron 4 micro-localizaciones, escogiendo el puntaje mayor correspondiente a la localidad de Toco en la provincia Germán Jordán. La Ingeniería del proyecto analiza el proceso productivo a seguir por el proyecto para los diferentes tipos de artículos, por tal hecho se elaboró un flujograma de operaciones para cada artículo y se efectuó el análisis de la materia prima de los materiales e insumos a ser utilizados.Se detallaron las normas y los procedimientos de exportación necesarios para poder exportar los productos (billeteras, cinturones, carteras) de la empresa ANGIMAR mediante el presente proyecto.Se ilustró en un organigrama el personal y las funciones del equipo trabajador de la planta. Con toda la información de costos se procedió a la preparación de esta información para realizar el respectivo análisis financiero usando indicadores como el TIR, VAN, y B/C y Recuperación del Capital. Se sometió el flujo a un análisis de sensibilidad para  las variables más influyentes. Concluyendo que el proyecto es rentable.</t>
  </si>
  <si>
    <t>https://drive.google.com/file/d/1WY4RzfYCl_j03Oc88PI2aI5JYlFndYMT/view?usp=sharing</t>
  </si>
  <si>
    <t>https://drive.google.com/file/d/1VvK3DwFOOHgGm6swi4P-5jiiVYRcHMfS/view?usp=sharing</t>
  </si>
  <si>
    <t>https://drive.google.com/file/d/1Non3xYMEbaqf4A8FIr-VZKkKOISyPJBo/view?usp=sharing</t>
  </si>
  <si>
    <t>DENIS OSCAR ANGULO CARLOS</t>
  </si>
  <si>
    <t>OPTIMIZACIÓN DEL ESTÁNDAR DE LOTO BLOQUEO-ETIQUETADO PARA EL CONTROL DE ENERGÍAS DURANTE EL MANTENIMIENTO INDUSTRIAL EN LA PLANTA DE MANUFACTURA UNILEVER ANDINA BOLIVIA S.A.</t>
  </si>
  <si>
    <t>denis.angulo@unilever.com</t>
  </si>
  <si>
    <t>IND-518-2012</t>
  </si>
  <si>
    <t>Lockout-Tagout, Diagnóstico, Optimización, Sistema de Mejora Continua.</t>
  </si>
  <si>
    <t>El presente proyecto de grado se enmarca  en  requerimientos de la empresa Unilever Andina Bolivia S.A., el objetivo del proyecto  se define como la optimización del programa LOTO, que controla el bloqueo de energías durante el mantenimiento industrial para garantizar la seguridad de sus empleados y contratistas.Para tal efecto, en primera instancia se realizó un diagnóstico de la situación del programa dentro de la empresa mediante dos planes de acción, donde se realizó la revisión del procedimiento LOTO existente, estado, cantidad y almacenamiento de dispositivos de bloqueo, estado de entrenamiento del personal autorizado por el programa, Lecciones Punto a Punto (LPP) desarrolladas, Guías de Bloqueo, efectividad de la Tarjeta de Bloqueo.Se procedió a una reestructuración del procedimiento de LOTO y el mismo fue aprobado por la Gerencia de Planta y paso formar  parte de los procedimientos del Sistema Integrado de Gestión de Planta de Manufactura de Unilever Andina Bolivia S.A. vigentes.Para lograr la optimización del programa se desarrolló un Máster Plan dividido en dos fases que englobaban los aspectos evaluados en el periodo de diagnóstico. Los resultados obtenidos fueron satisfactorios y de acuerdo a las expectativas de la empresa. Se incrementó el grado de conocimiento del personal autorizado, se desarrollaron capacitaciones de sala, se desarrolló una capacitación para contratistas con participación de 292 personas pertenecientes a 77 empresas, se desarrollaron 25 LPP de entrenamiento, se elaboraron un total de 155 Guías con cobertura de todas las plantas productivas y áreas de servicio de Unilever realizando también un benchmarck con la planta de Indaituba de Unilever para tal efecto, a través de un Bechmarck con la planta de Carrascal de Unilever se modificó la presentación de la Tarjeta de Bloqueo para ofrecer una tarjeta sustentable con el medio ambiente, se implementaron 264 dispositivos LOTO nuevos de forma efectiva, se modificó la estantería destinada a los dispositivos por una nueva con capacidad suficiente.Se identificaron también los equipos y/o máquinas no loteables y lugares de difícil acceso para el programa y se presentó la propuesta de solución para estos casos. Se realizó el relevamiento de la cantidad necesaria de dispositivos de bloqueo para una cobertura total del Site y la estimación del costo necesario para esta implementación.Se concluyó el periodo de optimización con una auditoria al programa, cumpliendo con el principal objetivo: lograr que el  programa entre en un ciclo de mejoramiento continuo.</t>
  </si>
  <si>
    <t>https://drive.google.com/file/d/1nrAftIIYGM_X4NIq5_qhfpPaXI4FXl0J/view?usp=sharing</t>
  </si>
  <si>
    <t>https://drive.google.com/file/d/1TBiAXVey15nxT7XPpK-il_liWOfikgMI/view?usp=sharing</t>
  </si>
  <si>
    <t>https://drive.google.com/file/d/1i2cIDd4kpIhNP10ds8NPz8AlmaTolxFo/view?usp=sharing</t>
  </si>
  <si>
    <t>MARCELA PÉREZ CUAQUIRA</t>
  </si>
  <si>
    <t>MGR. JOSÉ MÉNDEZ MUÑOS</t>
  </si>
  <si>
    <t>ELABORACIÓN DE UN PLAN ESTRATÉGICO PARA EL COLEGIO DE INGENIEROS    ELECTRICISTAS Y ELECTRÓNICOS DE COCHABAMBA “CIEEC”</t>
  </si>
  <si>
    <t>marcela@hotmail.com</t>
  </si>
  <si>
    <t>IND-519-2012</t>
  </si>
  <si>
    <t>ELFEC, COLEGIO, ELECTRONICA, ELECTRICIDAD</t>
  </si>
  <si>
    <t>El Colegio de Ingenieros Electricistas y Electrónicos de Cochabamba (CIEEC), es parte integrante de la Sociedad de Ingenieros de Bolivia (SIB).  Como institución, es el organismo representativo de los Ingenieros Electricistas y Electrónicos y de especialidades afines de Cochabamba, que regula el ejercicio profesional de la Ingeniería en base a la Ley No. 1449, los Códigos de Ética Profesional de la SIB y del Colegio de Ingenieros Electricistas y Electrónicos de Bolivia (CIEEB), su Estatuto Orgánico y sus Reglamentos. El Directorio del CIEEC de la gestión 2008-2009, ha identificado la necesidad de contar con un plan estratégico que le permita lograr una gestión planificada, coherente y capaz de ser evaluada de forma permanente para fortalecer al Colegio y así prepararlo a enfrentar un entorno moderno y altamente cambiante.  El trabajo comienza planteando el objetivo general, los objetivos específicos, la justificación y la metodología de investigación en el Capítulo 2.  El marco teórico sobre el cual se fundamenta el desarrollo del estudio se encuentra en el Capítulo 3.En el Capítulo 4 se ha procedido a realizar un análisis interno de la situación actual de la organización identificando las principales fortalezas y debilidades.  También se ha realizado el análisis externo donde se han identificado las oportunidades y amenazas más importantes del entorno.En función a estos análisis, se ha definido la declaración estratégica del CIEEC que incluye la visión, misión, valores, objetivos, políticas y estrategias. Estos enunciados son presentados en el Capítulo 5.Finalmente, en el Capítulo 6 se ha desarrollado una propuesta de plan de control de gestión utilizando 4 líneas estratégicas: Institucional, Administrativa, Social y Humana.  Se incluye un cuadro resumen que clasifica cada línea estratégica con su respectivo objetivo, estrategias, responsables, fuentes de información y frecuencia de medición, que en conjunto permitirán evaluar si efectivamente el esfuerzo de la organización se orienta al alcance de los objetivos propuestos.</t>
  </si>
  <si>
    <t>https://drive.google.com/file/d/1tJUe-sp2iu7taK4y-RX3eRvuFReU1GSw/view?usp=sharing</t>
  </si>
  <si>
    <t>https://drive.google.com/file/d/1UNiOX0QM8iq6zIYbE2Ai5rHt_h_CRbuX/view?usp=sharing</t>
  </si>
  <si>
    <t>https://drive.google.com/file/d/1a9M41nH8PJFnFkNV3K43NzwXw9cGoZR7/view?usp=sharing</t>
  </si>
  <si>
    <t>ROLANDO PEDRO FERNANDEZ ROJAS</t>
  </si>
  <si>
    <t>LUIS BENJAMIN INFANTE INFANTE</t>
  </si>
  <si>
    <t>ING. TITO ANIBAL LIMA VACAFLOR</t>
  </si>
  <si>
    <t>ESTUDIO DE FACTIBILIDAD TÉCNICO - FINANCIERO PARA LA IMPLEMENTACIÓN DE UNA PLANTA DE RECICLAJE PARA LA RECUPERACIÓN DE POLIETILENO DE BAJA DENSIDAD Y TERMOCONTRAIBLE PARA LA EMPRESA INMAPLAST SRL</t>
  </si>
  <si>
    <t>rolito_millonario33@hotmail.com</t>
  </si>
  <si>
    <t>IND-520-2012</t>
  </si>
  <si>
    <t>Estudio de Factibilidad Técnico Financiero, Planta de Reciclaje,       Polietileno de Baja Densidad y Termocontraíble</t>
  </si>
  <si>
    <t>El presente proyecto de factibilidad contempla la creación de una empresa de producción de pellets reciclados a partir de bolsas desechadas de PEBD y Termocontraible, es importante destacar que el plástico está presente en sus más diversas formas en todos los momentos de la vida cotidiana, dentro la sociedad en la que vivimos. El Plástico es indispensable en el estilo de vida moderno y cambio radicalmente a la sociedad en que se vive, las bolsas plásticas que se utilizan a diario parecen inofensivas, sin embargo, se han convertido en un problema mundial debido al enorme impacto ambiental en su estado de desecho y su posterior descomposición, es por tal motivo que el presente proyecto contempla un aspecto importante que es el reciclado de bolsas plásticas para obtener el pellet reciclado y su posterior reutilización y así se minimice de alguna forma la contaminación ambiental.Los denominados pellets reciclados del presente proyecto están dirigidos hacia el siguiente mercado contemplado y representado en primera instancia por INMAPLAST y en segunda instancia por las industrias manufactureras del departamento de Cochabamba registradas que ascienden a un total de 27, dicha cantidad refleja un mercado potencial y atractivo.En la ingeniera del proyecto se determinó  que la mejor forma de obtención de los pellets reciclados a partir de las bolsas de PEBD es mediante el reciclado mecánico y la capacidad de la maquinaria para el proyecto es de 200 Kg/hr.Una vez concluido el estudio se determinó que la mejor opción de financiamiento para la inversión es mediante la consecución de un préstamo bancario para así cubrir la necesidad de dicha inversión el cual asciende a un total de 277.596 $us., donde al realizar el respectivo flujo neto de fondos se obtuvieron los siguientes indicadores de rentabilidad: VAN, 96.322,4 $us., TIR 22,7 % y una relación B/C igual a 1,5</t>
  </si>
  <si>
    <t>https://drive.google.com/file/d/1kkHlJprqrYzE6Bw8FfVpheDD97V_e6f9/view?usp=sharing</t>
  </si>
  <si>
    <t>https://drive.google.com/file/d/1Tfu-PWXeM-XuoFgkoNCJPM0txnhmX5A9/view?usp=sharing</t>
  </si>
  <si>
    <t>https://drive.google.com/file/d/1YedhQM01CdPHrEh1B3NjfKxb2ck7Cz1q/view?usp=sharing</t>
  </si>
  <si>
    <t>LUIS ALFONSO APAZA ROCHA</t>
  </si>
  <si>
    <t>BORIS VILLA AGUILAR</t>
  </si>
  <si>
    <t>DISEÑO DE UN SG SYSO EN BASE A LA NB/OHSAS 18001:2008 PARA SER IMPLEMENTADO Y OPTAR A UNA CERTIFICACIÓN A INDUSTRIAS LUJAN S.R.L.</t>
  </si>
  <si>
    <t>univ.luis_95@hotmail.com</t>
  </si>
  <si>
    <t>IND-521-2012</t>
  </si>
  <si>
    <t>Sistema de Gestión en Seguridad y Salud Ocupacional (Occupational Health and Safety Assessment Series) (OHSAS), Seguridad y Salud Ocupacional (SySO), Sociedad de Responsabilidad Limitada (SRL), Análisis de Riesgo Ocupacional (ARO).</t>
  </si>
  <si>
    <t>Industrias Lujan S.R.L., ha visto conveniente  realizar el Diseño de un Sistema de Gestión de Seguridad y Salud Ocupacional en base a la NB/OHSAS 18001:2008 con el fin de crear un ambiente seguro y de riesgos controlados, para el desenvolvimiento de los trabajadores en sus puestos de trabajo.Primeramente se realizó el diagnostico situacional actual de la empresa en temas de Seguridad y Salud Ocupacional, tomando en cuenta las dos instalaciones de la empresa, la primera ubicada en el km 4 Av. Blanco Galindo, la planta de producción ubicada en la Av. Antofagasta (Quillacollo).Se realizó la medición de ruido, Iluminación y Temperatura  de todos los puestos de trabajo, para determinar bajo qué condiciones desempeñan sus funciones el personal de la empresa.Se realizó una evaluación de riesgos, el método elegido fue el análisis de riesgo ocupacional (ARO). En esta evaluación se detectó los peligros, riesgos que existen en los diferentes puestos de trabajo de toda la Empresa, posteriormente se procedió a su análisis, calificación en las matrices de identificación y evaluación de riesgos, en base a datos obtenidos por encuestas, observación directa y entrevistas.Se realizó la evaluación en la parte de requisitos legales a la empresa en temas de Seguridad y Salud Ocupacional, basándonos en la ley de Seguridad, Higiene y Bienestar ocupacional R.M. 16998. Una vez realizada la identificación de peligros y evaluación de riesgos, el diagnostico situacional actual, se procedió al diseño del Plan de Seguridad Industrial.Se realizó los procedimientos e instructivos según la NB/OHSAS 18001:2008 que deben ser cumplidos dentro la organización.Se realizó la estimación del costo de la implementación del Proyecto.Se realizó parte de la implementación, como ser: elaboración de la Política SySO, auditoria interna por CGM Consultores, inspección conjunta por FERROBLACK, capacitaciones, dotación ropa de trabajo y equipos de protección personal, simulacro de incendios, simulacro de derrame de sustancias.Se hizo las recomendaciones y conclusiones.</t>
  </si>
  <si>
    <t>https://drive.google.com/file/d/1Y4xoZ1rBuB9V0gYAZ5AMnaRh3O0Kh9MZ/view?usp=sharing</t>
  </si>
  <si>
    <t>https://drive.google.com/file/d/15VrDNxVyn4Dy7fp_qNqVYtrHs6508LBJ/view?usp=sharing</t>
  </si>
  <si>
    <t>https://drive.google.com/file/d/1h_0GdyL-g2j8vUH4FObf5CgsWe16i2PC/view?usp=sharing</t>
  </si>
  <si>
    <t>JORGE LUIS MUÑOZ TORREZ</t>
  </si>
  <si>
    <t>ING. ALFREDO COSSÍO PAPADOPOLIS</t>
  </si>
  <si>
    <t>OPTIMIZACIÓN DEL MANEJO DE MÁQUINAS HERRAMIENTAS MEDIANTE EL ESTUDIO DE MÉTODOS Y REINGENIERÍA PARA LA “RECTIFICADORA ACTROS”.</t>
  </si>
  <si>
    <t>jorj_40@hotmail.com</t>
  </si>
  <si>
    <t>IND-522-2012</t>
  </si>
  <si>
    <t>Rectificado, Tiempos estándares, Tiempos de ciclo, Balanceo de Línea, Diagramas analíticos y sinópticos, Métodos de trabajo, Plan de implementación de la mejora, Distribución de planta.</t>
  </si>
  <si>
    <t>Una Rectificadora es un taller del rubro mecánico, en el cual se realizan rectificados de piezas de motores con maquinas las cuales mediante el arranque de viruta llevan a la pieza a su medida estándar. Primeramente se describieron las piezas que se rectifican en un motor a gasolina o diesel, incluyendo las maquinas y herramientas que se utilizan en cada área y paralelamente se fueron registrando los procesos mediante diagramas. Luego se midió la planta con todas las maquinas que están en ella, viendo las áreas y volumen que ocupan, también se midieron los tiempos de ciclo en el que se realiza el reacondicionamiento de una pieza de motor en cualquier área los mismos utilizando cronometro, tablas, etc… Ya con estos datos se procedió a realizar el análisis crítico de la situación actual de cada área de proceso detallándolos en una lista mediante preguntas de interrogatorio que se hizo a cada operario, de donde surgieron muchas causas.Posteriormente se fue viendo posibles soluciones comenzando de la distribución de las maquinarias en la planta con ayuda de la experiencia de los operarios, nuevos dispositivos para las maquinas rectificadoras de cigüeñales y árbol de levas, implementación de herramientas digitales que permitirán ahorrar tiempo y brindarnos mayor precisión, como también la mejora de la infraestructura, mantenimiento de las maquinarias, e implementación de equipos de protección personal. Con la ayuda del balanceo de línea se vio la manera de contratar nuevos operarios a los procesos más lentos.Finalmente se determinaron el tiempo y los costos que implica realizar toda la mejora mediante un plan de implementación y quiénes serán los encargados de coordinar y facilitar la puesta en marcha del método mejorado, que también se registraron sus resultados mediantes diagramas analíticos, sinópticos, DAME, flujo. Se consiguió como resultados la obtención de los tiempos estándares   en cada proceso para que los propietarios de la Rectificadora puedan aplicar a los nuevos operarios que están pensando contratar y también para los mismo operarios antiguos, una mejora distribución de planta con mayor orden y espacio, mejora en la seguridad de los operarios para evitar accidentes de cualquier tipo.</t>
  </si>
  <si>
    <t>https://drive.google.com/file/d/1y9TMzrqmag9GI6cxwjZqsRotxzMUr4x9/view?usp=sharing</t>
  </si>
  <si>
    <t>https://drive.google.com/file/d/1l6pKthqCIEsC47tn4BJgNZvvvd_vowpc/view?usp=sharing</t>
  </si>
  <si>
    <t>https://drive.google.com/file/d/1jZt6biezjv14j-yZyGxO_h8S1tMlWBFY/view?usp=sharing</t>
  </si>
  <si>
    <t>JUAN VICTOR LOAYZA ANTEZANA</t>
  </si>
  <si>
    <t>PLAN DE SEGURIDAD INDUSTRIAL PARA LA EMPRESA ILUMINA.</t>
  </si>
  <si>
    <t>IND-523-2012</t>
  </si>
  <si>
    <t>Empresa ILUMINA, Seguridad Industrial, NTP 330, Diagnóstico, Capacitación y Certificación Izaje.</t>
  </si>
  <si>
    <t>La empresa ILUMINA ha visto por conveniente realizar un diagnóstico sobre seguridad industrial debido a la existencia de peligros y accidentes que existen en la misma.Primeramente se realizó un diagnóstico de la situación actual de la empresa tanto en el área de administración, almacenes y producción,  y se recabó la información disponible acerca de las actividades, procesos de las actividades, la organización actual de la empresa, etc. Todo ello con el fin de establecer la situación en la que los trabajadores realizan sus actividades cotidianas y la exposición que tienen hacia los peligros presentes. En función a este análisis se podrá determinar las posibles soluciones al problema.También se realizó la valoración de los riesgos por cada puesto de trabajo, se analizó el cumplimiento de la ley boliviana sobre seguridad e higiene laboral R.M. 16998. Con los datos recabados se procedió a la elaboración del plan de seguridad industrial para eliminar y/o controlar los peligros en la empresa de acuerdo a las distintas situaciones. Se calcularon los  costos que significarán la implementación del plan en la empresa y se estableció el cronograma para la misma.</t>
  </si>
  <si>
    <t>https://drive.google.com/file/d/1XPLf-fyi3KlIRtScx6erFAQDGxCCg7lw/view?usp=sharing</t>
  </si>
  <si>
    <t>https://drive.google.com/file/d/1ITYK0UYhQK539qBgyQQJMIV0DtBMZ_9c/view?usp=sharing</t>
  </si>
  <si>
    <t>https://drive.google.com/file/d/1sH_l-hbL0DdeJe0bVEakPsb6_QfK2RtR/view?usp=sharing</t>
  </si>
  <si>
    <t>DANIELA MONTECINOS CASTELLON</t>
  </si>
  <si>
    <t>MARY LUZ URIA MEAVE</t>
  </si>
  <si>
    <t>PLANIFICACIÓN ESTRATÉGICA Y CUADRO DE MANDO INTEGRAL COMO HERRAMIENTA DE GESTIÓN PARA LA CURTIEMBRE-MANUFACTURA CURMA SRL</t>
  </si>
  <si>
    <t>dani_m85c@ymail.com</t>
  </si>
  <si>
    <t>IND-524-2012</t>
  </si>
  <si>
    <t>Curtiembre y Manufactura Curma, Matriz de evaluación de factores externos e internos (EFE, EFI), Matriz Cuantitativa de la Planificación Estratégica, Cuadro de Mando Integral (CMI).</t>
  </si>
  <si>
    <t>La empresa Curma empezó su funcionamiento en 1987, como una empresa familiar dedicada a la producción y comercialización de diferentes tipos de cueros acabados, se identificó como problema principal una Gestión Empresarial deficiente, en respuesta a este problema se propuso el diseño de una planificación Estratégica y Cuadro de Mando Integral, que coadyuve a la ejecución y seguimiento de las estrategias monitoreando con indicadores financieros y no financieros y así lograr una sostenibilidad a largo plazo.Se recabo la información disponible acerca de las actividades de cada área, los procesos, la organización actual de la empresa, etc. Todo ello con el fin de conocer si la empresa cuenta con lineamientos estratégicos que guíen el accionar de la misma.Primeramente se realizó una Auditoria Externa con el fin de conocer la situación de cómo responde la  empresa a su entorno y así mismo identificar  oportunidades y amenazas a las cuales se enfrenta la curtiembre.Se realizó una Auditoria Interna a las diferentes áreas con las que cuenta la empresa identificando aquellas fortalezas o aspectos en que la empresa se desempeña bien y las debilidades o aspectos que la empresa desempeña poco eficiente.Se desarrolló la  Planificación estratégica con  la declaración de la Misión, Visión y los objetivos estratégicos  para la curtiembre, seleccionando dos estrategias pertinentes que ayudaran a alcanzar los objetivos de la empresa y sus respectivos planes estratégicos y operativos.Se diseñó el Cuadro de Mando Integral bajo cuatro perspectivas en las cuales se propones objetivos e indicadores que coadyuvaran al seguimiento y monitoreo de la ejecución de la Planificación Estratégica.Finalmente de desarrollo una valoración financiera del proyecto utilizando como indicadores  el valor actualizado neto (VAN) y la tasa interna de retorno (TIR), los cuales mostraran  los beneficios que trate la aplicación de la Planificación Estratégica.   A partir de Electrificación rural del departamento de Cochabamba, se realizo un  análisis  de la demanda con el propósito de adecuar las formulas de proyección de la demanda para nuestro medio, en la actualidad usamos formulas que  proyectan demandas elevadas.</t>
  </si>
  <si>
    <t>https://drive.google.com/file/d/16_vkA-IpQcPkXjOAYIY7__kmo8bpjIYj/view?usp=sharing</t>
  </si>
  <si>
    <t>https://drive.google.com/file/d/1460f2rJAcjwEf6T_8q4a9th3Ib3G9RTs/view?usp=sharing</t>
  </si>
  <si>
    <t>https://drive.google.com/file/d/1s0vNedGoKbqQSENDriXrdsDV2Ebzrj01/view?usp=sharing</t>
  </si>
  <si>
    <t>PABLO ARNÉZ NAVARRETE</t>
  </si>
  <si>
    <t>ING. NATALY MURGUÍA REVOLLO</t>
  </si>
  <si>
    <t>IMPLEMENTACIÓN DE UN PROGRAMA DE OPTIMIZACIÓN DE PLANTA “V.P.O.” EN EL PILAR DE LOGÍSTICA BAJO REQUERIMIENTO DE LA TRANSNACIONAL AB INBEV EN LA EMPRESA C.B.N. S.A. - SD SACABA – PEPSI.</t>
  </si>
  <si>
    <t>arnezpablo@gmail.com</t>
  </si>
  <si>
    <t>IND-525-2012</t>
  </si>
  <si>
    <t>Empresa C.B.N. S.A. - Sd Sacaba – Pepsi, Programa de Optimización de Planta V.P.O., Regularización bajo requerimiento de la Transnacional AB InBev, Auto capacitación sobre el contenido del programa, generar la implementación en el área de Logística, Capacitación al personal de Logística sobre el contenido del Programa, Certificación del Programa y Análisis del costo de implementación.</t>
  </si>
  <si>
    <t>El programa de optimización de planta V.P.O. que se implemento, se realizo con el objetivo de la regularización de la transnacional AB InBev, ya que este es el programa con el que dicha transnacional regulariza y estandariza todas sus plantas alrededor de todo el mundo. Vale mencionar que la cervecera argentina Quiles es miembro de dicha transnacional y es la dueña de la embotelladora Pepsi acá en Bolivia. Por lo tanto se implemento el programa en Pepsi.Primeramente se definió la metodología que exigía el programa y se vieron que parámetros eran imprescindibles para la implementación en el área de Logística.Posteriormente se genero los distintos reportes, indicadores, instructivos, documentos en la mencionada área para cumplir lo que exige el programa, en este trabajo dirigido solo se mencionan la implementación de cuatro tópicos de los veinticinco que exige el programa al área de Logística; esto no quiere decir que mi persona no implemento el resto de los tópicos. Luego se capacitó a los operadores de Logística sobre el contenido de los tópicos que serian revisados por auditores argentinos para observar si el sector cumplía con los requisitos exigidos por el programa.Seguidamente Logística se sometió al proceso de evaluación que se realizaron a lo largo de seis auditorias para certificar el programa en dicha área. Obteniendo la certificación del Programa V.P.O.Finalmente se determinaron los costos directos e indirectos de la implementación del programa V.P.O. en el sector de Logística.</t>
  </si>
  <si>
    <t>https://drive.google.com/file/d/1x-flFeBoaLV6-p7Q8Gj6HkoBEqY3sbTP/view?usp=sharing</t>
  </si>
  <si>
    <t>https://drive.google.com/file/d/1O-HFewEBSGvhmeqDZSUqZ2bljPU1Utlm/view?usp=sharing</t>
  </si>
  <si>
    <t>https://drive.google.com/file/d/1lkiwrYbv94AL49k8EVHaJgHsQV1gm1RV/view?usp=sharing</t>
  </si>
  <si>
    <t>JENNY CARBALLO PEÑA</t>
  </si>
  <si>
    <t>ING. DAVID ALFREDO DELGADILLO COSSIO</t>
  </si>
  <si>
    <t>ESTUDIO DE FACTIBILIDAD TÉCNICA Y ECONÓMICA PARA LA INSTALACIÓN DE UNA PLANTA PROCESADORA DE FRUTAS DEL TRÓPICO PARA EL SINDICATO FLORIDA DEL MUNICIPIO DE VILLA TUNARI.</t>
  </si>
  <si>
    <t>jcarballo@gmail.com</t>
  </si>
  <si>
    <t>IND-526-2012</t>
  </si>
  <si>
    <t>Factibilidad, Viabilidad, Planificación, Valor Actual Neto, Tasa Interna de Retorno, Sensibilidad, ubicación</t>
  </si>
  <si>
    <t>El objetivo del presente proyecto será determinar la factibilidad técnica, económica para la instalación de una Planta Procesadora de Frutas del Trópico para el Sindicato Florida del Municipio de Villa Tunari. Para el logro del objetivo se realizo inicialmente un diagnostico en la región del Chapare que gracias a sus bondades de clima, la producción de frutas tienen cifras considerables de producción, que en muchos casos sobrepasan la demanda,  manifestándose en pérdidas económicas que afectan de forma considerable a los productores, se puede señalar algunas razones que nos llevan a analizar la situación actual de la producción: La actividad agrícola de la zona de estudio tiene una vocación consumo familiar.Posteriormente se llevo a cabo el estudio de mercado, el cual nos permitió conocer la demanda del producto, el perfil del consumidor, sus hábitos de consumo, ayudando de esta forma en la toma de decisiones futuras para el lanzamiento del producto al mercado. Se pudo determinar la ubicación del proyecto definiendo a la localidad de 1° de Mayo como el lugar para el emplazamiento del proyecto. Se determinó la capacidad de producción de la planta en función a la maquinaria.Se identificó el tipo de organización lineo-funcional, se desarrolló una evaluación económica y financiera del proyecto, mediante indicadores económicos para el proyecto como el TIR (Tasa Interna de retorno) obteniéndose un 40 %, VAN (Valor actual neto) el cual en el caso del proyecto se obtuvo un valor de  3, 083,658.98 Bs.  y B/C que resulto con 1,27 de Beneficio Costo. Finalmente se pudo concluir que el proyecto es técnico, económico y financieramente viable.</t>
  </si>
  <si>
    <t>https://drive.google.com/file/d/1KRSRtiA1lpDwzGwl-V5Hdr7NXm8NzHzM/view?usp=sharing</t>
  </si>
  <si>
    <t>https://drive.google.com/file/d/1N8BbYILcr7aBSkRmHl0Q8SQLvGolLKLZ/view?usp=sharing</t>
  </si>
  <si>
    <t>https://drive.google.com/file/d/1x_O1H49CJi4pvAQ5um8Y7HUn8u-q1vt2/view?usp=sharing</t>
  </si>
  <si>
    <t>JAVIER FRANCO SORIA</t>
  </si>
  <si>
    <t>PLAN DE MARKETING PARA LA EMPRESA DE EMBUTIDOS VICTORIA</t>
  </si>
  <si>
    <t>javi_fs777@hotmail.com</t>
  </si>
  <si>
    <t>IND-527-2012</t>
  </si>
  <si>
    <t>Plan de Marketing, Marketing Míx, Embutidos de Pollo, Estudio de Mercado, Demanda Potencial, Análisis FODA, Estrategias, Mercado Objetivo, Cuota de Mercado, Rentabilidad, TIR, VAN.</t>
  </si>
  <si>
    <t>El plan de marketing que se realizo para la empresa de embutidos Victoria tiene como objetivo General posicionar sus productos en los mercados del área urbana de la ciudad de Cochabamba, la metodología que se empleo es la siguiente: primeramente se reviso la bibliografía y apuntes de clase referentes al tema en estudio (plan de marketing, mercadotecnia, gestión estratégica),  como un segundo punto se hizo el análisis de factores internos con el objetivo de determinar las fortalezas y debilidades del ambiente interno, posteriormente se realizo un análisis de factores externos para determinar las oportunidades y amenazas del ambiente externo que rodea a la empresa, para una mejor comprensión de los resultados se hizo un análisis de resultados(análisis F.O.D.A.). Del estudio de mercado que se realizo se pudo determinar la demanda potencial de embutidos de pollo de 1633310 kg/año, el embutido de mayor preferencia es la mortadela con un 49 % seguido del chorizo tipo viena con  21 % y chorizo parrillero con 17 % de aceptación,  los lugares de compra mas preferidos son los supermercados con 38 % y las tiendas de barrio con 27 %. Los competidores mas importante son la empresa Sofía con  42 % de cuota de mercado, Dillmann (11%), Pio Rico (26%) y ALG (16%). Estos datos son muy importantes porque nos da una idea de que tipo de embutido se recomendaría a la empresa producir y para la plaza la selección del canal de comercialización.Como tercer punto de la metodología realizada es el direccionamiento estratégico donde se proponen la Misión y Visión para la empresa.El cuarto punto es la selección y determinación de la estrategia: la estrategia que se propuso es la de participación de mercado es decir con  el  plan de marketing se pretende incrementar la participación de mercado de 1 a 2.2 % en un periodo de 5 años. El quinto punto es el plan de acción donde se propuso el marketing míx para la empresa: Producto se establece el logotipo, marca, envase, etiqueta y para la venta a granel se propone un bolsa de polietileno con el logo y marca de la empresa. En la variable Precio se recomienda mantener los precios actuales de los productos. Plaza: mediante un análisis de localización  se propuso la apertura de una agencia en el mercado Ingavi de la zona noroeste de la ciudad de Cochabamba. Promoción: la variable mas importante es la herramienta publicidad para el plan de marketing se propone la publicidad en radio y periódico.La conclusión a la que se llego es que la empresa cumple satisfactoriamente las tareas gerenciales esenciales (49.3%). La cuota de mercado  de la empresa Victoria actualmente es de 0.88 % con el Plan de marketing  la estrategia seleccionada es la participación de mercado y el objetivo es incrementar a 2.2 % entre las gestiones 2012-2016 con la estrategia de participación de mercado.El presupuesto del plan de marketing asciende a una inversión de Bs. 32556 y un gasto de Bs. 22908.Del análisis financiero se obtuvieron los siguientes valores de rentabilidad: TIR: 23.7 % y VAN: Bs. 93096,77.Se recomienda a la empresa la implementación del plan de marketing como una herramienta destinada a incrementar las ventas y su rentabilidad.También es conveniente actualizar el manual de funciones ya que se adicionara una persona como encargado de comercialización.Se recomienda a la empresa pertenecer al clúster de alimentos de la UMSS, el cual brinda apoyo en investigación de mercados, desarrollo empresarial y otros servicios.</t>
  </si>
  <si>
    <t>https://drive.google.com/file/d/18HbuXOX61LI6w5yzeevBDwx8x208Ien8/view?usp=sharing</t>
  </si>
  <si>
    <t>https://drive.google.com/file/d/1p8G33WBRjUdh7oJLtZuUhEbiTpCCHFax/view?usp=sharing</t>
  </si>
  <si>
    <t>https://drive.google.com/file/d/1XgNcjeQXSgA9nEZrDMPV4yN83gjHA9vi/view?usp=sharing</t>
  </si>
  <si>
    <t>BALDERRAMA ARNEZ NATALY ANDREA</t>
  </si>
  <si>
    <t>BERRIOS ARNEZ JACQUELINE VERÓNICA</t>
  </si>
  <si>
    <t>OPTIMIZACIÓN DEL PROCESO PRODUCTIVO Y ADMINISTRATIVO DE LA EMPRESA PURIFICADORA DE AGUA  AQUA NUESTRA</t>
  </si>
  <si>
    <t>na-balderrama@hotmail.com</t>
  </si>
  <si>
    <t>IND-528-2012</t>
  </si>
  <si>
    <t>Optimización, Proceso Productivo, Proceso Administrativo, Balanceo línea, Evaluación Financiera de un Proyecto.</t>
  </si>
  <si>
    <t>Se realizo en primera instancia, un diagnostico situacional, para analizar la situación actual en la que se encontraba la empresa, detectando en ella diferentes debilidades tanto en el proceso productivo como administrativo, que deben ser solucionados, se detectaron también fortalezas en ambos procesos que ayudaron con las mejoras de la empresa.En base a los resultados obtenidos en el diagnostico, se diseñaron planes estratégicos para cada uno de los procesos. En el proceso productivo se sugirió; la incorporación de nueva maquinaria, manejo de inventarios, implementación de señalización y la aplicación de gestión por procesos, para cada uno de los planes elaborados se realizaron líneas estratégicas, que permitirían llevar a cabo estos planes.En cuanto al proceso de administración, los planes estratégicos sugeridos fueron; mejora en la estructura organizativa de la empresa, manejo de inventarios, mejora de la infraestructura y aplicación de la gestión por procesos, todos los planes con sus respectivas estratégicas.Para el proceso de comercialización, se diseñaron planes estratégicos que le permitan a la empresa crecer con promoción, publicidad, la compra de móviles distribuidores y de la misma manera aplicación de la gestión por procesos.Finalmente se realizo una evolución financiera para ver la viabilidad del proyecto, con indicadores como la Taza Interna de Retorno, Valor Actual Neto, el Coeficiente Beneficio Costo y se determino también el Punto de Equilibrio.</t>
  </si>
  <si>
    <t>https://drive.google.com/file/d/1Zl3__0sj0io5sgNKU_WtqHtxPShW-RuN/view?usp=sharing</t>
  </si>
  <si>
    <t>https://drive.google.com/file/d/1Z84V5_J-_nQEdpmZBgkdkxU5XKDUcVNT/view?usp=sharing</t>
  </si>
  <si>
    <t>https://drive.google.com/file/d/1-D2Jkifpeiu1-pD5fhFcs1WL4f8bEtT-/view?usp=sharing</t>
  </si>
  <si>
    <t>ARIEL VILLARPANDO COLQUE</t>
  </si>
  <si>
    <t>ELABORACIÓN DE UN PLAN DE SEGURIDAD INDUSTRIAL PARA LA UNIDAD EDUCATIVA  “ISMAEL MONTES”</t>
  </si>
  <si>
    <t>ing.arielvc@hotmail.com</t>
  </si>
  <si>
    <t>IND-529-2012</t>
  </si>
  <si>
    <t>riesgos, evaluación de riesgos, accidentes y enfermedades ocupacionales.</t>
  </si>
  <si>
    <t>En base a la información que se tuvo  de las distintas fuentes como ser: libros, Periódicos, Internet y Fuentes secundarias. Se determino que existe una problemática principal, que afecta a las Escuelas Fiscales del País de Bolivia y en especial en la ciudad de Cochabamba, por las deficiencias de infraestructura.Ya que actualmente la Alcaldía Municipal dejo a un lado lo que es la reparación  y el mantenimiento de las escuelas fiscales de la ciudad de Cochabamba. Provocando de esta manera falencias en las escuelas fiscales de la zona sud.Es de esta manera que se llego a la decisión de la realización  del Plan de Seguridad Industrial para la Unidad Educativa  “Ismael Montes”, por las zonas de peligros que presentan, para los miembros de la Institución.Por las metodologías de investigación efectuadas de entrevistas, encuestas a la directora del Establecimiento Educativo, administrativos, personal de limpieza, estudiantes, así como también por las observaciones o inspecciones realizadas en los ambientes  como ser aulas, dirección, secretaria, sala de talleres, depósitos de almacenamiento, etc. Se obtuvo información de las características principales respecto a los ambientes y de las actividades de los miembros de la Unidad Educativa “Ismael Montes”.La metodología de evaluación general de riesgos que se aplico adicionalmente en la Institución, permitieron identificar los principales riesgos, que pueden provocar accidentes y enfermedades ocupacionales. Se obtuvo información de los principales factores de riesgo como: El deterioro de la infraestructura, falta de equipos extintores, falta de equipos de protección individual, falta de barandas de protección, acumulación de desperdicios (basura) y otros.Posteriormente se realizo el desarrollo del Plan de Seguridad Industrial  para la Unidad Educativa  “Ismael Montes” las cuales están conformadas por 10 módulos de prevención y protección. Entre los que se encuentran los siguientes módulos: Servicio de Prevención en la Unidad Educativa, Capacitación  a los Integrantes de la Institución , Orden y Limpieza en el Establecimiento Educativo, Prevención contra Desastres Naturales, Prevención por Primeros Auxilios, Prevención en Base a las señalización, Prevención  contra Incendios en el Establecimiento, Prevención  por Equipos de Protección Individual, Prevención contra Agentes Perjudiciales en la Institución, Prevención  a  Problemas Ergonómicos en la Unidad Educativa.La adición del reglamento institucional que se desarrollo al Plan de Seguridad Industrial, permitirán a los miembros del Establecimiento Educativo, A tengan un comportamiento adecuado a la hora de realizar sus actividades en sus ambientes de trabajo y de estudio.También el haber desarrollado el programa de acción y seguimiento del Plan de Seguridad Industrial para la Unidad Educativa “Ismael Montes” permitirá a la Dirección  de la Institución realizar los controles respectivos de las medidas de seguridad, que se vayan implementar  en los ambientes de la Institución.Al haber  determinado los costos totales para cada uno de los módulos del Plan, el costo total de implementación, el costo de funcionamiento para los siguientes años. Darán a una idea a la Dirección del Establecimiento Educativo, para llevar a cabo o no dicho Plan.Por lo tanto, efectuar o realizar  el Plan de Seguridad Industrial para la Unidad  Educativa “Ismael Montes” requerirá de la participación de todos los involucrados como ser: personal administrativo, personal de limpieza, docentes, estudiantes, padres de familia, personal externo e equipamiento. Para obtener ambientes saludables y libres de riesgos. Además de que su conocimiento y cumplimiento llevara a la Unidad Educativa a ser ejemplo para las demás escuelas fiscales de la Ciudad de Cochabamba.</t>
  </si>
  <si>
    <t>https://drive.google.com/file/d/1Ii3Fik6JNkDw96F50gZyMJbpzyA6sPVw/view?usp=sharing</t>
  </si>
  <si>
    <t>https://drive.google.com/file/d/1TI44kO055q4DHebNwcwOmogiBb4nfvtY/view?usp=sharing</t>
  </si>
  <si>
    <t>https://drive.google.com/file/d/10JwY3_vEAyss_Hq4bRabLp1Ttfe6t0dl/view?usp=sharing</t>
  </si>
  <si>
    <t>LENNY VIRGINIA MONTAÑO PEREIRA</t>
  </si>
  <si>
    <t>ING. JORGE POOL</t>
  </si>
  <si>
    <t>DESARROLLO DE GESTIÓN INTERNA DE RESIDUOS SÓLIDOS EN PLANTA PEPSI SD SACABA DE ACUERDO AL PROGRAMA VPO</t>
  </si>
  <si>
    <t>lennymp@hotmail.com</t>
  </si>
  <si>
    <t>IND-530-2012</t>
  </si>
  <si>
    <t>Residuos Sólidos, Subproductos, Soft Drinks (SD), VPO (Optimización de la Planta).</t>
  </si>
  <si>
    <t>La planta Pepsi SD Sacaba forma parte de la Cervecería Boliviana Nacional y del grupo AB Inbev. La compañía AB Inbev divide sus programas de excelencia de la siguiente manera:·       WCCP  “World Class Comercial Program”: Dirigido al área comercial de la planta.VPO  “Voyager Plant Optimization”: Enfocado al área industrial de la empresa.·       BSC “Bussines Service Center”: Aplicado a centrales de servicio.La planta Pepsi SD Sacaba implemento el programa VPO (Voyager Plant Optimization) enfocado al área industrial de la empresa para lograr así la certificación de este programa de excelencia.El programa VPO consta de siete pilares: Gestión, Gente, Mantenimiento, Calidad, Higiene y Seguridad, Medio Ambiente y Logística. La implementación consistió en el desarrollo de la gestión interna de residuos sólidos en planta Pepsi SD Sacaba perteneciente al pilar medio ambiente y que garantizo a la empresa contar con una adecuada recolección, tratamiento, almacenaje temporario y disposición final de los residuos sólidos que son generados durante el proceso productivo.Inicialmente se llevo a cabo el diagnostico de la situación inicial de la planta con respecto gestión de residuos sólidos en el área industrial, con la colaboración de los jefes y responsables de cada  sector.Se llevo a cabo la implementación de las distintas actividades, como ser: clasificación de residuos sólidos en cada sector los cuales se convierten en subproductos para la venta, construcción del almacén de subproductos, auditorias a compradores de subproductos, control de cantidades mediante el libro de subproductos y capacitación a todo el personal de la empresa.Finalmente se estableció el costo-beneficio de la implementación que asciende a Bs. 16610, que representa el 10,9% de los ingresos por la venta de subproductos en la gestión 2011.</t>
  </si>
  <si>
    <t>https://drive.google.com/file/d/1CsMll9LF-5JmKtylRB4RAc_IRORHrH37/view?usp=sharing</t>
  </si>
  <si>
    <t>https://drive.google.com/file/d/1sRln0iod5yVSpm011vSJgJaSn-hQEl_5/view?usp=sharing</t>
  </si>
  <si>
    <t>https://drive.google.com/file/d/1_nYIxakfVN2Y447Yv6vmOqGpVZA4TEUV/view?usp=sharing</t>
  </si>
  <si>
    <t>CESAR MARZA GARCÍA</t>
  </si>
  <si>
    <t>HENRY VEIZAGA SALAZAR</t>
  </si>
  <si>
    <t>PROYECTO DE FACTIBILIDAD: PRODUCCIÓN DE FIDEO INTEGRAL EN LA LOCALIDAD DE PONGO Q’ASA PARA EL CODEPIRA COCHABAMBA</t>
  </si>
  <si>
    <t>cmg696@hotmail.com</t>
  </si>
  <si>
    <t>IND-531-2012</t>
  </si>
  <si>
    <t>Consejo Comunitario de Desarrollo Económico Productivo Integral de la Región Andina (CODEPIRA), Mancomunidad Región Andina Cochabamba (MRAC), Triticum Durum, Pasta seca, Secado superficial, etc.</t>
  </si>
  <si>
    <t>El fideo integral es un producto elaborado en base a harina de trigo duro considerando el total de sus componentes; posee alto valor nutritivo, rica en fibra y algunos minerales. Su aplicación en la industria alimentaria es necesaria por ser un alimento básico (de primera necesidad) y de fácil digestión.Por principio se hizo un diagnóstico general de la Región Andina de Cochabamba con el fin de identificar algunos parámetros esenciales como ser: productividad agrícola, situación socio-económica y demografía.También se hizo un estudio de mercado para el producto y así obtener la demanda efectiva. Seguidamente con la creación de un plan de marketing se plantea conseguir la penetración y posicionamiento al mercado campesino, considerando en esta etapa acciones de abastecimiento y hasta la promoción del producto.El tamaño de planta es calculado tomando en cuenta la cantidad de materia prima disponible para la venta y la demanda del sector en estudio, a su vez se realizó la ingeniería del proyecto que describe de forma clara el procesamiento de la materia prima en sus dos modalidades (harina y fideo), las operaciones involucradas, lay out, plano de construcción, etc. Todo esto en una planta ubicada dentro el territorio campesino llamado Pongo Q’ asa  del municipio de Arque.Para finalizar, se hizo la organización del recurso humano y asignación de responsabilidades, obligaciones, planillas de sueldos y salarios, cálculos económicos (estado de resultados, depreciaciones, inversiones, etc.), y la importante evaluación del proyecto desde la perspectiva financiera y ambiental.En fin, el presente documento se justifica como una alternativa contra la inseguridad alimentaria del campesino que habita la región andina y el desarrollo truncado en la zona más pobre del departamento de Cochabamba.</t>
  </si>
  <si>
    <t>https://drive.google.com/file/d/1HssfG1kCgnFyqEprXaVFrjLBG7SF3sop/view?usp=sharing</t>
  </si>
  <si>
    <t>https://drive.google.com/file/d/1QfKOye7Kvg2n79qBRIYeYAyRlTwSsbck/view?usp=sharing</t>
  </si>
  <si>
    <t>https://drive.google.com/file/d/1fVE9wSFZA8m1XHRapeRsKn8rYGNO2OGg/view?usp=sharing</t>
  </si>
  <si>
    <t>JHONNY ALVARO VEIZAGA ESCOBAR</t>
  </si>
  <si>
    <t>DISEÑO DE MEDIDAS DE PRODUCCIÓN MÁS LIMPIA, PLAN DE  SEGURIDAD E HIGIENE INDUSTRIAL PARA LA CARPINTERÍA EMANUEL</t>
  </si>
  <si>
    <t>jhonnyalvaro@gmail.com</t>
  </si>
  <si>
    <t>IND-532-2012</t>
  </si>
  <si>
    <t>Bases de Producción Más Limpia, Seguridad e Higiene Industrial, Carpintería en Madera, Orden y Limpieza, Señalización, Evaluación de Riesgos.</t>
  </si>
  <si>
    <t>La necesidad de haber realizado el estudio fue el de encontrar medidas para mejorar la producción de muebles de madera y de brindar condiciones adecuadas de salud y seguridad a los trabajadores dentro la carpintería Emanuel.La calidad de los muebles de madera es relativamente buena, y su costo de producción es alto, ya que no se posee registros de entradas ni salidas de Materia Prima, Materiales e Insumos. Así también se tiene numerosos riesgos de accidentes laborales.El estudio se realizó de la siguiente manera:Se Recopiló información de los procesos de producción.Se realizó una evaluación general de Riesgo en las áreas de trabajo, áreas de máquinas, depósito de muebles terminados, depósito de productos químicos, área de acabado y pulido.Se detalló las acciones preventivas para contrarrestar  estos riesgos.Se Evaluó los procesos de producción e Identificando las Operaciones Unitarias Críticas(Operaciones que tiene o puede tener impactos negativos importantes, sean estos ambientales, productivos o económicos)Se enfocó en identificar las causas que originan las deficiencias, pérdidas o generación de residuos.Se elaboró balances de Masa y también un Tratamiento de la información del consumo de Energía Eléctrica.Se identificó las causas de Ineficiencias en el uso de Materias Primas, Materiales e Insumos y las causas de los flujos contaminantes.Se seleccionó las Opciones de Producción Más Limpia.Se evaluó Técnicamente todas las Opciones Planteadas, tomando en cuenta la prioridad y la capacidad de la empresa, dando como resultado su  viabilidad técnica.Se evaluó Económicamente las Opciones planteadas, tomando en cuenta el costo de la inversión que se necesitaría, dando como resultado su viabilidad económica.Se concluyó que las medidas de Producción Más Limpia y el Plan de Seguridad e Higiene Industrial traerían ahorros de mas de Cinco mil  Bolivianos, y que se podría recuperar la Inversión en menos de diez meses.Se recomendó nueve Medidas y el Plan a ejecutarse con sus respectivos responsables y su horizonte temporal.Con el proyecto se pretendió mejorar los procesos productivos y brindar condiciones adecuadas para el trabajador de la carpintería para que así pueda obtenerse beneficios ambientales, beneficios económicos y beneficios de seguridad industrial.</t>
  </si>
  <si>
    <t>https://drive.google.com/file/d/13HD8EyMmUAwyq50EPiQDq6mi9tQepfq2/view?usp=sharing</t>
  </si>
  <si>
    <t>https://drive.google.com/file/d/1CC2ata6ce3PKWCYu6PsyACQl_MZfILvz/view?usp=sharing</t>
  </si>
  <si>
    <t>https://drive.google.com/file/d/15cV2G1XhcSyD4CNqcx96aqPPgKykuME6/view?usp=sharing</t>
  </si>
  <si>
    <t>PABLO ENRIQUE RODRÍGUEZ ORTUÑO</t>
  </si>
  <si>
    <t>DISEÑO DE UN SISTEMA DE GESTIÓN DE SEGURIDAD Y SALUD OCUPACIONAL BASADO EN LA NORMA NB/OHSAS 18001:2008 PARA LA EMPRESA MANACO S.A.</t>
  </si>
  <si>
    <t>pablo_rdgz@live.com</t>
  </si>
  <si>
    <t>IND-533-2012</t>
  </si>
  <si>
    <t>Manaco S.A., Sistema de Gestión de Seguridad y Salud Ocupacional, Seguridad Industrial, Norma OHSAS 18001</t>
  </si>
  <si>
    <t>La empresa Manaco S.A. vio por conveniente realizar un estudio de Seguridad y Salud Ocupacional en toda su sección productiva con la intención de contar con un Sistema de Gestión actualizado y alineado con los requisitos de la norma OHSAS 18001:2008 para la posterior certificación de la empresa. Debido a esto se procedió a la realización de un diseño de un Sistema de Gestión de Seguridad y Salud Ocupacional en todas las secciones productivas de la empresa, todo esto bajo la supervicion de el Jefe de la seccion de Seguridad y Medio Ambiente de Manaco S.A.Primero se realizo un estudio y análisis a fondo de la norma, para luego realizar toda la recolección de la documentación ya existente en Manaco, documentación de los antecedentes de la empresa, de la organización y de la seguridad llevada a cabo en ella. Todo con el fin de luego poder llevar a cabo un diagnostico inicial en el que se hizo una comparación de la situación inicial con los requisitos exigidos por la norma para así poder establecer la brecha existente entre estas dos.También se realizo un análisis de las mejoras necesarias en el Sistema para poder acercar la situación inicial a la ideal, realizando este análisis punto por punto de la norma.Se actualizo, mejoro y publico el “Reglamento Interno de Higiene y Seguridad Industrial” con el objetivo de dar a conocer las reglas, normas mas importantes dentro de la empresa y los recaudos a tener en cuenta en lugares de riesgo.Se llevo a cabo la elaboración del Manual de Procedimientos , con la elaboración de este manual cumplimos con uno de los requisitos mas importantes de la norma, que dice que la empresa debe contar con procedimientos que tengan relación con prevención de riesgos, documentados, registrados e informados al personal. Es una herramienta mediante la cual se puede asegurar el mejoramiento continuo del Sistema de Gestión de Seguridad y Salud Ocupacional. Todo este Manual de Procedimientos fue elaborada y adecuada a la empresa, tambien fue revisada y aprobada por el Jefe de Seguridad y medio Ambiente.Así mismo se llevo a cabo una actualización y mejora de distintos documentos existentes en la empresa, como ser el Manual de Seguridad, el Análisis de Riesgos del Área de Producción, etc. con el objetivo de reducir la brecha existente entre la situación inicial con la situación ideal.Por ultimo se realizo una estimación del costo que significaría la certificación de la norma a la empresa, con sus distintos detalles, totalmente desglosado y explicado punto por punto, todo cotizado de acuerdo al tamaño y las características de la empresa, así como los beneficios de lo que seria la implementación de la norma y la empresa certificadora que mas le convendría a la Manaco S.A. y la cotización de la misma.</t>
  </si>
  <si>
    <t>https://drive.google.com/file/d/18w6LoB31RhS8jNrbJzRBTe5bN718ZkEN/view?usp=sharing</t>
  </si>
  <si>
    <t>https://drive.google.com/file/d/1lM9yFdx7UPd0Ch53ergy7aqet7c8S_86/view?usp=sharing</t>
  </si>
  <si>
    <t>https://drive.google.com/file/d/1vWYwtqM6a8ZbzX2r6NwrQ9oYkPZW50pD/view?usp=sharing</t>
  </si>
  <si>
    <t>ROBERTO DELGADO ALANES</t>
  </si>
  <si>
    <t>ING. CARLOS ECHEVERRÍA HERRERA</t>
  </si>
  <si>
    <t>ANÁLISIS TÉCNICO Y ECONÓMICA DE LA MICROCENTRAL HIDROELÉCTRICA QUEWIÑAPAMPA POR LA VENTA DE ELECTRICIDAD A ELFEC.</t>
  </si>
  <si>
    <t>r.delgadoalanes@gmail.com</t>
  </si>
  <si>
    <t>IND-534-2012</t>
  </si>
  <si>
    <t>Microcentral Hidroeléctrica Quewiñapampa, Avaluó, Evaluación de riesgo en proyectos de inversión, Simulación Monte Carlo, Evaluación de Impacto Ambiental.</t>
  </si>
  <si>
    <t>La MCHQ fue impulsada por varias instituciones y por la cooperativa 1º de mayo que estaba conformada por lo comunarios del lugar para abastecerse de electricidad, pero en el año 1999 se crea por iniciativa de la prefectura departamental una red de distribución monofásica con retorno por tierra, aspecto que desmotivó a los socios de la cooperativa a esto conflictos internos en la cooperativa conllevo a una paralización de las obras inconclusas de la MCHQ. El proyecto se encuentra detenido e inconcluso y como tal no representa un beneficio alguno para la comunidad, ni para los socios de la cooperativa. La infraestructura se encuentra en proceso deterioro y depreciación, no existiendo ningún resultado de la inversión efectuada.   Actualmente la red de distribución de ELFEC en la zona es trifásica, lo que representa una condición técnica que se puede aprovechar para la puesta en marcha del proyecto, puesto que es posible la venta de energía eléctrica a la red de distribución. El presente proyecto de grado  tiene como objetivo la realización de un análisis Técnico y económico de la venta de Eléctrica por parte de la Micro Central Hidroeléctrica Quewiñapampa (MCHQ) hacia la red eléctrica de ELFEC. El estudio presenta una valuación de las condiciones actuales de la MCH inconclusa, para lo cual se hace uso de un modelo de valuación de la Reglamento Nacional de Tasaciones del Perú.Se plantea las condiciones técnicas y económicas necesarias para la puesta en marcha de la  MCHQ, la propuesta de conclusión de la construcción se lo realiza tanto para las obras civiles como para la parte electromecánica, habiéndose determinado el presupuesto final haciendo una discriminación entre los costos directos e indirectos. Así mismo se presenta las medidas de seguridad industrial para la etapa de la operación.Se realiza una revisión bibliográfica sobre la teoría asociada a la evaluación de riesgo en proyectos de inversión, se describen las técnicas de Simulación Monte Carlo y campos de aplicación de  la misma. Se realiza un análisis de costos, ingresos e impuestos relacionados a la operación del proyecto. Para determinar los ingresos es muy importante la determinación de los precios máximo, mínimo y mas probable del precio de energía eléctrica, para los cual se hace uso técnicas de la simulación eléctrica, análisis de costos de alternativas y criterios de optimización. Posteriormente se realiza la evaluación económica del proyecto y el riesgo asociado al proyecto de inversión, para los cual se hace uso de dos modelos de evaluación complementarios entre sí; un modelo determinístico y un modelo estocástico, para este último se hace uso de las técnicas de simulación Monte Carlo, se hace uso del software Cristal Ball ® acoplada a Microsoft Excel para realizar la corrida de 10.000 ensayos.Finalmente, se realiza una evaluación de impactos ambientales asociadas a cada una de las etapas del ciclo de vida de la MCH: construcción, operación y mantenimiento y desmantelamiento de instalaciones. El método utilizado para la identificación de impactos se utilizó la técnica de Listas de chequeo de efectos y para la valoración de impactos se utilizo la Matriz de Leopold, y finalmente se plantean medidas de correctivas para minimizar los efectos de los impactos</t>
  </si>
  <si>
    <t>https://drive.google.com/file/d/1F65tef9SkRsquXBXPdr0kNhGnU2cGyts/view?usp=sharing</t>
  </si>
  <si>
    <t>https://drive.google.com/file/d/1_Ybsk6jCaBiJbEgJrEK22SvmsahmHOWj/view?usp=sharing</t>
  </si>
  <si>
    <t>https://drive.google.com/file/d/1JN17HpD-nPpH5Zaz3J6TmHqsXpF7ogfj/view?usp=sharing</t>
  </si>
  <si>
    <t>ESTEFANIE TEJADA SOLÍS</t>
  </si>
  <si>
    <t>DISEÑO DE UN SISTEMA DE GESTION DE SEGURIDAD Y SALUD OCUPACIONAL BASADO EN LA NORMA OHSAS 18001 PARA LA EMPRESA MURANO S.R.L.</t>
  </si>
  <si>
    <t>tephi_t86@hotmail.com</t>
  </si>
  <si>
    <t>IND-535-2012</t>
  </si>
  <si>
    <t>Sistema de Gestión de Seguridad y Salud Ocupacional (SGSySO).</t>
  </si>
  <si>
    <t>El presente Proyecto de Grado tuvo como objetivo Diseñar un Sistema de Gestión de Seguridad y Salud Ocupacional basada en la Norma OHSAS 18001 para una empresa dedicada al servicio de templado del vidrio crudo.Para el desarrollo de este proyecto se realizó una evaluación inicial del estado de Gestión de la Seguridad con el objeto de tener claro cuáles son los puntos a fortalecer basando el criterio en los Objetivos, Niveles de responsabilidad, Puntos y estrategias de intervención. Se estableció un cronograma de mejora para el desarrollo de puntos importantes que darían conformidad a la norma; entre ellos planes de emergencia, procedimientos de investigación de accidentes, revisión de requisitos legales entre otros.Se dejó establecida una aplicación de control de hallazgos que permitirá hacer un seguimiento instantáneo de las observaciones, no conformidades e incidentes orientados a una revisión constante por parte de la Dirección y a un análisis más eficiente de los datos obtenidos. Finalmente se consiguió obtener un Sistema de Gestión más pragmático e ideal para una empresa templadora.</t>
  </si>
  <si>
    <t>https://drive.google.com/file/d/1_iq4Kbq3Vi8YdKIIhCbtPQfKyhFuwb9v/view?usp=sharing</t>
  </si>
  <si>
    <t>https://drive.google.com/file/d/1Thux39ZayKKFKqDL6HfMxOkH86tthh2p/view?usp=sharing</t>
  </si>
  <si>
    <t>https://drive.google.com/file/d/1GwqaV9AAxZfbvKVsbGZL1Ezwmn44vABY/view?usp=sharing</t>
  </si>
  <si>
    <t>JEANNETH MARILIA BOLAÑOS PACHECO</t>
  </si>
  <si>
    <t>CONTROL ESTADÍSTICO DE CALIDAD EN LA EMPRESA “PLABOL”.</t>
  </si>
  <si>
    <t>jea_nne_1@hotmail.com</t>
  </si>
  <si>
    <t>IND-536-2012</t>
  </si>
  <si>
    <t>Platería Boliviana “PLABOL”, Control Estadístico de Calidad, Sistema de Gestión de Calidad (SGC).</t>
  </si>
  <si>
    <t>La empresa “PLABOL” ha visto por conveniente realizar un control estadístico de calidad en la línea de producción de joyas de plata, debido a que existía gran cantidad de producto defectuoso y materia prima desperdiciada. Además de ser la línea que generas mayor ingreso a la empresa.Primeramente se realizó una descripción y diagnóstico de la situación actual de la empresa “PLABOL”, recabando toda la información acerca de la maquinaria y equipos existentes, además de la realización de un cursograma analítico de todo el proceso de fabricación de las joyas de plata. Todo esto con el fin de encontrar las fallas que están provocando que exista gran cantidad de productos defectuosos.También se realizó una encuesta al personal de la empresa que trabaja en el área de producción y según estas respuestas se construyó el diagrama de Pareto, con el cual se pudo establecer cuáles eran los principales puntos críticos de control que están afectando la producción de las joyas de plata.Una vez detectados los puntos críticos de control se procedió a tomar la muestra respectiva en cada punto crítico, teniendo el cuidado necesario el momento de registrar estos datos. Una vez que se tomaron las muestras necesarias se procedió al análisis de estas, realizando los diagramas de cajas, las pruebas de Normalidad de los datos, la construcción y uso de las cartas de control.Una vez construidas las cartas de control se verificó si el proceso está o no bajo especificación, es decir si no existían puntos fuera de los límites de control, para posteriormente seguir con el uso de las cartas de control donde se tomó una segunda muestra para verificar si el proceso se encontraba bajo control o no.Para poder realizar todo este análisis se ha realizado un sistema de control de calidad, en el cual se especifica paso a paso como se debe realizar el mismo y que cuidados se debe tener.Por último se encontró la relación beneficio costo que indica que realizar un control estadístico de calidad en la empresa “PLABOL” es factible. Debido a que los ingresos netos son mayores a los egresos netos.Del estudio realizado se puede concluir que:-      El control estadístico de calidad reduce la de producción defectuosa.-      Existe un aumento en la productividad de la empresa.-      Los costos por productos defectuosos son cada vez menores-      Existen mayores ingresos por ende mayor beneficio para la empresa.Con todo esto se ha visto que realizar este control estadístico de calidad es de gran beneficio para “PLABOL”.</t>
  </si>
  <si>
    <t>https://drive.google.com/file/d/1M_0iIf54L3MNS829wr7N4oKuVw0_58gE/view?usp=sharing</t>
  </si>
  <si>
    <t>https://drive.google.com/file/d/1yxieqRhlas7ECj6Rdczs6ftIUmpQyxC7/view?usp=sharing</t>
  </si>
  <si>
    <t>https://drive.google.com/file/d/10wXJdJEA_k10yMxCbrGXuMH60nLAEsGt/view?usp=sharing</t>
  </si>
  <si>
    <t>CARLOS RIVERA LEMAITRE</t>
  </si>
  <si>
    <t>ING. CARLOS ALBERTO RODRIGUEZ RAMÍREZ</t>
  </si>
  <si>
    <t>PLAN DE SEGURIDAD E HIGIENE OCUPACIONAL PARA LA EMPRESA ASARTI</t>
  </si>
  <si>
    <t>CarlosRLemaitre@hotmail.com</t>
  </si>
  <si>
    <t>IND-537-2012</t>
  </si>
  <si>
    <t>Empresa ASARTI, Tiquipaya, Seguridad e Higiene Ocupacional, Identificación de peligros, Evaluación de riesgos, Procedimientos de trabajo seguro.</t>
  </si>
  <si>
    <t>En el presente trabajo se ha realizado un estudio de las condiciones de Seguridad e Higiene Ocupacional en los puestos de trabajo de la empresa unipersonal ASARTI, con el objetivo de mejorar las mismas y brindar mayor seguridad a los trabajadores de la empresa.Se ha realizado un diagnóstico de las condiciones de seguridad que presenta la empresa en los puestos de trabajo, para facilitar la elaboración del mismo se han elaborado los diagramas de flujo de proceso de la organización. Como parte de este diagnóstico se han realizado mediciones para establecer los niveles de exposición sonora y los niveles de iluminación en todo el centro de trabajo, así como también se realizo la identificación de peligros y evaluación de riesgos. Los resultados del mismo han sido utilizados para la elaboración del mapa de riesgos de la organización.Una vez realizado el diagnóstico se ha procedido a determinar los controles para mitigar los riesgos evaluados. Como medidas de control se han utilizado  controles de ingeniería; controles administrativos, tanto manuales de procedimientos de trabajo así como señalización preventiva de riesgos; y equipos de protección personal. También se ha desarrollado el plan de respuesta a emergencias y la estrategia de capacitación de personal.Finalmente se ha desarrollado el procedimiento para la identificación de peligros y evaluación de riesgos con el objetivo de asegurar la retroalimentación del Plan para mejorar su desempeño en términos de reducción y prevención de riesgos, mediante la realización de la identificación de peligros y evaluación de riesgos de manera periódica e involucrando a la alta gerencia en la evaluación de la misma.</t>
  </si>
  <si>
    <t>https://drive.google.com/file/d/1G3RmWclkr2m_WAdWVG9-4C6GMIlqlD1b/view?usp=sharing</t>
  </si>
  <si>
    <t>https://drive.google.com/file/d/1EoXZfJQx_XeonJPIBkIVdPWUdzJ5lBoX/view?usp=sharing</t>
  </si>
  <si>
    <t>https://drive.google.com/file/d/1SrNZaaZGRfH3Nl-TlOjrV65pgxQpHTBR/view?usp=sharing</t>
  </si>
  <si>
    <t>ELVA OMONTE RODRÍGUEZ</t>
  </si>
  <si>
    <t>DESARROLLO DE BUENAS PRÁCTICA DE MANUFACTURA Y PLAN DE SANEAMIENTO BÁSICO PARA LA FÁBRICA DE  CRISTAL.</t>
  </si>
  <si>
    <t>elvita.o@hotmail.com</t>
  </si>
  <si>
    <t>IND-538-2012</t>
  </si>
  <si>
    <t>Buenas Prácticas de manufactura (BPM) y  Plan de Saneamiento Básico.</t>
  </si>
  <si>
    <t>El proyecto de grado  ˝Desarrollo de Buenas Practicas de Manufactura y Plan de Saneamiento Básico para la Fabrica de Hielo Cristal˝, nació como una alternativa de mejora y solución al problema de la empresa ˝ Inexistencia de criterios y normas sanitarias para asegurar la inocuidad de sus productos.Como paso inicial se realizo el diagnostico higiénico sanitario de la situación actual de la empresa, para ello inicialmente se realizo revisiones bibliográficas, búsqueda de normas y reglamentos sanitarios aplicables, evaluación de la planta haciendo uso de las planillas de verificación de la NB 855 y las actas de inspección de SENSAG que corresponde al cumplimiento obligatorio de los requisitos de BPM.Una vez identificado los puntos no conformes y obteniendo el diagnóstico de la empresa como conformidad NOACEPTABLE, se prosiguió a plantear propuestas de acciones correctivas  a los requisitos no cumplidos del reglamento de  SENASAG, los r, junto a ello se adjunto su respectivo cronograma de implementación.Seguidamente par dar cumplimiento a las Buenas Prácticas de Manufactura se desarrollo  Plan de Saneamiento Básico que incluye;  Manual de Buenas Practicas de manufactura (BPM), Manual  de Buenas Prácticas de Higiene (BPH), señalización industrial, Manual de limpieza y desinfección, Prog. Procedimientos Operacionales  Estándar, Programa de control de agua, Prog. de control de solidos, Prog. de control de plagas y Prog. de capacitadores.Por ultimo se elaboró el presupuesto con el fin de tener una idea de la inversión necesaria para la implementación de acciones de mejora de las Buenas Prácticas de Manufactura, y cumplir con lo requerido por el reglamento de SENASAG. De acuerdo a las obras civiles y necesidades de la empresa la inversión fija necesaria fue de  93.697,10 Bs., costos diferidos de 2.415 Bs., y para el seguimiento del proyecto los costos operativos anuales necesarios son de 38.120 (Bs/año) que incurre la capacitación del personal, material de limpieza y desinfección de la planta  y el control de plagas, alcanzando el  costo total necesario 134.232,10 Bs., expresado en  dólares americanos el monto equivale a 19.286,22Es importante aclarar  que implementar Buenas Prácticas de Manufactura  es mucho más que dar un servicio esmerado; es una nueva forma de hacer las cosas abarcando a toda la planta  y considerando la satisfacción del cliente como lo más importante.</t>
  </si>
  <si>
    <t>https://drive.google.com/file/d/1oF1Oqpmr8SE8Z1p9kUFfKVJU_Wt7i1zC/view?usp=sharing</t>
  </si>
  <si>
    <t>https://drive.google.com/file/d/1hh5z6np2D8dagGOu3frrk3Z5obikYZ2x/view?usp=sharing</t>
  </si>
  <si>
    <t>https://drive.google.com/file/d/1CYJ9ynOHEP9IKveEUNLDBJv5-HcH59F7/view?usp=sharing</t>
  </si>
  <si>
    <t>OMAR ROLANDO AYALA VASQUEZ</t>
  </si>
  <si>
    <t>PLAN DE SEGURIDAD INDUSTRIAL E HIGIENE OCUPACIONAL PARA LA CURTIEMBRE F.M.</t>
  </si>
  <si>
    <t>omar.rolando.ayala@hotmail.com</t>
  </si>
  <si>
    <t>IND-539-2012</t>
  </si>
  <si>
    <t>Equipos de protección personal, productividad, wet blue, programa de capacitación.</t>
  </si>
  <si>
    <t>En la actualidad  existe la necesidad de ser cada vez más competitivos, y esto se ha convertido en un requisito vital, la creciente y exigente demanda, y la aparición de nuevos competidores entre otros despiertan en las empresas el afán de mejorar e innovar sus productos, evitar pérdidas ofreciendo mayor seguridad para sus trabajadores e instalaciones, disminuir el daño ambiental y disminuir también los diferentes costos para incrementar la rentabilidad, aspectos con los cuales pueden asegurar la supervivencia o crecimiento de la empresa u organización, al mismo tiempo de garantizar el bienestar de sus trabajadores, satisfaciendo así de esta manera las exigencias de los clientes, de la sociedad y de la gerencia misma. El proyecto tuvo como objetivo principal establecer las medidas preventivas y correctivas mediante el plan de seguridad e higiene ocupacional.El estudio realizado tuvo una metodología, que se resume a continuación.Como primer paso fue el de determinar las condiciones de la curtiembre e identificar todos los riesgos, el segundo paso fue poder evaluar estos riesgos y determinar medidas generales de prevención y el último paso fue determinar y especificar las propuestas mediante el plan de seguridad que permita a la curtiembre reducir y eliminar los riesgos.Y como resultado del estudio realizado se emitieron las siguientes conclusiones.Se pudieron identificar en el diagnóstico riesgos de tipo: químicos, mecánicos, físicos, ergonómicos, locativos, eléctricos y finalmente biológicos. Según la evaluación se pudo determinar que son los riesgos químicos los más peligrosos e importantes en la curtiembre.·       Se pudo evidenciar en el estudio del nivel de ruido que los puestos de trabajo: rebajado y lijado son peligrosos para el trabajador, porque sobrepasan los límites auditivos permisibles, pero sin embargo se propuso en algunos puestos de trabajo que están con niveles cercanos a estos límites auditivos permisibles, medidas preventivas voluntarias, para evitar molestias y stress durante el trabajo.Se efectuaron algunos procedimientos de seguridad como el manejo y manipulación de productos químicos, residuos líquidos y sólidos, gases y vapores, manejo de herramientas y maquinaria, que en su totalidad tendrán que ser supervisadas por el jefe de seguridad.Es importante la existencia del comité de seguridad, para que pueda ser un seguimiento y hacer cumplir las disposiciones de políticas y reglamentos internos relacionados a seguridad.La actitud y responsabilidad del trabajador es la base fundamental para que el plan sea efectivo.</t>
  </si>
  <si>
    <t>https://drive.google.com/file/d/1xdkhqyxSa2ipHd5NMACdOG0Gqaz0eUs9/view?usp=sharing</t>
  </si>
  <si>
    <t>https://drive.google.com/file/d/1sF3ufIgqlEav7u2Zq3GDsKIKCikC0O-u/view?usp=sharing</t>
  </si>
  <si>
    <t>https://drive.google.com/file/d/1ecxwEo6-WsTyhbN_7ltVYyiydlA0yxU_/view?usp=sharing</t>
  </si>
  <si>
    <t>PAMELA ISABEL QUINTANILLA CUPE</t>
  </si>
  <si>
    <t>ING. TOMAS HALLOWS</t>
  </si>
  <si>
    <t>OPTIMIZACIÓN DEL PROCESO DE FABRICACIÓN DE FRAZADAS EN POLAR TEXTIL S.A. A TRAVÉS DEL USO DE ALGUNAS HERRAMIENTAS DEL LEAN MANUFACTURING Y LA ADMINISTRACIÓN POR OBJETIVOS</t>
  </si>
  <si>
    <t>pamela.quintanilla.7@gmail.com</t>
  </si>
  <si>
    <t>IND-540-2012</t>
  </si>
  <si>
    <t>Optimización, Fabricación de Frazadas, Lean Manufacturing, Administración por Objetivos, SMED, TPM, 5S’S japonesas, Productividad, Eficiencia, Rendimiento, Mantenimiento Autónomo</t>
  </si>
  <si>
    <t>Polar Textil S.A., es una empresa boliviana dedicada a la fabricación de textiles de tejido plano, tales como frazadas, mantas, mantas de viaje, gabardinas y otros que solicite el cliente. Está ubicada en la Av. Estructurante #200, zona Barrio Lindo, Km 8 Carretera a Viacha, ciudad de El Alto. Polar genera actualmente 164 empleos directos, de los cuales 145 pertenecen al área de producción. Al igual que muchas empresas industriales, Polar tiene como objetivo principal maximizar su ganancia, hecho que motiva la búsqueda constante de herramientas que optimicen los diferentes procesos de la empresa. Es así que el presente proyecto de grado presenta una serie de propuestas, a partir de la aplicación de herramientas del Lean Manufacturing y la Administración por Objetivos (MBO), que permitirían a la empresa alcanzar este objetivo. Para desarrollar la propuesta de mejora y/ u optimización, se realizó en primer lugar, un diagnóstico de la empresa a través de dos herramientas: El cuestionario BMS (Business Management System), que evalúa a la empresa respecto de su habilidad estratégica, marketing, producción y su capacidad de gestión; y el Análisis FODA, que identifica las fortalezas, oportunidades, debilidades y amenazas a las que está sujeta la empresa; y permite determinar si esta está aprovechando adecuadamente las oportunidades y fortalezas y / o está afrontando correctamente las debilidades y amenazas. En el caso de Polar, ambas herramientas sacaron a relucir una serie de problemas entre los que se encontraba el desempeño no óptimo del proceso de fabricación de su principal producto: frazadas; mismo que se pretende atacar a través del presente proyecto de grado.Habiéndose determinado el problema a atacar, se procedió a determinar las causas que provocaban el mencionado problema a través del diagrama de pez, e identificar las herramientas que permitirían solucionarlo, estableciéndose así el objetivo principal: Optimizar el proceso de fabricación de frazadas de Polar Textil S.A. a través del uso de algunas herramientas del Lean Manufacturing y la Administración por Objetivos.Con el objetivo claramente establecido se procedió a evaluar la situación actual del proceso productivo; para ello se describió detalladamente el mismo, se hizo el cálculo de los balances de línea correspondientes y el cálculo de los indicadores que determinan el desempeño del mismo: eficiencia, productividad y rendimiento; este cálculo se hizó respecto del proceso en su conjunto y respecto de cada operación que interactúa en el mismo.Con los resultados obtenidos se procedió a identificar las áreas criticas, es decir, aquellas cuyo tiempo estándar era el mayor (operaciones más lentas), y / o aquellas que eran las menos eficientes, productivas y / o poseían el peor rendimiento. Se identificaron las siguientes áreas: Selección, Mezclado, Cardado, Hilado, Tejido, Hilado, Frisado y Acabado.Posteriormente se realizó el análisis paretano de cada una de las áreas críticas, identificándose así aquellas causas especificas que generan el problema en cada una de las mismas. Considerando que no se pueden atacar todas, se utilizo la regla 85:15 (el 85% de los problemas es causado por 15% de las causas), para determinar aquellas que se deben priorizar.Seguidamente se procedió a diseñar la propuesta de mejora para cada área crítica. En las áreas de Mezclado, Cardado e Hilado se aplico la herramienta SMED (Single Minute Exchange of Dies), lográndose a través de la misma reducir los tiempo de preparación (limpieza por cambio de color y / o calidad), en el caso del primero y segundo y; el tiempo estándar en el tercero. En los procesos de Selección y Acabado se utilizo la administración  por objetivos, lográndose incrementar la producción y por tanto mejorándose el desempeño de los indicadores de las mismas.El TPM (Total Productive Maintenance), fue aplicado en las áreas de Cardado, Hilado y Tejido, habiéndose elaborado procedimientos de mantenimiento autónomo y gestión de repuestos. Finalmente, las 5S’s por su parte fueron aplicadas a las áreas de Hilado y Acabado, permitiendo que el clima de trabajo y el grado de motivación mejoren en ambas.La aplicación de estas herramientas significo una reducción de los tiempos estándar en los procesos de Hilado y Tejido, hecho que permitió que se incremente la producción en ambas líneas (hilo y producto terminado), asimismo se redujeron los tiempos de preparación en los procesos de Cardado y Mezclado, se optimizaron los procedimiento de mantenimiento y gestión de repuestos y se incremento la producción de las operaciones de Selección y Acabado. Todas estas mejoras representaron una reducción de los costos variables de procesamiento (no incluye materia prima) y un incremento de los ingresos, lográndose así reducir la demanda no satisfecha. Las mejoras logradas permiten concluir que el objetivo principal fue cumplido. No obstante para alcanzar el objetivo principal de la empresa se recomienda seguir trabajando en términos de mejora continua, principalmente en la elaboración de estudios de mercado, estudios de la competencia, manuales de procedimientos y gestión de inventarios.</t>
  </si>
  <si>
    <t>https://drive.google.com/file/d/1V1GxjJxF7NylBzAPzD85jgnxbzsuc-LY/view?usp=sharing</t>
  </si>
  <si>
    <t>https://drive.google.com/file/d/1nF8sdj07Htct8-eDJKZGQw_zPhdsXob5/view?usp=sharing</t>
  </si>
  <si>
    <t>https://drive.google.com/file/d/1m931bPd9NhjDGoN5wyx7NzeYnH2G3n0v/view?usp=sharing</t>
  </si>
  <si>
    <t>GOMEZ AGUIRRE ALISON FABIOLA</t>
  </si>
  <si>
    <t>TORRES TORO CRISTINA ANGÉLICA</t>
  </si>
  <si>
    <t>ING. ROBERTO MANCHEGO</t>
  </si>
  <si>
    <t>ESTUDIO DE FACTIBILIDAD PARA LA IMPLEMENTACIÓN DE UNA PLANTA INDUSTRIAL DE PAPAS FRITAS CHIPS DESARROLLANDO U SISTEMA DE BUENA PRÁCTICAS DE MANUFACTURA</t>
  </si>
  <si>
    <t>fabita_gomez@hotmail.com</t>
  </si>
  <si>
    <t>IND-541-2012</t>
  </si>
  <si>
    <t>Papas fritas chips, perfil del consumidor, Clústers, papa Desiree, desarrollo de Proveedores, BPM (Buenas prácticas de Manufactura), Indicadores financieros y Análisis de Sensibilidad.</t>
  </si>
  <si>
    <t>El objetivo del presente proyecto será determinar la factibilidad técnica y financiera para la comercialización e instalación de una planta de papas fritas chips desarrollando un sistema de Buenas Prácticas de Manufactura (BPM).Para lograr este objetivo, se procedió de la siguiente manera: En primer lugar, se realizó un estudio del mercado donde la población meta fue de la provincia de Cercado en Cochabamba categoría A y B (según estrato económico), enfocando el estudio a los principales puntos de venta. Este estudio permitió calcular la demanda insatisfecha que existe en el mercado y estructurar el perfil del consumidor.Posteriormente se realizó un análisis de la materia prima e insumos, determinando la disponibilidad, los proveedores y el precio de cada uno de los materiales.Luego se procedió al estudio para la localización y tamaño, donde se estableció que la planta se ubicará camino a Sacaba. El tamaño de la planta estará en función de la maquinaria. La Ingeniería del proyecto posibilitó estructurar los elementos del producto, proceso y planta.Se identificó el tipo de organización lineo-funcional, como la más adecuada para la administración de los recursos humanos. Se determinó el procedimiento de buenas prácticas de manufactura para cumplir con las exigencias emitidas por Senasag.Se desarrolló una evaluación financiera del proyecto, mediante indicadores económicos como el TIR (Tasa Interna de retorno) obteniéndose un 20%, VAN (Valor actual neto) el cual en el caso del proyecto se obtuvo un valor de 29.094 $us y B/C que resulto con 1,13 de Beneficio Costo. Posteriormente se realizó el análisis de sensibilidad para determinar las variables que tiene alta influencia en el proyecto, que fue el punto de partida para la realización de escenarios que permitió ver la sensibilidad del proyecto frente a posibles variables internas y externas.Finalmente se pudo concluir que el proyecto es técnico, y financieramente viable.</t>
  </si>
  <si>
    <t>https://drive.google.com/file/d/1YwkiUO_7Bcp4i9GxW_Q_f82vOONiyivg/view?usp=sharing</t>
  </si>
  <si>
    <t>https://drive.google.com/file/d/1jsKEGA9tFk3LEZgyf2DjgSE2Mz-7slwR/view?usp=sharing</t>
  </si>
  <si>
    <t>https://drive.google.com/file/d/1ILhvbVmENIs3F7UoAcg08MXwVCr8xYT8/view?usp=sharing</t>
  </si>
  <si>
    <t>SUSANA DELGADO SALAZAR</t>
  </si>
  <si>
    <t>ING. MARCELO ROMANO ALBORNOZ</t>
  </si>
  <si>
    <t>PLAN ESTRATÉGICO PARA LA EMPRESA CONTROL EXPERTO</t>
  </si>
  <si>
    <t>susana.delgado.83@gmail.com</t>
  </si>
  <si>
    <t>IND-542-2012</t>
  </si>
  <si>
    <t>Control Experto, Plan Estratégico, Posicionamiento, Sistema de Control, Evaluación Financiera.</t>
  </si>
  <si>
    <t>El Plan Estratégico fue desarrollado con el objetivo de incrementar la competitividad actual de la empresa Control Experto. Los resultados obtenidos del análisis interno y externo concluyeron que el negocio actual de comercialización de codificadores cuenta con productos bien posicionados y una larga lista de clientes importantes en el país, por otro lado el segundo negocio de la empresa enfocado a la fabricación de maquinaria de empaque, desde el año 2003, actualmente presenta demasiados problemas entre los que se puede mencionar la entrega morosa de equipos, rediseño significativo de proyectos y rechazo de solicitudes por su reducida capacidad en planta.El análisis ambiental fue enriquecido con un análisis de la empresa enfocado en cada uno de sus procesos, indicadores obtenidos de encuestas y documentos de los procesos, el análisis de las variables externas se desarrolló según: la matriz PEST, el diamante de Porter, análisis de la competencia según las cinco fuerzas de Michael Porter y finalmente la Matriz del Perfil competitivo. Estas herramientas permitieron conseguir una descripción detallada del escenario donde se desenvuelve la empresa. Los resultados del entorno y la misión deseada de la empresa permitieron establecer tres estrategias con las que se redactaron tres planes para mejorar la competitividad de la empresa.Los planes que fueron desarrollados, tienen el objetivo de incrementar el reconocimiento de la marca y los productos de manera que la empresa Control Experto pueda ser fácilmente reconocida y solicitada por el mercado potencial de manera que las nuevas industrias en crecimiento o con necesidades de reposición de equipos para codificación y empaque acudan a directamente a Conex. Del análisis externo se determinó que la industria alimenticia y farmacéutica son los mercados más favorables para la comercialización de codificadores y maquinaria de empaque, y la fabricación de equipos enfocados a satisfacer las necesidades de estos mercados eran las más adecuadas.En los planes se propuso también, adquirir la representación de nuevos equipos en el área de empacado que permitan a la empresa ser referente tecnológico en el país,abarcando de esta manera un abanico más amplio de productos.Mediante el análisis desarrollado con el enfoque por procesos, y el incremento en la actividad comercial pronosticada para el proyecto se estableció la necesidad del reclutamiento de nuevo personal así como la compra de maquinaria CNC, éstos eran necesarios para el cumplimiento de los planes y corrección de varias debilidades y situaciones problemáticas con las que se enfrentaba la empresa periódicamente.Por último se establecieron estructuras de control que permitan el control y evaluación de los planes propuestos, asimismo se mencionó la importancia que tiene la documentación de los errores, modificaciones y mejoras en todos los procesos desarrollados y su importancia para alimentar a los planes de manera que estos vayan actualizándose y los procesos mejoren sus actividades de manera continua.</t>
  </si>
  <si>
    <t>https://drive.google.com/file/d/1FGx8tDJkFIPG-rbYpLV5F1W3HIto6ITL/view?usp=sharing</t>
  </si>
  <si>
    <t>https://drive.google.com/file/d/1hO8Hxwta0PuX_VPkPVX1eny7-_euHtMx/view?usp=sharing</t>
  </si>
  <si>
    <t>https://drive.google.com/file/d/1qnA6pTKFUWiqJmXOzaQPclx2EAjKExjq/view?usp=sharing</t>
  </si>
  <si>
    <t>PAOLA ARISPE SÁNCHEZ</t>
  </si>
  <si>
    <t>ING. HINOJOSA SALAZAR NELSON</t>
  </si>
  <si>
    <t>ESTUDIO DE FACTIBILIDAD PARA LA APERTURA DE UNA EMPRESA DE DISTRIBUCIÓN Y COMERCIALIZACIÓN DE GLP EN EL VALLE ALTO DE COCHABAMBA</t>
  </si>
  <si>
    <t>pao_lita47@hotmail.com</t>
  </si>
  <si>
    <t>IND-543-2012</t>
  </si>
  <si>
    <t>SARI de Tarata, Apertura de planta GLP, Canales y Rutas de Distribución,  Cronograma de Ejecución de Actividades,  Sistema de Iluminación y Enfriamiento.</t>
  </si>
  <si>
    <t>En este trabajo de grado se buscó el mejor mercado de para la apertura y creación de la empresa distribuidora en el  Valle Alto de Cochabamba, poniendo en práctica conocimientos que fueron adquiridos en la carrera.El documento abarca aspectos de  generalidades, antecedentes estudio de mercado del GLP en el Valle Alto, tamaño y  localización de la planta , Planta de distribución y almacén de GLP en garrafas, , distribución de planta, vehículos y equipos necesarios para la distribución y comercialización del producto, proveedores, producto y envase contenedor, servicios, personal, canales y sistemas de distribución, estructura básica de la organización, aspectos legales para el funcionamiento, regulaciones legales sobre implicaciones ambientales, análisis social, inversión de activos fijos, inversión de capital de trabajo, presupuestos, ingresos, otros gastos, análisis de costos, flujo de caja, estado de resultados, balance general, flujo de caja total neto del proyecto,  y las conclusiones y recomendaciones al final de la investigación del proyecto.La investigación de mercado es un método de investigación en el que el que se tiene por objetivo determinar cuál es la demanda actual que tiene el GLP en el Valle Alto y cuál fue la demanda histórica y cuál será la demanda fututa. La demanda futura se determinará mediante el uso de una ecuación matemática como es la regresión lineal simple, esta proyección de demanda servirá para realizar cálculos posteriores, además en este capítulo se logró identificar el tipo de mercado que tiene este producto y cuáles son las características del producto, mercado, quienes y como son los competidores que tiene y cuáles son  los aspectos más importantes a considerar en el estudio de mercado.En la localización del proyecto se tomaron en cuenta cuales son los criterios más importantes para determinar la mejor zona localización y ubicación de la planta  analizando los criterios óptimos y ventajosos de macrolocalización y microlocalización. En la macrolocalización se evaluaron los criterios de  distancia a la refinería YPFB, ubicación geográfica, tamaño de mercado, servicio básicos, competidores y mano de obra; cada uno de estos factores fue evaluado en las tres provincias de macrolocalización (Cliza, Punata y Tarata) y por medio del cálculo de fctores ponderados se logró determinar cuál es la mejor zona  de macrolocalización, de este estudio realizado se determinó que el lugar óptimo para la apertura de la empresa es la provincia de Tarata. En la microlocalización de  procedió a realizar el mismo calculo pero esta vez a nivel micro en la provincia de Tarata analizando otros factores como la energía eléctrica, agua, caminos amplios para ingreso y salida de vehículos, costo disponibilidad de terreno, acceso a mercados, necesidad de iluminación, carga monetaria. A la vez en este capítulo se determinó cual será el tamaño óptimo de la empresa de acuerdo a la categoría asignada por  la ANH.El estudio organización general es un capitulo donde se trataron las política administrativas que tendrá la empresa, aspectos organizativos, modelos lineales, organigramas, cuáles y cuantos serán los departamentos que tendrá la empresa, manual de funciones, se redactó cual será la misión y el manual de funciones de la empresa y el nivel de requisitos que cada uno de los trabajadores deben cumplir para postularse a los diferentes cargos de trabajo. Los canales y el sistema de distribución son importantes para la empresa ya que se tomaron en cuenta todos los aspectos cómo cual será la metodología de distribución del producto, cuáles son las barreras de mercado que tiene el producto, el plan estratégico de comercialización, el análisis del mercado meta, cuales son los hábitos de compra que tienen los consumidores al  momento de la compra del producto, cual es el canal de distribución y finalmente cual será la estrategia de venta que tendrá la empresa, para realizar el análisis de cada uno de estos puntos se tomaron datos acerca cuales son los canales de distribución que tienen las otras empresa, y cuál es el hábito de compra de los consumidores en este punto se pudo analizar que los consumidores no tiene un hábito de compra porque el GLP es un producto de consumo inmediato, por lo tanto los consumidores no siguen ningún habito de compra sino que compran el producto del primer proveedor que puedan.La ingeniería del proyecto y los aspectos técnicos legales representan un capítulo importante porque en este capítulo se definirán el tipo de empresa, los requisitos para la creación de la empresa, donde realizar el trámite, cuales son los aspectos legales para el funcionamiento de la empresa, los requisitos legales que se debe cumplir, todos los aspectos técnicos relacionados con la planta de distribución y almacén de las garrafas, cuántos y cuáles son los vehículos necesarios para realizar el proceso de comercialización, pero se realizó la diferenciación entre vehículo transportador y vehículo comercializador, el sistema de enfriamiento que debe tener la empresa, la iluminación de la planta; además se realizó los balances correspondientes a la mano de obra directa e indirecta, balance de vehículos, terrenos, edificaciones y obras civiles, el balance de muebles y enseres, se realizó el cronograma de ejecución de actividades y finalmente se abordó los equipos necesarios para la seguridad industrial de la empresa.En el capítulo de la evaluación económica y financiera se consideró toda la inversión que la empresa tiene en activos fijos, activos diferidos, capital de trabajo, se realizó el cálculo del flujo neto de fondos y con los resultados obtenidos se calculó el valor actual neto (VAN), la tasa interna de retorno (TIR) y el análisis de beneficio costo B/C. Posteriormente se calculó el estado de resultados de la empresa y finalmente se realizó el análisis de sensibilidad de la empresa tomando en cuenta cual es la variable más sensible que se tiene y que puede afectar en los ingresos de la empresa. La evaluación del impacto ambiental es un capítulo importante en este proyecto como en cualquier otro proyecto, por lo cual se realizó un análisis de  cuál será el posible impacto ambiental que llegará a tener la empresa, para la cual se procedió  a realizar el estudio de la ficha ambiental de la empresa tomando en cuenta los posibles impactos ambientales como ser el ruido, emisión de gases tóxicos, emisión de residuos sólidos.Finalmente las conclusiones y recomendaciones se recomienda cumplir con todas las disposiciones legales de la empresa, tener cuidado con los últimos decretos del gobierno  para el rubro de los hidrocarburos que podrían afectar la estabilidad de la empresa. La conclusión es que la empresa es una empresa económicamente rentable pero con una recuperación de capital lenta.</t>
  </si>
  <si>
    <t>https://drive.google.com/file/d/1pXexoS5BgoyYeHQ71CfSa7Nw83wcbv8j/view?usp=sharing</t>
  </si>
  <si>
    <t>https://drive.google.com/file/d/1us3ZjvDpPVQxyPR5h2OVWU1m4xPwb3US/view?usp=sharing</t>
  </si>
  <si>
    <t>https://drive.google.com/file/d/1625yGReozuf7s3H1InpPDTsM0JV3ZrHV/view?usp=sharing</t>
  </si>
  <si>
    <t>ERIKA FABIOLA HERBAS NAVIA</t>
  </si>
  <si>
    <t>ING. MARIO ELIAS MALDONADO</t>
  </si>
  <si>
    <t>EVALUACIÓN, PROPUESTA E IMPLEMENTACIÓN DE MEJORAS EN EL SISTEMA INTEGRADO DE GESTIÓN DE INDUSTRIAS LUJAN S.R.L. PARA AFRONTAR EL PROCESO DE RE-CERTIFICACIÓN CONFORME A LAS NORMAS ISO 9001 E ISO 14001.</t>
  </si>
  <si>
    <t>erika_fhn@hotmail.com</t>
  </si>
  <si>
    <t>IND-544-2012</t>
  </si>
  <si>
    <t>Industrias Lujan S.R.L., Certificacion, SGC, SGA, SIG, Auditoria, NC, ACR, PAC’s.</t>
  </si>
  <si>
    <t>Industrias Lujan S.R.L. es una empresa industrial manufacturera que, a través de procesos de soplado e inyección, realiza la fabricación de envases y accesorios plásticos para la industria en general. Para la fabricación de sus productos utiliza moldes y maquinaria de soplado, inyección y serigrafía. La empresa actualmente tiene certificados sus sistemas de gestión de calidad y ambiental de acuerdo con las normas ISO 9001:2008 e ISO 14001:2004. La certificadora con la cual trabaja es TUV RHEILAND. La certificación tiene una vigencia de 3 años. EL sistema de Gestión de calidad de Industrias Lujan S.R.L se certifico el año 2008 y el Sistema de Gestión Ambiental el año 2009, en la presente gestión se realizo la re-certificación del Sistema de Gestión de Calidad y el seguimiento anual del Sistema de Gestión Ambiental. Esta auditoría se caracterizo por ser más compleja, puesto que después de 3 años de la implementación del Sistema Integrado de Gestión se mostro procesos sólidos y bien estructurados, además de un avance en el camino de la Mejora Continua. El objetivo general del proyecto fue: “Evaluar, Proponer e Implementar mejoras en el Sistema Integrado de Gestión de industrias Lujan S.R.L.  Para afrontar el Proceso de Re-certificación conforme a las normas ISO 9001 e ISO 14001”.El proyecto se desarrollo en dos fases descritas a continuación:FASE 1.- Preparación del Sistema Integrado de Gestión para Afrontar la Auditoría ExternaEl objetivo de esta fase fue la preparación de todo el Sistema Integrado de Gestión para afrontar la Auditoría Externa con ÉXITO. A “ÉXITO” nos referimos a que se preparo al SIG permitiéndole mostrar en la auditoría externa competencia, evolución, madurez y una mejora continua del sistema.FASE 2.- Post. Auditoría Externa con el ente certificador. En la auditoría externa que se realizó con el ente certificador,  la empresa  demostró que mantiene un sistema de gestión de acuerdo a las normas ISO 9001 e ISO 14001. En la cual el ente certificador encontró 5 desviaciones. En esta fase se trabajo sobre las 5 no conformidades, realizando el levantamiento de los Planes de Acción Correctiva/Preventiva e implementación y, por último, un informe en formato digital, el cual contenía las evidencias de cierre de los PAC’s, este fue entregado al ente certificador por vía e-mail, y en la espera de un mes para la respuesta, se obtuvo la aprobación; por lo tanto se logró la Re-certificación del Sistema Integrado de Gestión.</t>
  </si>
  <si>
    <t>https://drive.google.com/file/d/1GJj11nyqrUME6A5n_ZTHZun8tvO99-ga/view?usp=sharing</t>
  </si>
  <si>
    <t>https://drive.google.com/file/d/11jnQWvO-xlJ_KfQbg_EepA5nJvYnGNcN/view?usp=sharing</t>
  </si>
  <si>
    <t>https://drive.google.com/file/d/1SA0yYMEiOolpwe2PH-rblQleWMRxZZ36/view?usp=sharing</t>
  </si>
  <si>
    <t>JORGE LUIS ARANDIA MORALES</t>
  </si>
  <si>
    <t>ESTUDIO DE FACTIBILIDAD PARA LA IMPLEMENTACIÓN DE UNA PLANTA DE JABÓN LÍQUIDO</t>
  </si>
  <si>
    <t>jorgea_14@hotmail.com</t>
  </si>
  <si>
    <t>IND-545-2012</t>
  </si>
  <si>
    <t>Planta productora de jabón líquido, saponificación.</t>
  </si>
  <si>
    <t>El proyecto busco la implementación de una planta de jabón líquido para el mercado de Cochabamba. El objetivo del mismo era demostrar técnica y financieramente la implementación de la planta. Durante el estudio de mercado se evaluó a la población consumidora que es la población urbana de la ciudad de Cochabamba y  la oferta del producto en Cercado obteniéndose una demanda efectiva para la venta del producto, además del precio de venta de los diferentes envases, el canal de distribución y el tipo de comercialización.La materia prima a utilizar son agua, lauril éter sulfato de sodio (texapón), amidol propil betaina, glicerina, solubilizante fosfatidilglicerol (PG), coperlan o cocoamida, fragancia y los principales insumos son las etiquetas, envases, también se determinó los costos de los servicios como el agua, energía eléctrica para la vida del proyecto. Además la localización del proyecto es la zona el Castillo ubicado en la avenida Villazón.Por medio de la ingeniería del proyecto se determinó el proceso productivo a utilizar, el balance de masa, balance de energía, identificándose los diferentes equipos, maquinaria (mezcladoras, envasadora vertical, envasadora horizontal, cinta transportadora, vehículos) e infraestructura de la planta. Para la conclusión del proyecto se establecieron las funciones del personal y la estructura organizativa de la empresa. La implementación del proyecto tomo un tiempo de cinco meses que fue desde la aprobación del proyecto hasta la puesta en marcha de la planta.Establecida la maquinaria, equipos, personal y materia prima, se hallaron los costos de funcionamiento de la planta así como los ingresos proyectados a obtenerse, teniendo una inversión total de 220.147,24 $us, el 60% de la inversión fue financiado por un préstamo y el 40% fue por aporte propio. Se determinaron los parámetros de la evaluación financiera de un VAN = 115.151,20 $us, un TIR = 27%y un TREMA=7,95%, donde se concluye que la implementación del proyecto es factible desde el punto de vista financiero y técnico.Se realizó una evaluación del impacto ambiental del proyecto se determinó que el proyecto corresponde a una categoría tres, por lo que |para obtener la licencia ambiental la empresa deberá contar con Medidas de Mitigación.</t>
  </si>
  <si>
    <t>https://drive.google.com/file/d/1sB-JD5iJt2SHHaX6CGMuGZEcTBvtQN3x/view?usp=sharing</t>
  </si>
  <si>
    <t>https://drive.google.com/file/d/1RCjLsJ1PwYC-gsvAXgk3IwiA3tgiT98i/view?usp=sharing</t>
  </si>
  <si>
    <t>https://drive.google.com/file/d/1p7AbpNF-dCt9wqWt_fibNqIVIkJhkheX/view?usp=sharing</t>
  </si>
  <si>
    <t>ÁLVARO MIGUEL MÉRIDA GAMBOA</t>
  </si>
  <si>
    <t>ING. JHON ÁLVARO ROCHA CHÁVEZ</t>
  </si>
  <si>
    <t>PLAN ESTRATÉGICO ORIENTADO A LA SATISFACCIÓN DEL CLIENTE PARA LA ELFEC S.A</t>
  </si>
  <si>
    <t>chch_micky@hotmail.com</t>
  </si>
  <si>
    <t>IND-546-2012</t>
  </si>
  <si>
    <t>Empresa de Luz y Fuerza Eléctrica Cochabamba (ELFEC S.A.), Satisfacción del cliente, Mejora continua, SGC, Proceso Comercial.</t>
  </si>
  <si>
    <t>La Gerencia Comercial de Elfec S.A. ha visto por conveniente realizar un plan estratégico orientado a la satisfacción del cliente debido a la realización del estudio de satisfacción del cliente como también un desconocimiento acerca de los índices de satisfacción actuales.Primeramente se realizó un diagnóstico de la Empresa y sus actividades en el sector comercial y se recabó información disponible acerca de las actividades, organización actual, etc. Todo ello con el fin de establecer la actualidad acerca del servicio que presta, a través del diagnóstico general de la empresa y un estudio de satisfacción del cliente.Se realizó la encuesta de satisfacción del cliente para la obtención de los datos y análisis de los mismos, de donde se obtuvieron los índices actualizados de satisfacción del cliente.También se realizó la identificación de oportunidades de mejora en base a los índices de satisfacción obtenidos, con la realización de las matrices de mejoramiento para la identificación de los principales atributos de mejoramiento. Con los resultados obtenidos de las actividades realizadas se procedió al planteamiento de las estrategias orientadas a la satisfacción del cliente y los planes resultado de cada estrategia.Con el planteamiento de los planes estratégicos se obtuvieron los presupuestos de inversiones y gastos que conlleva el proyecto.Se obtuvieron la relación beneficio/costo (B/C) y el periodo de tiempo en el cual se recuperará la inversión a realizar.Terminando con el planteamiento de las conclusiones y recomendaciones del caso, diciendo que la satisfacción del cliente es una meta en movimiento por lo tanto es necesario medirla continuamente para conocer el impacto que se tiene como consecuencia de las actividades realizadas.</t>
  </si>
  <si>
    <t>https://drive.google.com/file/d/1Q5UGpZEnARNdgWBwLr_2wD1mCnvptkH9/view?usp=sharing</t>
  </si>
  <si>
    <t>https://drive.google.com/file/d/1RnvGjRShOMVcMSMlRH3D8cx4cftY4Z8E/view?usp=sharing</t>
  </si>
  <si>
    <t>https://drive.google.com/file/d/1HHiqez0zR46N8LSjVUaGgIANcLNRdPkP/view?usp=sharing</t>
  </si>
  <si>
    <t>PABLO FERRADA VALDIVIA</t>
  </si>
  <si>
    <t>ING. MARY IVIA GONZÁLEZ EGUEZ</t>
  </si>
  <si>
    <t>MEJORAMIENTO DE LOS PROCESOS DE INSTALACIÓN Y ATENCIÓN DE RECLAMOS REFERIDO AL SERVICIO DE TELEFONÍA BÁSICA DE LA EMPRESA COMTECO</t>
  </si>
  <si>
    <t>ferradapv_tlsfme@hotmail.com</t>
  </si>
  <si>
    <t>IND-547-2012</t>
  </si>
  <si>
    <t>Cooperativa de Telecomunicaciones Cochabamba COMTECO, Eficiencia, Instalación y Atención de Reclamos, Muestreo Tipo Juicio, Entrevistas, PDCA, Sistemas de Control, Depuración de errores en sistema QBC.</t>
  </si>
  <si>
    <t>La unidad de Gestión de Calidad de la empresa COMTECO ha visto por conveniente realizar diagnóstico referido a la desactualización de datos técnicos en sistema QBC y en la documentación que otorga la empresa a los Técnicos de Instalación, Mantenimiento y de Redes debido a la existencia de reclamos de los clientes internos, y también del constante desordenamiento que se produce en sistema.Primeramente se realizó un diagnóstico de la situación actual del Sector de Provisión y Mantenimiento de COMTECO, y se recabó toda la información disponible acerca de las actividades, procesos de las actividades, interacción de todas las unidades del sector, todo ello con el fin de establecer procedimientos actuales de los procesos que presentan, a través del diagrama de causas y efectos y análisis de los flujo – gramas que presentan sus procedimientos. En función a este análisis se podrá determinar las posibles soluciones al problema.Se registró y observó cuales son las actividades principales que realiza el personal del sector y dado ello se propuso todas las mejoras.Se determinó cuales son las unidades donde no presentan controles a las actividades que realiza el personal y en función a ello, se planteó planillas de control para una posterior evaluaciónSe mejoró los procedimientos actuales de ambos procesos, modificando la estructura de los mismos, especificando las actividades a desarrollar para todo el personal del sector.Se propuso un cronograma de actividades a desarrollar para la unidad de Gestión de Calidad, con el fin de que la unidad pueda controlar todas las actividades a desarrollar, previamente dando un capacitación al personal, realizando un seguimiento de todas las actividades propuestas, evaluar a todo el sector y realizando como última actividad todas las acciones correctivas como resultado de la evaluación para si completar con el ciclo de DEMING.Finalmente se calculó el costo de inversión en el caso de que el proyecto se lleve a cabo y los costos de operación para toda la vida del proyecto, se estableció los beneficios a generarse con su implementación y se propuso nuevos modelos a utilizar para la documentación: O.T. y P.R. para que los mismos ayuden a ser una herramienta más completa para el registro de datos técnicos y permitan entrar a una segunda fase del proyecto que es el Catastro de Red.</t>
  </si>
  <si>
    <t>https://drive.google.com/file/d/1upnV5Obms6G_Tvp8BrHj6xVHOLmDB53M/view?usp=sharing</t>
  </si>
  <si>
    <t>https://drive.google.com/file/d/1rjiLl_1dgJ08F1zCUzKqM5Kx4RmsqEGw/view?usp=sharing</t>
  </si>
  <si>
    <t>https://drive.google.com/file/d/1lp4_RnCEmOgkzM7VUxHEAJ1YBUGbAxFS/view?usp=sharing</t>
  </si>
  <si>
    <t>JULLY LOURDES ORTIZ REA</t>
  </si>
  <si>
    <t>PAOLA CINTHYA SUAZNABAR GARCIA</t>
  </si>
  <si>
    <t>ESTUDIO DE FACTIBILIDAD PARA LA IMPLEMENTACIÓN DE UNA PLANTA DE TRATAMIENTO DE POSTES DE EUCALIPTO PARA EL TENDIDO ELÉCTRICO.</t>
  </si>
  <si>
    <t>jully_or@hotmail.com</t>
  </si>
  <si>
    <t>IND-548-2012</t>
  </si>
  <si>
    <t>Planta de tratamiento de postes de madera, impregnación, autoclave, método Bethell, importación.</t>
  </si>
  <si>
    <t>A partir de experiencias pasadas por la Empresa EL DELFIN SRL. en actividades como adjudicación y ventas en bajas proporciones de equipos de telecomunicación y materiales eléctricos, es que  vió una gran demanda para la provisión de postes de eucalipto tratados, para el tendido de líneas eléctricas. Es por ello que nació la idea de implementar una planta de tratamiento de postes de eucalipto. Para este efecto primeramente se realizó un análisis del mercado final recabando toda la información posible que ayudó a  efectuar un análisis cualitativo y cuantitativo de la demanda, para los cuales se ofrecerán postes para alta, media y baja tensión Posteriormente se determinaron los procedimientos y mecanismo para efectuar importaciones de materia prima desde los bosques de Argentina y Chile, así mismo se determinaron todos los insumos y materiales auxiliares, como también los costos que esto generaría al proyecto y los lineamientos generales de comercialización a seguir por la empresa. En cuanto al tamaño de la planta se determino la capacidad total de 2.680 Tn/año, manejando una capacidad incremental de 1.5%, llegando a utilizar el 100% de su capacidad al final del horizonte de evaluación. Se determinó que la planta estará ubicada en el municipio de Capinota (Santivañez), ya que en la evaluación cualitativa de puntos obtuvo mayor calificación que el resto de las zonas preseleccionadas con un peso de 8.28. El tamaño del terreno se estimó en 2.469 m2..  En la ingeniería del proyecto se determinó el proceso productivo apropiado según las características de la materia prima  y los requerimientos  según normas AWPA y especificaciones técnicas de la CRE. También se determinó la maquinaria y equipos a ser utilizados, las características de las obras civiles y los costos de inversión en activos fijos.Se determinaron los requerimientos de mano de obra, la estructura organizacional de la empresa y los procedimientos y tiempos de ejecución del proyecto previa fase operativa.Con toda la información recolectada se procedió a realizar la evaluación financiera del proyecto considerando las devoluciones impositivas propias de la importación. Los indicadores fueron: VAN=1.457114 $us, TIR=44 %, B/C = 1,58 $us y prc. = 1.5 años para el proyecto puro; y con financiamiento: VAN = 1.441.567 $us, TIR= 78 %, B/C = 1,52 $us y prc. = 1.52 años. La inversión total requerida es de 826.180 (Activos Fijos = 668.203, Activos Diferidos = 7.086 e inversión en capital de trabajo = 150.891 en P0). El financiamiento se evaluó al 70% de la inversión requerida en P0 (544.782) a una tasa del 9% pagadero en 5 años.Finalmente se analizaron, de forma general, los impactos y medidas preventivas hacia el medio ambiente.</t>
  </si>
  <si>
    <t>https://drive.google.com/file/d/1j3QPbq7mbMHzQNUX4sGmeHwQS9xICIR3/view?usp=sharing</t>
  </si>
  <si>
    <t>https://drive.google.com/file/d/1BMIj7j7_373j72cVRUkGSnGEOznHKbFq/view?usp=sharing</t>
  </si>
  <si>
    <t>FERNANDO PEÑALOZA OZUNA</t>
  </si>
  <si>
    <t>ESTUDIO DE FACTIBILIDAD PARA LA INSTALACIÓN DE UNA LAVANDERÍA COMERCIAL DE AUTOSERVICIO Y SERVICIO POR ENCARGO LAVA XPRES</t>
  </si>
  <si>
    <t>Fernando.penaloza.ozuna@gmail.com</t>
  </si>
  <si>
    <t>IND-549-2012</t>
  </si>
  <si>
    <t>Servicio de lavado de Ropa, Estudio de factibilidad, Limpieza de prendas,</t>
  </si>
  <si>
    <t>La industria de las lavanderías automáticas o más comúnmente conocidas como lavanderías comerciales son aquellas a las que los clientes o usuarios acuden a lavar y secar su ropa personal o la de su hogar.En este proyecto se planteó un análisis para la inversión de una lavandería comercial a nivel microempresa dedicada a prestar servicios de lavado de ropa por kilogramo en dos modalidades: lavado por encargo y autoservicio de lavado, siendo este último el principal objeto de estudio.A continuación y siguiendo una metodología dirigida a cumplir los objetivos planteados,  se tuvo primero que seleccionar un mercado meta para este tipo de negocio dentro de la provincia Cercado en la ciudad de Cochabamba y luego desarrollar su estudio respectivo, seguidamente se  realizó un estudio técnico y diseño de ingeniería, para definir  cuál debería ser la localización óptima donde debería ser instalada la empresa, determinando así su capacidad de producción y describiendo detalladamente los servicios ofertados para poder poner en marcha el proyecto; no obstante se tuvo que también definir la estructura administrativa adecuada para el buen funcionamiento de la misma. Por último fue realizada una evaluación financiera y económica para poder determinar la viabilidad financiera del proyecto.El estudio ayudó de gran manera a tener la seguridad de invertir en un proyecto el cual resulte rentable, que cumpla con las expectativas, metas y objetivos propuestos y que logre mantenerse en el mercado; así como también poder ofertar un servicio de lavado de ropa de calidad a la sociedad urbana y de esta manera satisfaces sus necesidades.Finalmente, sería recomendable que una vez que el proyecto sea puesto en marcha se realicen estudios posteriores para determinar las variaciones que pueden ocurrir tanto en el mercado como en las empresas competidoras y así poder ser una empresa innovadora y fácilmente adaptable al cambio.</t>
  </si>
  <si>
    <t>https://drive.google.com/file/d/1WGCUKKmpW5cbTO8nnrER9hknDGhlrDrF/view?usp=sharing</t>
  </si>
  <si>
    <t>https://drive.google.com/file/d/1dWSvYPRIMRy2CE5lv7pqkd_c77zhldeR/view?usp=sharing</t>
  </si>
  <si>
    <t>https://drive.google.com/file/d/16CeqsAgCZQ_m00IjzxigsiQwEm0WXiqL/view?usp=sharing</t>
  </si>
  <si>
    <t>ERNESTO FERREIRA ESPINOZA</t>
  </si>
  <si>
    <t>PLAN DE NEGOCIOS PARA LA ELABORACIÓN DE QUESOS FRESCOS EN LA COMUNIDAD DE PIÑAMI CHICO</t>
  </si>
  <si>
    <t>ing.ernestofe@gmail.com</t>
  </si>
  <si>
    <t>IND-550-2012</t>
  </si>
  <si>
    <t>Queso fresco, Cuajo, Cuajada, Balance de masa, Balance de energía, Layout, Factibilidad, Análisis de sensibilidad.</t>
  </si>
  <si>
    <t>El presente trabajo está enfocado a la implementación de planta productora de quesos en la comunidad de Piñami Chico, destinada a apoyar a los productores de leche.Primeramente se realizó un diagnóstico y análisis de la situación actual de los productores de leche en la mencionada zona, obteniendo que uno de los problemas, sea el bajo retorno de la inversión realizada para poder producir leche, siendo esta una de las razones para  dar un valor agregado a esta materia prima.También se realizó un estudio de mercado, obteniendo como resultados una cuantificación de la demanda y oferta actual del queso en la ciudad de Quillacollo.Una vez obtenidos los resultados de la investigación de mercado se desarrolló la ubicación de planta productora para un posterior análisis de ingeniería del proyecto, el cual determinara la infraestructura, equipamiento necesario y proceso productivo para la elaboración del queso fresco.Mediante los datos recabados posteriormente se determinó la estructura orgánica de la planta productora de queso fresco, así como los aspectos legales y los costos incurridos en este, como también los costos generados por los recursos humanos necesarios para el mismo, seguido de una planificación de actividades realizadas mediante software especializado obteniendo el tiempo óptimo para la realización de todas las actividades para la puesta en marcha del Plan de Negocios.Una vez realizada la planificación se procede a desarrollar una evaluación financiera para determinar si el proyecto es rentable mediante los indicadores VAN, TIR y luego del análisis de estos indicadores se concluye que el Plan de Negocios es rentable</t>
  </si>
  <si>
    <t>https://drive.google.com/file/d/1RGhtpydlSaOFDBhxHewjynGgYkinoG4G/view?usp=sharing</t>
  </si>
  <si>
    <t>https://drive.google.com/file/d/1GhNN2bZGykd3lLNRJUQbowHXHuq1-p72/view?usp=sharing</t>
  </si>
  <si>
    <t>https://drive.google.com/file/d/1bRsw4w7JiMfg4y1rWFZnbRu1DyUArAsZ/view?usp=sharing</t>
  </si>
  <si>
    <t>JAEL CAROLINE GONZALES DELGADO</t>
  </si>
  <si>
    <t>ALINA ARÉVALO</t>
  </si>
  <si>
    <t>DESARROLLO DEL PORTAFOLIO Y PLAN DE MARKETING DE LOS SERVICIOS DE AGRONEGOCIOS PARA EL PROGRAMA SDA DE FUNDACIÓN VALLES</t>
  </si>
  <si>
    <t>jaelcaroline@gmail.com</t>
  </si>
  <si>
    <t>IND-551-2012</t>
  </si>
  <si>
    <t>desarrollo de servicios, diseño de servicios, servicios de agronegocio, portafolio de servicios, cartera de servicios, plan de marketing, Fundación Valles, Programa SDA, Servicios de Desarrollo de Agronegocios</t>
  </si>
  <si>
    <t>El diseño de los servicios de agronegocio partió de los resultados obtenidos en la investigación de mercado con información de las tendencias y preferencias de los segmentos objetivo priorizados (Entidades de Cooperación, Entidades de Desarrollo y Empresas Privadas) para el Programa Servicios de Desarrollo de Agroneogicos (SDA) de la Fundación Valles. La demanda con mayor incidencia fue de los servicios pertenecientes al área temática de consultorías especializadas, seguido se encuentran los servicios de asistencia técnica y capacitación especializa y en tercer lugar se encuentran la organización de eventos especializados. El estudio de mercado brinda una referencia del volumen económico promedio del negocio que mueven los servicios de agronegocio, el cual se encuentra alrededor de 26,2 millones de bolivianos, donde las entidades de cooperación tienen el 85% de participación dentro este monto, alrededor de un 10% lo ocupan las entidades de desarrollo y el 5% restante pertenece a empresas privadas y cámaras. Por lo tanto, nuevamente los resultados de la investigación de mercado enfocan como objetivo de ventas a las entidades de cooperación y desarrollo, por ser las instituciones que se encuentran destinando mayores fondos para el sector agro-productivo.La priorización de los servicios fue realizada tomando criterios de mercado en una primera fase, dando como resultado 12 servicios, para luego llegar a un nivel simplificado de los mismos, se efectuó una clasificación, según las expectativas y Unidades de Fundación Valles, obteniendo el portafolio del Programa SDA con Cinco servicios, para los cuales se desarrollaron herramientas que acompañen la implementación y garanticen la calidad.En la primera etapa de venta de los servicios, se propone un plan de marketing con acciones de publicidad y promoción para posicionar el Porfolio de servicios, explotando las capacidades internas de la Fundación y reflejando toda la experiencia adquirida en el portafolio. Estas fortalezas, son utilizadas como una ventaja competitiva en el plan. A la vez, se contará con una política de precios diferenciados, en el proyecto se desarrollaron herramientas que ayudarán a dar respuestas inmediatas a las demandas, según los requerimientos y capacidades del cliente, velando por la calidad en la prestación del servicio.La inversión para la puesta en marcha del plan de marketing del Portafolio de Servicios del Programa SDA, demandará un monto de Bs95.120 (a recuperase aproximadamente en 9 meses), involucrando actividades cuyos objetivos son el posicionamiento e impulsar las ventas. Considerando la implementación del plan de marketing en tres periodos se tiene una tasa de retorno de la inversión (TIR) del 10% con un valor actual neto (VAN) Bs13.429, cuyo beneficio es mayor a uno, este panorama es mejor, a que se continúe con la venta reactiva.</t>
  </si>
  <si>
    <t>https://drive.google.com/file/d/1tgTCmcbANisLIaiiNlUC5MAUqy5S3j99/view?usp=sharing</t>
  </si>
  <si>
    <t>https://drive.google.com/file/d/1R2vGDTdzv9-HoP4AXMwJ8spdWnrpjp-Z/view?usp=sharing</t>
  </si>
  <si>
    <t>MARVIN PEREIRA CHAVEZ</t>
  </si>
  <si>
    <t>ING. MIGUEL GUZMAN</t>
  </si>
  <si>
    <t>PLAN DE SEGURIDAD E HIGIENE OCUPACIONAL PARA EL ASERRADERO “ROCA CARDOZO”</t>
  </si>
  <si>
    <t>lagaas12001@hotmail.com</t>
  </si>
  <si>
    <t>IND-552-2012</t>
  </si>
  <si>
    <t>Aserradero Roca Cardozo, DEMING, Equipos de Protección Individual (EPI), Comité Mixto, Evaluación de Riesgos, Procesos.</t>
  </si>
  <si>
    <t>El proceso productivo del aserradero ROCA CARDOZO cuenta con seis procesos para la elaboración u transformación  de la madera que son los siguientes: traslado del tronco (MP)  a la maquina denominada sierra sin fin, de donde se sacara tablas de madera, luego se lleva la madera cortada en tablas a la sierra circular donde se cortan las orilleras de las tablas , posteriormente se traslada las tablas a la maquina despuntadora en la cual se realizan los cortes respectivos de las puntas de las mismas, luego se realizan cortes de diferentes tamaños y medidas ,posteriormente se clasifica la madera para el mercado interno y externo para luego ser almacenadas con sus respectivos códigos.Primeramente se hace  el diagnostico actual de la empresa mediante el uso de Observación del sector productivo donde se registra la existencia de peligro potencial de accidentes y enfermedades laborales, Descripción general de la empresa en cuanto a señalización y medidas de seguridad e higiene, Entrevistas a los trabajadores para obtener datos más exactos y confiables respecto al ambiente de trabajo, y acerca de sus conocimientos sobre realizar un trabajo con seguridad.Toda información obtenida será clasificada y concordada con los datos obtenidos en la etapa de  observación priorizándose de acuerdo a su importancia, Con la ayuda de estas técnicas se realizaran un diagnostico en (Ambiente de trabajo, Elementos y  equipos de protección personal, Hábitos y/o costumbres de trabajo, Identificar las unidades productivas de mayor potencial de riesgo y perdidas accidentales)Se revisaran los conceptos básicos  de administración de  seguridad e higiene así como las técnicas de identificación de peligro, y análisis de evolución de riesgo para solucionar  los problemas existentes en la empresa y Se elabora un manual de seguridad e higiene en el que se detalle lo siguiente:•        Organización de la seguridad industrial.•        Registro y estudio de accidentes.•        Inspección, análisis y control de riesgos.•        Procedimientos y prácticas de trabajo correcto y seguros.•        Señalización horizontal y vertical, etc.•        Propuesta, para la creación de un departamento responsable en su aplicación e implementación del presente trabajo•        Reordenamiento en la parte organizativa de la empresa.</t>
  </si>
  <si>
    <t>https://drive.google.com/file/d/158AhW7ej-KHaHrInP0v18n5FhhZh4_sh/view?usp=sharing</t>
  </si>
  <si>
    <t>https://drive.google.com/file/d/1zsU4IPRNWZ-Gq3834egVHFskRRWY1tIZ/view?usp=sharing</t>
  </si>
  <si>
    <t>https://drive.google.com/file/d/1z4a1QIDAUnm9_hDRJUf58hl4WKyw4OzP/view?usp=sharing</t>
  </si>
  <si>
    <t>JORGE JAIME RUIZ ANGELO</t>
  </si>
  <si>
    <t>JUAN CESAR SOTO GUTIÉRREZ</t>
  </si>
  <si>
    <t>LIC. ELMER PÉREZ AMADOR</t>
  </si>
  <si>
    <t>ESTUDIO TÉCNICO ECONÓMICO PARA LA IMPLEMENTACIÓN DE UN CRIADERO DE CODORNICES PARA LA PRODUCCIÓN DE HUEVOS</t>
  </si>
  <si>
    <t>jorge_rko_666@hotmail.com</t>
  </si>
  <si>
    <t>IND-553-2012</t>
  </si>
  <si>
    <t>Instituto Nacional de Estadística (INE), coturnicultura, codorniz japónica, promedios ponderados, análisis de sensibilidad.</t>
  </si>
  <si>
    <t>A partir del estudio realizado en la ciudad de Cochabamba, se realizo un  análisis  de la demanda efectiva para el desarrollo del proyecto, con el propósito de implementar una granja avícola de codornices para la producción de huevos, con capacidades mayores a 7000 aves, sin embargo el proyecto realizado es para una granja de 4000 aves.Se realizo un estudio de mercado para determinar la oferta, la demanda y precios (encuestas, tabulación de datos, graficas, interpretación de resultados, conclusiones.)Para la localización de la zona del proyecto fue analizado por el método de promedios ponderados, la zona elegida fue la zona de tiquipaya (Apote), ya que cuenta con todos los requerimientos en cuanto a sistemas de comunicación, disponibilidad de agua potable, energía eléctrica, mano de obra, costo de terreno, cercanía a los mercados de destino, acceso a servicios veterinarios, acceso por vía caminera, nivel de ruido en el área.La finalidad de la ingeniería de proyecto fue la de encontrar el proceso tecnológico más adecuado para la crianza de codornices y la obtención de huevos, así como determinar una distribución optima, garantizando el uso de los recursos eficientemente y con la mayor productividad posible.La organización del criadero fue planteado mediante una estructura orgánica, estableciendo cargos requeridos y sus funciones a través de un manual de funciones por cargo.En cuanto a los costos asociados del proyecto tanto para la inversión total, gastos operativos, así como los ingresos derivados por producción, comercialización, administración, rentabilidad, utilidad esperada, se realizo mediante el análisis de sensibilidad (evaluación financiera del proyecto). Los canales de comercialización más significativos fueron a través de intermediarios ubicados en los mercados zonales populares, quienes comercializaran un 95% de la producción total, quedando ventas poco significativas para las cadenas de supermercados y friales zonales.De acuerdo a los resultados obtenidos es necesario implementarse el proyecto, con un esfuerzo en la búsqueda de recursos económicos para desarrollar las actividades operativas, buscar el terreno adecuado en la zona donde se realizo la investigación, ya que de ello depende el éxito del proyecto.Es recomendable capacitar a los empleados permanentemente sobre las condiciones de bioseguridad que se deben dar al interior de los galpones.Y además de mantener un adecuado trato con los intermediarios ya que ellos son los que comercializaran nuestro producto.</t>
  </si>
  <si>
    <t>https://drive.google.com/file/d/1mJj1VQvzJmyY47EJAH49BDvtVCnYwsq9/view?usp=sharing</t>
  </si>
  <si>
    <t>https://drive.google.com/file/d/1evC-tkkNySl9xN8GUMgfTvwcqHwjMoE3/view?usp=sharing</t>
  </si>
  <si>
    <t>https://drive.google.com/file/d/1nSPOSg39LFHPgCGAUmBZydOXE6_euy8r/view?usp=sharing</t>
  </si>
  <si>
    <t>GABRIEL FLORES URQUIZO</t>
  </si>
  <si>
    <t>PLAN DE MARKETING PARA LA FABRICA DE PELOTAS LITORAL</t>
  </si>
  <si>
    <t>gabriel_f.u@hotmail.com</t>
  </si>
  <si>
    <t>IND-554-2012</t>
  </si>
  <si>
    <t>Plan de Marketing, estrategias, marketing mix.</t>
  </si>
  <si>
    <t>La empresa Litoral inicio sus actividades en 1958, con el producto balones de futbol y fut-sala. En esos años la empresa tenía un volumen de ventas elevado, pero actualmente estas ventas han caído bastante. El presente trabajo tiene por objetivo diseñar un plan de marketing para incrementar las ventas de la fábrica de balones Litoral.Se plantearon siete objetivos específicos para cumplir con el objetivo general.En el estudio de mercado, en el cual se obtuvo información sobre el producto y algunas de sus características, los clientes y sus preferencias, también sobre la competencia y precios. Toda esta información permitió realizar y sustentar parte del análisis externo, donde se determinó las oportunidades y amenazas a través de la matriz EFE; en el análisis interno se determinó las fortalezas y debilidades y se utilizó la matriz EFI.Con toda la información sobre el mercado y la situación actual de la empresa se procedió a determinar la estrategia o estrategias más adecuadas para la fábrica, con el uso de las herramientas de la gestión estratégica, como son las matrices IE, FODA, MPC, MCPE, se determinó la estrategia a seguir: Penetración de mercados.En esta etapa también se identificaron las estrategias para el marketing mix y a continuación se desarrolló los planes de acción para dichas estrategias y el presupuesto requerido para su ejecución.Se realizó el análisis financiero, proyectando las ventas de la empresa y los estados de resultados, se calculó la relación beneficio-costo y, de acuerdo al resultado obtenido y su respectiva interpretación, la propuesta es rentable.</t>
  </si>
  <si>
    <t>https://drive.google.com/file/d/1qC5LYVAJpXRZ0EG4VcY5c3SrulNAv3aB/view?usp=sharing</t>
  </si>
  <si>
    <t>https://drive.google.com/file/d/1mCVG9-dTLBQy_Nq7QmWi9oSLHmKmujZI/view?usp=sharing</t>
  </si>
  <si>
    <t>https://drive.google.com/file/d/1ZdgAeEClz8q5a9qbv3mZDeN25sr3QAk9/view?usp=sharing</t>
  </si>
  <si>
    <t>FLORES CRUZ IVANA LINA</t>
  </si>
  <si>
    <t>ING. ARIANA ORELLANA PADILLA</t>
  </si>
  <si>
    <t>PLAN DE SEGURIDAD INDUSTRIAL E HIGIENE OCUPACIONAL PARA LA EMPRESA DE PLASTICOS ECOPLASTIC S.R.L.”.</t>
  </si>
  <si>
    <t>IND-555-2012</t>
  </si>
  <si>
    <t>Seguridad industrial, higiene ocupacional, identificación y evaluación de riesgos.</t>
  </si>
  <si>
    <t>https://drive.google.com/file/d/1oxEWRQTg0SjDW1RE4cZPvAeJ6QA533T9/view?usp=sharing</t>
  </si>
  <si>
    <t>https://drive.google.com/file/d/1_KNTMauhZIsa4vN34hML8nL9ZJHBecFn/view?usp=sharing</t>
  </si>
  <si>
    <t>https://drive.google.com/file/d/1kqWTqc1Rw4U8lIT7qPPvNuephB54sxru/view?usp=sharing</t>
  </si>
  <si>
    <t>MAYRA MARIANA ARANDIA HIGUERAS</t>
  </si>
  <si>
    <t>LIC. BLANCA HIGUERAS ANTEZANA</t>
  </si>
  <si>
    <t>PLAN DE SEGURIDAD E HIGIENE INDUSTRIAL PARA LA CENTRAL DE ESTERILIZACIÓN DEL HOSPITAL MATERNO INFANTIL GERMÁN URQUIDI</t>
  </si>
  <si>
    <t>IND-556-2012</t>
  </si>
  <si>
    <t>Central de Esterilización, Seguridad e Higiene Industrial, Equipos de Protección Industrial, Identificación y Evaluación de riesgos, Medidas correctivas y preventivas, Plan de Seguridad e Higiene Industrial, Orden y limpieza, Equipos de Esterilización.</t>
  </si>
  <si>
    <t>La Central de Esterilización resulta ser un área base y de gran complejidad en donde se realizan procesos fundamentales dentro el Hospital Materno Infantil Germán Urquidi, y en la actualidad no cuenta con un Plan de Seguridad e Higiene Industrial que ayude a detectar, prevenir, controlar y minimizar riesgos tanto para el personal como para los equipos que funcionan ahí.El presente trabajo fue desarrollado con el fin de realizar un Plan de Seguridad e Higiene Industrial, en donde se llegue a  identificar y evaluar los riesgos laborales reales  y potenciales a los que se encuentran expuestos los trabajadores, identificar condiciones y hechos inseguros para la salud de los trabajadores y el funcionamiento de los equipos, así como los riesgos generadores de accidentes en los trabajadores y fallas técnicas en los equipos que son usados dentro la Central de Esterilización del Hospital Materno Infantil  “Germán Urquidi” de la ciudad de Cochabamba.La identificación de los riesgos presentes en cada proceso que se ejecuta en la Central de Esterilización se ha efectuado a través de inspecciones al lugar de trabajo, encuestas al personal, observaciones directas y entrevistas. Como resultado de ello se encontró que el 50 % de los trabajadores de la Central de Esterilización se encuentran expuestos a riesgos ergonómicos y psicosociales, el 33% a condiciones de seguridad, un 10% a riesgos relacionados con el medio ambiente de trabajo y un 7% a riesgos por condiciones de higiene y orden en el trabajo.Seguidamente se realizo una Evaluación que ayudo a profundizar y perfeccionar la Identificación de riesgos, tratando por separado cada uno de los riesgos identificados por puesto de trabajo y así sirviendo de base para la elaboración del Plan de acción correspondiente.En función a los resultados obtenidos de la Identificación y Evaluación de riesgos se procedió a planificar la actividad preventiva, detallando las medidas preventivas y correctivas a adoptar y los controles periódicos a realizarA su vez se realizo un plan de capacitación para el personal que trabaja en la Central de Esterilización, al igual que una Guía preliminar de manejo y mantenimiento de equipos.En base a la identificación y evaluación  de los factores de riesgo presentes en la Central de Esterilización del Hospital Materno Infantil “Germán Urquidi”, se  pudo  establecer conclusiones y recomendaciones que una vez implementadas, sin duda servirán de aporte para todo el personal que labora en dicho Hospital y en particular al personal que laboran en la Central de Esterilización para un funcionamiento eficiente en lo que se refiere a Seguridad e Higiene se refiere.</t>
  </si>
  <si>
    <t>https://drive.google.com/file/d/1Osz92iFxe8C9dXE_rS5rJjIJu7aDS-pp/view?usp=sharing</t>
  </si>
  <si>
    <t>https://drive.google.com/file/d/1keNHJZw1HJRn1TrnQwuOJ9N7_Ann1OGh/view?usp=sharing</t>
  </si>
  <si>
    <t>https://drive.google.com/file/d/19l6xjo112u5lTl8iM5BR95j-B5B1A2MO/view?usp=sharing</t>
  </si>
  <si>
    <t>JAVIER ANDIA HEREDIA</t>
  </si>
  <si>
    <t>ÁLVARO OMAR HUARACHI TERCEROS</t>
  </si>
  <si>
    <t>DISEÑO DE UN PLAN DE SEGURIDAD Y SALUD OCUPACIONAL BASADO EN LA NORMA BOLIVIANA OHSAS 18001:2007 PARA LA EMPRESA CONSPRECAM S.R.L.</t>
  </si>
  <si>
    <t>heinekenbol@hotmail.com</t>
  </si>
  <si>
    <t>IND-557-2012</t>
  </si>
  <si>
    <t>Diseño de SySO e Implementación de OHSAS 18001:2007</t>
  </si>
  <si>
    <t>El objetivo del presente proyecto es realizar un Diseño de un Plan de Seguridad y Salud Ocupacional basado en NB/OHSAS 18001:2007 para la empresa CONSPRECAM S.R.L.Primeramente se realizó un diagnostico a la empresa CONSPRECAM S.R.L. y se recabo toda la información disponible acerca de las actividades, proceso productivo, estructura orgánica, instalaciones, etc. toda esta información recabada nos permitió conocer las condiciones actuales de la empresa CONSPRECAM S.R.L. en cuanto a seguridad y salud ocupacional.Con toda la información recabada se procedió a la identificación de riesgos, la cual se la llevó adelante mediante un análisis de cada área de la empresa, considerando todos los riesgos, en proceso productivo como también a la infraestructura con la que cuenta la empresa CONSPRECAM S.R.L.Una vez habiendo identificado todos y cada uno de los riesgos existen en la empresa, se realizó la evaluación de los mismos, proponiendo soluciones y acciones correctivas que puedan minimizar los riesgos anteriormente identificados.Luego de haber realizado tanto la evaluación como la identificación de los riesgos se procedió a elaborar el diseño de un plan de seguridad industrial, con el desarrollo de este plan se pretende minimizar los riesgos de la empresa, mejorar el rendimiento del área de producción de la empresa, todo esto con la propuesta de la organización de la Seguridad y Salud Ocupacional para la empresa, un plan de capacitaciones, un registro de accidentes y enfermedades ocupacionales, un mapa de rutas de evacuación, una propuesta de equipos de protección individual completos para todo el personal de Producción, señalización para todas las aéreas, además de un cronograma que facilite la ejecución del plan de seguridad industrial, al momento de ser implementado.Por último se estimó el costo total que representaría la aplicación del Diseño de un Plan de seguridad y Salud Ocupacional.</t>
  </si>
  <si>
    <t>https://drive.google.com/file/d/1Zhqn0wEQZ7REEiPT6BnWDhJwzP4ncnrB/view?usp=sharing</t>
  </si>
  <si>
    <t>https://drive.google.com/file/d/1rvm8wRlmo3OjL7Ohgjnai8XhDSMWhahY/view?usp=sharing</t>
  </si>
  <si>
    <t>https://drive.google.com/file/d/1abBuDtbkk6Ws-EVQOka8usRQsHpyBJdR/view?usp=sharing</t>
  </si>
  <si>
    <t>ARANA DELGADILLO KATHLEEN</t>
  </si>
  <si>
    <t>CAMACHO VARGAS  JENNY MARGOT</t>
  </si>
  <si>
    <t>PLAN Y DESARROLLO DE ESTRATEGIAS DE MARKETING PARA PRENDAS DEPORTIVAS DE LA MICRO EMPRESA TRIUNFO”</t>
  </si>
  <si>
    <t>IND-558-2012</t>
  </si>
  <si>
    <t>https://drive.google.com/file/d/1-dhfv8v1dJqUUfYnaLIl3AlAQmyvSVhP/view?usp=sharing</t>
  </si>
  <si>
    <t>https://drive.google.com/file/d/1NEnn-dDRfrhMBycdIioKlDlhLpRid6uu/view?usp=sharing</t>
  </si>
  <si>
    <t>https://drive.google.com/file/d/1hhgYxCxxyBcbHbUtW1vszBrgjzlAR90B/view?usp=sharing</t>
  </si>
  <si>
    <t>DANIEL MARQUINA CONDORI</t>
  </si>
  <si>
    <t>IMPLEMENTACIÓN DE UN SISTEMA DE GESTIÓN DE SEGURIDAD BAJO REQUISITOS DE ABINBEV EN ÁREAS DE ENVASADO, ELABORACIÓN Y MANTENIMIENTO PARA “CERVECERÍA BOLIVIANA NACIONAL S.A. SD - SACABA”</t>
  </si>
  <si>
    <t>d.marquina@live.com</t>
  </si>
  <si>
    <t>IND-559-2012</t>
  </si>
  <si>
    <t>Seguridad Industrial, HSMA (Higiene Seguridad y Medio Ambiente), Soft Drinks, Planta Pepsi, VPO.</t>
  </si>
  <si>
    <t>Cervecería Boliviana Nacional S.A.  Planta Pepsi ha visto conveniente implementar un sistema de gestión de seguridad industrial en base a requisitos corporativos ABInBev que permitan, identificar, evaluar y mitigar; las condiciones y acciones inseguras que puedan afectar al personal en su puesto de trabajo.Para tal fin, inicialmente se realizó un diagnóstico de la situación actual de planta en los sectores de Envasado, Elaboración y Mantenimiento para conocer el cumplimiento de los requerimientos; se seleccionaron datos relevantes para así poder planificar e implementar el sistema de gestión de seguridad, de acuerdo a la información y avance que se tenía en cada uno de estos sectores. Se tomaron temas específicos a ser implementados: evaluaciones de riesgo, capacitaciones de seguridad, clasificación e investigación de accidentes-incidentes y monitoreos de seguridad. Lo siguiente que se desarrolló fueron las evaluaciones de riesgo a un nivel general de cada sector, recolectando información para el control de riesgos, una vez analizada la información se determinaron los riesgos intolerables para la posterior aplicación de la metodología de análisis de riesgos ocupacionales en cada puesto.Se elaboró del plan de acción HSMA  donde se formularon las acciones para la implementación, facilitando la aplicación y cumplimiento de los lineamientos establecidos en el pilar de seguridad en Planta.De acuerdo a requerimientos, se aplicó la capacitación de seguridad, como herramienta en la formación del personal, se realizó el diseño de capacitación en la que se consideró organizar recursos necesarios, cronogramas de capacitación, ejecución y registro. Se establecieron en dichas capacitaciones los conceptos que nos darían curso al desarrollo de herramientas de formación y prevención de riesgos generales y específicos.Investigación y clasificación de accidentes se brindó la información para un reporte de accidentes e incidentes.En tema de gestión de lesiones se implementó a fin de reducir el impacto de las lesiones, y se garantizó que se prevea la asistencia médica adecuada y se implemente un proceso destinado al regreso de la persona en el menor tiempo posible y en forma segura a sus actividades. El Monitoreo de seguridad se implementó para lograr generar un sistema de control de comportamientos inseguros a través de un procedimiento que involucre a los responsables de cada sector en planta, de esta forma se registró los hallazgos en la planilla de avisos de riesgos e incidentes para su posterior solución en reuniones diarias. Se cerró el plan de acción HSMA y salió satisfactoria la implementación del sistema de gestión de seguridad, se logró la certificación del programa VPO  en Planta Pepsi. Por auditores argentinos de estructura central (Quilmes S.A.).</t>
  </si>
  <si>
    <t>https://drive.google.com/file/d/1CRdDxvcxSjTwM97lkMzOa7jNYTT2CnIL/view?usp=sharing</t>
  </si>
  <si>
    <t>https://drive.google.com/file/d/1cpG_uEaxiYgnq5hP3ch6R-TmKkkqLghX/view?usp=sharing</t>
  </si>
  <si>
    <t>https://drive.google.com/file/d/1cEuacX4Q138Gubp8yyiw2I2ZYFOi7cOX/view?usp=sharing</t>
  </si>
  <si>
    <t>ORTIZ VALENCIA FELIX HAROLD</t>
  </si>
  <si>
    <t>DISEÑO DE UN PLAN DE SEGURIDAD E HIGIENE OCUPACIONAL PARA CONSTRUCCIONES METÁLICAS VALVERDE S.R.L</t>
  </si>
  <si>
    <t>hortiz@hotmail.com</t>
  </si>
  <si>
    <t>IND-560-2012</t>
  </si>
  <si>
    <t>Seguridad industrial, ergonomía, capacitación, riesgos laborales, plan d emergencias.</t>
  </si>
  <si>
    <t>El sector de metalmecánica en nuestro medio ha evolucionado dando oportunidad en la generación de empleos y la producción de estructuras pesadas que hasta hace 20 años no se realizaba en nuestro medio. Primeramente se realizó un diagnóstico de la situación actual de la empresa VALVERDE S.R.L., verificando cada una de las actividades que realizaba para completar su proceso productivo. Se pudo identificar la estructura orgánica y sobre todo los riesgos laborales a los que se encontraban expuestos los trabajadores. Fruto de este análisis se pudo identificar las necesidades que tenia la empresa, ya que su proceso productivo requería de personal capacitado con ciertas cualidades que permitan generar un ambiente seguro de trabajo. A partir de la observación, se definió el método de trabajo que se debía realizar, como por ejemplo, sacar fotos de tal forma que se permita mostrar las condiciones inseguras a las que estaban expuestos los trabajadores, asimismo se pudo evidenciar que la mayoría no utilizaba los equipos de protección personal, estando inclusive más expuestos a tener accidentes.El método utilizado es el método empírico, ya que se realizo una observación dirigida, apuntando exclusivamente al problema, de tal forma que se pudo obtener la información necesaria para identificar las condiciones y actos inseguros.Asimismo se pudo identificar la cantidad de trabajo que desarrollaba cada empleado, con la finalidad de conocer el esfuerzo físico que aplicaban en cada una de sus actividades.Se pudo evidenciar que las actividades más riesgosas son el cortado, pulido de piezas y soldadura de las mismas, actividades que requieren de bastante fuerza física y mecha concentración.Fruto de la identificación de riesgos y con la finalidad de poder mitigarlos se hizo una propuesta bastante amplia dividida de la siguiente manera: un plan de capacitación para poder concientizar a los empleados de la importancia en el cumplimiento de normas de seguridad industrial, por otro lado se elaboro un manual de primeros auxilios de forma completa, es decir cómo se deben manejar situaciones en caso de fracturas, quemaduras y otros tipos de accidentes que atenten en contra de la vida humana. Respecto al uso de equipos de protección personal se hizo una propuesta específica por cada equipo requerido por el personal, así como las características que debía tener cada uno de ellos. Finalmente se elaboro un presupuesto en el que se detallaron las actividades a realizar con el respectivo costo de implementación, cuyo valor de acuerdo a la magnitud de la empresa, se considero viable.</t>
  </si>
  <si>
    <t>https://drive.google.com/file/d/10C-lOPgfB-LKcckmk6_Hnu2arywVglYe/view?usp=sharing</t>
  </si>
  <si>
    <t>https://drive.google.com/file/d/1GBNPOhH7c8VCl_Zre6Rlkhj0HwyWChdT/view?usp=sharing</t>
  </si>
  <si>
    <t>https://drive.google.com/file/d/1sqFMf92-4wuJAjyKBnfGolfu4J1Rt4nl/view?usp=sharing</t>
  </si>
  <si>
    <t>TATIANA KAREN PAREDES HIDALGO</t>
  </si>
  <si>
    <t>LIC. ERIC GARCÍA GARCÍA</t>
  </si>
  <si>
    <t>DESARROLLO DE UN PLAN DE SEGURIDAD E HIGIENE OCUPACIONAL PARA LA EMPRESA IBEMA EXIMPORT SRL.</t>
  </si>
  <si>
    <t>taty.karen.135@hotmail.com</t>
  </si>
  <si>
    <t>IND-561-2012</t>
  </si>
  <si>
    <t>Seguridad e Higiene, Peligrosidad vs Ocurrencia, Análisis de Causas, Prevención de Riesgos, Señalización.</t>
  </si>
  <si>
    <t>La necesidad de haber realizado el estudio empezó por la inexistencia de un Plan de Seguridad en la empresa IBEMA EXIMPORT SRL., para la mejora de las condiciones de seguridad del personal, prevenir los accidentes de trabajo y enfermedades profesionales.Primeramente se realizó un diagnóstico de la situación actual a todas las áreas de la empresa, además se recabó la información realizando entrevistas y encuestas a los encargados de la empresa IBEMA EXIMPORT SRL., así también a los trabajadores de la empresa.Se empleó el análisis de peligrosidad vs ocurrencia que clasificó a los peligros en 4 cuadrantes y la valoración de causas para conocer las causas potenciales de todas las áreas de trabajo de la empresa IBEMA EXIMPORT SRL., posteriormente se estableció medidas de control para los peligros identificados.Seguidamente se procedió a la elaboración del Plan de Seguridad e Higiene Ocupacional, el cual se estructuró en 6 módulos: organización de la seguridad, programa de equipo de protección personal, prevención de riesgos, programa de capacitaciones, programa de señalización y el reglamento interno.Se realizó una cotización de todas las acciones, equipos y mejoras planteadas dentro del plan teniendo un costo total de la implementación del Plan de Seguridad e Higiene Ocupacional en la empresa IBEMA EXIMPORT S.R.L. de 40.952 Bs. realizando seguidamente la matriz tentativa de implementación.</t>
  </si>
  <si>
    <t>https://drive.google.com/file/d/1hNuQpfUxhJrtrzd5MSY8wEyj7MXsNdka/view?usp=sharing</t>
  </si>
  <si>
    <t>https://drive.google.com/file/d/1dY1_39ua4ih9WVx9yiUx2CGLB2ImG659/view?usp=sharing</t>
  </si>
  <si>
    <t>https://drive.google.com/file/d/1YwJRUYQaF4s4Fa8P9jch4oX7q5QKRPVj/view?usp=sharing</t>
  </si>
  <si>
    <t>MARIA RITA TITO FERNANDEZ</t>
  </si>
  <si>
    <t>SISTEMA DE GESTIÓN EN SEGURIDAD Y SALUD OCUPACIONAL DE ACUERDO A LA   NORMA OHSAS 18001, PARA EL “COMPLEJO AVICOLA TORRICO S.R.L.”</t>
  </si>
  <si>
    <t>ritatfernandez@hotmail.com</t>
  </si>
  <si>
    <t>IND-562-2012</t>
  </si>
  <si>
    <t>Gestión en Seguridad y Salud Ocupacional, Norma OHSAS 18001, Diagnóstico, análisis Inicial, Propuestas de Mejora.</t>
  </si>
  <si>
    <t>Durante los últimos años las organizaciones de todo tipo están cada vez más interesadas en alcanzar y demostrar un sólido desempeño de la seguridad y la salud ocupacional (SySO), mediante el control de sus riesgos, acorde con su  política y objetivos SySO. En este entendido “COMPLEJO AVICOLA TORRICO S.R.L.”, optó por un Sistema de Gestión en Seguridad y Salud Ocupacional a través de la Norma NB/OHSAS 18001:2007, para implementarla en la organización, fomentando a entornos de trabajo  más seguros y saludables para el trabajador.Primeramente se definió el alcance del Sistema de Gestión de Seguridad y Salud Ocupacional el cual abarca todo el proceso de producción de faena de aves, definiendo la metodología y el análisis del costo e inversiónPosteriormente se realizó un diagnóstico inicial para conocer la situación actual del “COMPLEJO AVICOLA TORRICO S.R.L.”, en  materia de seguridad y salud ocupacional, con el propósito de identificar, clasificar los peligros y riesgos existentes en las diferentes actividades durante el proceso de producción de faena de aves.Los resultados obtenidos del diagnóstico  inicial proporcionara información para formular los planes para  implementar y priorizar mejoras en el Sistema de Gestión de la SySO para el “COMPLEJO AVÍCOLA TORRICO S.R.L.”.Finalmente se realizó,  la estimación de costo e inversión  para la propuesta de implementación y certificación  del Sistema  de Gestión de Seguridad y Salud Ocupacional según la norma NB/OHSAS 18001.Como resultado de la evolución del diagnóstico inicial del “COMPLEJO AVICOLA TORRICO S.R.L.”, frente al cumplimiento de la Legislación Boliviana (Decreto Ley Nº0 16998, 2 de Agosto de 1979 Ley General de Higiene, Seguridad Ocupacional y Bienestar), se pudo determinar que cumple con aspectos básicos de seguridad y salud ocupacional.“COMPLEJO AVICOLA TORRICO S.R.L.”, debe fomentar un cambio de cultura del personal respecto a temas de Seguridad y Salud Ocupacional, empezando desde la Gerencia General hasta el último trabajador, mediante la elaboración de Programas de Capacitación apoyando se en jornadas de entrenamiento, charlas de 5 minutos y concientización, con el fin de que la seguridad sea primero en el momento de realizar sus actividades operativas y de esta manera se logre mejorar las condiciones iniciales.</t>
  </si>
  <si>
    <t>https://drive.google.com/file/d/1f4e8cJ5vWh4nMVXsMKl0qMfYs3d9-DhD/view?usp=sharing</t>
  </si>
  <si>
    <t>https://drive.google.com/file/d/1s5EbNpAE1iruCvKpqra7e8Ii1KMAj5ai/view?usp=sharing</t>
  </si>
  <si>
    <t>https://drive.google.com/file/d/1lxsABOpxP1An203hdWTBuNeaBcgYGOHd/view?usp=sharing</t>
  </si>
  <si>
    <t>ÁLVAREZ GONZALES VANESA MARIBEL</t>
  </si>
  <si>
    <t>IMPLEMENTACIÓN DE UN SISTEMA DE MANEJO DE INVENTARIOS PARA LOS   ALMACENES DEL CENTRO DE TECNOLOGÍA AGROINDUSTRIAL (CTA).</t>
  </si>
  <si>
    <t>vane_0317@hotmail.com</t>
  </si>
  <si>
    <t>IND-563-2012</t>
  </si>
  <si>
    <t>Centro de Tecnología Agroindustrial, Inventarios, Política de revisión continua, modelo heurístico Silver meal.</t>
  </si>
  <si>
    <t>El Centro de Tecnología Agroindustrial (CTA). Al contar con un sistema de manejo de inventarios, ha visto por conveniente realizar la implementación del mismo para ayudar y mejorar la administración de sus almacenes; además realizar un estudio de gestión de inventarios que ayude a determinar las cantidades optimas a pedir de los almacenes con un valor económico elevado.La metodología a utilizar en este trabajo dirigido es la siguiente:Realizar un diagnóstico utilizando como herramienta el análisis FODA, el cual ayudara a determinar la situación actual de los almacenes y de esta manera poder identificar las falencias y dar la solución a las mismas.A continuación se determinó los modelos económicos adecuados para los almacenes de materia prima y productos terminados por el alto valor económico que estos representan para la institución.Los  modelos económicos y políticas de inventarios que se utilizó son los siguientes: para el Almacén de materia prima la política de revisión continua y para el almacén de productos terminados el modelo heurístico Silver Meal.Posteriormente se realizó una descripción del sistema, para tener un conocimiento de sus características y funciones del mismo.Se elaboraron manuales de los distintos módulos del sistema, los cuales servirán al usuario como consulta ante problemas que se presenten durante el uso con el sistema.Se realizó un análisis de costos invertidos durante la implementación y puesta en marcha del sistema.</t>
  </si>
  <si>
    <t>https://drive.google.com/file/d/1TE_d7ntbhUwutsso5V_kylajEPEbA7zc/view?usp=sharing</t>
  </si>
  <si>
    <t>https://drive.google.com/file/d/1YwH5ax2QMW6Zt75-16QSsj6P4vdbiSCE/view?usp=sharing</t>
  </si>
  <si>
    <t>https://drive.google.com/file/d/1qg_vyIm6dnqaESYYgmKwBCzsYwadW8wU/view?usp=sharing</t>
  </si>
  <si>
    <t>ALVAREZ DELGADILLO KARLA XIMENA</t>
  </si>
  <si>
    <t>ING. M.SC. MAGARIÑOS VILLARROEL MABEL GLORIA</t>
  </si>
  <si>
    <t>PLAN ESTRATÉGICO DE MARKETING PARA LA EMPRESA YESOBOL S.R.L.</t>
  </si>
  <si>
    <t>xime_kad@hotmail.com</t>
  </si>
  <si>
    <t>IND-564-2012</t>
  </si>
  <si>
    <t>Plan Estratégico de Marketing, Matriz PESTAL, Matriz (BCG),  Matriz de Diagnóstico de Gestión Empresarial, Matriz de Perfil Competitivo (MPC).</t>
  </si>
  <si>
    <t>Debido al bajo nivel de participación en el mercado por parte de la empresa Yesobol S.R.L., provocado por la baja competitividad de la empresa,  además de no contar con direccionamiento estratégico,  un  sistema de distribución desorganizado y poco eficiente y la falta de estrategias de promoción y publicidad son el punto inicial para la realización de este proyecto, el cual tiene como objetivo general incrementar la participación en el mercado de la empresa Yesobol S.R.L. a través del incremento de sus ventas y consecuentemente las utilidades de la misma.Para esto, se inició realizando un análisis interno de la empresa, describiendo el proceso productivo, la organización de la empresa además de realizar un análisis de los indicadores financieros. A partir de dichos análisis  se  identificación las fortalezas y debilidades de mayor peso en la empresa. A continuación se realizó el análisis externo para la empresa, realizando un análisis de macroentorno, como también el análisis de las fuerzas de Porter, a partir de los cuales  se pudo determinar tanto  las oportunidades como las amenazas para la empresa en el sector. Posteriormente se realizó el diagnóstico de  la empresa tomando en cuenta tanto el análisis interno como el externo, como también el análisis de la posición de la empresa en el mercado, a partir de dichos resultados se determinó el camino estratégico a seguir.Además de realizarse un estudio de mercado, que le permitió a la empresa tener un mayor conocimiento del mercado, la competencia además de los clientes objetivos, para de esta manera poder realizar un planteamiento estratégico acorde a los requerimientos y necesidades de los mismos.Así mismo, se plantearon la misión, visión y valores para la empresa, para de esta manera otorgarle identidad a la misma y tener un mayor compromiso por parte de los trabajadores.Posteriormente se prosiguió con el planteamiento de las estrategias más adecuadas para la situación de la empresa y el cumplimiento del objetivo general, esto tomando en cuenta la información obtenida de los análisis realizados.Finalmente se realizó una evaluación financiera, detallando el costo para la implementación del proyecto como también los ingresos esperados, a partir de los cuales se pudo determinar la viabilidad del proyecto durante los 10 años de duración del proyecto. Esto le permitirá a la empresa incrementar la posición de la empresa en el mercado, a partir del incremento de las ventas y consecuentemente de las utilidades.</t>
  </si>
  <si>
    <t>https://drive.google.com/file/d/1h8cnJSLPVNlVJi8FhEMnfqXmcesboaNS/view?usp=sharing</t>
  </si>
  <si>
    <t>https://drive.google.com/file/d/1lT3GPseGAmwUkqSrhgE4bxJtEKeJrC5E/view?usp=sharing</t>
  </si>
  <si>
    <t>https://drive.google.com/file/d/1Vp-aRAg64_OUKHFk-vuzC0TuLTMXjUc6/view?usp=sharing</t>
  </si>
  <si>
    <t>LENNY DAYANA MIRANDA MUÑOZ</t>
  </si>
  <si>
    <t>ING. REYNA ROQUE ALCARAZ</t>
  </si>
  <si>
    <t>ESTUDIO DE PREFACTIBILIDAD PARA LA INSTALACIÓN DE UNA PLANTA PRODUCTORA DE PLASTOFORMO PARA LOSA ALIVIANADA</t>
  </si>
  <si>
    <t>ld.mm311@gmail.com</t>
  </si>
  <si>
    <t>IND-565-2012</t>
  </si>
  <si>
    <t>Planta Productora de plastoformo para losa alivianada, Prefactibilidad, Construcciones, Parque Industrial de Santivañez, Red ABC.</t>
  </si>
  <si>
    <t>En los últimos años, en Bolivia se esta produciendo un aumento considerable de las construcciones de viviendas y edificaciones que sobrepasan las tres plantas. El Producto Interno Bruto de la construcción ha mantenido tasas de crecimiento positivas desde el año 2004 a 2011 con un promedio de 8,4%. Al mismo tiempo, el creciente número de permisos de construcción aprobados cada año hace que también los materiales de construcción   sean requeridos en mayores cantidades, lo que motiva la necesidad de invertir en el rubro de los materiales de construcción.Para ello se vio la necesidad de haber realizado el estudio fue de ver la posibilidad de implementar una planta productora de plastoformo para losa alivianada en el mercado Cochabambino, de manera tal, que su ejecución repercuta desde los proveedores de materia prima, así también los que transforman en el producto final, dando lugar a un incremento de fuentes de empleo, desarrollo de la región, ganancia de recursos económicos de ambos sectores y además incentivar al establecimiento de mas empresas en el parque industrial de Santivañez.El producto es elaborado a partir de la expansión de poliestireno, tomando en cuenta los insumos adicionales y procesos requeridos para aumentar para su consolidación como complemento para construcciones.Para la obtención de la demanda y características del producto, se realizo una encuesta y entrevista a una muestra de la población que en este caso fueron las empresas constructoras existentes, además de t. La empresa elaborará 21.366,35 metros cúbicos el primer año incrementando la producción en un 2,5% cada año con respecto a la demanda total del mercado, por lo que se llega a utilizar toda la capacidad de producción en sus distintos procesos de elaboración durante la vida útil del proyecto.Durante toda la evaluación, se mostro que el producto es viable siempre y cuando se mantengas los índices de crecimiento en el sector de la construcción. Los equipos y maquinaria, acuerdo con las características necesarias para la producción, serán de origen importado, y al ser una empresa nueva se consideran las inversiones de activo fijo, activo diferido y se consideraron las depreciaciones correspondientes para cada activo.Con el objetivo del inicio de actividades de la empresa dentro del marco de la ley se establecieron los parámetros y requisitos necesarios para iniciar su funcionamiento, llegando a se Sociedad con Responsabilidad Limitada, la opción adecuada de sociedad y regirse a la organización basada en cinco pilares como ser el manejo técnico de la empresa; la investigación, desarrollo y mejoramiento del producto; el manejo administrativo y contable; el mejor posicionamiento del producto en el mercado; y un área de recursos humanos que este encargado del bienestar de los trabajadores.A través de indicadores financieros se pudo constatar que el proyecto es rentable, obteniendo como resultados un VAN = 255.002,13 $us, un TIR = 20% y una R B/C = 1,23; además de los indicadores mencionados se pudo verificar que el proyecto es sensible a la disminución de la demanda en el mercado.</t>
  </si>
  <si>
    <t>https://drive.google.com/file/d/1gi-TZCinWouzcs46NX2DSv3_k0tndR4b/view?usp=sharing</t>
  </si>
  <si>
    <t>https://drive.google.com/file/d/12QXFwuL2P3fZJW_Sjb_IueV7F2ExpxwA/view?usp=sharing</t>
  </si>
  <si>
    <t>https://drive.google.com/file/d/19Q9iIe95h3L_h8COfRwNXUr-uTjzzeO-/view?usp=sharing</t>
  </si>
  <si>
    <t>NATALY CANELAS HEREDIA</t>
  </si>
  <si>
    <t>GABRIELA SILES UZTARES</t>
  </si>
  <si>
    <t>ING. CARLOS ALBERTO RODRIGUEZ RAMIREZ</t>
  </si>
  <si>
    <t>ESTUDIO TÉCNICO-ECONÓMICO PARA LA IMPLEMENTACIÓN DE UNA EMPRESA PRODUCTORA DE PAN, PRODUCTOS DE REPOSTERÍA Y COMERCIALIZADORA DE PRODUCTOS DE CONSUMO MASIVO</t>
  </si>
  <si>
    <t>natita_c17@hotmail.com</t>
  </si>
  <si>
    <t>IND-566-2012</t>
  </si>
  <si>
    <t>Estudio Técnico-Económico, Diagrama CPM, Diagrama de Gantt,         diagrama de flujo, organigrama</t>
  </si>
  <si>
    <t>El presente trabajo denominado “estudio técnico-económico para la implementación de una empresa productora de pan, productos de repostería y comercializadora de productos de consumo masivo”  está diseñado para el municipio de Quillacollo, para cubrir la demanda insatisfecha de pan, productos de repostería y productos de consumo masivo.Primeramente se realizó un diagnostico de la situación actual del municipio de Quillacollo, y se recabo la información disponible acerca de las actividades, procesos, etc. En función a este análisis se podrá determinar las posibles soluciones al problema.También se realizo un estudio de mercado, obteniendo la población, demanda, oferta y demanda insatisfecha como también sus respectivas proyecciones.Una vez obtenidos los datos se desarrollo el tamaño del proyecto que es la capacidad de producción de la empresa, el tamaño del proyecto tiene incidencia sobre las inversiones que se realizaran en la maquinaria, materiales y costos de operación que tendrá la línea de producción. Una vez desarrollado el tamaño del proyecto de la empresa, se realizó la localización donde se analizo varios aspectos importantes como ser: clientes, competencia y ubicación de proveedores posteriormente analizamos la ingeniería del proyecto, el cual nos determina la maquinaria necesaria, los procesos, el diagrama de flujo y el organigrama de la empresa.Mediante los datos recabados posteriormente se determino el personal requerido que será parte de la empresa siendo el personal el capital más importante de la organización, también se detallo los cargos y salarios con sus respectivos descuentos; posteriormente se realizo la planificación y ejecución del proyecto donde se desarrollo a detalle la descripción cronológica de cada una de las actividades, mediante un diagrama CPM y un diagrama de Gantt que obtienen el tiempo óptimo para la realización de todas las actividades para la puesta en marcha del proyecto.una vez realizada la planificación y ejecución del proyecto se procede al desarrollo de una evaluación financiera (VAN, TIR, B/C,PRI) como resultado de la evaluación financiera se tiene una inversión de 109.681 $us. para  la cual se prevee adquirir un crédito del 25% de la inversión total y el 75% será financiada por los propietarios. Desde el punto de vista del mercado, este proyecto es viable. El tamaño de planta, se define en tres veces más a la capacidad estándar de empresas similares, en Quillacollo. Cuenta con una organización departamentalizada que podrá hacer frente a futuros cambios en el mercado.La venta simultánea de pan, productos de repostería y productos de consumo masivo, permitirá un incremento exponencial de su clientela por la ventaja de adquirir  todo lo que necesita, en un solo lugar.El análisis de rentabilidad establece que se tiene un  VAN  de 151.000 $us., un B/C de 2,38, un TIR de 33 % y un PIR de 3 años, cumpliendo todo con sus condiciones internas de rentabilidad.En síntesis el presente proyecto cumple con todo los requisitos de viabilidad y rentabilidad. Por último se desarrolla un análisis el cuál determina las variables a tomar en cuenta obteniendo indicadores financieros alentadores al tratarse de un proyecto con carácter social es completamente viable a una inversión.Finalmente podemos concluir que la industria panificadora en Cochabamba, particularmente en Quillacollo, crece aceleradamente a la par con el incremento poblacional. La demanda de pan, repostería y productos de consumo masivo es creciente, asegurando un mercado para nuevas panaderías y/ reposterías, así como para la venta de productos de consumo masivo.Se recomienda una vez implementado el proyecto asegurar que las ventas mejoren o se mantengan en los márgenes establecidos porque el mismo es sensible al incremento de los costos, a través de constantes sondeos de mercado y de estrategias agresivas de promoción y fidelización.La nueva empresa además de ofrecer productos de calidad, también hará énfasis en la atención al cliente; la misma que será permanente y personalizada. Con la cual se buscara tener satisfecho y a gusto a nuestros consumidores.</t>
  </si>
  <si>
    <t>https://drive.google.com/file/d/1tYymNhkoKMbO7nbTUnoheottwHoxNSyZ/view?usp=sharing</t>
  </si>
  <si>
    <t>https://drive.google.com/file/d/1sy1Sw1JF6doLQ6jYVaa-l-JlPCryGW7N/view?usp=sharing</t>
  </si>
  <si>
    <t>https://drive.google.com/file/d/1TyEyDIry7kF4pU57PdUyq4b_ldGI3NnH/view?usp=sharing</t>
  </si>
  <si>
    <t>JORGE WILSON VILLARROEL MEDINACELI</t>
  </si>
  <si>
    <t>SISTEMA DE GESTIÓN DE LA INOCUIDAD ALIMENTARIA EN BASE A LA NORMA N/B ISO 22000 PARA LA EMPRESA CHIO S.</t>
  </si>
  <si>
    <t>I-2013</t>
  </si>
  <si>
    <t>jorant30@hotmail.com</t>
  </si>
  <si>
    <t>IND-567-2013</t>
  </si>
  <si>
    <t>Empresa de postres Chio s, Productividad, Inocuidad, Cadena Alimentaria, ISO 22000, Codex Alimentarius, BPM s, POE s, Programa de mejora continua del sistema de gestión.</t>
  </si>
  <si>
    <t>La mayoría de las empresas crecen con una buena administración, un gran mercado, personal calificado y equipo de trabajo con tecnología de punta, pero se necesita mucho más que eso, donde la responsabilidad de la inocuidad empieza desde la alta dirección hasta el nivel operativo más modesto pero igual de importante que los otros niveles de la empresa como el comercial.En el presente proyecto de grado se explicará una serie de pasos de cómo empezar la implementación de un sistema de gestión de inocuidad alimentaria basado en la norma internacional N/B ISO 22000. Para la empresa elaboradora de postres Chio´s.En la mejora de la calidad y la inocuidad de los alimentos ingeridos es fundamental la aplicación de buenas prácticas de manufactura (BPM’s), para evitar su contaminación, se tiene que tener en cuenta cada uno de los pasos de la cadena alimentaria, desde su producción primaria hasta su consumo final. Las normas ISO 220002, BPM´s, análisis de riesgos y control de puntos críticos (HACCP) y procedimientos operativos estandarizados (POE´s) contribuyen a actuar preventivamente en todas las etapas de elaboración de un alimento inocuo.Por lo cual en este proyecto de grado se propone, la metodología de implementación de un sistema de gestión de la inocuidad alimentaria basado en la norma internacional N/B ISO 22000, en el cual el primer paso es el diagnóstico de la empresa y en base al resultado obtenido se procederá  a realizar la documentación e implementación del punto 5 de la norma la cual se refiere a la responsabilidad de la dirección, así como el análisis de peligros en base a la metodología del HACCP, el programa de prerrequisitos y como consecuencia el plan HACCP de la línea de producción de ensalada de frutas. Posteriormente se propondrá la metodología de validación de los prerrequisitos y la de los planes HACCP. Todo esto con el fin de elaborar y conseguir un producto inocuo.</t>
  </si>
  <si>
    <t>https://drive.google.com/file/d/1xDU_gOeq-H9lSJxsouJZhr0QtpIEXYUQ/view?usp=sharing</t>
  </si>
  <si>
    <t>https://drive.google.com/file/d/1RA0VUKtp_PmhxYH-qNGjslORgXdhWaEY/view?usp=sharing</t>
  </si>
  <si>
    <t>https://drive.google.com/file/d/1CkWHUVET3calQJKirvupMOsSfv7-Vaa5/view?usp=sharing</t>
  </si>
  <si>
    <t>JAVIER MARCOS ROCHA OLIVAREZ</t>
  </si>
  <si>
    <t>ESTUDIO DE PREFACTIBILIDAD PARA LA PRODUCCIÓN DE CHAMPIÑÓN</t>
  </si>
  <si>
    <t>Javier.rocha.o@gmail.com</t>
  </si>
  <si>
    <t>IND-568-2013</t>
  </si>
  <si>
    <t>Producción de champiñón Agaricus bisporus, Eficiencia Biológica, Micelio, Muestreo no probabilístico por cuotas, Evaluación financiera, Análisis de sensibilidad, Evaluación impacto ambiental.</t>
  </si>
  <si>
    <t>El estudio fue realizado con la finalidad de conocer la Prefactibilidad de producir y comercializar champiñón fresco en los mercados de la provincia Cercado del departamento de Cochabamba, al ser un alimento que ofrece grandes beneficios nutricionales y organolépticos que podrían ser aprovechados de mejor manera en la población, siendo que su consumo se da mayormente en forma de enlatados o conservas importados de varios países; en éste sentido se realizó una investigación de mercado en base a la recopilación de información primaria referente al consumo, hábitos y costumbres de la población en relación a los hongos comestibles, con lo cual se pudo conocer el perfil del consumidor y realizar una estimación y proyección de la demanda potencial que podría tener el champiñón frescos; también se analizó la producción local y precios de la competencia directa, con lo que se pudo ver que el proyecto es factible al existir un mercado disponible; en base al estudio y las posibilidades de mercado se plantearon las estrategias comerciales. Posteriormente se definió el tamaño de la planta considerando el mercado, las posibilidades de financiamiento, la disponibilidad de materias primas y la tecnología a emplear de acuerdo a las expectativas del proyecto. Se definió como sistema de producción el sistema francés en sacos plásticos y como instalaciones las naves de cultivo, siendo la tecnología que mejor se adapta a distintos niveles de inversión y volúmenes de producción; se precisó que la planta opere con dos naves con una producción intercalada y continua durante todo el año, asegurando una eficiencia bilógica del 70,4% por saco cultivado, con lo que la planta tendrá la capacidad de ofertar al mercado un total de 10.523 Kg de champiñón fresco al año.La localización de la planta se definió haciendo un análisis de los factores más relevantes en este aspecto y empleando el método de puntos ponderados, eligiendo como mejor zona para la localización al municipio de Arbieto en el valle alto del departamento de Cochabamba.Para el estudio de viabilidad técnica se detalló y explicó cada uno de los procedimientos necesarios para la obtención de grano-micelio o blanco, utilizado como semilla en la producción de hongos, así como las etapas que comprenden la elaboración de compost como sustrato y su pasteurización, además de los procedimientos que representan los cuidados culturales necesarios hasta la producción, cosecha y tratamiento de los champiñones para su comercialización. Se hizo una descripción detallada y se definieron los requerimientos en infraestructura, maquinaria, equipos y mobiliario, se hizo la planificación de la ejecución y se definió la organización y requerimientos en mano de obra que tendrá el proyecto. Posteriormente en base a la información de los diferentes estudios se identificaron las inversiones, costos, gastos directos e indirectos y se realizó una evaluación a través de indicadores financieros, determinando un VAN de  20.764 $us, un TIR de 17,4%, una relación B/C de 1,48 y un periodo de recuperación del capital invertido de 8 años. También se realizó un análisis de sensibilidad donde se vio que el precio y los costos de producción son las variables más sensibles para el proyecto. La evaluación se hizo considerando un crédito por el 42% de la inversión inicial total y un 58% aporte propio; la inversión inicial total para el  proyecto asciende a 111.732,3 $us.Finalmente se hizo la evaluación de impactos ambientales, donde se analizaron los diferentes impactos que podrían generarse durante la ejecución y operación del proyecto. Se concluyó que no existen factores de riesgo negativos considerables y se estableció medidas de mitigación para dichos factores.</t>
  </si>
  <si>
    <t>https://drive.google.com/file/d/1x0d4KZmnifwwJoUph_ESRDJ5uodYzmbH/view?usp=sharing</t>
  </si>
  <si>
    <t>https://drive.google.com/file/d/1s7eDiYmYdQyvk_TonKAWiDWkFccXSm47/view?usp=sharing</t>
  </si>
  <si>
    <t>https://drive.google.com/file/d/1O1xVfmKb6DMWQhMxEgQHaW86MUinlIhb/view?usp=sharing</t>
  </si>
  <si>
    <t>CLAUDIA VANESA CANELAS JAIMES</t>
  </si>
  <si>
    <t>ING. ALBERTO ALCÁZAR TERÁN</t>
  </si>
  <si>
    <t>ESTUDIO DE PRE-FACTIBILIDAD PARA LA CREACIÓN DE UN CENTRO PARA EL ADULTO MAYOR</t>
  </si>
  <si>
    <t>claucanels@gmail.com</t>
  </si>
  <si>
    <t>IND-569-2013</t>
  </si>
  <si>
    <t>Adultos mayores, centro recreativo privado, mercadeo-investigaciones, creación de centros recreativos, status medio alto y alto.</t>
  </si>
  <si>
    <t>La sociedad cochabambina sufre de un cambio acelerado en su estilo de vida. El machismo abandona poco a poco el perfil regional. Hombre y mujer se encuentran en el círculo laboral. El consumismo se abre camino. El estrés laboral en las familias facilita deficiencias en el interior del seno familiar; el actual tipo de vida de los cochabambinos deja en un paulatino abandono a los familiares de la tercera edad.El cuidado de los adultos mayores se presenta como un problema sentimental y moral para los familiares que requieren de apoyo en su cuidado. Frente a la insuficiencia y débil atención que ofrecen los asilos, nos topamos con una oportunidad de negocio favorable. Por lo anterior, se realizó un estudio de Pre-factibilidad para la Creación de un Centro para el Adulto Mayor.Para la ejecución del presente estudio, se recurrió a investigación de tipo descriptivo, previa obtención de la información, donde se efectuó el procesamiento mediante descripciones, registros, análisis, evaluación y posterior valoración para su interpretación, hasta la entrega del documento de proyecto de grado que contenga toda la información necesaria para la puesta la marcha. En primera instancia la recolección de información pertinente para conocer las generalidades de la situación del adulto mayor.Luego se efectuó un estudio de mercado para determinar la demanda existente del servicio a ofrecer, definiendo nuestro usuario del servicio a todas las personas mayores de 60 hasta los 80 años autónomos, que no requieran de un tratamiento médico especializado; y los costos del servicio concurrirá en los familiares de los adultos mayores, quienes serán nuestros clientes. La elaboración del estudio técnico nos proporcionó  la localización optima, requerimiento de los equipos acordes a las necesidades de nuestro usuario, como también las instalaciones en armonía con amplios espacios verdes.Para el adecuado desarrollo de la empresa se procedió con el estudio a nivel organizacional y legal para el ordenamiento interno de la empresa y su correcto funcionamiento.Por último se realizó una estimación financiera para determinar la rentabilidad del negocio propuesto, culminando con las conclusiones y recomendaciones</t>
  </si>
  <si>
    <t>https://drive.google.com/file/d/1NK66idciKOxa2rHJJkKD4GfhqAIKCdBS/view?usp=sharing</t>
  </si>
  <si>
    <t>https://drive.google.com/file/d/1PZuL1YxpUXZkMQ_7OJ2F3YLktNra-P_x/view?usp=sharing</t>
  </si>
  <si>
    <t>https://drive.google.com/file/d/1wCmmxNOJCRG4_jmz7RvFSMz8UvmMNmvc/view?usp=sharing</t>
  </si>
  <si>
    <t>DIEGO RODRIGO AVILÉS JIMÉNEZ</t>
  </si>
  <si>
    <t>DESARROLLO DE UN PLAN COMERCIAL PARA INTRODUCIR AL MERCADO CARTERAS FEMENINAS ELABORADAS EN CUERO DE PESCADO POR ARTESANAS DEL TRÓPICO, EN LA CIUDAD DE COCHABAMBA.</t>
  </si>
  <si>
    <t>aviles.diego@gmail.com</t>
  </si>
  <si>
    <t>IND-570-2013</t>
  </si>
  <si>
    <t>Cuero de pescado, Plan de marketing, plan de ventas, Desarrollo de estrategias, mezcla de mercadotecnia, Relación B/C, VAN, TIR.</t>
  </si>
  <si>
    <t>El plan comercial propuesto se desarrolló para complementar las múltiples actividades que realiza la ONG FAUNAGUA con un grupo de mujeres artesanas, esposas de los pescadores que viven en Puerto Villarroel, denominada ARTECO.Con el plan propuesto se pretende brindar a ARTECO, herramientas que permitan introducir los productos elaborados principalmente en cuero de pescado al mercado cochabambino y de esta manera mejorar su calidad de vida y la de miembros de su familia.Para esto se realizó en primera instancia el diagnóstico contextual utilizando como técnicas de análisis la entrevista y la observación directa obteniéndose como resultado toda la información necesaria para desarrollar la propuesta.Terminado esto se procedió a realizar el estudio de mercado en la ciudad de Cochabamba, específicamente en el área urbana de la provincia Cercado, con la intención de recolectar la mayor cantidad de información que ayude a describir el comportamiento del mercado y de los consumidores finales, así como también para obtener información de la competencia y de las estrategias y políticas que utilizan al momento de comercializar sus productos. Para esto se  utilizaron técnicas de muestreo y encuestas y toda la información obtenida fue procesada con SPSS.Con toda la información recolectada con el diagnostico contextual y el estudio de mercado se procedió a diseñar el plan de comercial, el mismo que está compuesto de 2 bloques:El plan de marketing que contempla el desarrollo de las estrategias de marketing: la mezcla de mercadotecnia, las estrategias de distribución, estrategias de promoción y publicidad, etc. orientadas a conseguir los objetivos planteados. Y el plan de ventas que nos permitirá definir los volúmenes de producción y ventas esperados con la aplicación del plan de marketing.Finalmente se realizaron la evaluaciones económico financieras del plan, utilizando para esto estados de resultados, estructura de costos y las ventas esperadas permitiendo la construcción de los flujos de caja que permitan la utilización de indicadores como la relación Beneficio-Costo, VAN y TIR y posteriormente el análisis de sensibilidad correspondiente que permita comparar los distintos escenarios en los que se podría ejecutar el plan.</t>
  </si>
  <si>
    <t>https://drive.google.com/file/d/1rIhthQxOPLEVgPR182dxtCKTOV1wtpz7/view?usp=sharing</t>
  </si>
  <si>
    <t>https://drive.google.com/file/d/1zStNSRHA2SVpl0va6WAgBuWLdoz_RijW/view?usp=sharing</t>
  </si>
  <si>
    <t>https://drive.google.com/file/d/1tk-M1EfwfOncX01QQCeebIHSgb2cGluh/view?usp=sharing</t>
  </si>
  <si>
    <t>RUTH CRISTINA FLORES LLANOS</t>
  </si>
  <si>
    <t>ING. MARCO ANTONIO LLANOS ACEVEDO</t>
  </si>
  <si>
    <t>DISEÑO DE UN SISTEMA DE GESTIÓN DE CALIDAD BASADO EN LA ISO 9001–2008 PARA LA EMPRESA METALMECÁNICA ALANOCA</t>
  </si>
  <si>
    <t>rutcy_f@hotmail.com</t>
  </si>
  <si>
    <t>IND-571-2013</t>
  </si>
  <si>
    <t>Metalmecánica Alanoca, Gestión de Calidad, NB ISO 9001:2008, Enfoque Basado en Procesos, Diseño de Sistema de Gestión de la Calidad (SGC), Plan y Programa de Implementación SGC.</t>
  </si>
  <si>
    <t>Se realizó el diagnóstico de la situación actual en la cual Metalmecánica Alanoca realiza y opera su proceso administrativo - productivo, para la evaluación del entorno se aplicaron el análisis de Porter y la matriz EFE, a partir de las cuales se determinaron las calificaciones de las cinco fuerzas del mercado asociadas al rubro metalmecánico y el atractivo del sector en lo referente a la presencia de oportunidades y amenazas; para el análisis a nivel interno se aplicó el análisis de la matriz EFI, a partir de la cual se determinó la posición interna de la empresa en función a la comparativa de fortalezas y debilidades y  adicionalmente se determinó, a partir de la aplicación de un Check List, el grado de cumplimiento actual por parte de la empresa a los requisitos establecidos por la NB ISO 9001:2008. Con la determinación de fortalezas, debilidades, oportunidades y amenazas se determinó el vector resultante FODA y la consecuente estrategia genérica a emprender.A partir del enfoque basado en procesos, se desarrolló un mapa de procesos y su correspondiente base para el modelo de gestión NB ISO 9001:2008 acorde a las necesidades de la organización, complementados por fichas descriptivas de procesos.Se diseñó un sistema de control por indicadores para los procesos en sus tres niveles: estratégicos, primarios y de apoyo; los mismos presentan valores de referencia para el indicador, además de activadores para la presencia de valores limitados y no aceptables.Se elaboró la estructura documental base para el sistema, incluidos el manual de calidad, procedimientos y registros exigidos por la norma; complementariamente se elaboraron los procedimientos para el nivel operativo y los registros asociados a los mismos, además de establecerse planes de calidad para este nivel.Se determinaron los beneficios (reducción de costos relativos a la calidad) como resultado de la implementación de un sistema de gestión de la calidad y a partir de la evaluación de los indicadores financieros PRI, VAN y B/C se calificó al proyecto como aceptable.</t>
  </si>
  <si>
    <t>https://drive.google.com/file/d/13lwPXOkQGAs4dCc9RoS0rZKCt6uuLPbV/view?usp=sharing</t>
  </si>
  <si>
    <t>https://drive.google.com/file/d/1Ru5JRDgs3ePQr4yz2DiRYwAiR591kPar/view?usp=sharing</t>
  </si>
  <si>
    <t>https://drive.google.com/file/d/1ZxQXvZBHZycrqrjwQjg9usSI9xt8fB8r/view?usp=sharing</t>
  </si>
  <si>
    <t>RENÉ SORUCO SOLÍZ</t>
  </si>
  <si>
    <t>ILSEN C. CAMARGO GUZMÁN</t>
  </si>
  <si>
    <t>DESARROLLO DE UN SISTEMA DE GESTIÓN DE SEGURIDAD Y SALUD OCUPACIONAL BASADO EN LA NORMA BOLIVIANA NB/OHSAS 18001, PARA LA EMPRESA COBOCE HORMIGON</t>
  </si>
  <si>
    <t>r_neco@hotmail.com</t>
  </si>
  <si>
    <t>IND-572-2013</t>
  </si>
  <si>
    <t>Sistema de gestión en seguridad y salud ocupacional  de acuerdo a la norma NB/OHSAS 18001, para la empresa “Coboce Hormigón”</t>
  </si>
  <si>
    <t>El presente proyecto está basado en el diseño de un Sistema de Gestión de Seguridad y Salud Ocupacional para la empresa “COBOCE HORMIGÓN “, basándose en el cumplimiento de los requisitos de la Norma NB/OHSAS 18001:2007, con el propósito de minimizar los riesgos a los que se exponen los trabajadores contribuyendo a su bienestar y aumentando la productividad de la empresa.Se realiza una descripción detallada de los elementos del Sistema de Gestión de Seguridad y Salud Ocupacional y del cumplimiento de la empresa en relación a la Norma NB/OHSAS 18007:2007.Para el diseño del Sistema de Gestión de Seguridad y Salud Ocupacional se realizó un diagnóstico inicial de la empresa “COBOCE HORMIGÓN”, en temas de Seguridad y Salud Ocupacional,  evaluando también el cumplimiento de los requisitos legales que estipulan las leyes 16998 y la ley General del Trabajo entre otras, se realizó la evaluación de las condiciones de los ambientes de trabajo y de los servicios con los que cuentan los trabajadores, se cuenta con información de los factores ambientales como son el ruido, iluminación y partículas en suspensión a los que se encuentran expuestos los trabajadores. Se identificó los peligros asociados a todos los puestos de trabajo y se evaluó los riesgos identificados, así mismo se determinaron los controles necesarios para los mismos.Se presenta el Sistema de Gestión de Seguridad y Salud Ocupacional según la Norma NB/OHSAS 18001:2007, se estructuró los procedimientos del Sistema de Gestión de SySO. De manera de cumplir con los requisitos de la Norma NB/OHSAS 18001.Finalmente se realizó, la estimación de costos para la propuesta de implementación y certificación del Sistema de Gestión de Seguridad y Salud Ocupacional según la Norma NB/OHSAS 18001, para la empresa “COBOCE HORMIGÓN”.</t>
  </si>
  <si>
    <t>https://drive.google.com/file/d/1-QKxCU1Zxy0PLS3OXx89tfsGW6-QzAWS/view?usp=sharing</t>
  </si>
  <si>
    <t>https://drive.google.com/file/d/1RE944J_q6GvTwrJ5PuKXRP9Z-8eHuWFr/view?usp=sharing</t>
  </si>
  <si>
    <t>https://drive.google.com/file/d/1y4rROBoOWm1-9TRRfskMBP2KlWx41av4/view?usp=sharing</t>
  </si>
  <si>
    <t>MARCIAL LANZA RAMÍREZ</t>
  </si>
  <si>
    <t>ESTUDIO TÉCNICO ECONÓMICO PARA LA IMPLEMENTACIÓN DE UNA PLANTA INDUSTRIAL DE POLITUBO.</t>
  </si>
  <si>
    <t>marcial.lanza@aiesec.net</t>
  </si>
  <si>
    <t>IND-573-2013</t>
  </si>
  <si>
    <t>Sistemas de riego, Polietileno, Planta industrial de Politubo, Control de calidad, Normas, Estudio técnico económico, Estudio de Impacto Ambiental (EIA).</t>
  </si>
  <si>
    <t>Al ingresar al gobierno al poder el año 2006, éste creó el Ministerio de Agua, observado la gran necesidad que existe dentro los municipios respecto al abastecimiento de agua. Dicho Ministerio trabaja conjuntamente con el Fondo Productivo y Social (FPS) el cual cumplen el rol de elaborar proyectos de desarrollo en las comunidades, los proyectos que elaboran ambas instituciones se refieren a proyectos de abastecimiento de agua, por ello se incrementó desde el año 2006 el requerimiento de politubo, el cual es empleado para la conducción de agua en los proyectos de abastecimiento de agua.Un problema dentro el mercado del politubo, es que existe bastante informalidad por parte de los productores, teniendo como consecuencia también el poco compromiso por parte de los proveedores de politubo para los usuarios y clientes de éste, sin existir por este hecho especificaciones técnicas.El proyecto tuvo como objetivo principal el estudio técnico económico para la implementación de una planta industrial de politubo.Primeramente se delimitó el mercado, siendo el interés principal, los 46 municipios del departamento de Cochabamba, del producto politubo negro el cual es utilizado para los sistemas de riego.Posteriormente se realizaron entrevistas a los involucrados en el mercado, interviniendo así un comerciante de politubo, un comunario, y un miembro de la alcaldía encargado de la adquisición del producto, esto para conocer las deficiencias que tienen los productores de politubo para con los usuarios y clientes.Al contar con los datos de la demanda, oferta y las entrevistas, se definió la penetración al mercado la cual será de crecimiento ya que existe una brecha insatisfecha.Luego se estableció que se va a utilizar materia prima reciclada y la materia prima virgen, en distintas proporciones, las cuales serán adquiridas de empresas que se dedican a la comercialización de estos productos.La ubicación de la planta industrial será en el Parque Industrial de Santiváñez, se tuvo en un inicio tres opciones establecidas por su cercanía a los mercados objetivo, siendo las éstas Santiváñez, Colcapirhua y Sacaba, como ya se mencionó se vio por conveniente instalar la industria en Santiváñez.Se estudio luego la maquinaria a adquirir la cual será adquirida por medio de una empresa que se dedica a la importación de dicho producto. Se estudio también la organización de la planta la cual estará distribuida en tres departamentos en los cuales trabajarán 11 personas.Se definió también la norma con la que se va a elaborar el producto en el departamento de producción, siendo ésta la norma NB-646 la cual fue elaborada bajo requerimientos de personal boliviano en sus distintos ecosistemas.Se concluyó que el proyecto es factible, es recomendable la implementación de ésta industria, ya que existe un mercado relativamente insatisfecho con el producto, además de existir una brecha importante insatisfecha la cual también va en constante crecimiento.Respecto al impacto ambiental que tendrá la nueva industria se pudo concluir que éste no dañará de manera pronunciada al medio ambiente, el impacto será positivo ya que incentiva al reciclaje de Polietileno.Se recomendó la constante investigación en la tecnología dentro el proceso productivo, sobre nuevos productos y formas de producir, ya que la nueva industria debe convertirse en un referente dentro el rubro.Otro aspecto a tomar en cuenta es ingresar a mercados en el interior del país ya que significaría un incremento monetario importante, para la industria, pues en muchos de los municipios del interior del país recién se está empleando este producto.</t>
  </si>
  <si>
    <t>https://drive.google.com/file/d/1nMcHPnGh-JlOCMzABpEo4hDWtkG73365/view?usp=sharing</t>
  </si>
  <si>
    <t>https://drive.google.com/file/d/1MhR_D6zEMMTWoQkv55AeDAsd9CC1HgGn/view?usp=sharing</t>
  </si>
  <si>
    <t>https://drive.google.com/file/d/1NZ4nHXM_9g8JuRWyVccinlDJbokP9dD3/view?usp=sharing</t>
  </si>
  <si>
    <t>SERGIO DENNIS ROJAS MIRANDA</t>
  </si>
  <si>
    <t>NAPOLEON VARGAS CABAO</t>
  </si>
  <si>
    <t>ING. ROBERTO MANCHEGO CASTELLON</t>
  </si>
  <si>
    <t>ESTUDIO DE FACTIBILIDAD PARA LA IMPLEMENTACIÓN DE UNA PLANTA DE EXTRUSIÓN-SOPLADO E INYECTADO DE ENVASES DE PLÁSTICO PARA LA CORPORACIÓN INDUSTRIAL DILLMANN</t>
  </si>
  <si>
    <t>sergiomaster62@hotmail.com</t>
  </si>
  <si>
    <t>IND-574-2013</t>
  </si>
  <si>
    <t>Corporación Industrial Dillmann (CORDILL S.A.), Proceso de           Extrusión-Soplado, Proceso de Inyectado, Polietileno de Alta Densidad (PEAD), Polipropileno (PP), Masterbach (Pigmento).</t>
  </si>
  <si>
    <t>Primeramente se identificó como problema central  que la Corporación Industrial Dillmann al adquirir envases a terceros se expone a riesgos de  impuntualidad así como también que los pedidos no sean entregados en su totalidad, todo esto por factores externos a la corporación.Para dar solución a este problema se realizó un estudio de factibilidad para la implementación de una planta de soplado e inyectado de envases de plástico, como nueva unidad de negocio de CORDILL S.A., buscando satisfacer la demanda interna de envases para la producción de salsas y productos con envases plásticos.Se realizó un estudio de necesidades técnicas por cada producto que requiere la empresa, también se realizó una proyección de los envases requeridos por CORDILL S.A.  Como segundo paso se estableció la ingeniería del proyecto, determinando los procesos, actividades y tareas relacionadas con el proceso de inyectado, soplado y extruido de envases de plástico.Se clasificaron las materias primas por sus propiedades y características, así como los materiales e insumos y la cantidad necesaria. La distribución de planta se realizó mediante la clasificación de las necesidades de cercanía y su ponderación, tomando en cuenta el diagrama de relaciones por actividad se generó el plano de distribución de planta adecuado.Se realizó la descripción y función de las máquinas y equipos necesarios para las operaciones de extrusión soplado e inyectado. También se cotizó la maquinaria en base al tamaño de planta requerido escogiendo la mejor alternativa para los beneficios del proyecto, obteniendo los montos de inversión en maquinaria y equipo.Se procedió a la elaboración de la estructura organizacional que le permitirá a la planta de plásticos mejorar la gestión empresarial. Se realizó el cálculo de los costos de la mano de obra requerida tanto directa como indirecta.Se desarrolló un plan de ejecución del proyecto identificando las actividades críticas dentro de cada etapa del proyecto y sus interdependencias, se indicó el grado de prioridad en cada una de ellas para determinar el camino crítico hacia la  implementación y puesta en marcha de la planta.Se realizó un análisis financiero y estudio económico para el proyecto utilizando indicadores financieros como TIR y VAN, también se realizó un análisis de sensibilidad bajo distintos escenarios; demostrando la factibilidad financiera del proyecto.Por ultimo en el estudio ambiental del proyecto se recabó una serie de antecedentes fundados para poder realizar la predicción, identificación e interpretación del impacto ambiental que ocasionaría el proyecto. Se describió las acciones que se ejecutarán para minimizar los efectos negativos y maximizar los positivos, para terminar se determinaron los costos de las medidas de mitigación para los impactos ambientales.</t>
  </si>
  <si>
    <t>https://drive.google.com/file/d/17BkuZVXVToNaN0ySM0ikWkyap0ORkiRp/view?usp=sharing</t>
  </si>
  <si>
    <t>https://drive.google.com/file/d/1QHADd8qG-vNEOCFssovYaXyY-Azplq2C/view?usp=sharing</t>
  </si>
  <si>
    <t>BETTZY LINET BALLESTEROS QUILO</t>
  </si>
  <si>
    <t>WILMER GUZMAN MUÑOZ</t>
  </si>
  <si>
    <t>ESTUDIO DE EVALUACIÓN INTEGRAL PARA LA INSTALACIÓN DE UN MATADERO EN EL MUNICIPIO DE VINTO</t>
  </si>
  <si>
    <t>linet_bq@hotmail.com</t>
  </si>
  <si>
    <t>IND-575-2013</t>
  </si>
  <si>
    <t>Matadero Modelo Vinto, Ganado Bovino y Porcino, Evaluación Integral de factibilidad (TIR, VAN) y ambiental (EIA).</t>
  </si>
  <si>
    <t>Se realizó la Evaluación Integral para la Instalación de un Matadero en el Municipio de Vinto debido a la necesidad prioritaria de construir un centro de faenado óptimo para el tratamiento y conservación de carnes y de esta manera promover la comercialización de productos con las mejores condiciones higiénicas y sanitarias. Por consiguiente obtener un matadero que cumpla con las normas básicas de funcionamiento establecidas por el SENASAG.Se inició el proyecto con la investigación del mercado consumidor y competidor, estudiando la oferta – demanda, el análisis y fijación del precio y proyectando  al mercado consumidor. Actualmente el mercado está cubierta únicamente por mataderos clandestinos que no cumplen con ninguna norma sanitaria, los cuales fueron identificados y localizados durante la fase de diagnóstico de situación; además se determinó que estos tienen una capacidad de faeneo de 116 cabezas/día. La capacidad del matadero propuesto de acuerdo a la demanda proyectada de 10 años alcanzara a 267 cabezas/día de ganado bovino (61) y porcino (206).La localización fue obtenida a través de una evaluación cualitativa de puntos, donde se analizaron 5 comunidades del municipio, escogiendo el puntaje mayor correspondiente a Vargas Linde. Se definió un tamaño de 3123,38 m2 para el matadero. Para un óptimo y eficiente desempeño de las labores del personal se realizó una organización de la planta definiendo las funciones de los componentes de la estructura orgánica, estableciendo las relaciones jerárquicas entre dichos componentes, por lo que se vio por conveniente organizar las funciones del proyecto en dos departamentos,  de servicios y de administración. Se escogió como modelo de matadero tipo “T”, en este tipo la cadena de producción permite que bovinos sean procesados en una sección y porcinos en otra, esto permite que los productos resultantes se dirijan a la sección central de suspensión y  refrigeración que es la única zona compartida. Se escogió el sistema de carriles aéreos para el faeneo ya que tiene: mayor higiene del proceso, una inspección más centralizada, exige menos equipos haciendo más fácil y económico el trabajo, es un sistema más productivo pudiendo aumentar hasta en un 50% de la capacidad proyectada, exige una superficie de suelo mucho menor, reduciendo los gastos de mantenimiento y limpieza. Con el tamaño y crecimiento definido se dimensionó los ambientes para la planta, se calculó de igual manera los equipos, maquinaria, materiales e insumos necesarios para tales volúmenes de producción. Por tanto el proceso de faena, resulta el elemento estructurador del proyecto y es donde se concentra la atención en cuanto a infraestructura, haciéndola más técnica y humanitaria posible, donde cada área es representada de diferente forma específica.Se realizó la Evaluación de Impacto Ambiental donde se identificaron y valoraron los efectos potenciales para el proyecto, donde los impactos negativos no son graves y pueden ser mitigados con la utilización de medidas correctivas. Finalmente se estimaron los costos para la implementación y ejecución del Matadero en una etapa de pre-operación. Con toda la información de costos se procedió a la preparación de esta información para realizar el respectivo análisis financiero usando indicadores como el TIR (28.19 %), VAN (1849813,70), R B/C (2.95). Se sometió el flujo a un análisis de sensibilidad para  las variables más influyentes. Concluyendo que el proyecto es rentable.</t>
  </si>
  <si>
    <t>https://drive.google.com/file/d/1rvgFOEcBi7OJRwjcxn4jysX-VRhrq6Gd/view?usp=sharing</t>
  </si>
  <si>
    <t>https://drive.google.com/file/d/1XUyFJ0WzQXUtH_3gzbGSXgbkacKEdwvH/view?usp=sharing</t>
  </si>
  <si>
    <t>https://drive.google.com/file/d/1xiJBLFMnpqcpfZ-2qf0yDYCISy8i7jGH/view?usp=sharing</t>
  </si>
  <si>
    <t>LIZETH MALDONADO MORALES</t>
  </si>
  <si>
    <t>ESTUDIO TÉCNIO-FINANCIERO PARA LA CONSOLIDACIÓN DE LA EMPRESA SANTIAGO</t>
  </si>
  <si>
    <t>maldonado_ml@hotmail.com</t>
  </si>
  <si>
    <t>IND-576-2013</t>
  </si>
  <si>
    <t>Empresa SANTIAGO, Estudio de factibilidad, Industrialización, Proceso Productivo, productividad.</t>
  </si>
  <si>
    <t>La razón fundamental del presente proyecto es realizar un estudio técnico financiero para la consolidación de la empresa de dulces y mermeladas “santiago” en la ciudad de Cochabamba. Tomando en cuenta la necesidad de brindar a la población un alimento con contenido nutricional, se ha visto por conveniente el desarrollo de un proyecto con la finalidad de mostrar la factibilidad en el proceso del aprovechamiento de la fruta, como un recurso natural renovable que actualmente tiene muchas expectativas de crecimiento en el mercado, debido a que existe una tendencia a consumir lo natural y nutritivo. Para ello se recurrió a un estudio de mercado orientado a los clientes potenciales orientado a conocer las características de comportamiento de compra de los comercios y a la vez determinar las características del mercado y de la competencia.El producto será elaborado a partir de la pulpa de durazno teniendo en cuenta los insumos necesarios y la utilización de un proceso productivo semi-industrial para su consolidación como mermelada de durazno en variedad de presentaciones con frutas enteras, en lonjas o triturado.El tamaño del proyecto que corresponde a 67.500 Kilogramos al año de producción en su capacidad máxima durante  los diez años.La organización de la empresa esta definida por áreas específicas con funciones determinadas para cada una de ellas, no es necesario que los operarios tengan experiencia debido a la simplicidad de los procesos para la obtención de los productos. Las remuneraciones al personal serán las adecuadas dentro del mercado laboral y la ley general del trabajo en base a los cuales se elaboraron las planillas. En la evaluación financiera se pudo constatar que el proyecto es rentable dio como resultado un  Valor Actual Neto de 70.709 $us., Tasa Interna de Retorno 39% y relación beneficio costo de 1,04.La evaluación de impacto ambiental señala que el proyecto se encuentra en la categoría de efectos ambientales menores, por lo que no trae serios impactos negativo</t>
  </si>
  <si>
    <t>https://drive.google.com/file/d/156DSkKsRGMkzsTL-Fuff7GSlz10_BG8p/view?usp=sharing</t>
  </si>
  <si>
    <t>https://drive.google.com/file/d/1GTePl1JB49P71NZiQ_mfPxyfCH1m4c0k/view?usp=sharing</t>
  </si>
  <si>
    <t>https://drive.google.com/file/d/105PLayzdYJssuTWiqd0igWNNYmRUip8S/view?usp=sharing</t>
  </si>
  <si>
    <t>CLAUDIA ROCIO CRESPO COCA</t>
  </si>
  <si>
    <t>ESTRUCTURACIÓN E IMPLEMENTACIÓN DEL PILAR DE EDUCACIÓN Y ENTRENAMIENTO DE LA METODOLOGÍA TPM (MANTENIMIENTO PRODUCTIVO TOTAL)</t>
  </si>
  <si>
    <t>Claudiar.Crespoc@gmail.com</t>
  </si>
  <si>
    <t>IND-577-2013</t>
  </si>
  <si>
    <t>Unilever, TPM, Educación y Entrenamiento, Eficiencia Operacional.</t>
  </si>
  <si>
    <t>La empresa multinacional Unilever S.A. creada en Bolivia en los años 40 ha visto necesaria la implementación de la   metodología TPM debido a la existencia de pérdidas en la eficiencia operacional de las plantas, esto debido a las averías en las líneas de producción, así como accidentes en el área de trabajo y defectos de calidad.Es de esta manera; en la búsqueda de reducir estas tres perdidas a cero, es decir, cero averías, cero accidentes y cero defectos de calidad; que decide implementar TPM en Unilever Andina Bolivia S.A.La metodología empleada consta de Identificar el nivel de conocimiento de los operadores, definir fuentes de necesidad, elaborar un plan de entrenamiento, entrenar a la operación y evaluar efectividad del entrenamiento.Primeramente se realizó un diagnóstico de la situación actual de las líneas productivas y se eligió una línea piloto; la envasadora de detergente Bosch 1, la cual paso por la implementación de los pasos 1, 2 y 3 desde el año 2006 hasta el año 2011; el 2012 se comenzó con la implementación del paso 4.Se recabo la información disponible acerca de las actividades, procesos de las actividades, la organización actual del sector, etc. Todo ello con el fin de establecer el modelo actual de implementación del paso.Se analizó la situación actual de la línea, se levantaron matrices de habilidades, árbol de pérdidas y matriz de averías; y en función a este análisis se levantó un plan de entrenamiento y un cronograma con el cual se determinaron las habilidades a ser transferidas.También se realizó el proceso que sigue cada entrenamiento en base a métodos de entrenamientos que garanticen una transferencia de habilidades eficaz, de manera que se logre reducir hasta llegar a cero las averías de la línea, incrementar la eficiencia operacional e incrementar las habilidades de la operación.Se observó claramente como es el método actual de trabajo de la línea, tanto de la operación como de los técnicos de mantenimiento.En el siguiente paso se procedió a entrenar a la operación tanto de manera teórica como práctica, con capacitores internos como externos, para estos entrenamientos fue necesario detener la producción de línea durante 1 hora por 5 días y 8 horas por 4 días.Con los datos recabados se procedió al levantamiento de resultados, se levantaron matrices de habilidades nuevamente, un árbol de pérdidas y un análisis de la matriz de  averías. Con la elaboración del manual y la implementación del paso la planta cuenta con una guía para la implementación del paso 4 y el pilar de educación y entrenamiento de manera que el personal de Unilever conocerá que pasos seguir para la implementación en futuras líneas.Logramos con esta implementación iincrementar la eficiencia operacional de línea piloto, incrementar las habilidades e implantar un cambio cultural en la empresa, reducimos el número de perdidas debido al mantenimiento de las líneas de producción, incrementamos la calidad de los productos, aprobamos el paso con las auditorías realizadas por el área de mantenimiento y la gerencia de planta; y obtuvimos gracias a esto el premio a la excelencia otorgado por el Instituto Japonés de Mantenimiento de Plantas.Se incrementó la eficiencia operacional de la línea piloto y se incrementó el nivel de habilidad de la operación obteniendo una nota de aprobación en el diagnóstico de gerencia realizado.Se recomienda realizar la réplica de la implementación del paso y del pilar en las líneas de producción de Unilever Andina Bolivia S.A. y continuar la implementación de pasos de TPM hasta obtener el premio a la constancia otorgada por el Instituto Japonés de Mantenimiento de Plantas.</t>
  </si>
  <si>
    <t>https://drive.google.com/file/d/16XqMPWWpDIulsYVl4oRf4Exi-y1zkPHo/view?usp=sharing</t>
  </si>
  <si>
    <t>https://drive.google.com/file/d/1DIU5FGskW6NWKVXJ6qlAExpnmC8e45Np/view?usp=sharing</t>
  </si>
  <si>
    <t>https://drive.google.com/file/d/1FF1E1Rn8OH9_T-NH4F5J5k9jXGES2A7G/view?usp=sharing</t>
  </si>
  <si>
    <t>MERCADO ARISPE LINETTE</t>
  </si>
  <si>
    <t>ING. DARLEX RAMIRO MERCADO ARISPE</t>
  </si>
  <si>
    <t>DISEÑO DE UN SISTEMA DE GESTIÓN DE CALIDAD BASADO EN LA NORMA ISO 9001:2008 PARA LA EMPRESA DE PLÁSTICOS: “INMAPLAST S.R.L.</t>
  </si>
  <si>
    <t>lineth_qumasf@hotmail.com</t>
  </si>
  <si>
    <t>IND-577-2013-1</t>
  </si>
  <si>
    <t>Sistema de Gestión de Calidad (S.G.C.), Norma ISO 9001:2008, Calidad, Implementación y Mejora Continua.</t>
  </si>
  <si>
    <t>El Diseño del Sistema de Gestión de Calidad realizado para la empresa de plásticos Inmaplast S.R.L. fue elaborado por la necesidad de mejorar su competitividad, alcanzar los objetivos de calidad y cumplir con los requisitos del cliente.De esta manera se comenzó realizando un diagnostico basado en los requisitos de la norma, se analizó todos los puntos pare ser tomados en cuenta en el diseño del Sistema de Gestión de Calidad. Posteriormente se realizó el desarrollo de la estructura documental para la  empresa que incluyó el manual de la calidad, procedimientos, instructivos, registros exigidos por la norma y otros documentos necesarios como el manual de funciones. Se logró identificar y estandarizar aquellos procesos que repercuten en la calidad del producto y satisfacción del cliente. También se definió un cronograma que contempla todas las actividades para poder tener una eficaz y eficiente implementación del Sistema de Gestión de Calidad diseñado.Finalmente se determinó los costos directos en los que incurrirá INMAPLAST S.R.L. en caso de que la empresa decida implementar el Sistema de Gestión de Calidad.</t>
  </si>
  <si>
    <t>https://drive.google.com/file/d/1x9Yea0AbY0ovekZuGw2IjQOzQP_AAm6P/view?usp=sharing</t>
  </si>
  <si>
    <t>https://drive.google.com/file/d/1QILdM0h3-EctzIoaYEjfSs04z5HUJSvK/view?usp=sharing</t>
  </si>
  <si>
    <t>ANGEL TORRICO PARDO</t>
  </si>
  <si>
    <t>ESTUDIO DE FACTIBILIDAD TÉCNICO ECONÓMICA PARA LA IMPLEMENTACIÓN DE UNA EMPRESA COMERCIALIZADORA DE JEANS DE LOS TALLERES DE CONFECCIÓN DE COCHABAMBA.</t>
  </si>
  <si>
    <t>angel-tp1@hotmail.com</t>
  </si>
  <si>
    <t>IND-578-2013</t>
  </si>
  <si>
    <t>Empresas de confección de textiles de Cochabamba (EDCTC), Empresa comercializadora de pantalones jeans (ECPJ).</t>
  </si>
  <si>
    <t>El presente estudio pretende determinar la factibilidad técnico-económica para la implementación de una empresa comercializadora de pantalones jeans, los que serán producidos en empresas de confección en Cochabamba de acuerdo a las especificaciones técnicas que la empresa establecerá en contratos con los productores, la misma que poseerá su propia marca comercial, que en base a diseños novedosos y confección de calidad competirá con éxito en el mercado de Cochabamba.Los pantalones jeans son productos de gran aceptación en la población, el segmento de población objetivo es de 15 a 30 años de edad de ambos sexos de la ciudad de Cochabamba.El éxito de la empresa comercializadora de pantalones jeans dependerá directamente de la logística de distribución y abastecimiento, de materia prima e insumos, productos, y del plan de mercadeo, el cual establece como estrategia principal,  la penetración y crecimiento en el mercado, creando relaciones redituables y duraderas con los clientes.Los resultados esperados en la evaluación financiera del proyecto de Factibilidad Técnico Económica, ofrecerá una Rentabilidad del 22 % a la inversión, un Valor Actual Neto de 2.487.633,84 Bs. y Costo/Beneficio de 1,376, siendo desde el punto de vista del inversionista atractivo, el cual tendrá financiamiento propio.Concluyendo que  el proyecto es rentable y desde el punto de vista del inversionista se presenta como atractivo.</t>
  </si>
  <si>
    <t>https://drive.google.com/file/d/1BurQsua5EVENxlLHBWw-i88bAH6pJiq1/view?usp=sharing</t>
  </si>
  <si>
    <t>https://drive.google.com/file/d/10zzdBZ43NhOck2usLfvQrFQj72tahVJK/view?usp=sharing</t>
  </si>
  <si>
    <t>https://drive.google.com/file/d/1neMai1TkdJpd1nMu_AIeS74y6PD7AMjP/view?usp=sharing</t>
  </si>
  <si>
    <t>LUIS MARCELO VÁSQUEZ PACHECO</t>
  </si>
  <si>
    <t>ING. REMBERTO WILSON MENESES CORDOVA</t>
  </si>
  <si>
    <t>DISEÑO DE UN SISTEMA DE GESTIÓN DE LA CALIDAD SEGÚN NORMA NB/ISO 9001:2008 PARA LA LÍNEA FRACCIONAMIENTO DE LA EMPRESA FOODS COMPANY SRL</t>
  </si>
  <si>
    <t>luis.marcelo.vasquez@gmail.com</t>
  </si>
  <si>
    <t>IND-579-2013</t>
  </si>
  <si>
    <t>Norma, ISO 9001:2008, Maíz, Zea Mays, Exportación, Sistema, Gestión Calidad, Tradicional.</t>
  </si>
  <si>
    <t>La gestión de la calidad, en sus diferentes aspectos. Es una política adoptada por la empresa Cia. Alimentos Foods Company S.R.L. dedicada al procesamiento y comercialización de productos alimenticios. Por ello que nace como iniciativa presentar un proyecto que ayude a tener una base solida y documentada de gestión de la calidad basada en la norma NB/ISO 9001:2008 teniendo como alcance solo la línea fraccionamiento que se dedica a la exportación de productos tradicionales.Se desarrolló el presente trabajo en las siguientes etapas:Primeramente se  procedió  a realizar el diagnostico con respecto  al cumplimiento del plan HACCP  y de la  norma NB/ISO 9001:2008. Con la finalidad de saber exactamente si existía conformidades, desvíos o falencias dentro la línea fraccionamiento. Posteriormente, mediante una interiorización dentro las actividades y el entorno del trabajo. Se logro el desarrollo de un plan estratégico que enmarque el sistema de gestión de la calidad.Luego se materializo el sistema de gestión de la calidad, donde se desarrolla la estructura documental, identifica procesos y responsabilidades.Se reviso la correspondencia que existe entre el plan HACCP y  la norma, con la finalidad de verificar la compatibilidad que tienen ambos, así garantizando un sistema integrado que madure y sea solido en el tiempo.Se desarrollo  una metodología para la implantación del sistema sugerido, el cual se basa en el ciclo P-H-V-A para gestionarlo de la forma más adecuada.Se calculó y estimó los costos para el arranque de este proyecto, considerando los costos atribuibles a una primera etapa de implementación.Por ultimo se emite una conclusión y recomendaciones de la experiencia  realizada en sistemas de gestión de calidad, la cual se realizo en una empresa del medio.</t>
  </si>
  <si>
    <t>https://drive.google.com/file/d/12H9BKI1mHHM9ugSYndWFJK2kmJOCsTys/view?usp=sharing</t>
  </si>
  <si>
    <t>https://drive.google.com/file/d/1HsQ4oUiycN_Hm0db16WmLsDuUTVogKui/view?usp=sharing</t>
  </si>
  <si>
    <t>https://drive.google.com/file/d/1Vkcg1WukUdaR-AeggQx08VIiOqtw0RLw/view?usp=sharing</t>
  </si>
  <si>
    <t>KAREN PAMELA CISNEROS CABEZAS</t>
  </si>
  <si>
    <t>ING. M. SC. MILKO CUADROS SAAVEDRA</t>
  </si>
  <si>
    <t>GESTIÓN ESTRATÉGICA PARA LA EMPRESA FRIGAL</t>
  </si>
  <si>
    <t>kcamiga1@gmail.com</t>
  </si>
  <si>
    <t>IND-580-2013</t>
  </si>
  <si>
    <t>Calidad, Productividad, Competitividad, Cambio, Valor agregado, Objetivo, Estrategia.</t>
  </si>
  <si>
    <t>El proyecto que se desarrolló en la empresa de embutidos FRIGAL se originó de la identificación de la baja competitividad que tiene la empresa dentro el mercado de Cochabamba, y  propuso un diseño de gestión estratégica en su administración. Para el desarrollo de la gestión estratégica, se estableció en primera instancia el marco estratégico de la empresa, esta consistió en la formulación de la misión, visión y cultura organizacional. Una vez delimitado el punto de partida y hasta dónde quiere llegar FRIGAL, se realizó la formulación de las estrategias necesarias para lograr las metas de la empresa. Dicha formulación consistió en tres etapas: en la primera etapa se diagnosticó la situación actual de la empresa, en la segunda etapa se generaron las estrategias alternativas viables y en la última etapa se seleccionó las estrategias específicas requeridas para lograr los objetivos. Finalizando con la formulación de estrategias se elaboró dos planes de acción.El diagnóstico de la empresa definió una auditoría externa y auditoría interna. La auditoría externa consistió en el análisis del macroentorno y del microentorno, las herramientas utilizadas para este análisis fueron las cinco fuerzas de Porter complementado con un estudio de mercado y la matriz de perfil competitivo (MPC). El estudio de mercado se focalizó en el mercado de Cochabamba, considerando a sus principales provincias donde existe el mayor porcentaje de población y las provincias donde FRIGAL distribuye sus productos. Para la matriz de perfil competitivo se escogieron tres empresas, quienes representan la mayor participación del mercado, las cuales fueron comparadas con la empresa, La auditoría interna consistió en la evaluación de sus procesos, por tanto se comenzó en la identificación de todos los procesos de FRIGAL a través de un enfoque sistémico. Luego se procedió a evaluar cada proceso identificado: proceso de dirección, producción, comercialización, logística y RRHH. La evaluación de cada proceso se basó en factores críticos e indicadores numéricos, considerando que para la recolección de la información primaria se utilizó como herramientas las encuestas complementadas con entrevistas informales y un seguimiento a las funciones realizadas por cada proceso. Para la etapa de generación de estrategias se utilizó herramientas como: el ciclo de vida del producto, matriz productos y mercados, matriz BCG y la matriz FODA estratégico. Estas herramientas se basan en el diagnostico de la empresa para su aplicación.La selección de las estrategias específicas,  utilizó como única técnica la matriz cuantitativa de planificación estratégica (MCPE), esta matriz se realizó en función a factores críticos claves de evaluación. Los planes de acción fueron diseñados en función de las estrategias seleccionadas dentro un horizonte de tiempo que abarca cinco años. Para cada plan se desarrollaron  líneas estratégicas, los objetivos a conseguir, la inversión y los gastos que implica en el periodo que corresponde.Finalmente, se procedió a realizar el diseño del cuadro de mando integral, para que controle y evalué la marcha de la empresa hacia su meta definida. El cuadro de mando se complementó con la proyección de los estados financieros, así se comprobó la posibilidad que tiene FRIGAL para lograr sus objetivos planteados y la solvencia de la misma.Como principal resultado de este proyecto se evidenció el mal funcionamiento de la empresa y la inexistencia de objetivos trazados a largo plazo. Además, se formuló las estrategias que deberá seguir la empresa y se demostró la viabilidad de dichas estrategias sugeridas.</t>
  </si>
  <si>
    <t>https://drive.google.com/file/d/1WZ9DtsyOg48yQqY3UYiVNtFBDe0Nno8c/view?usp=sharing</t>
  </si>
  <si>
    <t>https://drive.google.com/file/d/1rSBS1yHLwFd7-k1CsIOYmbm55OziVAiG/view?usp=sharing</t>
  </si>
  <si>
    <t>https://drive.google.com/file/d/1IYptnt6AQo4-eCj3_WcwgPOeUZR2ZnS9/view?usp=sharing</t>
  </si>
  <si>
    <t>DIANA ANDREA APALA BALDELOMAR</t>
  </si>
  <si>
    <t>ING. CARLOS ACEBEDO PEÑA</t>
  </si>
  <si>
    <t>PLAN ESTRATÉGICO DE MARKETING  PARA LA TIENDA DEL CLUSTER DE  ALIMENTOS COCHABAMBA DE LA UNIVERSIDAD MAYOR DE SAN SIMÓN</t>
  </si>
  <si>
    <t>didi_30@hotmail.com</t>
  </si>
  <si>
    <t>IND-581-2013</t>
  </si>
  <si>
    <t>Plan Estratégico de Marketing, Tienda del Cluster de Alimentos Cochabamba de la Universidad Mayor de San Simón, Investigación de Mercados, Fijaciones de Propósitos y Adaptación de la Información, Plan de Marketing, Análisis de los Costos de Implementación</t>
  </si>
  <si>
    <t>A través de la Agencia Oficial Sueca de Innovación VINNOVA y el apoyo de la Agencia de Cooperación Sueca al Desarrollo ASDI, se desarrolló el proyecto INNOVA-UMSS, que a través de los diferentes centros de investigación la Unidad de Transferencia de Tecnología, funciona el Clusters de Alimentos.El Clúster de Alimentos Cochabamba se formó con la participación de la Unidad de Transferencia de Tecnología de la Facultad de Ciencias y Tecnología de la Universidad Mayor de San Simón, las Empresas y Asociaciones representantes del Rubro de Alimentos orgánicos naturales de Cochabamba e Instituciones Departamentales del Gobierno, por lo cual las empresas y asociaciones conjuntamente con el apoyo de la universidad decidieron comercializar sus productos abriendo la Tienda del Cluster de Alimentos. El presente proyecto se realizó para la Tienda del Cluster de Alimentos, que al ser una empresa relativamente nueva en el mercado se identificó una baja participación en el mercado local, por lo cual se determinó el desarrollo de un Plan Estratégico de Marketing.La metodología desarrollada para el estudio partió de un análisis externo e interno, en el cual se pudo detallar el análisis de la situación actual, respecto a su ambiente externo e interno, lo cual ha permitido identificar las fortalezas, debilidades, oportunidades y amenazas que rodean el entorno de la Tienda del Cluster de alimentos.Se realizó una investigación de mercados que ayudo a conocer los mercados aptos para la venta de productos alimenticios orgánicos naturales, la demanda potencial de los mismos, los competidores, la participación en el mercado y el tipo de implementación de las variables del marketing mix.Los datos obtenidos del estudio  permitió el desarrollo de la fijación de propósitos y adaptación de la información que concedió el  análisis de los principios estratégicos como la misión, visión, cultura, objetivos corporativos, como propuesta de mejorar la Tienda del Cluster de Alimentos en su conjunto, con el cual se pudo determinar las estrategias intensivas y estrategias de retener, como las de penetración en el mercado y el desarrollo de productos.Dentro del plan de marketing se desarrollaron los objetivos estratégicos y operativos de marketing, los planes y líneas de acción. Para cada variable del marketing se planteó una estrategia y se diseñaron planes acordes, en las que se detalló su peso de importancia, las líneas de  acción, el alcance, las fechas, indicadores y responsables del cumplimiento según el cronograma de actividades.Se garantizó la factibilidad del proyecto a través del análisis de los costos de implementación, donde se determinaron los diferentes análisis y evaluación financiera a través de los cuales se cuenta con indicadores sostenibles en el tiempo los mismos que aseguran la solvencia del proyecto y la rentabilidad.</t>
  </si>
  <si>
    <t>https://drive.google.com/file/d/1-ajk55qVcPXSSRZZHLZ11DETdUBM094m/view?usp=sharing</t>
  </si>
  <si>
    <t>https://drive.google.com/file/d/1AE_x3JveKavqIOk5MZhFjVIqXI1QYwP2/view?usp=sharing</t>
  </si>
  <si>
    <t>https://drive.google.com/file/d/13Is4JmlW-6mP0ujVaFd2qT5enkQhhjhv/view?usp=sharing</t>
  </si>
  <si>
    <t>PAMELA ORTUÑO CUADROS</t>
  </si>
  <si>
    <t>ING. WALTER CANEDO ESPINOZA</t>
  </si>
  <si>
    <t>ESTUDIO DE FACTIBILIDAD PARA LA INSTALACIÓN DE UNA PLANTA DESHIDRATADORA DE FRUTILLA EN COCHABAMBA.</t>
  </si>
  <si>
    <t>pam_oc_22@hotmail.com</t>
  </si>
  <si>
    <t>IND-582-2013</t>
  </si>
  <si>
    <t>Planta Deshidratadora de frutilla. Estudio de factibilidad. Estudio de Localización. Análisis y evaluación ambiental.</t>
  </si>
  <si>
    <t>La necesidad de haber realizado el estudio fue de ver la posibilidad de introducir al mercado Cochabambino un producto alternativo, la frutilla deshidratada con la cual se pueda ofrecer una buena alternativa para el consumo de la misma fuera de época y que a la vez nos sirva de alternativa para la conservación de la materia prima.El producto fue elaborado a partir de la frutilla fresca, sin la utilización de ningún tipo de aditivos para la obtención de las frutillas deshidratadas durante todo el proceso, solo se tuvo en cuenta algunos insumos adicionales para la limpieza y desinfección de la misma. En la evaluación financiera realizada, se pudo constatar que el proyecto es rentable, reportando los siguientes resultados.VAN = 87.570 $us.TIR =  20%B/C = 1,42Se realizó la evaluación de impacto ambiental social con los respectivos formatos y según  el reglamento establecido por el Honorable Gobierno Municipal de Cochabamba se llegó a la conclusión que el proyecto es ecológicamente compatible, por lo que tiene impactos negativos en una escala baja.  Con el proyecto se pretendió ofrecer otra alternativa de productos naturales para las personas, también generar más empleos e incentivar la producción frutícola en las diferentes localidades de producción de frutilla.</t>
  </si>
  <si>
    <t>https://drive.google.com/file/d/1-gCqeOzZu24Vvh7cE_jyxCaD4a-1OTmU/view?usp=sharing</t>
  </si>
  <si>
    <t>https://drive.google.com/file/d/1vDIswFNdLU-9e6IB57iAjixjgyXa4nr_/view?usp=sharing</t>
  </si>
  <si>
    <t>https://drive.google.com/file/d/1Axe2YVzcS5ikJhRMns65RDXS0gVyuwdw/view?usp=sharing</t>
  </si>
  <si>
    <t>JUAN CARLOS OCAMPO VILLARROEL</t>
  </si>
  <si>
    <t>MIGUEL FERNANDO PACO AGARACHI</t>
  </si>
  <si>
    <t>DISEÑO DE UNA FÁBRICA DE PANTALLAS DE ILUMINACIÓN</t>
  </si>
  <si>
    <t>cj.ocampo@hotmail.com</t>
  </si>
  <si>
    <t>IND-583-2013</t>
  </si>
  <si>
    <t>Diseño, Fábrica, Pantallas Iluminación, Sistema Neumático, Rendimientos Producción, Tiempos de fabricación, Planeación Sistemática de la Distribución (PSD),  Evaluación Financiera, Análisis sensibilidad, Evaluación Impacto Ambiental</t>
  </si>
  <si>
    <t>Primeramente se realizó el cálculo del consumo de pantallas de iluminación en Cochabamba, aplicando un modelo matemático definido previamente mediante la aplicación de un análisis de regresión múltiple. Se estudió también la oferta del mismo. Se determinó una demanda insatisfecha, como también se determinó la proyección para la demanda de pantallas de iluminación en el departamento de Cochabamba. Posteriormente se definió la demanda propia y la capacidad productiva definida en 13.000 unidades de Pantallas de Iluminación por año, el proyecto abarcará el 10% del mercado calculado, produciendo el primer año 6.370 unidades que representa el 49% de la capacidad de planta instalada. Para el último año de funcionamiento la fábrica producirá 12.979 unidades representando el 100% de la capacidad de plata instalada. Con el tamaño y crecimiento definidos se diseñó la fábrica aplicando la metodología de la Planeación Sistemática de la Distribución de Muther, se diseñó la red del sistema neumático. Se diseñó la maquinaria neumática y se diseñó la cabina horno de pintado electrostática. También se calcularon los materiales e insumos necesarios para los volúmenes de producción.Se definió el emplazamiento de la fábrica haciendo un análisis cualitativo de puntos, en el cual ganó por ponderación la provincia Colcaphirua del departamento de Cochabamba. Se definió un tamaño de 620 mt2 para la fábrica. El estudio organizacional fue realizado para la fábrica definiendo el diagrama organizacional, las funciones de cada trabajador y las planillas de salarios.Posteriormente se preparó la información para poder realizar la evaluación financiera determinando un VAN de  187.935,71 $us, un TIR de 32,11%, una relación B/C de 3,36. También se realizó un análisis de sensibilidad donde fue mostrado que el precio y el volumen de producción son las variables más sensibles para la producción de Pantallas de Iluminación. Se definió una inversión total de 198.447 $us. para todo el proyecto, definiendo un 42% de aporte propio y un 58% de financiamiento. La recuperación del capital fue determinado en un periodo de 4,55 años.Se concluyó con una Evaluación de Impacto Ambiental de acuerdo a la ley 1333, donde se estudió al proyecto en sus etapas de ejecución y operación. Se concluyó que el proyecto es ecológicamente compatible con el medio ambiente.Finalmente mediante la aplicación de software como, Solidworks y Autocad se realizaron los planos mecánicos de la Pantalla de Iluminación, distribución en planta, red neumática y tiempos de fabricación.</t>
  </si>
  <si>
    <t>https://drive.google.com/file/d/1ImZ2ihp21CE0pLfVG30ksFvcblkFzOtw/view?usp=sharing</t>
  </si>
  <si>
    <t>https://drive.google.com/file/d/1ZXM3p_uj-308O6yoyjCAfgRTugFjDLZf/view?usp=sharing</t>
  </si>
  <si>
    <t>https://drive.google.com/file/d/19pxmYJghUrsvR9dRt8ulGy4wcWUOLTdo/view?usp=sharing</t>
  </si>
  <si>
    <t>RONALD ANGULO OROSCO</t>
  </si>
  <si>
    <t>ING. IVO ROJAS ESPINOZA</t>
  </si>
  <si>
    <t>DESARROLLO E IMPLEMENTACIÓN DE UN SISTEMA DE INFORMACIÓN ADMINISTRATIVO PARA EL ÁREA DE INOCUIDAD ALIMENTARIA EN LA JEFATURA DISTRITAL SENASAG - COCHABAMBA.</t>
  </si>
  <si>
    <t>IND-584-2013</t>
  </si>
  <si>
    <t>Sistema de Información Administrativo (S.I.A.), Sistema de Información (S.I.), Red de Área Local (LAN), Diagrama de Flujo de Datos (DFD).</t>
  </si>
  <si>
    <t>En el presente estudio se desarrolló un Sistema de Información Administrativo (S.A.I.) para el Área de Inocuidad Alimentaria en la Jefatura Distrital Senasag – Cochabamba, tomando en cuenta los datos establecidos dentro el Área de Inocuidad Alimentaria, proponiendo y mejorando los flujos de información que se tiene en la misma.Primeramente se realizó un análisis de la Situación Actual del Área de Inocuidad Alimentaria, donde se recabo información mediante la herramienta del Flujograma, de los proceso para el Almacenamiento de Base de datos de los Registros Sanitarios Emitidos, la Emisión de Certificado de Exportación y en la Emisión de Permisos de Importación (Despacho Fronterizo), con el fin de proponer nuevos procedimientos para el funcionamiento del Sistema Propuesto, donde los mismos serán mostrados mediante un Flujograma de cada proceso.Se analizó la información del diagnóstico y se prosiguió  al desarrollo de los Flujogramas. El cual ayudara en la elaboración del Diseño Lógico del Sistema, donde se desarrollaron los siguientes aspectos: La lista de eventos, el diagrama de contexto, el diagrama de flujo de datos y el diccionario de datos con todos los contextos de estructura de procesos y desarrollo de almacenes.Con los datos recabados en el Diseño Lógico se realizó el Diseño Físico del Sistema de Información, donde se desarrollaron los siguientes aspectos: Diseño de las Entradas, Diseño de las Salidas, Diseño de los controles y validación de datos, diseño de la interface y el dialogo en línea, selección del software, selección del hardware y seguridad del sistema de información.Se prosiguió con la planificación para la ejecución del Presente Proyecto, el cual se detalla en un diagrama de Gantt, que muestra en forma detallada las tareas que se realizaron en la misma.Con los Estudios de Factibilidad, técnica, operacional y económica se procedió a evaluar el Diseño del S.I.A. y como resultado obtenida de la misma cuenta con los requisitos adecuados para ser implementado.Se calculó la relación Beneficio/costo del S.I.A. otorgando resultados favorables para su respectiva implementación.</t>
  </si>
  <si>
    <t>https://drive.google.com/file/d/1G2Zojm4InH323zw7vyu_z7kDJXoKHSuq/view?usp=sharing</t>
  </si>
  <si>
    <t>https://drive.google.com/file/d/1HtSOhLdHZgrKZbiAwypY3t4DaGUbU9-B/view?usp=sharing</t>
  </si>
  <si>
    <t>https://drive.google.com/file/d/1L2QSwHJNvP850upC3cnLi3Ek3ctDGj_L/view?usp=sharing</t>
  </si>
  <si>
    <t>CYNTHIA SUSY LÓPEZ OLIVARES</t>
  </si>
  <si>
    <t>CAROLA SOLÓRZANO BOYÁN</t>
  </si>
  <si>
    <t>PLAN DE HIGIENE, SEGURIDAD OCUPACIONAL Y BIENESTAR PARA LA EMPRESA SEMAPA</t>
  </si>
  <si>
    <t>susy_001@hotmail.com</t>
  </si>
  <si>
    <t>IND-585-2013</t>
  </si>
  <si>
    <t>Plan, Higiene, Seguridad,  Peligro, Riesgo, Accidente, SEMAPA, Equipo de Protección Personal (EPP),Hazard Rating Number (HRN)</t>
  </si>
  <si>
    <t>En primera instancia  se identificó como problema central  en la empresa SEMAPA  la ocurrencia de accidentes de trabajo. Para dar solución a este problema se realizó una identificación y evaluación de los riegos  encontrados en las diferentes áreas de trabajo con el objetivo de Diseñar un Plan de Higiene, Seguridad Ocupacional y Bienestar para la empresa SEMAPA, de acuerdo a los requisitos y exigencias establecidas por la Ley General de Higiene, Seguridad Ocupacional y Bienestar,  con el fin de disminuir los riesgos laborales, brindando un ambiente de trabajo seguro.   La metodología a seguir fue un diagnóstico de la empresa SEMAPA, seguida de Identificación de Peligros y Evaluación de Riesgos continuado con la estimación del costo necesario para la implementación  del plan propuesto y así garantizar su ejecución y finalizando  se presentarán  las conclusiones y recomendaciones correspondientes.Luego de haber identificado, evaluado y gestionado los riesgos se elaboró el Plan deHigiene, Seguridad Ocupacional y Bienestar el cual ha sido estructurado considerando el desarrollo de 9 Módulos en los que se considera la elaboración de programas y manuales específicos, de tal manera que se pueda tener una mejor organización y comprensión del mismo.Posteriormente se desarrolló un plan de ejecución del proyecto identificando las actividades críticas dentro de cada etapa del mismo y sus interdependencias.Por último se realizó una cotización de todas las acciones, equipos y mejoras planteadas dentro del plan para realizar un presupuesto que indique el monto de los costos para la implementación y funcionamiento del mismo en los próximos 5 años.</t>
  </si>
  <si>
    <t>https://drive.google.com/file/d/1X0ZEnsmK73VEitBSpl2EIIyoKthO8tyM/view?usp=sharing</t>
  </si>
  <si>
    <t>https://drive.google.com/file/d/1TuyLLzTRPAu2G9scfhU6lQysigvtiYOm/view?usp=sharing</t>
  </si>
  <si>
    <t>https://drive.google.com/file/d/1bILh23D2Vr6avI48BSSdHEZeqDrqVzBg/view?usp=sharing</t>
  </si>
  <si>
    <t>VANELKA CHRIS GOMEZ BILBAO</t>
  </si>
  <si>
    <t>ING. MARCELO VARGAS</t>
  </si>
  <si>
    <t>ESTUDIO DE FACTIBILIDAD PARA UNA NUEVA LÍNEA DE PRODUCCIÓN DE CUERO DE OVEJA DE LA CURTIEMBRE PIELBO SRL</t>
  </si>
  <si>
    <t>vanelk_06@hotmail.com</t>
  </si>
  <si>
    <t>IND-586-2013</t>
  </si>
  <si>
    <t>Napa, Curtido, Lado flor del cuero, Broker, acidos y sulfatos</t>
  </si>
  <si>
    <t>El presente proyecto surge a idea de los  dueños de la curtiembre quienes buscan una alternativa de solución para generar mayores ingresos económicos, por este motivo se realizó un análisis de la situación en la que se encontraba la curtiembre detectando una capacidad instalada ociosa ya que contaba con infraestructura y alguna maquinaria que no era utilizada.De esa manera se inició el estudio de factibilidad analizando diversos factores, principalmente el mercado, realizando una investigación se determinó como mercado meta la Argentina ya que este país cuenta con una larga trayectoria en el rubro de cuero y es reconocido mundialmente por su calidad en prendas de vestir en cuero y este es el mercado objetivo, las empresas que se dedican a al costura de prendas de vestir en cuero ya que el cuero de oveja en acabado napa es apto para la confección de prendas de vestir por su suavidad y flexibilidad.Se investigó sobre los tramites que se deben seguir para realizar exportaciones, el más importante es el establecimiento legal de la empresa y la inscripción a la Cámara de Exportadores, también es muy importante realizar una Declaración única de Exportación para cada despacho de mercadería que se tenga que hacer.Así también se realizó un estudio del requerimiento de materia prima al ser esta proveniente del faenado de cordero, se realizó una proyección de las cantidades necesarias para cubrir la demanda y se determinó contactarse con asociaciones criadoras de ovino para que exista proveedor seguro de materia prima.Posteriormente se realizó un estudio de ingeniería de proyecto en la cual se definió el  proceso de producción,  así también la receta de químicos que se utiliza en las diferentes etapas de ribera, curtido y re curtido, se determinó una capacidad de producción de 12.000 lonjas de cuero mensual esto tomando en cuenta que se requiere de 16 obreros en planta para un producción continua. Se realizo una distribución de la planta de manera más óptima posible para que no exista demoras o cuellos de botella, buscando siempre que la producción sea continua, se tomó en cuenta un plan de seguridad ya que en  el proceso productivo se utiliza una variedad de químicos que en su mayoría son tóxicos y nocivos es muy importante brindar seguridad a los empleados.A partir de todo lo mencionado anteriormente se realizó un estudio financiero en los diez años de duración del proyecto, se calculó  el costo de producción, costo de administración y costo de comercialización, con estos datos se calculó el costo de producción unitario que el caso del cuero la manera de comercializar es por pie2 , teniendo como un promedio que cada lonja de cuero es de 4 pie 2, se calculó que el precio es de 1,85$/pie2, y con los ingresos que se generan cada gestión se calculó la utilidad neta por cada ano y partir de eso se calculó el flujo neto de fondos.Tomando en cuenta los indicadores del TIR  y VAN los cuales en las dos situaciones estudiadas, una con financiamiento bancario y otra situación con aporte propio del dueño, nos dan un valor positivo y una tasa mayor a la TMAR es decir, el proyecto es factible implementarlo pero es más atractivo para el caso con financiamiento.Por último se realizó un análisis del impacto ambiental que genera la curtiembre al medio ambiente, se concluyó que  este rubro afecta severamente al medio ambiente pero que si se puede tomar medidas preventivas y realizar tratamientos a los residuos que desecha, es por eso que como recomendación está el realizar un plan de manejo ambiental.</t>
  </si>
  <si>
    <t>https://drive.google.com/file/d/17N-mB0c1Uell-5SjYIcpZjL2l_0CTi2X/view?usp=sharing</t>
  </si>
  <si>
    <t>https://drive.google.com/file/d/1xy4-g3TjygwjJ-44XZLwTSIl75JjPaDW/view?usp=sharing</t>
  </si>
  <si>
    <t>https://drive.google.com/file/d/1CNec-Sa9eL1hCsfVDAzm5XuLu-5EQ_0T/view?usp=sharing</t>
  </si>
  <si>
    <t>JACINTO CAYOJA KIMBERLEY JENNY</t>
  </si>
  <si>
    <t>WILLIS PONCE DIEGO</t>
  </si>
  <si>
    <t>ING. ACEVEDO PEÑA CARLOS GONZALO</t>
  </si>
  <si>
    <t>PLAN ESTRATÉGICO DE MARKETING PARA LA COMERCIALIZACIÓN DE HELADOS DE LA FÁBRICA DE HIELOS “CRISTAL</t>
  </si>
  <si>
    <t>soluciones_practicas_@hotmail.com</t>
  </si>
  <si>
    <t>IND-587-2013</t>
  </si>
  <si>
    <t>Plan estratégico de marketing, investigación de mercados, estrategias de penetración en el mercado, análisis del  valor presente neto (VPN)</t>
  </si>
  <si>
    <t>Primero se realizó un análisis del entono de la empresa (interno y externo). El análisis interno de la empresa, nos permitió identificar las fortalezas y las debilidades de la empresa, llevándonos a la conclusión que la empresa es débil internamente. En el análisis externo de la empresa, se procedió a analizar entono demográfico, ambiental, tecnológico, político y legal, social y cultural, y por último el competitivo. Dicho análisis nos permitió sacar a la luz las oportunidades y las amenazas, dándonos la conclusión de que las oportunidades se están aprovechando y que las amenazas no se están reduciendo.Posteriormente se realizó una investigación del mercado de los helados en la población de Quillacollo, Vinto y Sipe Sipe, la cual se obtuvo información de las características y comportamiento del consumidor, así como de la competencia. Por otra parte se determinó la demanda y oferta de helados en dicha población, dándonos la conclusión de la existencia de una demanda potencial insatisfecha. Con los datos obtenidos en la investigación del mercado y el análisis del entorno de la empresa, se realizó la planificación estratégica. Definiendo estrategias de Penetración del mercado, a través de mayores esfuerzos de marketing. Por último se realizó la evaluación financiera del plan estratégico de marketing, a través del análisis de índices y el análisis del valor presente neto (VPN), el cual nos permitió determinar que el proyecto es rentable. Además en base a todo lo anterior se ha elaborado el sistema de control y seguimiento del plan estratégico de marketing.</t>
  </si>
  <si>
    <t>https://drive.google.com/file/d/1Nd641EEFQv83x6klGGwo6aE24lWoGEDI/view?usp=sharing</t>
  </si>
  <si>
    <t>https://drive.google.com/file/d/18XEroCn-CRkvdy6l05vL6wgQ6JwxHL4_/view?usp=sharing</t>
  </si>
  <si>
    <t>https://drive.google.com/file/d/1PA6CKeODxXwPPIcjkuV9u5tWCCuQWKhu/view?usp=sharing</t>
  </si>
  <si>
    <t>IVAN ORLANDO CADIMA MARAÑON</t>
  </si>
  <si>
    <t>GUIDO JESÚS VILLARROEL PEÑARRIETA</t>
  </si>
  <si>
    <t>ING. JULIO CESAR ORTIZ CÁCERES</t>
  </si>
  <si>
    <t>MEJORAMIENTO DE LA CALIDAD EN EL PROCESO PRODUCTIVO DEL LADRILLO CERÁMICO EN LA EMPRESA CERTEBOL</t>
  </si>
  <si>
    <t>ivancho_ciom@hotmail.com</t>
  </si>
  <si>
    <t>IND-588-2013</t>
  </si>
  <si>
    <t>Plan  de Mejora - Proceso AMFE - NB-1211001 y NB-1211002  -Capacitación – Calidad</t>
  </si>
  <si>
    <t>El objetivo principal del presente proyecto es “Diseñar un plan de mejora para el proceso productivo del ladrillo cerámico de 6 huecos en la empresa CERTEBOL.”.CERTEBOL es una industria dedicada a la producción de ladrillos,  donde se identificó como problema central el deficiente control de calidad en la producción del ladrillo cerámico.Se diseñó un plan de mejora, como medio para reducir o eliminar el problema central que atraviesa CERTEBOL. Donde se diseñó los procedimientos y los registros presentados al encargado de producción para su posterior análisis.Después de determinar la situación actual de la empresa se procedió a identificar las áreas donde era necesario tener mejoras, para luego utilizar el método diagrama de causa y efecto para analizar las causas de los problemas encontrados; y el método de Análisis modal de fallas y efectos (AMFE) para determinar las causas, efectos y acciones correctivas.Al cruzar los resultados de los dos métodos y reducir los problemas se obtuvo como resultado que los mismos son: Deficiente control al ingreso de materia prima, Insuficiencia en Mantenimiento, Rotación de personal y Falta de compromiso del personal. Posteriormente, se desarrollaron acciones de mejora, priorizando y determinando el orden de su implementación, así se obtuvo el plan de mejora. Donde las propuestas fueron determinadas mediante métodos científicos deductivos y sintéticos. Posteriormente se presentó los costos de implementación de dicho plan.Una vez implementado el plan de mejora propuesto en el proyecto de grado, se pretende aumentar la productividad de la empresa. También se pretende motivar al personal mediante capacitaciones e incentivos, También se pretende incrementar los puntos de control a lo largo de la producción para lograr de esta manera un mejor desenvolvimiento del personal, donde se lograra reducir la cantidad de ladrillo húmedo defectuoso, como también reducir la cantidad de ladrillo seco defectuoso y por último se lograra reducir la cantidad de ladrillo terminado defectuoso. Logrando así de esta manera, tener un control óptimo y continuo en las diferentes etapas del proceso productivo del ladrillo cerámico de 6 huecos en la empresa CERTEBOL.</t>
  </si>
  <si>
    <t>https://drive.google.com/file/d/1j5IpJwqmWTqe6beGLBwsls073AR9-KK8/view?usp=sharing</t>
  </si>
  <si>
    <t>https://drive.google.com/file/d/1KzzyxFV2o0Yiu5JR4IsumxqeOBE2Ozwg/view?usp=sharing</t>
  </si>
  <si>
    <t>https://drive.google.com/file/d/1k84fZ-foeHzhWut9rCIrjbSfkm1vu5W4/view?usp=sharing</t>
  </si>
  <si>
    <t>NELSON KADIR NOGALES BELTRÁN</t>
  </si>
  <si>
    <t>MODELO DE CLIMA ORGANIZACIONAL PARA EL SECTOR ADMINISTRATIVO DE LA FACULTAD DE CIENCIAS Y TECNOLOGÍA</t>
  </si>
  <si>
    <t>(beltron001@hotmail.com</t>
  </si>
  <si>
    <t>IND-589-2013</t>
  </si>
  <si>
    <t>Modelo de Clima organizacional, Liderazgo, Comunicación, Relaciones interpersonales, Recompensas, Claridad organizacional.</t>
  </si>
  <si>
    <t>El tema del clima organizacional viene siendo objeto de gran interés en los últimos años, tanto en el medio académico como empresarial. En el medio académico el interés por este tema se debe a que por medio del análisis de diversas dimensiones y factores que componen el denominado “clima organizacional”, se profundiza sobre el comportamiento humano en las organizaciones.En el campo empresarial, ofrece la oportunidad para la identificación y análisis de diversos aspectos de la organización, tales como el estilo de liderazgo, la comunicación organizacional, la motivación de los trabajadores, entre otros.El conocimiento de tales aspectos propicia en la empresa una mejor posibilidad de gerenciamiento exitoso.El clima organizacional es frecuentemente medido por intermedio de cuestionarios, donde se pide a los trabajadores responder acerca de sus percepciones sobre varios aspectos del ambiente interno de la organización, como por ejemplo, el proceso de comunicación , el estilo de liderazgo, el relacionamiento interpersonal, la política de sueldos y salarios, la política de capacitación, etc.La investigación del clima organizacional busca conducir a un diagnóstico del ambiente interno de la organización, en sus principales aspectos escenciales, buscando el conocimiento de la situación actual de la empresa y el dimensionamiento del nivel de compromiso y satisfacción de los trabajadores.Según Coda reconocido investigador brasileño “una investigación adecuada sobre el clima organizacional comienza exactamente por la selección de las variables que forman este concepto.Así, en el presente estudio se busca identificar un conjunto de factores, que sean capaces de evaluar el clima organizacional del personal administrativo que trabaja en la FCyT de la UMSS.De esta manera, sea posible utilizar una herramienta de gestión que posibilite hacer un diagnóstico de su ambiente interno, buscando corregir posibles anomalías y diferencias detectadas en su relación de trabajo, así como fortalecer los aspectos positivos existentes.</t>
  </si>
  <si>
    <t>https://drive.google.com/file/d/1e0F7JJVctPmgGEAUoOX3Sm8Ca_gIgp4g/view?usp=sharing</t>
  </si>
  <si>
    <t>https://drive.google.com/file/d/1spE8hwIUmFEtmjhwjjUKhiWUtgEjOu1R/view?usp=sharing</t>
  </si>
  <si>
    <t>https://drive.google.com/file/d/1yv3XarIfUOhA6rYVjTdrMlfIv7eLIiCz/view?usp=sharing</t>
  </si>
  <si>
    <t>ERIKA SUSAN MENDIZABAL MAIRE</t>
  </si>
  <si>
    <t>ING. LUIS FERRUFINO</t>
  </si>
  <si>
    <t>PLAN ESTRATÉGICO DE MARKETING PARA INCREMENTAR LA VENTA DE POLERAS DE VESTIR CASUALES DE LA EMPRESA ROSS – CONFECCIONES</t>
  </si>
  <si>
    <t>erika_7_406@hotmail.com</t>
  </si>
  <si>
    <t>IND-590-2013</t>
  </si>
  <si>
    <t>Plan estratégico de Marketing, estrategias de mercado, Poleras, Incremento de ventas.</t>
  </si>
  <si>
    <t>el propósito del presente proyecto es el de realizar un “Plan estratégico de marketing para incrementar la venta de poleras de vestir casuales de la empresa Ross – Confecciones” que permita a la empresa realizar una planificación estratégica para posicionar y comercializar su producto en el mercado meta.La metodología desarrollada para el estudio parte de un diagnóstico de la situación actual de la empresa a través de un análisis de las variables (fortalezas y debilidades) y de las variables externas (oportunidades y amenazas), las cuales permitieron identificar las ventajas y desventajas que tiene la empresa en el mercado en el que se desenvuelve.En el marco teórico se presenta los conceptos que permiten canalizar los objetivos del estudio, temas que nos permiten diseñar un plan Estratégico de Marketing, como elaborar un estudio de mercado que permita ser eficaz en la recolección de información.Se realizo una investigación de mercado al público consumidor, asimismo a las comerciantes. Que ayudo a conocer y poder seleccionar los mercados aptos para la venta de las poleras de vestir casuales, la demanda potencial de los mismos, los competidores y el grado de aprovechamiento de las variables de la mezcla de marketing.La información recolectada en la etapa anterior fue analizada y adecuada mediante herramientas de gestión, este proceso de adecuación de la información permitió seleccionar la estrategia de crecimiento intensivo de penetración en el mercado y con el apoyo de las técnicas de Benchmarking y Merchandising se convirtió en la base para la elaboración del plan de marketing de los próximos tres años.Dentro del plan de marketing se definió objetivos de ventas y de mercadotecnia, para cumplirlos se basaron en las estrategias de posicionamiento, diferenciación y también en cada una de las variables de la mezcla de marketing.Con el fin de implementar estas estrategias fueron desarrollados planes de producto, precio, distribución y promoción, para luego realizar la evaluación de los impactos financieros que ocasionará, la conveniencia de su aplicación.Finalmente se recomendó la implementación del plan de marketing propuesto por ser referente para estudios posteriores de nuevos mercados y por los beneficios económicos que genera.</t>
  </si>
  <si>
    <t>https://drive.google.com/file/d/1ciN8p9Nzzl9v1v7EEW9VJsr3ash0aZ1o/view?usp=sharing</t>
  </si>
  <si>
    <t>https://drive.google.com/file/d/1VCVAztApToTrpWgmJTm1qiExtfDDD8lV/view?usp=sharing</t>
  </si>
  <si>
    <t>https://drive.google.com/file/d/1eCq6g75U3Gx86srpGFilCWYxnBRWREoe/view?usp=sharing</t>
  </si>
  <si>
    <t>CAROLINA VELASCO VILLALBA</t>
  </si>
  <si>
    <t>ING. EVER MEJÍA VALDEZ</t>
  </si>
  <si>
    <t>IMPLEMENTACIÓN DEL PILAR DE MANTENIMIENTO AUTÓNOMO DE LA METODOLOGÍA TPM EN EL SECTOR DE ENVASADO DE LA PLANTA DE DETERGENTES DE UNILEVER ANDINA BOLIVIA S.A.</t>
  </si>
  <si>
    <t>carito-velasco@live.com</t>
  </si>
  <si>
    <t>IND-591-2013</t>
  </si>
  <si>
    <t>Metodología TPM, Pilar de Mantenimiento autónomo, Productividad, Máster Plan, Sector de envasado.</t>
  </si>
  <si>
    <t>En Unilever Andina Bolivia S.A. se incorporo la metodología TPM el año 2009 iniciando con la envasadora Bosch 1 que actualmente es la línea piloto del Sector de envasado de la planta de detergentes, con el paso del tiempo se realizo la implementación del pilar de mantenimiento autónomo en los diferentes sectores de la compañía, así que en las líneas del sector de envasado de la planta de detergentes también es necesario continuar con las implementaciones debido a que los requisitos de calidad de los productos, son cada vez más estrictos, y no se permite la presencia de un solo producto defectuoso. Hoy en día, se supone que la calidad en la totalidad de la entrega está asegurada. Por otro lado, para satisfacer diversas necesidades de los clientes, se ha tenido que establecer irremediablemente como requisitos la reducción de los costos de producción, aumentar la productividad y la eficiencia operacional.La implementación del pilar de mantenimiento autónomo se basa en las 5 “S” y el avance de 7 pasos principales de los cuales se obtienen resultados evidentes en cada uno de los paso para alcanzar el control autónomo total. Primeramente se realizó un diagnóstico de la situación inicial del Sector de envasado de la planta de detergentes de Unilever Andina S.A., y se recabo la información disponible acerca de las implementaciones anteriormente realizadas, las actividades y acciones ejecutadas, la organización actual del sector, etc. Todo ello con el fin de establecer planes de acción en los cuales se  determinaron las acciones faltantes para continuar la implementación de los pasos posteriores y poder actualizar la información que se tenía anteriormente, a través del cumplimiento al 100% de esto planes de acción, también se realizo análisis Foda gracias al cual se determinaron las estrategias a utilizar para mantener la base de 5”s” y actualizar las actividades de paso 1.Se observo claramente como es el método actual de trabajo del sector, se planifico el Máster plan de las líneas, se verifico las planillas check list, listas de 1 y 2 “S” y se actualizo las listas de fuentes de suciedad (FS´s) y lugares de difícil acceso (LDA´s).Una vez completada la etapa de diagnostico se realizo la implementación del paso 2 en el cual se elaboro matrices de FS´s y LDA´s, para identificar las acciones a realizar en las planillas de ECRS, esta herramienta que nos ayudo bastante en la ejecución de las mejoras para eliminar, contener, reducir y simplificar las fuentes de suciedad y lugres de difícil acceso.En la implementación del paso 3 se elaboro estándares de limpieza, inspección, lubricación y puntos she, de los cuales se elaboraron check list para que los operadores los llenen diariamente y tengan un mayor control de las actividades.El paso 4 fue el más largo de todos y en el cual se realizo el mayor numero de capacitaciones ya que el operador aprende a conocer su máquina y los diferentes sistemas de los que están compuestas las envasadoras, se realizo un análisis de los Breakdowns para reducirlos e incluso llegar a cero y lograr de esta manera aumentar la eficiencia operacional.Una  vez realizadas las implementaciones y los resultados obtenidos se realizo un análisis de costo/beneficio únicamente del documento y los gastos incurridos por la pasante ya que no se permitió tener acceso a otros costos de la empresa, ya sean de mejoras y materiales, posteriormente se estableció una serie de conclusiones y recomendaciones las cuales son importantes para la elaboración de las distintas actividades que fueron cruciales para el éxito de esta implementación.</t>
  </si>
  <si>
    <t>https://drive.google.com/file/d/1uIOW8DSNz9LLBnY3M30YdiCg4kXcRj1D/view?usp=sharing</t>
  </si>
  <si>
    <t>https://drive.google.com/file/d/1Z8p12KTUZsuikgJ3KgwXcemL8_kiAGA0/view?usp=sharing</t>
  </si>
  <si>
    <t>https://drive.google.com/file/d/1qdK7AKQ4AYhnxj5--jdMzjHnnqZScJcn/view?usp=sharing</t>
  </si>
  <si>
    <t>EVELYN SALAZAR CHAMBI</t>
  </si>
  <si>
    <t>PROYECTO DE FACTIBILIDAD PARA LA IMPLEMENTACIÓN DE UNA LÍNEA PRODUCTIVA DE CARNE DESHIDRATADA DE LLAMA PARA LA EMPRESA CORDILL S.A.</t>
  </si>
  <si>
    <t>II-2013</t>
  </si>
  <si>
    <t>evelynsalazar.ch@gmail.com</t>
  </si>
  <si>
    <t>IND-592-2013</t>
  </si>
  <si>
    <t>Línea productiva de carne deshidratada de llama, proceso del secado de la carne de llama, carne seca, Charque.</t>
  </si>
  <si>
    <t>Primeramente se realizó una investigación de Mercado a los distritos con condiciones básicas satisfechas y de vida aceptables de la provincia cercado del departamento de Cochabamba, estudiando también los mercados competidores y proveedor. Se determinó una demanda insatisfecha de carne deshidratada de llama, como también se determinó la proyección de demanda y oferta para la zona urbana del departamento de Cochabamba. Posteriormente se definió el tamaño de la línea productiva considerando que la empresa busca abarcar inicialmente un 21% del mercado e ir incrementando el 3% cada año hasta llegar al 30% en la producción de carne deshidratada, en el primer año  produce 6.300 Kg/año, luego de 3 años produce  9.000 Kg/año. Con el tamaño y crecimiento definido se dimensionó los ambientes para la línea productiva, se calculó de igual manera los equipos, maquinaria, materiales e insumos necesarios para tales volúmenes de producción.Se estableció la localización de la línea productiva en las instalaciones de la empresa Cordill S.A. ubicado en la Av. Carlos Peña sn. Zona Piñami. En el proceso productivo de la carne deshidratada se determinaron los factores más importantes como la temperatura, humedad, tiempo y velocidad del aire. El estudio organizacional fue realizado para la línea de producción definiendo el diagrama organizacional, las funciones de cada trabajador y las planillas de salarios. Posteriormente se planifico la puesta en marcha del proyecto en base a las actividades programadas en 26 semanas.Consecutivamente se preparó la información para el funcionamiento del proyecto que requiere los costos de inversión incluyendo el capital de explotación, que suman $us. 54.029. El financiamiento del proyecto es propio, es decir que los recursos financieros proviene de la empresa Cordill S.A.En la evaluación financiera realizada, se pudo constatar que el proyecto es rentable, reportando los siguientes resultados.VAN = 22.742 $us TIR =  24%B/C = 1,29Y por último se sometió a un análisis de sensibilidad, a las variables más influyentes como: el ingreso por venta y el costo de la materia prima siendo variables sensibles al proyecto.</t>
  </si>
  <si>
    <t>https://drive.google.com/file/d/1yVTLce4m1HKzGFI7mYMGnhCyAg1j6cmy/view?usp=sharing</t>
  </si>
  <si>
    <t>https://drive.google.com/file/d/1DiznJVoo-t9zl0gETyfIBulbRGzWaoPA/view?usp=sharing</t>
  </si>
  <si>
    <t>RONALD CHRISTIAN GONZALES</t>
  </si>
  <si>
    <t>ESTUDIO DE FACTIBILIDAD PARA LA IMPLEMENTACIÓN DE UNA FÁBRICA DE PRODUCCIÓN BALDOSAS DE POLIURETANO CON CAUCHO RECICLADO.</t>
  </si>
  <si>
    <t>Ronald.christian.gonzales@gmail.com</t>
  </si>
  <si>
    <t>IND-593-2013</t>
  </si>
  <si>
    <t>Investigación de mercado, granulado de caucho, poliuretano, estudio técnico, evaluación financiera, categoría ambiental.</t>
  </si>
  <si>
    <t>El crecimiento de la población Cochabambina, el auge del sector de la construcción, la poca variedad de pisos de construcción y el bajo nivel de seguridad que presentan estos pisos hacen que el cliente tenga una serie de inconvenientes al adquirir un piso de construcción.Para llevar a cabo el presente proyecto se realizó un estudio de mercado donde se obtuvo una demanda potencial de 42.838 m2 de pisos para la construcción.Se realizó también un estudio técnico donde se determinó las características de la materia prima como son el granulado de caucho y el poliuretano, el flujo productivo para elaborar baldosas de poliuretano con caucho reciclado es homogeneizado, curado y empaquetado, siendo un lugar óptimo para producir estas baldosas la localidad de sacaba.La categorización del presente proyecto, llenando el Registro Ambiental Industrial con la ayuda del RASIM y la consulta respectiva a un consultor ambiental, se llegó a la conclusión que la presente fabrica se encuentra en CATEGORIA 4, por lo que se está exento de cumplir con las disposiciones, debiendo cumplir la regulación  de alcance general.La planificación y ejecución del proyecto tiene un tiempo de duración de 9 meses.Se determinó que el monto total de inversión para la creación de la fábrica de Baldosas de Poliuretano con Caucho Reciclado asciende a un total de 147.921,62 $us.TIR 19%VAN 16.485,26 $usB/C 1,25</t>
  </si>
  <si>
    <t>https://drive.google.com/file/d/1tPv0m1_3FDI3KecUSeQrqUxmRtorKyxD/view?usp=sharing</t>
  </si>
  <si>
    <t>https://drive.google.com/file/d/1CI5mLturgZKHi5Ir33WermIho4iXt7Uw/view?usp=sharing</t>
  </si>
  <si>
    <t>https://drive.google.com/file/d/13kfHYhFO204eWNzix6dUiHGzKhCNZAnO/view?usp=sharing</t>
  </si>
  <si>
    <t>HELEN BAUTISTA CACHI</t>
  </si>
  <si>
    <t>CLAUDIA COLQUE PAY</t>
  </si>
  <si>
    <t>PLAN ESTRATÉGICO DE MARKETING PARA EL POSICIONAMIENTO EN EL MERCADO Y APERTURA DE SUCURSALES EN SACABA Y QUILLACOLLO PARA LA EMPRESA TRANSFER ANDINA S.R.L.</t>
  </si>
  <si>
    <t>hbc_52@hotmail.com</t>
  </si>
  <si>
    <t>IND-594-2013</t>
  </si>
  <si>
    <t>Transfer Andina S.R.L., Servicios Auxiliares Financieros, Plan de Marketing, Estrategia, Posicionamiento, Mercado, Apertura, Sucursal</t>
  </si>
  <si>
    <t>Transfer Andina S.R.L., una casa de cambios y giros, cuya principal actividad es la compra/venta de divisas extranjeras, además de ofrecer el servicio de pagos y envíos de giros, desarrolla sus actividades dentro del rubro de servicios auxiliares financieros.Ante la ausencia de estrategias orientadas hacia la promoción de la imagen empresarial en el mercado, el interés de los socios de la empresa en expandirse a otras zonas del departamento y la reciente incorporación de las casas de cambio al sistema financiero nacional, crea la necesidad de plantear estrategias que respondan estos requerimientos.Para ello se ha visto conveniente, primeramente, la realización de un diagnóstico de los factores internos y externos que influyen sobre las condiciones de la empresa, ya sea positiva o negativamente.Posteriormente se inició las actividades de investigación que permitieron identificar las características del mercado de Cercado, dónde actualmente Transfer Andina S.R.L. desarrolla sus actividades, así como de las zonas (Sacaba y Quillacollo) a los cuales desea expandirse.Luego del análisis de los resultados de la investigación de mercados, se procedió al planteamiento de estrategias de posicionamiento, expansión a otros mercados y otras mejoras en aspectos de infraestructura, situación legal entre otros, orientadas al crecimiento empresarial. Se trabajó con las herramientas de la mercadotecnia para la formulación de las líneas estratégicas y las actividades dentro del Plan Estratégico de Marketing, haciendo énfasis en la publicidad y promoción como estrategias clave para alcanzar los objetivos propuestos.También se cumplió con la elaboración del Manual de Prevención de Legitimación de Ganancias Ilícitas y el Manual de Políticas y Reglamentos de Procedimientos Operativos, dónde se especifican y se regulan los procedimientos institucionales del personal y los funcionarios de la empresa en las actividades diarias, con el fin de cumplir normativas de las autoridades de supervisión financiera.Como etapa final del presente estudio, se realizó el análisis financiero con el fin evaluar la rentabilidad financiera del proyecto comparando las inversiones y los gastos en los que se incurrirá respecto  a los beneficios esperados. Y teniendo como resultado favorable que los indicadores de rentabilidad VAN, TIR y Rel. B/C son positivos, se tiene que la implementación de este proyecto tendrá un resultado positivo para la empresa.</t>
  </si>
  <si>
    <t>https://drive.google.com/file/d/1vpMw-7XpKzbV6zxySuNfTdQQYdp4CfM5/view?usp=sharing</t>
  </si>
  <si>
    <t>https://drive.google.com/file/d/1G9tY0b2wWSt5FAbofmiFjYrlZH6Vx4yg/view?usp=sharing</t>
  </si>
  <si>
    <t>https://drive.google.com/file/d/1eiHeuZWI_NSvZcyJvGaQVoxunpM7smOP/view?usp=sharing</t>
  </si>
  <si>
    <t>CELSO GRUSBER FILIGRANA AGREDA</t>
  </si>
  <si>
    <t>CARMEN GABRIELA QUISPE MARTÍNEZ</t>
  </si>
  <si>
    <t>ING. MGR. JUAN CARLOS VARGAS REINAGA</t>
  </si>
  <si>
    <t>ESTUDIO DE FACTIBILIDAD PARA LA IMPLEMENTACIÓN DE UNA FÁBRICA DE JOYAS DE PLATA</t>
  </si>
  <si>
    <t>grusber@hotmail.com</t>
  </si>
  <si>
    <t>IND-595-2013</t>
  </si>
  <si>
    <t>Diagnostico, Estudio de mercado, Proceso CAD-CAM, Diseños, Plata, Estudio Administrativo, Localización, Evaluación Financiera.</t>
  </si>
  <si>
    <t>El estudio de factibilidad para la implementación de una fábrica de joyas de plata, se realizó a través de un análisis técnico, administrativo, comercial y financiero, utilizando encuestas, misión comercial, como fuentes primarias. Se comenzó realizando el diagnóstico del sector, tomando en cuenta los factores que podrían haber influido en el desarrollo del proyecto, tales como: el aspecto político-legal, económico, sociocultural, tecnológico y el análisis del mercado (proveedores, competidores, consumidores). Una vez realizado el diagnóstico, se desarrolló el estudio de mercado a través de: una entrevista a un experto, una encuesta a los empresarios del departamento de La Paz, utilizando el muestreo estratificado proporcional por área geográfica. El segmento potencial fue constituido por; las mujeres comprendidas entre los 25 y 45 años de edad, de clase media alta que busquen en el producto; calidad, exclusividad, elegancia, durabilidad y un medio de ahorro. Luego a través de los resultados de la encuesta se determinó la demanda y oferta, para luego calcular la demanda insatisfecha de 92,587 unidades en el quinto año. La proyección de la brecha estuvo en función al crecimiento poblacional y el ingreso que perciben.Posteriormente se realizó el estudio técnico, teniendo una capacidad productiva que abarco el 20% de la demanda insatisfecha, con 6,983.00 unidades que fueron la capacidad inicial de producción, teniendo una tendencia creciente.En cuanto a la fabricación de una joya, esta comprende una serie de operaciones, las cuales dependen del diseño y acabado de la pieza lo cual lo hace que se tenga varias opciones de producción, es por tal motivo que se juntó estas operaciones en 7 macro procesos que son: diseño, moldes, fundición, trabajos mecánicos, abrillantamiento mecánico, abrillantamiento químico, ensamble. En el proceso de diseño de las joyas (pendientes, collares, anillos y pulseras), se realizaron mediante sistemas de manufactura asistidos por computadora CAD-CAM, con el fin de mejorar la presentación, exclusividad y calidad de la pieza.En cuanto al requerimiento de la materia prima, estuvo de acuerdo al porcentaje de cada uno de sus componentes (metal, mineral y gemas, sistemas de cierres), las cantidades totales de cada uno de estos ayudaron a establecer el costo directo de fabricación de: 560,748.60 Bs el primer año.Las maquinarias y equipos fueron adquiridos en el año cero y tercer año, esto con el fin de disminuir la inversión inicial, teniendo un costo total de 176,451.60 Bs.Se recomendó para el establecimiento de la empresa, el departamento de La Paz-El Alto, específicamente en el barrio 16 de julio, porque cuenta con los recursos humanos y la accesibilidad a la actualización constante en este rubro; además de la cercanía y disponibilidad de las materias primas y la fácil accesibilidad al mercado.Una vez teniendo la localización exacta, se procedió a establecer la constitución legal de la empresa, como “Sociedad de Responsabilidad Limitada”, teniendo una estructura jerárquica, dentro de la cual se requirió contar con 14 personas, que percibirán un salario de 711,831.78 Bs anual, los cuales serán contratados según requerimiento, constituyéndose así como pequeña empresa.Para finalizar se realizó la evaluación financiera, estableciendo una inversión inicial de 240,140.01 Bs, el cual está solventado por 3 socios los cuales inyectaran 80,046.67 Bs cada uno, estos socios percibirán un interés del 18% amortizable anualmente.El proyecto tuvo un TIR del 34.50%, un VAN de 562,673.65 Bs, un VAUE de 158,690.17 Bs, con un beneficio/costo mayor a uno y una recuperación de la inversión aproximadamente en 3 años, en cuanto al análisis de sensibilidad, desde el punto de vista pesimista el proyecto tiene una TIR del 13,08% y un 53.08% en un escenario optimista, lo cual indica que el proyecto es atractivamente rentable.</t>
  </si>
  <si>
    <t>https://drive.google.com/file/d/1JZ94xHeiJtriF_OcFQKOtR2BocJxxi4h/view?usp=sharing</t>
  </si>
  <si>
    <t>https://drive.google.com/file/d/10iJAuXPmYWVbw72upVHL_j_S3JuhNDcr/view?usp=sharing</t>
  </si>
  <si>
    <t>https://drive.google.com/file/d/1Gu-70nS8bXejDWhcMsR6YIcYgbttN1o6/view?usp=sharing</t>
  </si>
  <si>
    <t>REYNA MARIA INTURIAS RODRIGUEZ</t>
  </si>
  <si>
    <t>SISTEMA DE CONTROL DE CALIDAD DE PRODUCTO TERMINADO DE INCERPAZ.</t>
  </si>
  <si>
    <t>maria_inturias@hotmail.com</t>
  </si>
  <si>
    <t>IND-596-2013</t>
  </si>
  <si>
    <t>Sistema, Producto terminado, Control de Calidad, Muestreo,                           Circulo de Deming, Caracterización de productos, Norma Internacional ISO 9001:2008, Estudio Técnico,  Diagnóstico de la Empresa, Estudio Organizacional, Estudio Financiero.</t>
  </si>
  <si>
    <t>Se realizó un diagnóstico de la situación actual de INCERCO LTDA., y se recabó la información disponible respecto a la organización, descripción del proceso productivo, productos, servicios, las actividades en desarrollo, el estudio del entorno, participación en el mercado de la construcción y el análisis de la competencia, identificando de esta manera la ventaja competitiva y las debilidades de INCERPAZ. Concluido el diagnóstico, se elaboró la descripción técnica y detallada de los ensayos físicos a aplicarse en el Control de Calidad de ladrillos cerámicos y se diseñó el diagrama de la secuencia a seguir desde el inicio del control de calidad hasta la liberación del producto donde se pudo evidenciar la disponibilidad física que posee la empresa para la aplicación del Sistema de Control de Calidad de Producto Terminado.Seguidamente se elaboró un  Plan de Muestreo, tomando en cuenta el tipo de Muestreo, tipo de inspección y rangos de producción además se localizaron los puntos de extracción en un determinado lote de productos que se encuentra en almacenes o en boca de horno, determinando de esta manera la elaboración del Instructivo de Muestreo donde se detalla la secuencia de actividades a seguir hasta la obtención de la muestra.Se establecieron los parámetros de clasificación de los productos según norma y criterio de las políticas que se maneja dentro la empresa, de esta manera logrando caracterizar los productos mediante la elaboración de ficha técnica por producto describiendo los diferentes atributos de los productos  según especificaciones y  exigencias de calidad de la norma ISO 9001:2008.Posteriormente se determinó la secuencia de actividades para el desarrollo de la ejecución del proyecto, determinando la duración de la ejecución del proyecto para lograr la implementación del  “Sistema de Control de Calidad de Producto Terminado”.Por último se realizó el estudio financiero, donde se determinaron indicadores financieros que demostraron la viabilidad y aceptación del proyecto de implementación del sistema de control de calidad de producto terminado y con lo cual se puede garantizar  la  comercialización de  productos de  calidad, logrando  satisfacer al cliente.En función a este análisis se pudo determinar la adaptabilidad y la aplicabilidad del Sistema de Control de Calidad de Producto Terminado.</t>
  </si>
  <si>
    <t>https://drive.google.com/file/d/1AOvfPLq_m6BU34go_halHM_rnNLRkyr0/view?usp=sharing</t>
  </si>
  <si>
    <t>https://drive.google.com/file/d/1gtcYBMXWcvXuG30pDj_STxhyEgqitieh/view?usp=sharing</t>
  </si>
  <si>
    <t>https://drive.google.com/file/d/1zTp7dpTF6Uz-N1mGh0TU_vWSOGNOJVty/view?usp=sharing</t>
  </si>
  <si>
    <t>VLADIMIR MARIACA VARGAS</t>
  </si>
  <si>
    <t>PLAN ESTRATÉGICO PARA EL ASERRADERO ENAK</t>
  </si>
  <si>
    <t>rimidalv_05@hotmail.com</t>
  </si>
  <si>
    <t>IND-597-2013</t>
  </si>
  <si>
    <t>Plan Estratégico, Misión, Visión, Eficiencia, Eficacia, Productividad,  Organigrama, Manual de funciones.</t>
  </si>
  <si>
    <t>El sector forestal es el segundo sector en importancia en términos de valor de las exportaciones no tradicionales en el País, después de la soya y sus derivados, generando aproximadamente $US 200 millones en exportaciones de 1.000.000 m³/año. El sector aporta con el 3% del PIB nacional y genera 90.000 empleos directos y hasta 160.000 empleos indirectos.El aserradero “ENAK” ante el incremento de empresas en el rubro, de manera formal e informal, y el surgimiento de nuevas leyes y normas que regulan el sector forestal, se ve en la obligación de buscar medios que le posibiliten garantizar su permanencia en el sector.  En procura de mejorar la competitividad de la empresa se ve por conveniente la realización de un “Plan Estratégico”, para que éste, le señale el camino y las acciones a realizar paso a paso para mejorar su desempeño y conducirlo a un crecimiento sostenido.Para la elaboración del Plan Estratégico se recurre previamente al análisis interno y externo, para luego a partir de esa información elaborar el marco estratégico y organizacional que le permitan marcar los cimientos sobre las cuales se apoye la empresa de ahora en adelante.Luego se elaboraron las matrices estratégicas, las cuales brindaron información concreta sobre las posibles estrategias que la empresa podría adoptar, considerando su situación actual y los objetivos de la organización. En consecuencia, a partir de las estrategias elegidas anteriormente, se plantearon los planes de acción a seguir en los próximos cinco años, que es el tiempo de duración del Plan Estratégico. Luego estos planes son traducidos en planes operativos los cuales señalan a detalle las acciones a seguir cada año en procura del cumplimiento de los planes de acción. Al finalizar se realizó una evaluación financiera comparando indicadores financieros con y sin la implementación del proyecto, el cual luego de ser analizado concluyó que se obtienen mayores beneficios con la implementación. Por ello, en conclusión se recomendó seriamente la ejecución del proyecto cumpliendo con el cronograma establecido para la obtención del más alto beneficio posible.</t>
  </si>
  <si>
    <t>https://drive.google.com/file/d/1m_3W6iCPII2Jp9u6fKm-Y9fCfJvCEL8Z/view?usp=sharing</t>
  </si>
  <si>
    <t>https://drive.google.com/file/d/1-HB86cbbeJFMH0-NjueqxtbmbqRu9zvl/view?usp=sharing</t>
  </si>
  <si>
    <t>https://drive.google.com/file/d/1pWqA444lAQziUZ9kQOPlEhWnKSHxYPtL/view?usp=sharing</t>
  </si>
  <si>
    <t>ÁNGELA ANAHÍ CÉSPEDES RIVERA</t>
  </si>
  <si>
    <t>ING. PAULO SERGIO BALDIVIESO COSSIO</t>
  </si>
  <si>
    <t>MANUAL DE PREVENCIÓN DE RIESGOS EN LA CONSTRUCCIÓN DE SISTEMAS DE AGUA POTABLE Y ALCANTARILLADO PARA LA EMPRESA  CONSTRUCTORA BALCOS</t>
  </si>
  <si>
    <t>angela3cr3@gmail.com</t>
  </si>
  <si>
    <t>IND-598-2013</t>
  </si>
  <si>
    <t>Empresa Constructora BALCOS, Evaluación de Riesgos (Método simplificado),  Medidas de control, Manual de prevención, Catálogo de EPP´s..</t>
  </si>
  <si>
    <t>Dentro de los rubros de mayor aporte al desarrollo económico de nuestro país se encuentra la construcción. La Ley General de Higiene y Seguridad Ocupacional y Bienestar, establece la existencia de actividades de alto riesgo en el trabajo, gran parte de ellas están comprendidas dentro de los procesos constructivos de las obras civiles.La Empresa Constructora BALCOS, que actualmente se dedica a la construcción de Sistemas de Agua Potable y Alcantarillado, considerando los accidentes con resultados fatales que se han presentado en la pasada gestión (año 2012) en otras empresas, ha visto como necesario contar con un Manual de Prevención de Riesgos en la Construcción de dichos sistemas, por lo que solicitó la elaboración del mismo.Inicialmente se realizó un diagnóstico de la situación actual de la Empresa, se recabo  información como la estructura organizacional, los recursos humanos, las actividades que componen el proceso productivo, etc. Esto con el fin de conocer más sobre la empresa y su actividad, para así poder enfocar de mejor forma la evaluación de riesgos y la elaboración del manual.  Posteriormente se realizó la evaluación de riesgos empleando el Método Simplificado de Evaluación de Riesgos, se inició con la clasificación de las actividades que componen el proceso de construcción de los Sistemas de Agua Potable y Alcantarillado, luego utilizando la clasificación de riesgos de la Asociación Nacional de Protección Contra el Fuego (NFPA) y la Organización Internacional del Trabajo (OIT) se clasificaron los riesgos en cinco tipos; Físicos, Químicos, Biológico, Ergonómicos y Mecánicos, identificando consecutivamente sus consecuencias para la salud.Para la valoración del riesgo, se recolecto información de cada paso constructivo haciendo uso de una tabla, la misma constaba de los riesgos identificados en cada actividad, la probabilidad de ocurrencia y las consecuencias del riesgo, de donde se obtuvo la estimación del riego, a la cual inmediatamente se le dio un nivel, para posteriormente comparar con un criterio que marcaba como Tolerable a los riesgos comprendidos en el nivel Bajo y como No tolerable a los riesgo comprendidos en los niveles Medio y Alto, para así determinar sus respectivas medidas de control. Los resultado obtenidos en la evaluación de riesgos nos ayudaron a determinar además el porcentaje de riesgos tolerables y no tolerables en cada actividad y el tipo de riesgo de mayor incidencia, lo que nos llevó a concluir que el Manual de Prevención de Riesgos debía prestar mayor atención a ese tipo de riesgo sin dejar de lado todos los otros tipos de riesgos. Como complemento al Manual se elaboró un Catálogo de Equipos de Protección Personal y Accesorios de Seguridad apropiados y aprobados para la construcción de obras en vías públicas, asimismo se proporcionó los costos de estos.</t>
  </si>
  <si>
    <t>https://drive.google.com/file/d/1k5wFgxWBIpeNrAuDHvtOrJvCH6Kvrs49/view?usp=sharing</t>
  </si>
  <si>
    <t>https://drive.google.com/file/d/1jqPC0LZNFrlnclAaOxXo9AOYPp4MrV3E/view?usp=sharing</t>
  </si>
  <si>
    <t>https://drive.google.com/file/d/1JYKXkLQMJFC2XIyDhjho9tFCMj9N1vcu/view?usp=sharing</t>
  </si>
  <si>
    <t>CACHI MARCA JULIO ALEX</t>
  </si>
  <si>
    <t>ING. CARLOS ALBERTO RODRÍGUEZ</t>
  </si>
  <si>
    <t>CREACIÓN DE UN CENTRO DE PRODUCCIÓN Y COMERCIALIZACIÓN DE ARTÍCULOS ORNAMENTALES EN PLATA Y BRONCE</t>
  </si>
  <si>
    <t>julioalexcm@hotmail.com</t>
  </si>
  <si>
    <t>IND-599-2013</t>
  </si>
  <si>
    <t>Fundición, QuikCast v2010, Transferencia de calor, localización,  Factibilidad, Estudio de mercado.</t>
  </si>
  <si>
    <t>El estudio para la instalación de un centro de producción y comercialización de artículos en plata y bronce, comenzó detectando un problema en la demanda de dichos artículos en el mercado local de la ciudad de Cochabamba, se planteó el problema con la intención de mejorar la calidad y cantidad de la oferta que posteriormente mediante un estudio de mercado, revelo que la producción provenía mayormente del exterior del país,  luego del interior y finalmente producción local.El estudio se realizó en la ciudad de Cochabamba, entre los meses de Mayo y Junio del 2013 a diferentes comerciantes de artículos en plata y bronce, los artículos determinados por el estudio son: en plata por lo general trabajos en lámina, mientras que los de bronce son en su mayoría en fundición,El estudio caracterizo el mercado: el cliente, productos actuales, estilo de los trabajos, las cantidades de ventas y los mercados objetivo en el futuro.Se siguió la metodología de factores ponderados para determinar la localización optima del centro de producción, se procedió al diseño de planta tanto para el área de fundición como para el laminados, se elaboró los resúmenes de recorrido y los diagramas de proceso para tal punto.Se seleccionó una campana de fundición como modelo de diseño y se elaboró un metodología  para la producción de dicho producto, mediante el diseño computarizado, utilizando para tal fin el software de CAD Solidworks v2012 y el simulador del proceso de colada QuikCast v2010, con el que diseño el molde y las propiedades que una colada real producirían, se visualizó los resultados mediante el software Visual Environment v6.5 y se corrigió los defectos de fundición que se producirían de realizarse la colada.Asimismo se determinó los productos y proporciones de los mismos para la elaboración de arena fundición verde.Posteriormente se vio la necesidad de realizar el diseño de un horno de fundición, para tal efecto se realizaron los cálculos necesarios sobre perdidas de calor por las paredes, base y tapa del horno, sin embargo se determinó que las principales pérdidas se producen por la salida de gases de combustión que generan una eficiencia muy baja del horno a gas natural.Asimismo se describió el proceso de cincelado en lamina, el cual se estableció que es un trabajo netamente manual siendo este punto uno de los pilares de su valor agregado.En cuanto al análisis financiero se determinaron los principales costos de producción, y el financiamiento necesario para la puesta en marcha del proyecto. Asimismo se cuantifico la inversión inicial y la deducción impositiva determinada por ley.Las erogaciones por sueldos y salarios constituyen uno de los costos más importantes a la hora de evaluar los costos variables y hace dar de cuenta que cualquier retraso en la producción tendría efectos importantes en los costos de producción.Finalmente se realizo un análisis de sensibilidad el cual revelo que el proyecto es susceptible a perdidas si se disminuyen los precios de venta; no así si los precios de la materia prima se incrementasen, en ambos casos, en un 10%.Se concluye que el proyecto es atractivo, superando el costo de oportunidad del 10%,  los materiales se encuentran disponibles en el medio y la mano de obra es accesible en el departamento.Las pérdidas de calor pueden disminuir, mejorando el diseño del horno el cual determino que la principal transferencia de calor se realiza a la carga por radiación.</t>
  </si>
  <si>
    <t>https://drive.google.com/file/d/1N9PgteFg0-CUmvCL9IcuJoA5NyYtPP4R/view?usp=sharing</t>
  </si>
  <si>
    <t>https://drive.google.com/file/d/1rBlFuxNHvXwpRgPT3OETDO5gP03UVHRm/view?usp=sharing</t>
  </si>
  <si>
    <t>https://drive.google.com/file/d/1oWGclN55VcKj6xp8HoXCUYj4Ot0sr0jc/view?usp=sharing</t>
  </si>
  <si>
    <t>CHINO MAMANI ELIZABETH</t>
  </si>
  <si>
    <t>VEGA TAPIA FRANZ</t>
  </si>
  <si>
    <t>ING. EMILIO GÓMEZ VARGAS</t>
  </si>
  <si>
    <t>ESTUDIO DE FACTIBILIDAD PARA IMPLEMENTAR UNA FÁBRICA DE PARQUET EN LA TCO YUQUI - CIRI</t>
  </si>
  <si>
    <t>elita2011industrial@hotmail.com</t>
  </si>
  <si>
    <t>IND-600-2013</t>
  </si>
  <si>
    <t>FÁBRICA DE PARQUET, Plan de Manejo Forestal (PMF), Tierras Comunitarias de Origen (TCO).</t>
  </si>
  <si>
    <t>El estudio de Factibilidad para la Implementación de una fábrica de parquet, proyecto que nace de la necesidad misma de la comunidad que desea aprovechar sus materias primas, especialmente  la madera existente en su territorio, además que cuentan con un plan de manejo forestal aprobado por la autoridades de Bosques ABT, la Organización Forestal Indígena Yagua Samu se encuentran en el primer eslabón de la cadena productiva de la madera, no cuentan con aserraderos, únicamente comercializan la madera en troncas.Se comenzó el proyecto con una intensiva investigación de mercado, identificando el mercado consumidor, proveedor, distribuidor y competidor. Determinando que existe una demanda insatisfecha para el producto, determinando el perfil del consumidor, la estrategia comercial entre otros objetivos. Con la investigación de mercado se procedió al pronóstico de la demanda del producto a nivel Cochabamba.Con la información obtenida en este apartado se determinó todos los materiales e insumos necesarios para la elaboración del producto. El tamaño de la planta también fue calculado por medio del pronóstico y al crecimiento esperado de captación de mercado a nivel Cochabamba para el año 2023. La localización fue obtenida a través de una ponderación de puntos, donde se analizaron 4 micro-localizaciones, escogiendo el puntaje mayor correspondiente a la zona Yu - 12. La Ingeniería del proyecto se la realizó adecuando la tecnología a nuestro medio, comprendiendo los procesos desde la etapa de selección, aserrado hasta la producción de parquets en ambientes adecuadas. Se ilustró en un organigrama el personal y las funciones del trabajador de la planta. Posteriormente se estimaron los costos para la implementación y ejecución de la planta en una etapa de operación. Con toda la información de costos se procedió a la preparación de esta información para realizar el respectivo análisis financiero usando indicadores como el TIR, VAN, R B/C. Se sometió el flujo a un análisis de sensibilidad para  las variables más influyentes. Concluyendo que el proyecto es económicamente viable.Finalmente se realizó una Evaluación de Impacto Ambiental y social,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</si>
  <si>
    <t>https://drive.google.com/file/d/1xU-3fnhNQ9Nh_3ORVVMbH6KhBcskSJBL/view?usp=sharing</t>
  </si>
  <si>
    <t>https://drive.google.com/file/d/1QY8D9_S1rLXAb5fQOb0QkyzAKCQ6Ny1w/view?usp=sharing</t>
  </si>
  <si>
    <t>https://drive.google.com/file/d/1Ok5LC3v3K_PHIwq4SnTzzWPoaFjNbZwN/view?usp=sharing</t>
  </si>
  <si>
    <t>ADOLFO MONTEVILLA ROJAS</t>
  </si>
  <si>
    <t>DISEÑO E IMPLEMENTACIÓN DEL SISTEMA DE GESTIÓN DE LA CALIDAD PARA LA EMPRESA SERING S.R.L.</t>
  </si>
  <si>
    <t>adolfo.montevilla.rojas@gmail.com</t>
  </si>
  <si>
    <t>IND-601-2013</t>
  </si>
  <si>
    <t>La empresa SERING S.R.L. vio la necesidad de diseñar e implementar un sistema de Gestión de la Calidad, que estandarice, controle y defina los procesos desarrollados en la empresa, siguiendo la visión expansionista que tiene, de penetrar en el mercado, petrolero, minero y de generación de electricidad. En ese sentido se planteó lo siguiente: Objetivo general: Diseñar e Implementar un sistema de gestión de la calidad para la empresa SERING S.R.L, basado en la NB/ISO 9001:2008, de manera que permita un proceso de mejora continua.El trabajo dirigido contempla la realización de un diagnóstico y evaluación de la condición actual de la empresa. En este diagnóstico se lo realizó en función a los requisitos de la norma NB/ISO 9001:2008. El objetivo principal de este diagnóstico  fue determinar el grado de las fortalezas y debilidades de las actividades  actuales de SERING SRL con el objeto de  establecer un sistema de gestión de calidad, conforme a la norma NB/ ISO 9001:2008, este diagnóstico permitió determinar los puntos que se deben de trabajar con mayor énfasis para la implementación del sistema de gestión de calidad. También a partir  de este diagnóstico se obtuvo pautas para establecer las acciones de mejora que la organización deberá seguir para alcanzar el cumplimiento de los requisitos de la norma NB/ISO 9001:2008.El resultado del  diagnóstico  mostro la necesidad que tiene la organización de realizar un proceso de elaboración, revisión y aprobación de la documentación requerida para asegurar y dar control a sus actividades en las diversas áreas y procesos, así como también garantizar el compromiso en la implementación de dichas metodologías de trabajo.A continuación se realizó la identificación de procesos a través de la entrevista directa, observación de campo e investigación documental, luego se clasificaron los procesos encontrados en la empresa, una vez realizada la clasificación, la alta dirección procedió a realizar la priorización de los procesos en función de sus necesidades. A partir de esta priorización se realizó el diseño y desarrollo de los procedimientos y documentos necesarios para el sistema de gestión de la calidad, que fueron revisados y aprobados en trabajo conjunto con todas las partes interesadas, una vez aprobados los procedimientos pasaron a ser implementados como documentos de calidad de la empresa.Finalmente se desarrolló el Manual de calidad, política de calidad, objetivos de calidad y el Manual de Procedimientos y se realizaron pruebas piloto para posteriormente trabajar en la implementación de los procesos documentados en el manual.Los resultados fueron el diseño, desarrollo e implementación de toda la documentación generada para el sistema de gestión de calidad  para la empresa SERING S.R.L.</t>
  </si>
  <si>
    <t>https://drive.google.com/file/d/1FY2xvA505LRK7TKwouCbUjsdNmANM7Jk/view?usp=sharing</t>
  </si>
  <si>
    <t>https://drive.google.com/file/d/1S29M0cLMxJI974fSmMLGYZVKQFymeUHZ/view?usp=sharing</t>
  </si>
  <si>
    <t>https://drive.google.com/file/d/14YuPiL4tMsdW-FB1Jowl8nrQsOVkUxh3/view?usp=sharing</t>
  </si>
  <si>
    <t>JOSÉ RANDY CASTILLO BALBOA</t>
  </si>
  <si>
    <t>LIC. JUAN CANDIA</t>
  </si>
  <si>
    <t>PLANIFICACIÓN ESTRATÉGICA EN LA EMPRESA “ICC”</t>
  </si>
  <si>
    <t>jrandyb@hotmail.com</t>
  </si>
  <si>
    <t>IND-602-2013</t>
  </si>
  <si>
    <t>Inversiones y Comercio Castillo “ICC”, Integración hacia Atrás, Porter, Planificación Estratégica, Penetración de nicho de mercado.</t>
  </si>
  <si>
    <t>La empresa “ICC”, está dedicada a la importación, comercialización e instalación de aparatos electrónicos de uso doméstico, enfocándose principalmente en la línea blanca y la línea marrón.Se identificó el problema principal de la empresa “ICC”, que es la inexistencia de objetivos y de estrategias que permitan a la empresa un adecuado manejo tanto de los factores internos como de los externos.          Objetivo general“Elaborar un plan estratégico para la empresa ICC” que permita evaluar  y también llevar un control constante del negocio. A su vez, mediante el uso de conceptos de marketing de servicios (Servucción), generar una nueva visión de la administración del establecimiento, del recurso humano, sus funciones entre sí y con la clientela en general.Objetivos específicos1) Definir el marco estratégico de la empresa. 2) Realizar un análisis interno y externo de la empresa. 3) Generar, evaluar y seleccionar estrategias. 4) Diseñar estrategias de posicionamiento. 5) Definir los elementos del sistema para aplicar una teoría de servucción.El desarrollo de la Planificación Estratégica está basada, en el modelo de Fred R. David y las Etapas de la Planificación Estratégica son: 1) Marco Estratégico. 2) Auditoría Interna de ICC.  3) Auditoría Externa de ICC. 4) Formular y Seleccionar Estrategias. 5) Despliegue del Plan Estratégico. 6) Medir y Evaluar los Resultados.Con la realización de este proyecto se quiere dotar a la empresa, de una Planificación Estratégica, que brinde una ventaja competitiva, por medio de la cual, la empresa canalice sus esfuerzos y se diferencie positivamente de sus competidores.Se diseño la planificación estratégica de la empresa “ICC”, para los próximos 3 años, se cuenta con dos planes estratégicos: El plan “Liderazgo Empresarial” tiene como objetivo disminuir los precios de los artículos que importa y comercializa la empresa “ICC”, por lo menos en un 15%, hasta el año 2013. Esta disminución se hará efectiva optimizando los costos de la empresa, mediante la disminución o eliminación, de las economías de escalas existentes y el plan “Crecer”, tiene como objetivo el incrementar las ventas de la empresa “ICC”, en un 100 %, penetrando en un nicho de mercado y fidelizando la clientela de la empresa. Así mismo para poder dar cumplimiento de la planificación estratégica de la empresa “ICC”, se ha diseñado una estructura organizativa de los procesos de la empresa “ICC”, con sus respectivos sistemas de control, los cuales fueron elaborados con el fin de ser lo más funcionales posibles en base a las necesidades y objetivos de la empresa.</t>
  </si>
  <si>
    <t>https://drive.google.com/file/d/1YLLNqoc-x8rfua7QjYgMUKkcZrXuOXEX/view?usp=sharing</t>
  </si>
  <si>
    <t>https://drive.google.com/file/d/1_Fj1bkJi_UX3fNHbZmAq24YtlKkHKYWu/view?usp=sharing</t>
  </si>
  <si>
    <t>GABRIELA PEREDO COSSIO</t>
  </si>
  <si>
    <t>ING. JUAN CARLOS VARGAS</t>
  </si>
  <si>
    <t>DISEÑO DE UN MODELO DE GESTIÓN DE INOCUIDAD ALIMENTARIA SEGÚN LA NB/ISO 22000:2005 PARA LA EMPRESA “ALIMENTOS ALFA PRODUCTOS NORDLAND LTDA.”</t>
  </si>
  <si>
    <t>p_gabi5@hotmail.com</t>
  </si>
  <si>
    <t>IND-603-2013</t>
  </si>
  <si>
    <t>Sistema de Gestión de inocuidad Alimentaria</t>
  </si>
  <si>
    <t>El diseño de un Modelo de Gestión de Inocuidad Alimentaria basado en la norma ISO 22000:2005, Es una herramienta que le permite a la empresa ALIMENTOS ALFA PRODUCTOS NORDLAND LTDA., mediante el aseguramiento en el control de sus procesos, presentar a sus consumidores un producto seguro, inocuo y de calidad, de manera de crecer no solo en el mercado interno, si no también beneficiar al crecimiento de nuestra región y país.Primero, se realizó un diagnóstico inicial de los prerrequisitos a la empresa, con el cual se pudo identificar los puntos de falencias y en función a estos se plantearon soluciones para cumplir con los prerrequisitos del Sistema de Gestión de Inocuidad Alimentaria.Posteriormente, se dio cumplimiento a los requisitos generales que exige la Norma ISO 22000, mediante la aplicación del Plan APPCC, con un control en cada una de las etapas de los procesos de elaboración de los productos, con lo cual se eliminó la contaminación existente.Se propusieron sistemas de verificación, validación y mejora del sistema a través de la mejora continua, que consiste en la medición del desarrollo del sistema mediante indicadores y la aplicación de auditorías internas para identificar las no conformidades con el objeto de aplicar medidas correctivas y, una vez eliminadas, solicitar una auditoría externa para dar paso a la certificación ISO 22000:2005 del sistema.A medida que se desarrolló el sistema se procedió a desarrollar la documentación, ya que la interacción de ambos hace que funcione eficazmente el sistema. Posteriormente se realizó la determinación de costos y beneficios para la implementación de prerrequisitos y para el desarrollo del sistema de gestión de inocuidad alimentaria.</t>
  </si>
  <si>
    <t>https://drive.google.com/file/d/1UpZoJKLIx7ceAl90MTzI8X6tuNWR8D9v/view?usp=sharing</t>
  </si>
  <si>
    <t>https://drive.google.com/file/d/18zqZLCl8-zuJrRmd3aSN1if2R23bpVnJ/view?usp=sharing</t>
  </si>
  <si>
    <t>https://drive.google.com/file/d/1T3tEORCAr_E7omGzoxo8dGd8uQ67-InK/view?usp=sharing</t>
  </si>
  <si>
    <t>LILIANA SILES</t>
  </si>
  <si>
    <t>RITA PATIÑO ARANCIBIA</t>
  </si>
  <si>
    <t>ING. WENDY SOFÍA SANZETENEA RAMÍREZ</t>
  </si>
  <si>
    <t>GUÍA TÉCNICA DE SEGURIDAD Y SALUD OCUPACIONAL PARA LAS CURTIEMBRES DEL CLUSTER CUERO COCHABAMBA</t>
  </si>
  <si>
    <t>lily_si18@hotmail.com</t>
  </si>
  <si>
    <t>IND-604-2013</t>
  </si>
  <si>
    <t>Guía técnica de seguridad y salud ocupacional, seguridad, salud ocupacional, guía, Clúster Cuero Cochabamba.</t>
  </si>
  <si>
    <t>En el presente Proyecto de Grado, se elabora una Guía técnica de seguridad y salud ocupacional, para las curtiembres del Cluster Cuero Cochabamba, como una alternativa de solución, aportando de manera técnica y práctica en la prevención de accidentes y enfermedades ocupacionales en los ambientes de trabajo, con la necesidad e importancia de proteger al ser humano y su ambiente de trabajo.Primeramente se realizó el diagnóstico de la situación actual de las curtiembres seleccionadas por el Proyecto INNOVA-UMSS, considerando aspectos generales para el estudio, referente al ambiente de trabajo, las operaciones que realizan, las maquinarias y las condiciones referentes a seguridad y salud ocupacional.Posteriormente se realizó una descripción del proceso productivo, de las curtiembres y se determinaron los procesos genéricos para facilitar la elaboración de la Guía técnica.Se identificó  todos los riesgos que se presentan en los procesos de ribera, post-curtido y acabado; cuyas circunstancias se deben al uso de maquinaria y de sustancias peligrosas. Posteriormente, se realizó la evaluación de riesgos a través del método denominado CEP – UPC (siglas que pertenecen al Centro de Ergonomía y Prevención de la Universidad Politécnica de Cataluña), por considerarse el más completo y adaptable para la aplicación a la actividad realizada por las curtiembres, mediante el cual se procedió a la valoración y clasificación de los riesgos presentes en todo el proceso de producción.Se desarrolló la Guía técnica de seguridad y salud ocupacional,  considerando aspectos legales y normativas técnicas aplicables al sector; presentándose como un instrumento de referencia técnica y práctica, que permita facilitar la adopción de medidas preventivas y de respuesta, referentes al manejo de seguridad, salud ocupacional y la normativa aplicable al sector curtiembres.En la Guía técnica, se proponen medidas básicas de prevención  de riesgos,  medidas de actuación, lo cual coadyuvará en la prevención de accidentes y enfermedades ocupacionales, durante las actividades realizadas en las pequeñas curtiembres pertenecientes al Cluster Cuero Cochabamba.Por último se realizaron las conclusiones y recomendaciones en el cual se responde a los objetivos planteados en este documento y se recomienda las acciones primordiales que deben seguir la curtiembres del Cluster Cuero Cochabamba.</t>
  </si>
  <si>
    <t>https://drive.google.com/file/d/1-aHIt7DD9O4OvkNO5RSgbUsLjzpHHVJJ/view?usp=sharing</t>
  </si>
  <si>
    <t>https://drive.google.com/file/d/1X2T-4x68dh4FmDe8CKh1wqn38K37X-yI/view?usp=sharing</t>
  </si>
  <si>
    <t>https://drive.google.com/file/d/1Y-1ai9xOnB4qgjlhwPtr6ZTSy-LmPt4W/view?usp=sharing</t>
  </si>
  <si>
    <t>ANNIE CECY ESPINOZA ARISPE</t>
  </si>
  <si>
    <t>ING. OSCAR ROJAS VILLARROEL</t>
  </si>
  <si>
    <t>ESTUDIO PARA LA IMPLEMENTACIÓN DE LA FILOSOFÍA TPM EN EL SECTOR DE DESPACHOS-PLANTA DE LA EMPRESA UNILEVER ANDINA BOLIVIA S.A.</t>
  </si>
  <si>
    <t>anniececy@gmail.com</t>
  </si>
  <si>
    <t>IND-605-2013</t>
  </si>
  <si>
    <t>Unilever Andina, TPM, Logística, 5 “S”, Mejora Continua, Implementación de Sistema de Gestión</t>
  </si>
  <si>
    <t>En el Sector de Despachos – Planta de la empresa Unilever Andina Bolivia S.A. se ha visto por conveniente realizar un estudio para la implementación de la filosofía TPM en este sector para realizar la estructuración e implementación de esta filosofía, que motive a los empleados a realizar mejoras en su sector, identificando las pérdidas en el proceso y enfocando la implementación de esta filosofía en la capacitación a los trabajadores sobre la base de las 5 “S”.En primer lugar se realizó un diagnóstico de la situación actual del Sector de Despachos - Planta, y se recabó la información disponible acerca de las actividades en los procesos de Recepción, Almacenamiento y Despachos, la organización actual del sector, etc. Todo ello con el fin de establecer el modelo actual del servicio que presta, a través del diagrama de causa - efecto. En función a este análisis se determinaron las soluciones a las diferentes causas del problema.Se elaboró la propuesta de implementación de la filosofía TPM, con una serie de pasos que van desde la fase de PREPARACIÓN a la CONSOLIDACIÓN de la filosofía como tal. Para la elaboración de esta propuesta se consideraron los resultados del diagnóstico elaborado previamente.Durante la fase de PREPARACIÓN se procedió a capacitar al personal en las 5”S”, se elaboraron Lecciones Punto a Punto con los operarios y se establecieron los miembros del comité TPM 2012-2013 en sus pilares de Educación y Entrenamiento, Mejora Enfocada, Mantenimiento Autónomo y Seguridad.En la fase de INTRODUCCIÓN se efectuó el lanzamiento de la filosofía como tal, se expuso brevemente la fase de preparación, se capacitó al personal en la filosofía como tal, se realizó el levantamiento de tarjetas TPM de observación de anomalías, donde participaron todos los responsables del proceso de Despachos.Se implementaron las 5 “S” dentro el sector, realizando un seguimiento con auditorías bimensuales. El día de lanzamiento de TPM se reportaron observaciones sobre anomalías en el sector, se elaboró un Plan de Acción y se determinaron plazos para la ejecución de actividades. Luego se estandarizaron Procedimientos y Check List para establecer el orden y limpieza del sector. En la fase de CONSOLIDACIÓN se continuó con la capacitación al personal, con charlas de 5 minutos en temas de seguridad, calidad y procedimientos de la operación.Se determinaron y cuantificaron  los beneficios directos e indirectos de la aplicación de esta filosofía, estos se ven reflejados en un mejor control de inventarios. Se determinó un beneficio once veces mayor a la inversión realizada.Finalmente se determinaron los costos implicados en cada una de las fases de PREPARACIÓN, INTRODUCCIÓN y CONSOLIDACIÓN, y del PLAN DE ACCIÓN.</t>
  </si>
  <si>
    <t>https://drive.google.com/file/d/16FE5I3iOch3wA1YKA0AJYN1l6rXS8eSD/view?usp=sharing</t>
  </si>
  <si>
    <t>https://drive.google.com/file/d/1Vgyt01EIqWC1OhJxXMNVfMhzScbnsDrL/view?usp=sharing</t>
  </si>
  <si>
    <r>
      <rPr>
        <rFont val="Arial"/>
        <color rgb="FF000000"/>
      </rPr>
      <t xml:space="preserve"> </t>
    </r>
    <r>
      <rPr>
        <rFont val="Arial"/>
        <color rgb="FF000000"/>
        <u/>
      </rPr>
      <t>https://drive.google.com/file/d/1nYywwntmp_eYZDV9wqUb4Z4Hb8ZXIm5C/view?usp=sharing</t>
    </r>
  </si>
  <si>
    <t>LILIAN CARRASCO HUMEREZ</t>
  </si>
  <si>
    <t>RUTH ANA GUTIERREZ ROBLES</t>
  </si>
  <si>
    <t>DESARROLLO DE UN SISTEMA DE GESTIÓN DE CALIDAD BASADO EN LA NORMA ISO 9001:2008 EN EL PROCESO DE PRODUCCIÓN PARA LA EMPRESA “CERÁMICA RÍO GRANDE S.A.”</t>
  </si>
  <si>
    <t>lili_cbba@hotmail.com</t>
  </si>
  <si>
    <t>IND-606-2013</t>
  </si>
  <si>
    <t>Sistema, Calidad, Gestión, Proceso, Producto, Norma ISO 9001:2008, Ciclo PHVA, Cuadro de Mando Integral, CERÁMICA RÍO GRANDE S.A..</t>
  </si>
  <si>
    <t>Cerámica Río Grande S.A. es una empresa nueva, dedicada a la producción y comercialización de cerámica roja, elaborado a base de arcilla, cuenta con la línea de producción de ladrillo de 6 huecos, ya sea en tamaño entero ó mitades. La implementación de un enfoque basado en procesos son las herramientas claves para el incremento en la satisfacción del cliente y la mejora de los procesos; es por esto que se ha desarrollado el diseño de un sistema de gestión de calidad para la empresa CERÁMICA RÍO GRANDE S.A. en base a la norma ISO 9001:2008.Inicialmente se define el alcance del proyecto, que comprende el proceso de producción de la empresa. Posteriormente se determinó la metodología a seguir para el desarrollo del trabajo.Se realizó  un diagnóstico interno del funcionamiento actual de la empresa mediante observaciones, entrevistas y cuestionarios, se desarrolló también en esta etapa una evaluación del nivel de cumplimiento de los requisitos de la  norma ISO 9001:2008. Con la información obtenida en el diagnóstico, se elaboró: La planificación estratégica, que permite un direccionamiento general de la organización mediante la misión, visión, valores, también se desarrolló y estableció la política y objetivos de calidad base para el sistema de gestión de calidad.La planificación del Sistema de Gestión de Calidad, muestra un enfoque basado en procesos aplicado a la organización, y da la necesidad de establecer la estructura de los procesos y actividades que interrelacionados permiten alcanzar los objetivos de la calidad.Posteriormente se desarrolló el Manual de Calidad como referente del Sistema de Gestión de la Calidad para la empresa, Manual de funciones que define las actividades o funciones de los responsables del Proceso de Producción, también se desarrollaron los procedimientos y registros exigidos por la norma ISO 9001:2008 además de establecer a nivel operativo procedimientos, instructivos y registros  que proporcionen una evidencia tangible y objetiva del desempeño de la empresa, para con esta base emprender acciones de mejora.Además se desarrolló el plan de implementación del sistema de gestión de calidad, y se realizó la estimación beneficio-costo del proyecto.</t>
  </si>
  <si>
    <t>https://drive.google.com/file/d/10bvdej-BTfi4ixe_NJcYfUFATswqlxv1/view?usp=sharing</t>
  </si>
  <si>
    <t>https://drive.google.com/file/d/1l8f8tMH0LVjn5XmxsevDrfI-YMCa5ZAO/view?usp=sharing</t>
  </si>
  <si>
    <t>https://drive.google.com/file/d/1E1HIaQmjr0LQG4MtopxJLqzDOFUj5ssf/view?usp=sharing</t>
  </si>
  <si>
    <t>MARCO ANTONIO VELÁSQUEZ GARCÍA</t>
  </si>
  <si>
    <t>ING. DENIS OSCAR ANGULO CARLOS</t>
  </si>
  <si>
    <t>DISEÑO DE UN PLAN DE SEGURIDAD INDUSTRIAL E HIGIENE OCUPACIONAL PARA LA PLANTA DE PRODUCCIÓN DE CRISTEMBO S.R.L.</t>
  </si>
  <si>
    <t>mvelasquez97@gmail.com</t>
  </si>
  <si>
    <t>IND-607-2013</t>
  </si>
  <si>
    <t>Planta de Producción, Seguridad  Industrial, Higiene Ocupacional, Documento, Capacitación.</t>
  </si>
  <si>
    <t>Desde Los comienzos de la Historia el hombre ha hecho de su instinto de conservación una plataforma ante las lesiones corporales, en un principio de carácter instintivo-defensivo, así nació la seguridad industrial reflejada en un simple esfuerzo individual, más que en un sistema organizado. La seguridad industrial y la higiene ocupacional son aspectos  que deben tomarse en cuenta en toda vida laboral de toda empresa. Los riesgos y peligros son considerados en la vida laboral muy importantes, constituyendo un problema complejo para la planta de producción de CRISTEMBO S.R.L.El proyecto tuvo como objetivo principal el diseño de un plan de seguridad industrial e higiene ocupacional para la planta de producción de CRISTEMBO S.R.L. para mejorar las condiciones de trabajo y prevenir los accidentes y enfermedades laborales en la planta de producción.Para el cumplimiento con el objetivo principal se desarrollaron 5 objetivos específicos que se los describe a continuación:·         Realizar un diagnóstico de la situación actual de la planta de producción referente a la seguridad y salud ocupacional.·         Identificar los peligros y evaluar los riesgos de todas las actividades de la planta de producción.·         Elaborar un plan de seguridad industrial e higiene ocupacional acorde a las necesidades de la planta de producción.·         Capacitar al personal de la planta en temas de SySO.·         Determinar los costos que representará la implementación del Plan de seguridad e higiene ocupacional.El estudio realizado tuvo una metodología, que se resume a continuación:Con los datos iniciales obtenidos del análisis preliminar se realizó un diagnóstico de la situación actual de la planta de producción, se procedió al desarrollo de los controles operacionales para la planta, este plan se lo desglosó en planes para la planta, materiales y equipos, plan de prevención para el personal y un plan para la higiene ocupacional. Una vez culminados los planes se procedió a la organización de la seguridad industrial dentro de la planta de producción y elaboración de documentos de seguridad, por último la elaboración de un presupuesto que representaría la implementación del plan de seguridad e higiene ocupacional. Las conclusiones del proyecto fueron:·         Se diseñó un plan de seguridad industrial acorde a las necesidades de la empresa cumpliendo requisitos legales.·         Se identificaron los peligros y evaluaron los riesgos concluyendo que para eliminarlos es necesario adoptar las normas descritas en los diferentes documentos del proyecto.·         Se capacitó al personal de la planta de producción en a cargo del autor del presente trabajo y otros expertos en el tema.·         El plan es aplicable en su totalidad ya que la empresa cuenta con los recursos necesarios para la implementación del plan de Seguridad e Higiene Ocupacional.</t>
  </si>
  <si>
    <t>https://drive.google.com/file/d/1YjW00WmKMGPMfmIv5bA_ZtY2gCiNzAJ5/view?usp=sharing</t>
  </si>
  <si>
    <t>https://drive.google.com/file/d/1XHi9ZvbMGtVf5EL2SVDXkxExvi4YOORx/view?usp=sharing</t>
  </si>
  <si>
    <t>RONALD CANTARRAN VILLARROEL</t>
  </si>
  <si>
    <t>OMAR E. FUENTE ARAUCO</t>
  </si>
  <si>
    <t>ING. LUIS ALI ARCANI</t>
  </si>
  <si>
    <t>ESTUDIO DE FACTIBILIDAD TÉCNICO ECONÓMICO PARA LA INSTALACIÓN DE UNA PLANTA      PROCESADORA DE COMPOTA DE ZAPALLO</t>
  </si>
  <si>
    <t>ro.can.vi@hotmail.com</t>
  </si>
  <si>
    <t>IND-608-2013</t>
  </si>
  <si>
    <t>Coadyuvar, Marketing</t>
  </si>
  <si>
    <t>El Estudio de factibilidad técnico económico para la instalación de una planta procesadora de compota de zapallo, nace para coadyuvar los altos índices de desnutrición infantil en el departamento de Cochabamba, ya que las compotas son el primer paso para formar los hábitos alimenticios.Primeramente se realizó un diagnostico situacional, determinando las causas y efectos del problema estudiado, con su respectiva justificación.En el estudio de mercado se realiza análisis de la demanda y oferta de compota en el del departamento de Cochabamba, en vista de que no existe datos históricos de la demanda y oferta se procede a realizar el respectivo estudio mediante encuestas, determinando una demanda potencial de 781 Toneladas durante el primer año  de operación.De acuerdo al plan operativo de marketing el nombre de la empresa determinado es Planta Industrial del Zapallo S.R.L.El tamaño óptimo de la planta se determinó en función a la demanda pronosticada del mercado en el departamento de Cochabamba.La localización fue obtenida a través de una evaluación cualitativa de puntos, donde se analizaron tres alternativas, optando por la localidad de Tablas Monte  por gozar de factores favorables para el proyecto.La Ingeniería del proyecto se ejecutó seleccionando los procesos y Maquinaria adecuado para la respectiva elaboración de compota de zapallo, en el presente estudio se procedió a prueba de laboratorio para determinar la cantidad de materia prima requerida describiendo balance de masa en cada proceso. Además se procede a describir la cantidad de mano de obra requerida.Se ilustra la estructura organizativa a través de un organigrama del personal y las funciones que cumplen. Posteriormente se procede a describir los pasos para la constitución legal de la empresa.Se estimaron las inversiones totales y los respectivos costos de operativos. Con toda la información de costos se procedió a la preparación de esta información para realizar el respectivo análisis económico usando indicadores como el TIR (Tasa Interna de Retorno), VAN (Valor Presente Neto), B/C (Beneficio/Costo) y Recuperación del Capital. Se sometió el flujo a un análisis de sensibilidad para  las variables más influyentes. Además se procede a la evaluación financiera a través de razones de liquidez, razones de endeudamiento y razón de endeudamiento.Finalmente se realizó una evaluación ambiental y análisis de impactos social, primeramente se procede al análisis de los beneficios que aportara el proyecto durante la implementación, seguidamente se analiza los impactos ambientales en la etapa de construcción, instalación y pruebas de funcionamiento, Operación y funcionamiento, una vez analizada se realiza una lista de chequeo, finalmente se hace un plan de mitigación para los efectos negativos siendo estos menores y controlables.</t>
  </si>
  <si>
    <t>https://drive.google.com/file/d/1NH-zOWAJvbSA-uETNoUsxOIi5d4FD3yc/view?usp=sharing</t>
  </si>
  <si>
    <t>https://drive.google.com/file/d/1QceylHE5mfRmJj_oxu1BuTSCifJ43eEJ/view?usp=sharing</t>
  </si>
  <si>
    <t>https://drive.google.com/file/d/17qtlKjZlCs1ble5miZmpjBwb8T6p1RQv/view?usp=sharing</t>
  </si>
  <si>
    <t>BERNARDO MAMANI HUANCA</t>
  </si>
  <si>
    <t>ING. DAVID ALFREDO DELGADILLO COSSÍO</t>
  </si>
  <si>
    <t>PLAN DE SEGURIDAD INDUSTRIAL E HIGIENE OCUPACIONAL PARA LA EMPRESA AMIPROCAL</t>
  </si>
  <si>
    <t>brnrd_11@hotmail.com</t>
  </si>
  <si>
    <t>IND-609-2013</t>
  </si>
  <si>
    <t>Seguridad Industrial, Higiene Ocupacional, Amiprocal (Asociación de Productores de Piedra Caliza).</t>
  </si>
  <si>
    <t>La inexistencia de herramientas orientados a la reducción y/o eliminación de riesgos, asociados a las actividades de la empresa “Amiprocal”, la ausencia de responsables de Seguridad  Industrial e Higiene Ocupacional en la empresa; la falta de conocimientos de la legislación vigente en seguridad e higiene ocupacional, son el punto de partida para la realización de este proyecto, el cual tiene como objetivo general que la empresa disponga de un Plan de Seguridad Industrial e Higiene Ocupacional en conformidad a los requisitos que establece la Ley General de Higiene, Seguridad Ocupacional y Bienestar para q esta sea implementado de acuerdo a la disponibilidad de la empresa.Se realizó una descripción de todas las actividades y procesos que se realizan en la planta además de un diagnóstico del cumplimiento legal aplicable en materia de seguridad industrial y salud ocupacional en base a una lista de verificacion y observaciones directas en las diferentes secciones, para determinar; practicas, procesos, condiciones de trabajo y otros aspectos existentes; de esta manera obtener una referencia del comportamiento respecto a la importancia que de la empresa a la seguridad y salud de su personal.Así mismo, se realizó una identificación de peligros, evaluación de riesgos y determinación de controles, que permitió conocer los riesgos más significativos inherentes a las actividades de la planta. Se desarrolló un Plan de Seguridad Industrial e Higiene Ocupacional, empezando por la definición de la política de Seguridad Industrial e Higiene Ocupacional acompañada de sus objetivos relacionados a la misma.Eliminar o Reducir los riesgos en la Institución, involucra ejecutar 8 programas en el Plan de Seguridad Industrial e Higiene Ocupacional. Los mismos programas que exigen la participación de todo el personal de la empresa, administrativos, operarios, personal de limpieza, etc. Por último se estimó el costo que implicara la implementación de la estructura documental y los programas de Seguridad Industrial e Higiene Ocupacional que haciende a 156637 (Bs), siendo este, el costo para poder cumplir con los objetivos planteados en el proyecto.</t>
  </si>
  <si>
    <t>https://drive.google.com/file/d/1U_N4EE8zp6nsBjEliBD0DXlfou1Kk6OQ/view?usp=sharing</t>
  </si>
  <si>
    <t>https://drive.google.com/file/d/1jCd3AWFIaGgQiNZ3P2M5EyXeoNoCAPKv/view?usp=sharing</t>
  </si>
  <si>
    <t>https://drive.google.com/file/d/1fdmUiQCsNA7DzUODzCipNJ2WuGCVo3SS/view?usp=sharing</t>
  </si>
  <si>
    <t>MARCO ANTONIO VELASQUEZ ROCHA</t>
  </si>
  <si>
    <t>SEGURIDAD INFORMÁTICA APLICADA A LA GESTIÓN DE LA UNIDAD DE TECNOLOGÍA DE INFORMACIÓN DE LA EMPRESA DE LUZ Y FUERZA ELÉCTRICA COCHABAMBA MEDIANTE LOS ESTÁNDARES DE LA ISO 27001</t>
  </si>
  <si>
    <t>IND-610-2013</t>
  </si>
  <si>
    <t>Empresa de Luz y Fuerza Eléctrica Cochabamba, Seguridad de Información, Riesgo, DEMING, ISO 27001, Sistema de Gestión de Seguridad de la Información (SGSI).</t>
  </si>
  <si>
    <t>La necesidad de elaboración del proyecto surge porque la administración de la Empresa de Luz y Fuerza Eléctrica Cochabamba (ELFEC S.A.) consciente de la importancia de la información manejada dentro la empresa y las múltiples formas de ataques sobre esta, que día a día se van presentando en el medio a medida que la Tecnología va avanzando en el mundo, vio por conveniente aplicar medidas que ayuden a minimizar estos riesgos en base a estándares internacionales y que se adecuen al funcionamiento interno de la empresa.Se realizó un diagnóstico de la situación actual del manejo interno de la información relacionado con la seguridad y de la organización de la Unidad de Tecnología de Información, aprovechando para ese fin las herramientas del análisis FODA (Fortaleza, Oportunidades, Debilidades y Amenazas) sobre los dominios de control que establece la Norma ISO/IEC 27001 de Seguridad de la Información. Se recabo la información disponible analizando el Organigrama de la Unidad de Tecnología, las actividades, procesos de las actividades de toda la organización en relación al área de Tecnología de Información. Todo ello con el fin de establecer en función al FODA, estrategias alternativas que se plasmaron en proyectos de mejora.En base a este análisis y siguiendo las recomendaciones de la ISO/IEC 27001 se definió un Sistema de Gestión de Seguridad de la Información, sistema que se propuso esté liderado por un Comité de Gestión de Seguridad de la Información   integrado por el Gerente General, sus Gerentes de Área y un Responsable de Seguridad del área de Tecnología de Información. Como resultado del diagnóstico también se planteó una Política de Seguridad de la información y un conjunto de procedimientos que apoyan su cumplimiento y que plantean hacer más ordenado el manejo de la información.Adicionalmente para sostener el funcionamiento de toda esta forma de trabajo se planteó un nuevo Organigrama de la Unidad de Tecnología convirtiéndola en la Gerencia de Tecnología de información con áreas específicas y procedimientos implementados abocados a minimizar los riesgos de seguridad de la información.Todo el planteamiento de la Política de Seguridad y Procedimientos de trabajo se presentaron como una propuesta inicial que deberá ser periódicamente revisada y actualizada por el Comité de Gestión de Seguridad de la información.Adicionalmente se verificó financieramente el costo que implica para la empresa el manejo de la información basada en las penalizaciones que la Autoridad Eléctrica impone a la empresa al incumplir niveles de Calidad de Servicio, y se realizó un cálculo del costo que implicaría la implementación del estudió planteado en la empresa el cual es mínimo comparado con los costos actuales.</t>
  </si>
  <si>
    <t>https://drive.google.com/file/d/1Tg19pkULHMj2tX1wZhI921I-I2amHKsw/view?usp=sharing</t>
  </si>
  <si>
    <t>https://drive.google.com/file/d/1rMR2GvOgAYy5TEnzxF7PGpmbxweeSIFC/view?usp=sharing</t>
  </si>
  <si>
    <t>https://drive.google.com/file/d/1kT1xbxzyqc9m429WDeGpdhzxGM6dm88X/view?usp=sharing</t>
  </si>
  <si>
    <t>SERGIO ROLANDO BALTAZAR CHUQUIMIA</t>
  </si>
  <si>
    <t>M.A. ING. AGATHA DA SILVA</t>
  </si>
  <si>
    <t>PLAN ESTRATÉGICO PARA LA EMPRESA DE REPUESTOS Y SERVICIOS “DIESELRIO”.</t>
  </si>
  <si>
    <t>sergiobalt_cnb@hotmail.com</t>
  </si>
  <si>
    <t>IND-611-2013</t>
  </si>
  <si>
    <t>Estrategia, Matriz FODA, Matriz MCPE, Cuadro de Mando Integral, Mapa estratégico, competencias nucleares, planificación, Sistema de control.</t>
  </si>
  <si>
    <t>El mercado de repuestos y servicios para vehículos a diesel del transporte pesado ha ido incrementándose constantemente en los últimos años y más aún debido al mayor flujo de pasajeros que existe en el país y al crecimiento de las importaciones comerciales. Con ello también se multiplicó el número de ofertantes y la informalidad del mercado, puesto que existen muchos factores competitivos que ponen en desventaja a “dieselrio”.En el último quinquenio la empresa ha mostrado un comportamiento económico inestable, creciendo agigantadamente en los primeros tres años y decayendo rápidamente en los dos últimos años. A raíz de todo lo anterior se desarrolló un plan estratégico para “dieselrio” que le permita mejorar su competitividad y lograr satisfacer la demanda de un mercado cada vez más exigente.Para obtener la información más verídica posible se tuvo que infiltrar en todos los procesos internos por un tiempo de 4 meses, logrando con ello establecer los factores internos y externos percibidos por una mayoría de los colaboradores de la empresa; de esta manera, se pudo desarrollar un marco estratégico para “dieselrio” con su misión, visión, filosofía, políticas, valores y objetivos, base para todo el desarrollo del proyecto.En el proyecto se establecieron sistemas de control para cada uno de los procesos internos con los que cuenta la empresa, con el objetivo de alcanzar la mejora continua a corto, mediano y largo plazo. Además se utilizaron diferentes metodologías de evaluación y adecuación como: F.O.D.A. (Fortalezas, Oportunidades, Debilidades y Amenazas), 5 Fuerzas de Porter, M.P.C. (Matriz del Perfil Competitivo), B.C.G (Boston Consulting Group), Estrategias vs. Objetivos, M.C.P.E. (Matriz Cuantitativa de la Planificación Estratégica) y C.M.I. (Cuadro de Mando Integral) entre los más importantes.Se generaron 4 planes estratégicos factibles de implementarse: 1) Plan Fortaleza Doble, 2) Plan PEN.D.EX. (Penetrar, Destruir y Expandir), 3) Plan Competitividad y 4) Plan MOT.OR (Motivación Organizacional), los mismos constan de sus fichas descriptivas con su respectivo objetivo, indicadores de control, presupuesto de inversión y gasto, responsable y horizonte temporal de ejecución, siendo éstos la parte esencial de la planificación operativa.Para consolidar la implementación del proyecto se realizó el Plan Operativo para la gestión 2013, en el que se desplegaron las líneas estratégicas, actividades y tareas correspondientes a cada plan operativo. Además, se diseñó el Cuadro de Mando Integral en base a las perspectivas de Aprendizaje y Crecimiento, Procesos Internos, Cliente y Finanzas, sustentado en el mapa estratégico y los planes elaborados.Se evaluó el proyecto en base a los indicadores financieros VAN y TIR determinando la factibilidad para su ejecución, así mismo se propone el medio de financiamiento para concretar los presupuestos asignados a cada gestión.Con la finalización del proyecto se motivó a la empresa a enfocarse en una administración estratégica que les ayude a mejorar su competitividad con un objetivo claro y alcanzable; por otro lado, los estudiantes de la carrera de ingeniería industrial cuentan con un modelo de plan estratégico completo que demuestra que todas las herramientas aprendidas en las aulas pueden ser empleadas para generar valor tangible e intangible en los componentes de la sociedad.</t>
  </si>
  <si>
    <t>https://drive.google.com/file/d/1J_ZwYYzMaq2K9mXze3wDs_aUwOQ_AtY5/view?usp=sharing</t>
  </si>
  <si>
    <t>https://drive.google.com/file/d/1NBi3_0GlAZdwiZTsuXrohmsbIFsmAuE9/view?usp=sharing</t>
  </si>
  <si>
    <t>https://drive.google.com/file/d/1Uqv7RVHS4pFCI8REG26KcfZAzTkXBDpk/view?usp=sharing</t>
  </si>
  <si>
    <t>MIGUEL ANGEL FLORES MAMANI</t>
  </si>
  <si>
    <t>ING. JUAN RUBEN GARCIA MOLINA</t>
  </si>
  <si>
    <t>SISTEMA DE GESTIÓN DE CALIDAD BASADO EN LA NORMA ISO 9001:2008 PARA UNILEVER           ANDINA BOLIVIA S.A. EN EL CENTRO NACIONAL DE DISTRIBUCIÓN</t>
  </si>
  <si>
    <t>ykmi@hotmail.com</t>
  </si>
  <si>
    <t>IND-612-2013</t>
  </si>
  <si>
    <t>Sistema de Gestión de Calidad, Unilever Andina Bolivia S.A.</t>
  </si>
  <si>
    <t>El presente trabajo tiene la finalidad de Diseñar el  Sistema de Gestión de Calidad basado en la norma ISO 9001:2008 en Unilever Andina Bolivia S.A., con alcance del Centro Nacional de Distribución, con el objetivo de  estructurar la  documentación que se necesita para mejorar la calidad de sus procesos internos, alcanzar las expectativas y necesidades del cliente ofreciendo un servicio de calidad. Cabe Mencionar que el proyecto nació por  exigencias de la Regional Unilever bajo estándares globales de Calidad de la compañía. Para lo cual se plante a el objetivo general: “Diseñar un Sistema de Gestión de Calidad basado en procesos en conformidad a la Norma ISO 9001:2008 para Unilever Andina Bolivia S.A. en el Centro de Distribución Nacional”. Para lo cual también se plantea los  objetivos específicos: Realizar el diagnóstico actual de la empresa,  identificar los procesos necesarios, secuencia y operaciones realizadas en la distribución, diseñar el sistema de gestión de calidad, desarrollar un plan de implementación del sistema de gestión de calidad y  determinar los costos  requeridos para la certificación del sistema de gestión de calidad.La metodología empleada fue: Interiorización de la organización y diseño del Sistema de Gestión.El resultado esperado del  Sistema de Gestión de Calidad es la búsqueda de la satisfacción de los clientes de Unilever Andina  Bolivia S.A.        Se realizó el  diagnóstico de la situación actual de la organización en frente al cumplimiento de los requisitos exigidos de la norma ISO 9001:2008, que nos permitió  determinar el grado de cumplimiento de la organización        Con toda esa información se realizó el Diseño del Sistema de Gestión de Calidad, con el objetivo de establecer la estructura, identificar los procesos y actividades interrelacionadas y la documentación necesaria para cumplir  los requisitos de calidad, que  nos ayuda a asegurar el control eficaz de los servicios que prestamos dentro de los procedimientos y  registros.         Se propone  un plan de implementación que contempla todas las actividades para poder tener una exitosa implementación del Sistema de Gestión de Calidad diseñado.        Finalmente se determinó los costos del proyecto para cada actividad en los que incurrirá Unilever Andina Bolivia S.A., en el Centro Nacional de Distribución, en caso de que la empresa decida implementar el Sistema de Gestión de Calidad.Para lo cual también se recomienda que el personal debe estar comprometido con  el Sistema de Gestión de Calidad y con la mejora continua de este, para lo cual se debe tener en claro  donde se quiere llegar: objetivo  y  meta a  alcanzar.  Al implementar el presente proyecto se permitirá al Centro Nacional de Distribución de Unilever Andina Bolivia S.A., desarrollar un crecimiento y alcanzar el logro en la calidad ofrecida a sus clientes, también el grado del cumplimiento de los estándares globales de calidad  de Unilever.  Buscando de  manera significativa activar una conjunción de procesos dentro la gestión de la empresa. Buscando  integración de los sistemas de Seguridad y Medio Ambiente, para gestionar todas las partes involucradas  y no solo calidad.</t>
  </si>
  <si>
    <t>https://drive.google.com/file/d/1Cm_41iw6oyJfX_X8aGpbIM7Eq44JeG0Z/view?usp=sharing</t>
  </si>
  <si>
    <t>https://drive.google.com/file/d/1y9EtTahEB7sY_389LHu0cQttpCaoRdfi/view?usp=sharing</t>
  </si>
  <si>
    <t>https://drive.google.com/file/d/1aam2_jhTElBHGu2J_yiKCUfRTPUvnlpy/view?usp=sharing</t>
  </si>
  <si>
    <t>RAFAEL ANEIVA AMAYA</t>
  </si>
  <si>
    <t>NICOLAS HOEPFNER CALLEJA</t>
  </si>
  <si>
    <t>ING. DIEGO SOTOMAYOR</t>
  </si>
  <si>
    <t>OPTIMIZACIÓN DEL SISTEMA PRODUCTIVO DE LA EMPRESA “CASA PRONTA”</t>
  </si>
  <si>
    <t>rafo_aneiva@hotmail.com</t>
  </si>
  <si>
    <t>IND-613-2013</t>
  </si>
  <si>
    <t>Sistema de Construcción, productividad, paneles, poliestireno, acero, ensamblado, layout, optimización, rentabilidad.</t>
  </si>
  <si>
    <t>En el presente trabajo, se realizó una investigación y análisis de los datos de producción para una empresa dedicada a la fabricación de paneles para la construcción. Los paneles M2® están formados por dos ó más mallas de acero de alta resistencia que encierran una placa de poliestireno expandido (plastoformo). Ambas mallas se unen mediante conectores de acero que atraviesan todo el panel otorgando la resistencia que lo caracteriza. Una vez montado el panel se completa en la obra con hormigón.Se realizaron técnicas de métodos y reingeniería, las cuales proporcionan herramientas estadísticas, gráficos de producción y recorrido, que ayudan a estandarizar procesos, establecer procesos productivos que provocan desperdicios de tiempo y material con el objetivo de optimizar la productividad. También se realizó un modelo matemático planteando otra alternativa de optimización de la producción.También se elaboraron manuales de las maquinarias presentes en el proceso de producción con el fin hacer más eficiente su manejo y entendimiento para el proceso productivo.Con el análisis realizado del Estudio Interno se determinó que los productos más producidos en la empresa son  el panel estructural 100 y panel cerramiento 80, llegando a ser estos nuestros productos a optimizar. Se determinó también que la mayor cantidad  estos paneles producidos tienen grandes dimensiones: el panel estructural 100 (0.1*1.2*3 [mts.]) y el panel cerramiento 80 (0.08*1.2*3 [mts.]), esto debido a que en las construcciones lo más conveniente es ocupar la mayor cantidad de superficie posible.Realizando Métodos de Ingeniería se pudo mejorar la producción: en paneles de lámina 100 estructurales el incremento de la productividad es de 14 (unidades/jornada), que representa un incremento del 64,28%. En paneles de lámina 80 cerramientos el incremento de la productividad es de 13 (unidades/jornada), que representa un incremento del 61,53%.Formulando un modelo matemático la utilidad máxima que se puede obtener con el sistema de producción actual en los paneles de cerramiento 80 y estructural 100 es de 21975.84 Bs/semana, elaborando 14 unidades de paneles estructurales y 19 unidades de paneles cerramiento.Con la Evaluación Económica se logró calcular el beneficio logrado con el proyecto propuesto y el período de recuperación de la inversión. Todo esto con el fin de que el proyecto sea de gran utilidad para la empresa “CASA PRONTA”.</t>
  </si>
  <si>
    <t>https://drive.google.com/file/d/19XDjy4-3ALVCmfEL5F2yRxDAvtiUcitz/view?usp=sharing</t>
  </si>
  <si>
    <t>https://drive.google.com/file/d/1hYCtTI_6qeasxHBZpAcjgtsuhwx2fAAD/view?usp=sharing</t>
  </si>
  <si>
    <t>https://drive.google.com/file/d/1thMRDTc8kdUI05NbnhM93HzZpdfiMlFj/view?usp=sharing</t>
  </si>
  <si>
    <t>ANNEL VALERIA ARRAYA VARGAS</t>
  </si>
  <si>
    <t>ING. SERGIO CHAVARRÍA</t>
  </si>
  <si>
    <t>ESTUDIO DE FACTIBILIDAD PARA LA IMPLEMENTACIÓN DE UNA LÍNEA PRODUCTIVA DE MERMELADA LIGHT  PARA LA CORPORACIÓN INDUSTRIAL DILLMANN S.A.  - CORDILL S.A</t>
  </si>
  <si>
    <t>annelvaleria.arraya@hotmail.com</t>
  </si>
  <si>
    <t>IND-614-2013</t>
  </si>
  <si>
    <t>Estudio, Factibilidad, Mermelada, Light, DILLMANN, CORDILL.</t>
  </si>
  <si>
    <t>El presente trabajo, muestra el estudio a nivel de factibilidad de la elaboración de una nueva línea de producción de Mermelada Dillmann Light endulzada con Stevia, sumando al mercado un producto innovador y de propiedades únicas, sobretodo del tipo Light, ya que este tipo de productos han tenido un gran auge durante los últimos diez años, no solo en el mercado nacional sino también a nivel mundial ya que dado que el objetivo principal de estos productos es evitar el sobrepeso y ayudar a personas que sufren de enfermedades cardiovasculares, hipertensión arterial, caries o que quieren cuidar su salud.Se realizó un estudio de mercados lo cual nos dio como resultado la preferencia del mercado Cochabambino por lo tanto se determinó que el producto a elaborar tendrá como materia prima, fruta fresca de la más alta calidad en tres variedades; Frutilla, Durazno y Naranja. Ya que es un producto que es desarrollado para evitar todas las enfermedades producidas por el azúcar, como ser Sobrepeso, Diabetes, Caries, entre otras, se decidió utilizar un edulcorante natural que beneficie la salud de nuestros consumidores finales, este edulcorante es la Stevia. Como resultado del estudio de mercados se determinó que la presentación al público será en frascos de vidrio con capacidad de 250 en los sabores de Frutilla, Durazno y Naranja.El estudio de Mercado también nos permitió hallar la demanda actual, que es de 124.7 Toneladas, la cual va creciendo exponencialmente, sin embargo debido a que la capacidad de la planta UNIFRUT, que es la unidad estratégica del grupo CORDILL dedicada a la elaboración de mermeladas, es limitada se decidió producir el 20.9% de esta demanda.Uno de los principales propósitos fue dar a conocer el producto ofreciéndolo a supermercados y micro mercados locales, el precio de venta, del primer año al mayorista será de 15 Bolivianos, los cuales van a subir un porcentaje extra de un 15 a 20 % de esta manera se proporcionará un precio diferente a los consumidores para su venta. Aun así el precio de venta del consumidor entra en el rango de precios de las mermeladas bajas en calorías, ya que en el análisis de la oferta se encontró un rango de precios desde 125 Bs.- a 30 Bs.- por un kilogramo de mermelada ya sea light, reducida en azúcar o diet.En cuanto al análisis de materia prima e insumos, se decidió utilizar Steviósido al 95% como edulcorante no calórico, este análisis nos indicó que el resto de los insumos necesarios para la elaboración de mermelada light, son los mismos que se utilizan en la planta UNIFRUT para la elaboración de Mermelada Dillmann regular.El estudio técnico nos indicó que no es necesario realizar ninguna inversión en cuanto a la maquinaria y equipos, ya que estos son los mismos que se utilizan para la elaboración de mermelada Dillmann regular en la planta UNIFRUT, y se encontró que la única variación entre ambos procesos es solo la dosificación.De acuerdo con el análisis financiero se presentaron dos escenarios, en el primero, tomando en cuenta las inversiones en activos se obtuvo que el proyecto es rentable, obteniendo una Tasa Interna de Retorno del 24.95% anual y la relación Beneficio/Costo es de 1.21. En el segundo escenario, sin tomar en cuenta la inversión en activos se obtuvo  una Tasa Interna de Retorno del 32.36% anual y la relación Beneficio/Costo es de 1.37. De tal manera el proyecto que se presenta a continuación es rentable e invertir en el representa una buena opción, a pesar de considerar un alto riesgo, debido a que la estimación de la demanda potencial se hizo a base de encuestas.</t>
  </si>
  <si>
    <t>https://drive.google.com/file/d/1DUH5I9lkEZRWi5BusPercJPHRYXiv2a0/view?usp=sharing</t>
  </si>
  <si>
    <t>https://drive.google.com/file/d/1p9VsLd3_rxzJzcqiM5uUV0yrdH34sBIm/view?usp=sharing</t>
  </si>
  <si>
    <t>GABRIELA ALEXANDRA PÉREZ JAIMES</t>
  </si>
  <si>
    <t>ING. MIRCKO ROJAS ANTEZANA</t>
  </si>
  <si>
    <t>PLAN DE SEGURIDAD Y SALUD OCUPACIONAL PARA LA INDUSTRIA DE MANEJO DE RESIDUOS “RX”</t>
  </si>
  <si>
    <t>galexper@hotmail.com</t>
  </si>
  <si>
    <t>IND-615-2013</t>
  </si>
  <si>
    <t>Industria de MANEJO DE RESIDUOS HOSPITALARIOS RX, Seguridad Industrial, EPP, Contingencia, Comité Mixto de Seguridad, Riego Biológico, Residuo Corto punzante.</t>
  </si>
  <si>
    <t>El Plan de Seguridad e Higiene Industrial que se  planteo fue por las constantes situaciones de riesgo dentro de la planta, por la falta de conocimiento de la seguridad industrial, falta de equipos de protección personal.Primeramente se realizó un diagnóstico de la situación actual de la empresa en el cual se observa la organización, las instalaciones y todo el proceso productivo, posteriormente se realizó el diagnostico especifico de la empresa mediante un mapa de riesgos, análisis preliminar de riesgos, en el cual se identificó y analizó los riesgos en cada puesto de trabajo y por último la evaluación de riesgos en cada área de trabajo se recurrió al método George Kinney. En función a este análisis se pudo determinar las posibles soluciones al problema.Posteriormente se realizó las mediciones de ruido con un sonómetro en el área de autoclavado e incineración y como resultado se obtuvo que las áreas que están por encima del límite permisible son el área de autoclavado y el área de incinerado.También se realizo la medición de la temperatura con un termómetro laser FLUKE, en las áreas de selección de materia prima, almacenamiento temporal, autoclavado e incinerado y se obtuvo como resultado que en las areas de autoclavado e incinerado sobrepasan los límites permisibles de temperatura adecuada.Con los resultados se procedió al cálculo para determinar la gravedad de los mismos.En la evaluación de riesgos se pudo observar que los principales riesgo que tiene la empresa RX son la falta de equipos de protección personal, las constantes situaciones de riesgo biológico, temperaturas altas, la falta de ventilación, la inhalación de gases y el riesgo de vapores calientes y la falta de conocimiento a cerca de Seguridad Industrial.Teniendo toda la evaluación concluida se procedió al diseño del Plan de Seguridad e Higiene Industrial para la empresa MANEJO DE RESIDUOS “RX” que contiene 8 módulos:·       MODULO I: ORGANIZACIÓN DE LA SEGURIDAD·       MODULO II: PROGRAMA DE CAPACITACION·       MODULO III: PROGRAMA PARA PREVENCION DE RIESGOS·       MODULO IV: PROGRAMA PARA LA DOTACION DE EQUIPOS DE PROTECCION·       MODULO V: MANUAL DE PRIMEROS AUXILIOS·       MODULO VI: PROGRAMA CONTRA INCENDIOS·       MODULO VII:PROGRAMA ANTE CONTINGENCIAS·       MODULO VIII: PROGRAMA DE SEÑALIZACIONEste Plan de Seguridad y Salud Ocupacional Industrial mejorara las condiciones de trabajo de los empleados, mejorando el clima de trabajo haciendo su labor más segura y eficiente, reduciendo los accidentes, brindándoles capacitación en cuanto a seguridad industrial, dotándoles de equipos de protección personal indispensables.También la sociedad y el medio ambiente son muy beneficiados con este plan ya que se  puso como prioridad el cuidado del medio ambiente, tomando todas las previsiones del caso y por ende velando el cuidado y la salud de la sociedad.Se determinó el presupuesto de implementación tomando en cuenta los costos de cada modulo, se planteo una matriz tentativa de implementación en el cual se determinan las actividades a seguir en un tiempo determinado.Se concluyo que se debe realizar la contratación de un Jefe de Seguridad e Higiene Industrial que tenga sólidos conocimientos a cerca de la Seguridad Industrial, para que este ponga en marcha el Plan de Seguridad e Higiene Industrial para la empresa MANEJO DE RESIDUOS “RX”.</t>
  </si>
  <si>
    <t>https://drive.google.com/file/d/1rfKaFYSGPfrECnJpUQLNp7mRo9jb5EnR/view?usp=sharing</t>
  </si>
  <si>
    <t>https://drive.google.com/file/d/1qdM3aamWm9Xlvh6zYrBxpVKxicnjnDy7/view?usp=sharing</t>
  </si>
  <si>
    <t>https://drive.google.com/file/d/1_ZnaWMC95xMOrdjCXp1oaMwHoXohVRuP/view?usp=sharing</t>
  </si>
  <si>
    <t>ARIEL ROBY ANCALLE FERNÁNDEZ</t>
  </si>
  <si>
    <t>OPTIMIZACIÓN DEL PROCESO PRODUCTIVO DE LA EMPRESA MANUFACTURERA, ARTESANÍAS MERINO.</t>
  </si>
  <si>
    <t>robyanfer@gmail.com</t>
  </si>
  <si>
    <t>IND-616-2013</t>
  </si>
  <si>
    <t>ARTESANÍAS MERINO, Productividad, Balanceo de línea, Ingeniería de métodos, línea de producción, Cueros camélidos, peletería.</t>
  </si>
  <si>
    <t>El proyecto fue realizado, para mejorar el proceso productivo de la empresa manufacturera artesanal Artesanías Merino. Para ello primeramente se identificó un problema fundamental que conlleva a la empresa, que es el de tardar mucho tiempo en la elaboración de sus productos, en especial los productos como ser las colchas y alfombras. Se identificó la baja productividad en la producción y en la parte económica, por tener gastos altos en pagos de salarios y no tener una planificación de la producción, no contar con un horario establecido para los trabajadores ya que ellos trabajaban a destajo (pago por producto terminado), el solo acabar una cantidad de 8 unidades por semana y usar mucho tiempo, se vio la necesidad de hacer un estudio del trabajo, y así poder identificar las causas y encontrar una mejor forma de elaborar los productos, dando así una disminución de los tiemposPara ello se pudo identificar los siguientes objetivos específicos:1)     Diagnostico general de la empresa.- saber cómo se encontraba en forma interna y externa la empresa. Selección del producto para su análisis.2)     Análisis de las operaciones y la forma en que elabora el producto3)     Se realizó el estudio del trabajo (ingeniería de métodos y medición del trabajo)4)     Se ejecutó un balanceo de línea y así se determinó la mejor forma de elaborar el producto. (línea de producción)5)     Se elaboró un procedimiento, con instructivos para le implementación de la propuesta, “plan de mejora”.MetodologíaPara llevar a cabo esos objetivos se hizo el diagnostico con el análisis F.O.D.,A. diagrama de pescado. Se determinó como el mejor producto a la Colcha rectangular de Alpaca con figuras geométricas, y sobre el mismo se hizo el estudio.Para poder entender un análisis de un actual y un propuesto. Se aplicó el estudio del trabajo como base fundamental, teniendo estas dos bases importantes como ser; a)     Estudio de métodos, generando los diagramas y cursogramas para poder recabar la información de cómo se elabora el producto y donde se encuentran las falenciasb)     Medición del trabajo, el análisis de tiempos y movimientos y el balanceo de línea que definió una mejor forma de elaborar y cambiar la forma de hacer el producto. para ello se planteó una línea de trabajo (4 trabajadores elaboraran el mismo producto, trabajo en línea estandarizado) para el propuesto.Planteando una comparación y dando un resultado de una eficiencia del 99 % en el nueva línea de producción, posteriormente planteando un Plan de Mejora en un procedimiento para su implementación y posterior control del mismo. Planteando a la empresa:A.    Línea de producción para la elaboración de la colcha de Alpaca de tamaño rectangular. Acabado del producto en menos tiempo y con menos recursos humanos. dando como resultado en la productividad del 4 % de incremento. Y del 33% de productividad económica de disminución de gastos en salariosB.    Planteando una diferente estructuración de la planta al aplicar la línea de producción.C.    Planificación en cuanto a la producción.D.    Dando a la empresa de diagramas, cursogramas, procedimientos y análisis para entender en forma más clara de las ventajas y desventajas de la forma de producción.Conclusiones y recomendacionesSe concluyó que hay un incremento de la productividad en forma productiva y económica, mejorando los ingresos para la empresa. Estableciendo horarios y salarios fijos para los trabajadores.Con la ayuda de ingeniería de métodos se encontró una forma más rápida de elaborar el producto, proponiendo la implementación de la línea de producción.Aplicación para la empresa al tener información del estudio.Se recomienda implementar el procedimiento del plan de mejora, para poder encontrar los resultados planteados.Recomendación de tener un proceso de curtido para así tener listo el material camélido para la elaboración de la Colcha de Alpaca.</t>
  </si>
  <si>
    <t>https://drive.google.com/file/d/1mWiLnpMtuSfDqkM7Oh-o-mSA4po8eQTW/view?usp=sharing</t>
  </si>
  <si>
    <t>https://drive.google.com/file/d/1hLcvtKX-qo16TfdOvN-vytx7j5cAhLQi/view?usp=sharing</t>
  </si>
  <si>
    <t>https://drive.google.com/file/d/1i9m-TeHXJGj5z9tSzMSK5qSpqy9eJ-BP/view?usp=sharing</t>
  </si>
  <si>
    <t>ANA CRISTINA ALDUNATE MENDOZA</t>
  </si>
  <si>
    <t>ING. MARCELA DÁVALOS CRESPO</t>
  </si>
  <si>
    <t>SISTEMATIZACIÓN DE LOS PROCESOS DE FABRICACIÓN DE CUATRO NUEVOS PRODUCTOS     DE LA EMPRESA CIFEMA S.A.M.</t>
  </si>
  <si>
    <t>criss_tyy@hotmail.com</t>
  </si>
  <si>
    <t>IND-617-2013</t>
  </si>
  <si>
    <t>Sistematización de procesos, Hojas de procesos, Sistema     de calidad, Manual de procedimiento, Manual de calidad</t>
  </si>
  <si>
    <t>Es importante considerar los avances tecnológicos que se van desarrollando en el campo de la agricultura. En tal sentido la empresa CIFEMA S.A.M. se centra en ayudar a los agricultores del occidente del país en sus tareas de preparación de las tierras, siembra, cosecha y post-cosecha, con implementos y equipos adecuados para su medio geográfico; equipos con una mayor vida útil y más efectivos que dan como resultado un aumento de la productividad. Recientemente, la empresa viene desarrollando nuevas maquinarias dirigidas a satisfacer las necesidades de los agricultores que solicitan cada vez más modernos y mejores implementos de trabajo.OBJETIVO GENERALOBJETIVOS ESPECÍFICOS·       Elaborar los estándares de materia prima. Se determinó mediante mediciones y observación la cantidad y tipo de material utilizado para cada proceso.  ·       Analizar y optimizar los tiempos de trabajo para los procesos clave de fabricación. Se determinó mediante entrevistas y observación a los operarios los tiempos de las operaciones clave y luego realizó un análisis y una optimización de los mismos.  ·       Desarrollar un sistema de control de calidad. Se realizó un control de calidad de las piezas más importantes de cada máquina.·       Desarrollar manuales de procedimientos y manuales de calidad. Se los realizó  para que sean utilizados por personal de producción.·       Cuantificar  el  costo / beneficio de la implementación de las recomendaciones que surjan de este proyecto. METODOLOGÍAPaso 1. Recopilación inicial de información. Se realizó una recopilación inicial de información por medio de observaciones e investigaciones en conjunto con los archivos de la empresa CIFEMA S.A.M.  y así se analizó la situación actual de la empresa.Paso 2. Definición del problema. Luego de realizar el análisis inicial de la empresa se procedió a realizar un análisis más profundo en los puntos donde se encontraron dificultades dentro de los procesos de la empresa y así se pudo definir el problema central que origina esas dificultades.Paso 3. Definición del objetivo general y objetivos específicos. Una vez definido el problema central de la empresa CIFEMA S.A.M., se pudo establecer tanto el objetivo general como los objetivos específicos para dar solución al problema anteriormente establecido.Paso 4. Levantamiento de datos. Se realizó un levantamiento de datos reales dentro de la empresa conforme a lo necesario planteado en los objetivos específicos.Paso 5. Procesamiento y análisis de datos. Se procedió a la aplicación de diferentes herramientas de la Ingeniería Industrial para poder realizar un análisis cuantitativo y cualitativo de los datos obtenidos.Paso 6. Planteamiento de soluciones. Una vez realizado el análisis de los datos se plantearon posibles soluciones a los problemas parciales, para presentar una posible solución al problema central definido anteriormente.RESULTADOSCONCLUSIONES ·        Se realizó un estándar de materia prima y el levantamiento de datos de campo para estandarizar los procesos. ·        Se introdujo un Sistema de Calidad. ·        Se desarrolló una propuesta para optimizar el uso de los recursos humanos en la fábrica y al mismo tiempo reducir los tiempos de fabricación de los equipos. ·        Se logró reducir también el costo total.·        Se logró realizar el Manual de Procesos como el Manual de Calidad.RECOMENDACIONES·        Realizar un re-ordenamiento de la planta. ·        Separar dentro lo posible el área de preparado de material, del área de ensamblado.·        Designar un número de operarios para preparado del material en general, para todas las líneas de producción de la empresa.</t>
  </si>
  <si>
    <t>https://drive.google.com/file/d/1wPy4Zh0xIaUnO2zRg3UVZCvuPmHccUBt/view?usp=sharing</t>
  </si>
  <si>
    <t>https://drive.google.com/file/d/153dqPmtR3CAF8-Ho6n01yURZTcI7hbeS/view?usp=sharing</t>
  </si>
  <si>
    <t>https://drive.google.com/file/d/1g4i8Glme_u54OrU0Z4AanqvJvabKXo00/view?usp=sharing</t>
  </si>
  <si>
    <t>MARIOLY FARADITH GONZALES AMURRIO</t>
  </si>
  <si>
    <t>ESTUDIO DE FACTIBILIDAD PARA LA IMPLEMENTACIÓN DE UNA LÍNEA PRODUCTIVA DE TORTILLAS PARA LA CORPORACIÓN INDUSTRIAL DILLMANN S.A.  - CORDILL S.A.</t>
  </si>
  <si>
    <t>mariolyfaradith@hotmail.com</t>
  </si>
  <si>
    <t>IND-618-2013</t>
  </si>
  <si>
    <t>Planta Productora de Tortillas, Productividad, Nixtamalización, Estudio de Mercado, Evaluación Económica y Financiera.</t>
  </si>
  <si>
    <t>En el presente proyecto se aboco al estudio de factibilidad para la implementación de una línea productiva de tortillas para el mercado cochabambino. El objetivo del mismo es demostrar técnica y financieramente la posibilidad de implementación de la planta, así como determinar los procesos tecnológicos a utilizarse para la transformación de la materia prima e insumos.Se procedió a un estudio de mercado en la provincia Cercado de la ciudad de Cochabamba para ver la demanda, oferta, precio; datos que nos sirvieron principalmente para obtener el mercado potencial de consumidores de tortillas y la capacidad de la planta.Seguidamente se estableció que la localización del proyecto será dentro las instalaciones de la empresa CORDILL S.A., ya que se cuenta con espacio suficiente para la instalación de la planta tortillera.Por medio de la ingeniería del proyecto se determinaron los procesos a ser utilizados en la elaboración de las tortillas, identificándose la maquinaria, los diferentes equipos y herramientas, además de la infraestructura con los requerimientos exigidos para cada área de la planta.Para la conclusión del proyecto se estableció el organigrama y las funciones del personal de la futura planta, además de establecer algunos requerimientos legales para su funcionamiento.De la evaluación financiera se concluyó: VAN = 519.807,51 Bs., TIR= 27% y una relación de B/C= 1,74. Dado una inversión de 1.558.129 Bs., donde se concluye que la implementación del proyecto es factible desde el punto de vista financiero y técnico.Y finalmente se realizó una identificación de los impactos ambientales en base a la guía del Registro Ambiental Industrial (RAI).</t>
  </si>
  <si>
    <t>https://drive.google.com/file/d/1-SEG1VYZ9IdcqiU0hRFBBrgYrB5nSFPD/view?usp=sharing</t>
  </si>
  <si>
    <t>https://drive.google.com/file/d/1iiUJgWmXn4uX_LQ-Q12ipK8j6ivU-0OG/view?usp=sharing</t>
  </si>
  <si>
    <t>https://drive.google.com/file/d/18k2cf0N90n1EZetDc0q0SbhKj4pf5Hn5/view?usp=sharing</t>
  </si>
  <si>
    <t>CLAUDIA NOELIA MANCILLA AZURDUY</t>
  </si>
  <si>
    <t>ING. JOSÉ LUIS ALISS DAVID</t>
  </si>
  <si>
    <t>ESTUDIO DE FACTIBILIDAD PARA LA CREACIÓN DE UNA PLANTA DE CONSERVAS VEGETALES EN LA CIUDAD DE COCHABAMBA.</t>
  </si>
  <si>
    <t>clanomaz@hotmail.com</t>
  </si>
  <si>
    <t>IND-619-2013</t>
  </si>
  <si>
    <t>Planta Productora de Conservas Vegetales, Productividad, Análisis de Pareto, Flujo de Fondos.</t>
  </si>
  <si>
    <t>El estudio de factibilidad fue realizado para ver la posibilidad de introducir al mercado Cochabambino el producto de conservas vegetales. Las conservas son una alternativa para la dieta alimentaria, ya que son prácticos de preparar y pueden ser guardados por más tiempo, tratando de mantener todas sus propiedades posibles. Su obtención favorece  desde los proveedores de materia prima, así como todas las personas involucradas en el proceso, dando lugar a un incremento de fuentes de empleo, desarrollo de la región y ganancia de recursos económicos de ambos sectores.Las conservas escogidas según el estudio de mercado fueron: Conserva de Champiñón, Conserva de Esparrago y Conserva de Frijoles, al ser las mas demandadas según las encuestas realizadas.El estudio se limito a la zona urbana de la ciudad de Cochabamba, la población masculina, como femenina mayor a 18 años, que frecuenta supermercados y mercados en general.El precio que el consumidor estaría dispuesto a pagar esta comprendida entre 21 a 30 Bolivianos, en contenidos de 500gr. La empresa elaborará 11673 enlatados de espárragos, 13132 enlatados de frijoles y 16050 enlatados de champiñones al año, a principio utilizara el 60% de su capacidad y los posteriores años ira aumentanto un 10% por año.La evaluación financiera, mostro que el producto es viable, pero no es sustentable ante cambios y es mucho mas sensible ante cambios en el precio de MP, ya que este tipo de empresas generan un gran porcentaje de desperdicios que van alrededor del 50%, por lo que estos mismos desperdicios al ser orgánicos serán vendidos generando ingresos adicionales para poder sustentar la empresa. La empresa adquirirá equipos y maquinaria de acuerdo con las características necesarias para la producción. Por ser una empresa nueva se realizaron inversiones de activo fijo, activo diferido y se consideró las depreciaciones correspondientes para cada activo.En la evaluación financiera realizada, se pudo constatar que el proyecto es rentable, reportando los siguientes resultados.VAN = 22.190,70 TIR =  6%La evaluación de impacto ambiental social concluye que el proyecto es ecológicamente compatible, por lo que tiene impactos negativos en una escala baja. Con el proyecto se pretendió ofrecer otra alternativa practica a la alimentación diaria, de tal manera que las personas puedan ahorrar su tiempo y consuman mas vegetales que son muy favorables para su salud.</t>
  </si>
  <si>
    <t>https://drive.google.com/file/d/1DISW-gwLoN8JPbisabpYaoRFdA9xQgoC/view?usp=sharing</t>
  </si>
  <si>
    <t>https://drive.google.com/file/d/1ZvPegkEfQTg1AxsdHIdcFivZjuMs1fLO/view?usp=sharing</t>
  </si>
  <si>
    <t>https://drive.google.com/file/d/18kn0wnR2351QetUQuh2SvoW8m6RXcGFI/view?usp=sharing</t>
  </si>
  <si>
    <t>GUIDO ZAPATA ORELLANA</t>
  </si>
  <si>
    <t>ING. JUAN CARLOS VARGAS REINAGA</t>
  </si>
  <si>
    <t>ESTUDIO DE MÉTODOS PARA EL MEJORAMIENTO DEL SISTEMA PRODUCTIVO DE LA EMPRESA DE MOBILIARIO MOBISTAR BOLIVIA</t>
  </si>
  <si>
    <t>gzo_mk_@hotmail.com</t>
  </si>
  <si>
    <t>IND-620-2013</t>
  </si>
  <si>
    <t>Estudio de Métodos, mobiliario, mejoramiento del sistema productivo, evaluación de métodos, optimización del proceso, distribución de planta, plan de implementación, monitoreo.</t>
  </si>
  <si>
    <t>El Estudio de Métodos que se realizó sobre el sistema productivo actual, comenzó con la identificación de los recursos disponibles para la elaboración de mobiliario, para luego definir los estándares para la producción de un tipo de mobiliario.</t>
  </si>
  <si>
    <t>https://drive.google.com/file/d/1qwO0qvMOSNZ4H2RBnLt3rAfvOdz6Zrp5/view?usp=sharing</t>
  </si>
  <si>
    <t>https://drive.google.com/file/d/1Fe-I2C-rHgs9iugjJIrqI-4jHYDc3lUA/view?usp=sharing</t>
  </si>
  <si>
    <t>https://drive.google.com/file/d/1SNCv4pqCvN3jdA4Eh3jOxkk2FhPGwf05/view?usp=sharing</t>
  </si>
  <si>
    <t>CANO GARCÍA ANDREA IVANA</t>
  </si>
  <si>
    <t>CARRASCO MERCADO GLORIA JAEL</t>
  </si>
  <si>
    <t>ING. CARLOS GONZALO ACEVEDO PEÑA</t>
  </si>
  <si>
    <t>DISEÑO DE UN SISTEMA DE GESTIÓN DE CALIDAD BASADO EN LA NORMA ISO 9001 VERSIÓN 2008 PARA LAS PRINCIPALES ÁREAS OPERATIVAS DE LA EMPRESA PÚBLICA SEMAPA</t>
  </si>
  <si>
    <t>andrea_cano_g@hotmail.com</t>
  </si>
  <si>
    <t>IND-621-2013</t>
  </si>
  <si>
    <t>SEMAPA, Diseño de un Sistema de Gestión de Calidad, Norma ISO 9001:2008, Enfoque basado en procesos</t>
  </si>
  <si>
    <t>El diseño del Sistema de Gestión de Calidad para SEMAPA constituyó en una herramienta de apoyo la cual contribuirá al trabajo dentro de la empresa con una cultura enfocada en la calidad, ya que se aplicaron un conjunto de principios de gestión de calidad, con un fuerte enfoque en la satisfacción del cliente, la motivación del personal, la implicación de la alta dirección, el enfoque de procesos y la mejora continua. Se realizó una evaluación de la situación actual de la empresa, se usó como herramienta principal la entrevista abierta, y la lista de verificación de los requisitos de la Norma ISO 9001:2008, lo que permitió identificar todos los aciertos y deficiencias de la empresa respecto a los requisitos de la Norma ISO 9001:2008, así como definir las acciones a tomar para el cumplimiento de los mismos. A continuación se analizó cada uno de los procesos que forman parte del Sistema de Gestión de Calidad mediante la caracterización y la elaboración de un Mapa de dichos procesos, lo cual hizo posible el desarrollo de la documentación general y específica de la empresa. Se realizó un Plan de Implementación que concreta una propuesta de ejecución a través de una planificación operativa para una futura implementación del Sistema de Gestión de Calidad, donde se determinaron las actividades y tareas a seguir, responsables involucrados, periodos de ejecución, recursos necesarios y los controles a realizar para dicha implementación. Finalmente, se realizó un análisis de costos del proyecto, traduciendo los problemas de la no calidad en la empresa en términos monetarios, se cuantificaron los Costos de la Calidad y de la Mala Calidad en dos escenarios, el primero asumiendo el funcionamiento de la empresa bajo las condiciones actuales y el segundo asumiendo la implementación del SGC, para así comprender los beneficios que brindaría una futura implementación de un Sistema de Gestión de Calidad. Considerando que la Norma se centra en todos estos elementos esenciales con los que la empresa debe contar para tener un sistema efectivo que le permita administrar y mejorar la calidad de sus productos o servicios con el fin de satisfacer al cliente; el diseño de un sistema de gestión de calidad para la empresa SEMAPA representa un gran aporte para la mejora de la organización</t>
  </si>
  <si>
    <t>https://drive.google.com/file/d/1EHRiDKjgzOXQJ6woAf1y2x3niYL_hqS2/view?usp=sharing</t>
  </si>
  <si>
    <t>https://drive.google.com/file/d/1jxtP3TqDBVit8dn7xcVBIC-s8Zjg1rWm/view?usp=sharing</t>
  </si>
  <si>
    <t>https://drive.google.com/file/d/1axgN3vxTd3PUbCQvqWJW-EAc8BWei5rH/view?usp=sharing</t>
  </si>
  <si>
    <t>JAIME RICARDO GARCÍA BERRIOS</t>
  </si>
  <si>
    <t>ING. JUAN RUBÉN GARCÍA MOLINA</t>
  </si>
  <si>
    <t>MODELO DE GESTIÓN OSHA PARA LA PLANTA DE COBOCE CERAMICA.</t>
  </si>
  <si>
    <t>garciajaimericardo@hotmail.com</t>
  </si>
  <si>
    <t>IND-622-2013</t>
  </si>
  <si>
    <t>Planta Planta de Coboce – Cerámica, Modelo de Gestión, Osha</t>
  </si>
  <si>
    <t>La Gerencia de la Unidad Productiva COBOCE CERÁMICA a razón de su ideología “Tradición de Calidad”,  ha visto por conveniente realizar un estudio de Salud e Higiene Ocupacional en sus instalaciones como parte de un plan para contar con la certificación de la Norma OSHA: 18000 y de esta manera mejorar las condiciones de Salud y Procedimientos seguros para todo el personal de la Unidad Productiva. Primeramente se realizó un diagnóstico de la situación actual del total de las instalaciones de la Unidad Productiva de COBOCE – CERÁMICA, y se recabo la información disponible acerca de las actividades, procesos de las actividades, la organización actual de la Unidad. Todo ello con el fin de conocer el estado actual, a todo nivel, de las condiciones en las que se encuentra la Unidad en materia de Seguridad Ocupacional a través del diagrama de observaciones visuales  y entrevistas al personal. En función a este análisis se podrá determinar las posibles soluciones al problema.También se realizó el Análisis de la Organización de la Unidad de COBOCE - CERÁMICA con referencia a su jerarquía dentro el organigrama, como además de sus competencias y tareas actuales. Se registro y se observo claramente cuales son las condiciones de Seguridad y Salud Ocupacional en cada una de las secciones que componen la Unidad, tanto en los procedimientos característicos del puesto de trabajo, como también de las condiciones ambientales, para esta medición se usara la técnica del entrevista. En el siguiente paso se procedió a la tabulación de todos los riesgos encontrados, identificándolos por sección, actividad en los que se presentan dichos riesgos. Además, se procedió a calcular el Nivel de Riesgo. Lo que es mas, se identifica la fuente de estos riesgos.El análisis de los datos muestra la Sección del Laboratorio en la que mayor Nivel de Riesgo presenta , luego, La mayor fuente o causa de accidentes y no conformidades se da a raíz del factor humano y que el Nivel de Riesgo mas predominante en estas instalaciones es la de Moderado.A raíz de este análisis, se procedió a la elaboración de la documentación necesaria para que por medio de su aplicación, se puedan minimizar y en el mejor de los casos eliminar las situaciones riesgosas halladas con anterioridad. Esta documentación comprende desde niveles organizativos, como Planes, Programas, Reglamentos,  y también el nivel operativo, a través de Manuales, Procedimientos, Guías y Manuales de Entrenamiento, logrando de esta manera, la mejora en el desenvolvimiento  de las actividades así como también una nueva Propuesta de Estructuración del Departamento de Seguridad Industrial en planta.Se calculó el monto de inversión que es necesario para poder llevar a cabo esta propuesta, observándose que la implementación de esta propuesta no representa una carga económica para la empresa, mas al contrario, representa una ventaja competitiva.</t>
  </si>
  <si>
    <t>https://drive.google.com/file/d/1j_FpwPCPGeOyyZke_8_F4lRmWvNNhdL9/view?usp=sharing</t>
  </si>
  <si>
    <t>https://drive.google.com/file/d/1JS8AC5mUQcoazaoaF8GCLBBBvhz70CRU/view?usp=sharing</t>
  </si>
  <si>
    <t>https://drive.google.com/file/d/14jJ75lH4s5zFl_3KFl1ZrLiy3isDKmKI/view?usp=sharing</t>
  </si>
  <si>
    <t>CARLOS EDUARDO CADIMA ZEBALLOS</t>
  </si>
  <si>
    <t>MODELO DE PLANIFICACIÓN Y CONTROL DE LA PRODUCCIÓN PARA LA EMPRESA “PRODUCTOS NATURALES ANDES”</t>
  </si>
  <si>
    <t>Carlos_bass15@hotmail.com</t>
  </si>
  <si>
    <t>IND-623-2013</t>
  </si>
  <si>
    <t>productos naturales ANDES, Productividad, Planificación y control de la producción (PCP).</t>
  </si>
  <si>
    <t>ANDES es una pequeña empresa que se dedica a la producción y distribución de productos naturales como ser condimentos, hierbas aromáticas, frutas secas , grageas entre otros. Los cuales son utilizados por las amas de casa, reposteras y personas relacionadas al hogar, cocina y repostería.Estos productos son elaborados en la ciudad de La Paz y así mismo comercializados en Supermercados y micro mercados de esta ciudad, estos productos son a base de productos naturales provenientes de diversas partes de Bolivia en su mayoría, de Los yungas de La Paz y de la ciudad de Cochabamba.Para esta pequeña empresa se hizo una descripción y diagnóstico, ya que a través de este se puede determinar las limitaciones o falencias y ventajas u oportunidades para poder tomar decisiones estratégicas que ayuden en un futuro a Andes a ser una empresa más competitiva en el rubro. Como resultado del análisis se tiene la implementación de una planificación y control de la producción.Para los productos Andes se ha visto necesaria la proyección de demanda, para lo cual se utilizó varios métodos conforme al tipo comportamiento que tenían los datos separados por tipos de productos, esta proyección es el punto de partida para la realización de inventarios, modelos de abastecimientos y plan de producción.En el estudio se determina el mejor modelo de para gestionar inventarios. El cual nos da referencias para el manejo de almacenes, una vez asegurada la disponibilidad de insumos se pasa a la elaboración del plan de producción en función a la demanda del mercado.Con los datos de demanda, los insumos, mano de obra y capacidades de producción, se realizan planes de producción de los cuales se elige el más adecuado, que cumpla con los requisitos del mercado.Finalmente se realiza el control de la producción, para lo cual primeramente se explica principios básicos como las 5 Ss o la mejora continua, bases para poder implementar un sistema de control en todo el proceso productivo, el control se lo realiza mediante llenado de registros, cumplimientos con fichas de especificaciones y derivando responsabilidades en las distintas áreas.</t>
  </si>
  <si>
    <t>https://drive.google.com/file/d/1dE0vYj8wjFzOeDo4cpgYquqtR6kuD_z5/view?usp=sharing</t>
  </si>
  <si>
    <t>https://drive.google.com/file/d/1TNNBkFyXXCYOMK485zOBWXlbfTb0Hbca/view?usp=sharing</t>
  </si>
  <si>
    <t>https://drive.google.com/file/d/1zSVGal50xhQ9KzjAlAGodlCga5GopiOZ/view?usp=sharing</t>
  </si>
  <si>
    <t>DAMARIS VELEZ VERÁSTEGUI</t>
  </si>
  <si>
    <t>DISEÑO DE UN SISTEMA DE CALIDAD BAJO LA  NORMA BOLIVIANA NB-ISO-IEC 17025:2005 PARA EL LABORATORIO DE SERVICIOS CAPN-UMSS</t>
  </si>
  <si>
    <t>damyta_princess@hotmail.com</t>
  </si>
  <si>
    <t>IND-624-2013</t>
  </si>
  <si>
    <t>Diseño, calidad, NB-ISO-IEC 17025:2005, Laboratorio de Servicios del  CAPN-UMSS.</t>
  </si>
  <si>
    <t>El Centro de Alimentos y Productos Naturales, de la Universidad Mayor de San Simón (CAPN-UMSS), es un centro de investigación, que desarrolla tres áreas, un área de investigación en tecnología de alimentos y nutrición, una segunda área de  apoyo a la enseñanza superior y una tercera  área de extensión, como son los servicios de control de calidad en alimentos, destinados principalmente a las industrias, instituciones gubernamentales y otros relacionados con el área de alimentos, de nuestro medio y a nivel nacional. Estos servicios son realizados en el Laboratorio de Servicios del CAPN-UMSS, que fue creado hace 26 años, con el objetivo de generar recursos económicos, a la fecha este Laboratorio de Servicios, se ha convertido en una institución, ampliamente reconocida a nivel regional y nacional, en el área de control de calidad en alimentos, contando a la fecha con su propia infraestructura y equipamiento. En el ámbito de mejoramiento de la calidad de ensayos en laboratorios, surge la ISO 17025:2005, “Requisitos generales para la  competencia de los laboratorios de ensayo y calibración”, que establece lineamientos y normativas, para asegurar la calidad técnica de los ensayos que realiza un laboratorio, para este fin establece dos puntos que son: el desarrollo de un sistema de gestión y el aseguramiento técnico de la calidad de los resultados de ensayo. El cumplimiento de estas normativas, permiten a un laboratorio de ensayos poder alcanzar una acreditación, bajo la norma ISO 17025:2005, a nivel nacional la institución que certifica y acredita, es la Dirección Técnica de Acreditación (DTA) del Instituto Boliviano de Metrología (IBMETRO).Con el objetivo de alcanzar una acreditación bajo la Norma ISO 17025:2005, en el Laboratorio de Servicios del CAPN-UMSS, se ha desarrollado el presente trabajo, donde en una primera instancia se ha realizado,  un  análisis de diagnóstico de la situación actual del Laboratorio de Servicios, el cual ha permitido identificar diferentes factores críticos, que han permitido planificar y diseñar un sistema de gestión y aseguramiento técnico de la calidad de los resultados de los ensayos, para el Laboratorio de Servicios CAPN-UMSS, bajo la normativa de la ISO 17025:2005. Estableciéndose  políticas, objetivos, metas y procedimientos para el funcionamiento de un sistema de gestión, enfocado bajo la ISO 9001:2008, en cambio para el aseguramiento técnico de los ensayos , se han establecido, normativas y procedimientos  técnicos, exigidos para laboratorios de ensayo, estableciéndose 12 procedimientos técnicos que responden a las normativas exigidas por la ISO 17025:2005.  Estableciéndose como documento central, de todo este proceso, el Manual de Calidad, donde se resumen las políticas, la estructura organizacional, el sistema de gestión y el aseguramiento técnico de la calidad de los resultados de ensayos, en los diferentes procedimientos establecidos.</t>
  </si>
  <si>
    <t>https://drive.google.com/file/d/1zXTKlXf1kN8v6SwE7ylmy8utQE259Ivy/view?usp=sharing</t>
  </si>
  <si>
    <t>https://drive.google.com/file/d/17K6e1GOM7E871I8P6F-baP6Nn_Eu3m-A/view?usp=sharing</t>
  </si>
  <si>
    <t>https://drive.google.com/file/d/1qWqSoQcKgCbWU1Mq8MIFCJfaArpu0uek/view?usp=sharing</t>
  </si>
  <si>
    <t>AGUIRRE CHAMBI EDDY</t>
  </si>
  <si>
    <t>LUQUE FLORES DANIEL</t>
  </si>
  <si>
    <t>ESTUDIO DE FACTIBILIDAD PARA LA IMPLEMENTACIÓN DE UNA PLANTA                         PROCESADORA DE QUINUA</t>
  </si>
  <si>
    <t>IND-624-2013-1</t>
  </si>
  <si>
    <t>Producción, Quinua, Escarificado, Despedregado, Secado, Evaluación Financiera, Análisis sensibilidad, Evaluación Impacto Ambiental.</t>
  </si>
  <si>
    <t>Graneado de quinua, es un producto elaborado en base de los granos de quinua, este producto tiene aplicación en la Industria Alimentaria, indicado para personas con niveles de desnutrición, uno de sus atributos más importantes es que tiene todo el amino-ácido esencial y minerales, muy superior al de los cereales clásicos. Para este producto se hizo un sondeo de mercado y un plan de marketing, por lo que se determinó que la mayor parte de la población consume el producto en diferentes formas (graneados, sopas, galletas, hojuelas). También se realizó el proceso productivo  para cada etapa, de la que se concluyó en la parte de la línea de, escarificado y secado es el más correcto.Se ha realizado la planificación de la producción y la capacidad instalada de la planta, tomando en cuenta la capacidad de producción, disponibilidad de mano de obra, tiempo y aprovisionamiento de la materia prima, llegando a la conclusión de que se tiene capacidad disponible de producción en función  a la capacidad de la planta.La localización fue obtenida a través de una evaluación cualitativa y cuantitativa de puntos, donde se analizaron 3 micro-localizaciones, escogiendo el puntaje mayor correspondiente al municipio de Sipe Sipe segunda sección de la provincia de Quillacollo. La Ingeniería del proyecto se la realizó adecuando la tecnología a nuestro medio. Posteriormente se estimaron los costos para la implementación y ejecución de la planta. Con toda la información de costos se procedió a la preparación de esta información para realizar el respectivo análisis financiero usando indicadores como el TIR, VAN, R B/C y Recuperación del Capital. Se sometió el flujo a un análisis de sensibilidad para  las variables más influyentes. Concluyendo que el proyecto es rentable. Finalmente se realizó la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</si>
  <si>
    <t>https://drive.google.com/file/d/1wUNjNkYDi3IdP9CcgNW0skKLRsWEYHpw/view?usp=sharing</t>
  </si>
  <si>
    <t>DENIS MARCELO MOLLINEDO COSSÍO</t>
  </si>
  <si>
    <t>ESTABLECIMIENTO DE UN SISTEMA DE GESTIÓN DE LA SEGURIDAD Y SALUD OCUPACIONAL EN BASE A LA NORMA NB OSHAS 18001, EN LAS INSTALACIONES DEL TALLER DE PRODUCCIÓN DE LA EMPRESA MANACO S.A.</t>
  </si>
  <si>
    <t>mollinedo.marcelo25@gmail.com</t>
  </si>
  <si>
    <t>IND-625-2013</t>
  </si>
  <si>
    <t>Sistema de Gestión de la Seguridad y la Salud Ocupacional, NB OHSAS 18001, Identificación de Peligros y Evaluación de Riesgos, MANACO S.A.</t>
  </si>
  <si>
    <t>Para dar inicio a este proyecto primeramente se consulto toda la información necesaria en materia de seguridad y salud ocupacional, también se hizo una revisión a la norma NB OHSAS 18001 publicado por Ibnorca en nuestro medio y finalmente se analizo la legislación aplicable en materia de prevención de riegos en nuestro país, en este último análisis se verifico que actualmente la Ley Nº 16998 Ley de Higiene, Seguridad Ocupacional y Bienestar es de aplicación obligatoria para la organización.Una vez obtenida toda la información necesaria en materia de seguridad y salud ocupacional, se procedió a recabar la documentación necesaria de la empresa MANACO S.A., primeramente se hizo un informe sobre los datos generales de empresa y sobre el proceso de producción para la fabricación del calzado en la Taller de Producción de la organización. Para profundizar la información obtenida en el proceso de producción se creó un registro para describir los puestos de trabajo en la organización, este registro suministro datos esenciales como las actividades que se realizan, los equipos y herramientas utilizadas, la materia prima e insumos, las características del puesto de trabajo, las medidas correctivas ya implementadas por la organización antes del trabajo realizado y registrar algunas observaciones que son importantes al momento de identificar y evaluar los riesgos laborales. Para completar la información necesaria de la organización se hizo una revisión a todos los documentos registrados hasta ahora en la empresa y también datos sobre la infraestructura, tipos de energía que se utilizan, datos meteorológicos que pueden afectar la zona, y finalmente datos del sistema de respuesta ante una emergencia. Tomando como base la información obtenida y mediante el método del árbol de problemas se pudo identificar que el problema principal en materia de prevención de riesgos en la empresa es la Inexistencia de un Sistema de Gestión de Seguridad y Salud Ocupacional. Por lo cual el objetivo general fue el de establecer un sistema de gestión de seguridad y salud ocupacional en base a los requisitos de la norma NB OHSAS 18001. La metodología aplicada para este trabajo tiene tres etapas: La primera etapa fue de realizar un diagnostico de la situación actual de la empresa en materia de seguridad y salud ocupacional, la cual implica la obtención de información de la organización, una evaluación de cumplimiento de los requisitos del sistema de gestión requerido por la norma NB OHSAS 18001, una evaluación de cumplimiento de los requisitos legales aplicables en el país y la identificación de peligros, la evaluación de riesgos y la determinación de controles para minimizar los riesgos evaluados.Para realizar la identificación de peligros y evaluación de riesgos se utilizó el método INSHT, puesto que es un método sencillo con un criterio de evaluación simple y detalla el grado de riesgo evaluado para poder determinar el tiempo de actuación para minimizar el riesgo.La determinación de controles se realizo de acuerdo a la jerarquización que impone la norma NB OHSAS 18001: Eliminación, sustitución, control de ingeniería, señalización – controles administrativos y el equipo de protección personal.Para complementar la evaluación de riesgos se elaboraron los procedimientos de análisis y medición del nivel de ruido y de iluminación y un procedimiento para el análisis y evaluación de riesgos psicosociales. La segunda etapa implica el diseño del Sistema de Gestión de Seguridad y Salud Ocupacional, en base la norma NB OHSAS 18001. Se definió que requisitos estaban siendo cumplidos por la organización y cuáles no. De acuerdo a la necesidad se realizaron los diferentes procedimientos y registros, los cuales fueron detallados en un manual de procedimientos. La tercera etapa de este trabajo es el de la implementación de la primera fase del Sistema de Gestión. La implementación de la primera fase consistía en el establecimiento de aquellas actividades que no requerían la inversión de recursos económicos de consideración, por ejemplo: obtención registros, generar la propuesta de medidas correctivas en base a la evaluación de riesgos, implementar y mantener procedimientos para el control de riesgos, realizar una evaluación de los niveles de ruido e iluminación, una evaluación de riesgos psicosociales y realizar el seguimiento respectivo.Finalmente se preparo una evaluación económica para poder certificar el sistema de gestión de seguridad y salud ocupacional propuesta,  se definió que serán necesarios 13222 $us. Se concluyo que la situación de la organización sin un sistema de gestión de seguridad y salud ocupacional implementada resulta un cumplimiento del 49,52%. Sin embargo implementando el sistema de gestión realizado en este trabajo la organización alcanzo un cumplimiento 96,19%.</t>
  </si>
  <si>
    <t>https://drive.google.com/file/d/1lFfpXe8ItEngkf8gKuU5h19MaldlqbQF/view?usp=sharing</t>
  </si>
  <si>
    <t>https://drive.google.com/file/d/11xTJLkuQAyPm8_VxnX3aqOc8Wg1AEQ_L/view?usp=sharing</t>
  </si>
  <si>
    <t>https://drive.google.com/file/d/10EK9eu4mkrUb_sOSeykJeAEB4PN0JirS/view?usp=sharing</t>
  </si>
  <si>
    <t>GARCIA USTARIZ MARCELO WALTER</t>
  </si>
  <si>
    <t>SISTEMA DE REDUCCIÓN DE DESPERDICIOS MEDIANTE PROGRAMACIÓN DE OPERACIONES TIPO JAT-MRP, EN LA LÍNEA DE YOGURES DE PIL ANDINA S.A</t>
  </si>
  <si>
    <t>marceloso55@hotmail.com</t>
  </si>
  <si>
    <t>IND-626-2013</t>
  </si>
  <si>
    <t>Sistemas de prevención de riesgos MRP; Sistema de prevención de desperdicios JAT; Tiempo de rotación de la producción de un producto.</t>
  </si>
  <si>
    <t>El estudio enfrenta dos modos de encarar la planificación y el control de la producción, cuales son: el sistema MRP (por sus siglas en inglés) y el sistema JAT (por sus siglas en inglés). El primero dominado por las condiciones técnicas de la producción que posterga las indicaciones de la demanda de mercado, y la segunda al revés, que privilegia las orientaciones del mercado antes que las condiciones técnicas existentes para la producción.Cada uno de estos se presenta en un Marco Teórico según opiniones de distintas autores sobre la conveniencia o inconveniencia de adoptar uno u otro sistema, incluso sistemas combinados, en periodos como los actuales, de gran competitividad de mercado y altamente exigentes de eficiencia en el uso de los recursos productivos, trabajo y capital. Del marco teórico presentado se ha establecido que los sistemas de Planificación y control del tipo MRP son los que generan mayores desperdicios y pérdidas precisamente por desadaptación de la producción respecto al mercado que a su vez genera falta de correspondencia entre producción y existencias de productos para la venta respecto a pedidos del mercado de consumo, generados por condiciones técnicas inflexibles de la producción que se imponen incluso sobre la Planificación, y que, por el contrario, los sistemas JAT son las que tienden a generar procesos productivos eficientes por que tienden a reponer la correspondencia de la producción y existencias de productos para la venta con las exigencias del mercado, haciendo desaparecer las causas de las perdidas y desperdicios mediante la adaptación plástica y flexible de las condiciones técnicas de la producción a las condiciones de la demanda de mercado. Para establecer el sistema de planificación y control de la producción prevaleciente en la empresa, se ha efectuado un diagnóstico para detectar la naturaleza de los problemas existentes, desde distintos puntos de vista, mediante el que se ha establecido la falta de correspondencia de la producción y existencias de productos para la venta respecto a los pedidos de mercado y proyecciones de la planificación y su manifestación mediante stock out de productos y sobre existencias, que implican mayores inversiones de trabajo y capital para evitarlos y mitigarlos. Del diagnóstico se ha establecido la prevalencia en la empresa PIL de un sistema MRP de la producción respecto a otro JAT.En virtud al resultado del diagnóstico se ha establecido que la solución para disminuir y mitigar las potenciales pérdidas efectivas, es la adopción de un sistema JAT de la Planificación y Control de la Producción en la empresa, mediante la flexibilización de de la Producción, específicamente haciendo que ésta sea capaz de producir batchs de productos más pequeños, cuyos múltiplos se adapten con mayor precisión a las exigencias del mercado de consumo, al contrario que la producción de un gran batch, como en la situación de la producción actual, buscaría la adaptación del mercado a su tamaño, para aprovechar economías de escala, generando sobre-saltos y aflicciones inesperadas por salvar stock out o sobre existencias de productos en cualesquiera momentos, lo que desorganiza la ejecución de la planificación de la producción.. El trabajo cuantifica los desperdicios y finaliza mediante la presentación de los resultados esperados del funcionamiento de la empresa basado en la adopción de un sistema JAT de planificación y control de la producción.Se han cuantificado las ganancias provenientes de ahorro de capital de operación y de almacenamiento, ganancias de mercado, y de sitios de almacenamiento, tanto para el corto plazo como para el largo plazo, provenientes de la propuesta de mejoramiento.. Para el Corto Plazo: Ganancias por ahorro de Desperdicios de Capital (de operaciones y de almacenamiento) por el equivalente al 52.99% del producto considerado; Ganancias por ahorro de Desperdicios de Mercado por el equivalente al 5% del mismo; Ganancias de 45.10% de sitios de almacenamiento actualmente utilizados. Para el Largo plazo: Ganancias por ahorro de Desperdicios de Capital por el equivalente al 87.30%; Ganancias por ahorro de Desperdicios de Mercado por el equivalente al 0.25%; Ganancias expresadas en sitios de almacenamiento por 86.47% de los sitios utilizados en el momento analizado.</t>
  </si>
  <si>
    <t>https://drive.google.com/file/d/1gxoNq_idbHbXqhWINmktCo3HxcDilEwW/view?usp=sharing</t>
  </si>
  <si>
    <t>https://drive.google.com/file/d/1MwUk_P4O3jYXmSgvxFdmngWdKkZyU5uz/view?usp=sharing</t>
  </si>
  <si>
    <t>https://drive.google.com/file/d/1DvhFUiC-TuVFIu9Yb4Q7j2PE6KO7XEX8/view?usp=sharing</t>
  </si>
  <si>
    <t>KEYLA BETHEL LÓPEZ ROMERO</t>
  </si>
  <si>
    <t>OSCAR ROGER ZENTENO RIOS</t>
  </si>
  <si>
    <t>PLAN ESTRATÉGICO DE MARKETING PARA EL CENTRO DE CAPACITACIÓN INTEGRAL PRONOIA S.R.L</t>
  </si>
  <si>
    <t>keyla_7@hotmail.com</t>
  </si>
  <si>
    <t>IND-627-2013</t>
  </si>
  <si>
    <t>Centro de capacitación, Investigación de mercados, Estrategias, Marketing Mix, Evaluación Financiera.</t>
  </si>
  <si>
    <t>El plan estratégico de marketing que se desarrolló fue para el centro de capacitación integral PRONOIA S.R.L, para posicionar sus servicios en el mercado de Cochabamba, para dicho trabajo se utilizó las metodologías de Kotler &amp; Armstrong, Stanton y Lambin, los cuáles nos ayudaron a desarrollar las metodologías que seguimos en el trabajo.Se realizó un análisis del macro entorno del centro de capacitación tomando en cuenta los aspectos positivos y negativos que afectan su entorno, utilizamos las 5 fuerzas de porter para determinar las amenazas y el poder de negociación de proveedores y consumidores con los cuales se realizó un análisis FODA destacando cuales son las amenazas, oportunidades, debilidades y fortalezas del centro de capacitación.Se realizó la investigación de mercados mediante encuestas con un muestreo de tipo estratificado y aleatorio, realizadas a 3 segmentos de la población de Cochabamba que son: estudiantes a nivel bachillerato, estudiantes universitarios y profesionales del medio, a través del cual se pudo recolectar datos del perfil del consumidor, Identificar el perfil del consumidor, los servicios más demandados por los sectores, los medios de comunicación más concurridos, los precios de los servicios que se ofrecerían, un análisis de la demanda y de la oferta y la demanda efectiva  para cada sector.Para la ejecución del Proyecto se realizó la formulación de estrategias con matrices de aportación (Matriz EFE, MPC y EFI) con lo cual  se pudo denotar que el centro de capacitación no está aprovechando sus fortalezas para reducir sus debilidades, es decir que es débil internamente y no ceder dominio a la competencia con sus fortalezas y oportunidades y a la vez enfrentar las amenazas que provienen del medio. En cuanto a la etapa de conciliación  (Matriz FODA, PEYEA, IE y LA GRAN ESTRATEGIA) se determinó estrategias para implementar y desarrollar recursos adecuados para el posicionamiento del mismo, y finalizando la etapa de decisión el centro incursionara en nuevos mercados, deberá realizar la publicidad y marketing del servicio para captar la mayor cantidad de clientes potenciales entre los cuales están los universitarios y posibles profesionales y deberá desarrollar nuevos servicios pensando en la incursión de nuevos mercados y mejorando el servicio de capacitación actual.Se realizó las estrategias de marketing dando como resultado el precio de los servicios a incursionar en el mercado,  las tácticas de mercadotecnia a seguir, es decir el lanzamiento de los servicios serán a partir del mes de enero del año 2014, siendo así la publicidad mediante venta directa en universidades y predios de las empresas, haciendo uso de panfletos y la red social facebook, por medio de televisión (UNITEL) publicidad por periódico Los Tiempos.Una vez diseñado e implementado el proyecto se obtuvieron los resultados esperados, cumpliendo con los objetivos mencionados anteriormente. En cuanto a los estudios financieros y el análisis beneficio/costo, se pudo determinar que la realización del proyecto es viable por los resultados obtenidos.Recomendamos la implantación del presente plan estratégico de marketing, para el lanzamiento de estos servicios de capacitación y efectuar constantes controles periódicos, los cuales permitirán conocer y juzgar los resultados.</t>
  </si>
  <si>
    <t>https://drive.google.com/file/d/10bXUBpvdLygOsumiP1cGScj4a1PlKeFy/view?usp=sharing</t>
  </si>
  <si>
    <t>https://drive.google.com/file/d/1GYh5kXOx2qqJ3hL05gfF8oUOZaRyPZXU/view?usp=sharing</t>
  </si>
  <si>
    <t>https://drive.google.com/file/d/1Am2aVEl7wyBu84AZdntKpjtKmhn8B98R/view?usp=sharing</t>
  </si>
  <si>
    <t>VERA LUCIA ALCOCER JUSTINIANO</t>
  </si>
  <si>
    <t>ESTUDIO DE FACTIBILIDAD TÉCNICO-FINANCIERO PARA LA CREACIÓN DE UNA PLANTA PROCESADORA DE LÁCTEOS EN COBIJA (PANDO)</t>
  </si>
  <si>
    <t>verita_lucia_a@hotmail.com</t>
  </si>
  <si>
    <t>IND-628-2013</t>
  </si>
  <si>
    <t>Leche, factibilidad, Cobija, yogurt, queso fresco, leche chocolatada.</t>
  </si>
  <si>
    <t>Los productos lácteos son apreciados por sus diversas características nutricionales en todo el mundo ya que la gran mayoría es aprovechada en su estado natural o procesado por tener un aroma y sabor agradable, constituyéndose así como parte indispensable de la alimentación.En la ciudad de Cobija-Pando la leche de vaca es comercializada en mayor cantidad en su estado natural, la misma  es comercializada  por  los  propios  productores de leche; algunos venden por lugares periféricos de dicha ciudad, en el centro y en lugares fijos (Entendiendo como lugar fijo, al lugar donde ofrecen la leche a diario a tempranas horas de la mañana, como estacionamientos, aceras, carnicerías, etc.); así como existen otros que la venden al por mayor para la realización de helado y otros productos que utilizan la leche en su elaboración.Todos los productores transportan  la leche de sus haciendas que quedan alejadas de la ciudad,  por este motivo tienen  que trasladarse en horas de la madrugada para ofertar su  producto  temprano en los  puntos  de comercialización antes  mencionados.La finalidad del siguiente trabajo es demostrar la viabilidad técnica-financiera, para la implementación de una planta procesadora de lácteos, propone mejorar el servicio  que presta para el proceso de leche desde el punto de vista tecnológico y de infraestructura, como motivo principal la transformación y comercialización de la materia prima para cubrir los costos de producción; así como la oferta de productos, elaborados con calidad para la aceptación de un mercado competitivo. ESTUDIO DE MERCADOLa población objetivo que se estableció para el estudio de mercado son las familias de la zona urbana de la ciudad de Cobija.Lo más importante recatado en la entrevista piloto, es el elevado consumo de productos lácteos en la ciudad de Cobija y la identificación de los productosestrellas, que son: La leche líquida, yogurt, leche chocolatada y queso. Una vez identificados estos productos, se pudo dirigir la entrevista hacia estos 4 productos a elaborar en el proyecto, su consumo lanza los siguientes porcentajes de consumo:·        Leche pasteurizada 88%.·        Yogurt 80%.·        Leche chocolatada 65%.·        Queso fresco 94%.A estos consumos elevados se le suma el análisis de la oferta, que muestra una demanda insatisfecha; lo que da luces a la realización de esta investigación.Producto del estudio de mercado se identificó a PIL como la empresa líder en el mercado en los productos de leche líquida, leche chocolatada y yogurt; en el caso del queso se identificó al queso fresco brasileño como líder. Las  principales  características  que  buscan  los  consumidores  al adquirir productos lácteos son el buen sabor, el contenido nutricional y la disponibilidad.</t>
  </si>
  <si>
    <t>https://drive.google.com/file/d/1bTopdnhnSJSi4_cza47QFZRqGy8agumY/view?usp=sharing</t>
  </si>
  <si>
    <t>https://drive.google.com/file/d/1TS9ErRVusrbqaCeGzGqWcQt1FPHXJPd0/view?usp=sharing</t>
  </si>
  <si>
    <t>https://drive.google.com/file/d/1-KwRcr-4j4iaw6VPZqnwvbsEcjVyuo_5/view?usp=sharing</t>
  </si>
  <si>
    <t>MOISES CASTAÑETA QUISPE</t>
  </si>
  <si>
    <t>ING. MSC. ENRIQUE NÚÑEZ SÁNCHEZ</t>
  </si>
  <si>
    <t>ELABORACIÓN MANUAL DEL SISTEMA INTEGRADO DE GESTIÓN PARA LA EMPRESA MITBOL S.R.L. EN BASE A NORMAS ISO 9001, ISO 14001 Y OHSAS 18001</t>
  </si>
  <si>
    <t>moicanoq@hotmail.com</t>
  </si>
  <si>
    <t>IND-629-2013</t>
  </si>
  <si>
    <t>Organización Internacional de Normalización (ISO), Calidad, Medio Ambiente, Seguridad y Salud Ocupacional (OHSAS), Sistema Integrado de Gestión (SIG), DEMING, Manual, Mejora Continua.</t>
  </si>
  <si>
    <t>Un Sistema Integrado de Gestión (SIG) se puede definir como el conjunto interrelacionado de elementos (como procedimientos, instrucciones, formatos y elementos similares), mediante los que la organización planifica, ejecuta y controla determinadas actividades relacionadas con los objetivos que desea alcanzar.El manual del sistema Integrado explica como encajan las diferentes piezas de los sistemas de gestión. Es una herramienta muy útil para mantener un panorama general de la estructura del sistema de gestión. En él se describen los procesos que la organización debe implementar para cumplir con los requisitos de la ISO 9001, ISO 14001 y OHSAS 18001.Un control sobre la calidad de gestión permite desarrollar procesos a un costo más pequeño y desarrollar productos de mayor calidad, menor costo y con más agilidad. Un control sobre el medio ambiente favorece a toda la sociedad en general ya que nos permite mantener una calidad de vida superior y una mejora en el entorno de vida medioambiental. Un control sobre la salud y seguridad laboral favorece a todos los empleados que desarrollan cualquier labor dentro de la organización, ya que la desarrollan con un mínimo de riesgo para su integridad.Un Sistema Integrado de Gestión basado en los referenciales de ISO 9001, ISO 14001 y OHSAS 18001 deriva cambios organizacionales a nivel de los procesos en su visión integrada de los aspectos de calidad, medio ambiente, seguridad y salud ocupacional, además de unas relaciones más proactivas con las partes interesadas en el deseo de satisfacer sus expectativas.En la actualidad los sistemas integrados se están convirtiendo en la base estructural de una organización para desarrollar un modelo de gestión capaz de incorporar e integrar cualquier sistema compatible. El documento final permitirá ver oportunidades de mejora para desarrollar capacidades y emprender una gestión sostenible desde el punto de vista: Medio Ambiente, Calidad, Seguridad y Salud.Facultad de Ciencias y Tecnología (UMSS)Cochabamba - Bolivia</t>
  </si>
  <si>
    <t>https://drive.google.com/file/d/15tOq0l0nz4tmzQN7KhMZs7snoEp37KSo/view?usp=sharing</t>
  </si>
  <si>
    <t>https://drive.google.com/file/d/1fGOxMquHNi2_xO-03rZEw-Win1wQvByy/view?usp=sharing</t>
  </si>
  <si>
    <t>https://drive.google.com/file/d/1CgGSYV2WJb5aAFP3rVxxwl-05aDfF2HX/view?usp=sharing</t>
  </si>
  <si>
    <t>JUAN CARLOS PARRA CUENCA</t>
  </si>
  <si>
    <t>ING. MSC. OMAR DAVID PÉREZ FUENTES</t>
  </si>
  <si>
    <t>ESTUDIO FACTIBILIDAD PARA LA INDUSTRIALIZACIÓN Y COMERCIALIZACIÓN DEL LICOR DE GUINDA Y CEREZA EN COCHBAMBA</t>
  </si>
  <si>
    <t>carlos_parra_cuenca@hotmail.com</t>
  </si>
  <si>
    <t>IND-630-2013</t>
  </si>
  <si>
    <t>Factibilidad -Industrialización y comercialización de licor – guinda y cereza – Colomi – Cochabamba</t>
  </si>
  <si>
    <t>El estudio de factibilidad para la implementación de una planta industrializadora de licor de guinda y cereza, nace por el crecimiento del sector y una demanda insatisfecha de servicios novedosos que llaman la atención de un consumidor de bebidas alcohólicas.La investigación de mercado fue el inicio del proyecto, estudiando el mercado consumidor, proveedor, distribuidor y competidor, determinándose que existe una demanda insatisfecha, el perfil del consumidor, la estrategia comercial entre otros objetivos. Con la investigación de mercado se procedió al pronóstico de la demanda del producto a nivel Cochabamba.El tamaño de la planta fue calculado por medio del pronóstico y al crecimiento esperado de captación de mercado a nivel Cochabamba y también se prevé el ingreso del producto a las ciudades de Santa Cruz y La Paz para el año 2015. Con la información obtenida se determinó también todos los materiales e insumos necesarios para la planta. La localización fue obtenida a través de una evaluación cualitativa de puntos, donde se analizaron 2 micro localizaciones, escogiendo el puntaje mayor correspondiente a la zona de Pacata Alta de Cochabamba (Cercado). La Ingeniería del proyecto se la realizó obteniendo información Instituto Nacional de Estadística (INE). Se determinó la estructura organizacional y funcional del personal de planta. Se estimó los costos para la implementación y ejecución de la planta. Los indicadores del análisis financiero fueron: TIR (40%), VAN (176.828,73), R B/C (1,4178) y el PRC (2,17). Se sometió el flujo a un análisis de sensibilidad para las variables más influyentes, concluyendo que el proyecto es rentable.Finalmente, se realizó una evaluación básica de impacto ambiental identificando y valorando los efectos potenciales del proyecto haciéndolo ambientalmente viable. Se hizo un plan de mitigación para los efectos negativos siendo estos menores y controlables.</t>
  </si>
  <si>
    <t>https://drive.google.com/file/d/1W6lXHXaBrFkXxqvVEyTcWd3_y9AYv-j9/view?usp=sharing</t>
  </si>
  <si>
    <t>https://drive.google.com/file/d/1_7eH6jtF8odI7D1mBp-aliFZ49AxNABU/view?usp=sharing</t>
  </si>
  <si>
    <t>https://drive.google.com/file/d/1tV4_bA8SbYbyIq-h1YeoawUq52Qxi_Cw/view?usp=sharing</t>
  </si>
  <si>
    <t>OSCAR JIMENEZ</t>
  </si>
  <si>
    <t>LIC. JUAN R. JORDAN SANZETENEA</t>
  </si>
  <si>
    <t>IMPLEMENTACION DE LA FILOSOFIA JUSTO A TIEMPO (JAT) EN LA ELABORACION  DE MESONES DE MARMOL Y GRANITO EN LA EMPRESA MAJOBOL</t>
  </si>
  <si>
    <t>oscarjimenez7876525@gmail.com</t>
  </si>
  <si>
    <t>IND-631-2013</t>
  </si>
  <si>
    <t>Justo a Tiempo, sistemas de halar, alistamiento, calidad  en la  fuente. Poka Yoke, Kanban, 5S’</t>
  </si>
  <si>
    <t>Primeramente se realizó una capacitación a los trabajadores dándoles a conocer la filosofía Justo a Tiempo y como puede ayudarlos dicha filosofía en sus ambientes de trabajo.Una vez conocido todo  lo que comprende el Justo a Tiempo se realizó un diagnóstico para determinar operaciones que no agregan valor, estas operaciones en su mayoría eran aquellas generadas por falta de organización en el área de trabajo por lo cual se determinó aplicar el método de las 5 S’ de esta forma reducir tiempos en las operaciones.Seguidamente se realizó otro análisis de los tiempos de alistamiento de las maquinas se determinó aplicar el método SMED con el cual se pudo reducir los  tiempos de alistamiento cambiando  los tiempos internos en tiempos externos de alistamiento.Se aplicó la carga fabril unitaria determinando el tiempo de producción actual y se lo ajusto el tiempo de ciclo para la elaboración del producto de esta manera poder cumplir a cabalidad con los tiempos de entrega establecidosSe estableció un sistema de halar con tarjetas y un tablero Kanban con el cual se puede determinar en qué punto del proceso se encuentra el producto, dar la información requerida a los trabajadores a que área de la empresa debe seguir el producto para continuar  con su elaboración  y el tiempo de entrega.Se implementó el método  de Poka Yoke el cual determina la calidad en la  fuente esto ayudo a que los trabajadores  establezcan la calidad en el producto final llevando un seguimiento del mismo en cada área  de la empresa, concentrándose en mandar un producto sin fallas a la siguiente operación. A su vez de implementar la mantenimiento productivo total para las maquinas repasando maneras de mantener funcionando y el uso adecuado de las herramientas y equipos de la empresa.</t>
  </si>
  <si>
    <t>https://drive.google.com/file/d/1D3V_jlUv0Zudir9T-KpqwXs8JBT6TqJ0/view?usp=sharing</t>
  </si>
  <si>
    <t>https://drive.google.com/file/d/1agQWFt43dqhXfxaSEUQryTnJ7AnIQ1BT/view?usp=sharing</t>
  </si>
  <si>
    <t>https://drive.google.com/file/d/1PEDBol5eoH8EOXG66ug0b-bTC7XMXqqw/view?usp=sharing</t>
  </si>
  <si>
    <t>SCARLET VANIA MÉRIDA OÑA</t>
  </si>
  <si>
    <t>DISEÑO DE UN SISTEMA DE GESTIÓN AMBIENTAL PARA EL GRUPO EMPRESARIAL VALENCIA SEGÚN LA NORMA ISO 14001:2004</t>
  </si>
  <si>
    <t>vania_mo@hotmail.com</t>
  </si>
  <si>
    <t>IND-632-2013</t>
  </si>
  <si>
    <t>Diseño, gestión ambiental, norma, ISO 14001:2004</t>
  </si>
  <si>
    <t>Inicialmente se realizó un diagnóstico inicial de la situación ambiental de la empresa, identificando el grado de cumplimiento en relación de los requisitos especificados en la Norma ISO 14001:2004, a partir de la información recopilada se generaron datos que evidenciaron la situación ambiental organizacional de la empresa que si bien contaba con un sistema de gestión de calidad y BPM no consideró criterios ambientales para el planteamiento de sus objetivos estratégicos. Luego a partir de los lineamientos de la Norma ISO 14001:2004 se diseñó la estructura documental del sistema de gestión ambiental realizando la revisión de los procedimientos existentes y la elaboración de los exigidos por la norma.Se planteó una política ambiental a partir de la que se plantearon los objetivos y metas ambientales que derivaron en proyectos de gestión de los principales aspectos ambientales significativos identificados: gestión de residuos de blisters, gestión de residuos líquidos, gestión de residuos de bagazo de material vegetal y emisión de ruido en el colindante sud.Si bien se ha elaborado toda la documentación exigida por la Norma ISO 14001, adicionalmente se han planteado acciones de mejora para controlar eficazmente el impacto ambiental de las actividades desarrolladas en la empresa.</t>
  </si>
  <si>
    <t>https://drive.google.com/file/d/1PHRyPbBA-szj7yqlEojouHLs_3LyFNBL/view?usp=sharing</t>
  </si>
  <si>
    <t>https://drive.google.com/file/d/1HXJOu3ry7xQexYRQo-Rs2DBQ-zCUOFZJ/view?usp=sharing</t>
  </si>
  <si>
    <t>https://drive.google.com/file/d/1-UOYOU67B0bOevr6I1IzkPn3KIecA4y9/view?usp=sharing</t>
  </si>
  <si>
    <t>ROCIO ALEJANDRA CHAVEZ LLANOS</t>
  </si>
  <si>
    <t>CLAUDIA OVANDO ORTUÑO</t>
  </si>
  <si>
    <t>DISEÑO E IMPLEMENTACIÓN DE UN SISTEMA DE GESTIÓN DE CALIDAD BASADO EN LA NORMA ISO 9001:2008 CERTIFICACIÓN DE LA EMPRESA JDB LABORATORIOS</t>
  </si>
  <si>
    <t>ale_clar77@hotmail.com</t>
  </si>
  <si>
    <t>IND-633-2013</t>
  </si>
  <si>
    <t>SGC (Sistema de Gestión de la Calidad)</t>
  </si>
  <si>
    <t>La empresa JDB Lab / Tecno Equip, dedicada a la fabricación y prestación de servicios educativos y asesoría técnica necesaria para implementar adecuadamente su laboratorio didáctico, en las materias de Física.La producción de los equipos pasa por  un proceso de la captura de sus clientes, la producción, el control de la calidad y su proceso más importante la entrega In Situ.El proceso de la entrega In Situ no solo consta de la empresa de los equipos al cliente sino que cuenta con el servicio de capacitación de los equipos para el correcta manipulación de los mismos.La empresa al ser de tipo familiar presentaba problemas en la jerarquización de los cargos, que esto a su vez llevaba a una mala organización de la empresa por lo cual se optó por el diseño e implementación de un Sistema de Gestión de la Calidad basada en la norma ISO 9001:2008.Para la ejecución del Proyecto se realizó un diagnóstico inicial, para la verificación del estado de empresa con relación a los requisitos de la norma ISO 9001:2008. Se hizo un análisis de los procesos críticos y se empezó con el diseño de la documentación requerida por la norma como el establecer política y objetivos de calidad, un manual de calidad, manuales de funciones (organigrama), procedimientos documentados que son requisitos de la norma y procedimientos documentados para la mejora continua de la empresa todos los procedimientos con sus respectivos registros.Finalmente se procedió a la etapa de implementación del Sistema de Gestión de la Calidad basado en la norma ISO 9001:2008, dando evidencia de la implementación los registros y la mejora en la organización de la empresa.Una vez diseñado e implementado el proyecto se obtuvieron los resultados esperados, cumpliendo con los objetivos mencionados anteriormente. Mejorando la organización del personal, el control de los procesos de la empresa JDB Lab / Tecno Equip. y preparando a la empresa para pronta certificación ISO 9001:2008 Sistema de Gestión de la Calidad.</t>
  </si>
  <si>
    <t>https://drive.google.com/file/d/1O7x2UcfZjd2Ja_fTwvJ56YZhTPrlRodg/view?usp=sharing</t>
  </si>
  <si>
    <t>https://drive.google.com/file/d/1AxAQhWAZkgbpW_5uX4Vz7eG_iEYF5DEe/view?usp=sharing</t>
  </si>
  <si>
    <t>https://drive.google.com/file/d/17_IzvF_f6I_ZJ5MG-_ZI2kWTaLVqRVBF/view?usp=sharing</t>
  </si>
  <si>
    <t>PAOLO SERGIO VARGAS RODRÍGUEZ</t>
  </si>
  <si>
    <t>ING. DIEGO M. PEREIRA VASQUEZ</t>
  </si>
  <si>
    <t>TRANSFERENCIA, ADECUACIÓN E IMPLEMENTACIÓN DEL SISTEMA INTEGRADO DE GESTIÓN DE LA EMPRESA ELÉCTRICA VALLE HERMOSO S.A. EN LA CENTRAL TERMOELÉCTRICA EL ALTO</t>
  </si>
  <si>
    <t>staratic@hotmail.com</t>
  </si>
  <si>
    <t>IND-634-2013</t>
  </si>
  <si>
    <t>Sistema Integrado de Gestión, Normas ISO, Procedimientos, Implementación, Cumplimiento de requisitos, Auditoría Interna</t>
  </si>
  <si>
    <t>La Empresa Eléctrica Valle Hermoso S.A. es una empresa generadora de energía eléctrica que implementa y mantiene un Sistema Integrado de Gestión, certificado a nivel nacional e internacional, conformado por el sistema de gestión de calidad, el sistema de gestión ambiental y el sistema de seguridad y salud ocupacional.Valle Hermoso S.A. al presente tiene en funcionamiento una nueva Central de generación denominada Central Termoeléctrica El Alto ubicada en la ciudad de La Paz - Bolivia. Es por este motivo que la alta dirección de la Organización decidió transferir, adecuar e implementar su Sistema Integrado de Gestión en la nueva Central El Alto.  Para cumplir con el objetivo de la Empresa de Transferir, adecuar e Implementar el Sistema Integrado de Gestión  en la Central Termoeléctrica El Alto primeramente se realizó un diagnóstico que brindó la información del grado de cumplimiento de los requisitos de las Normas integradas en el Sistema en la Central Termoeléctrica El Alto y el grado de adaptabilidad de los procedimientos documentados del Sistema Integrado de Gestión en la Central. Seguidamente se elaboró un cronograma de visitas a la Central Termoeléctrica El Alto en el cual se determinó los procedimientos que se transfirieron, adecuaron y elaboraron del Sistema Integrado de Gestión en la Central Termoeléctrica El Alto.Se realizaron capacitaciones a todo el personal de la Central El Alto sobre los procedimientos del Sistema ha implementar con el fin de explicar el objetivo y el control que tienen sobre las actividades de generación y de soporte de la Central.Durante el tiempo que duro el trabajo dirigido en la Central Termoeléctrica El Alto se lograron implementar cuarenta y dos procedimientos del Sistema Integrado de Gestión cada uno de ellos con su respectivo respaldo de implementación.Por último se realizó la auditoría interna programada que evaluó la implementación del Sistema concluyendo que la Central Termoeléctrica El Alto Si cuenta con un Sistema Integrado de Gestión Implementado.</t>
  </si>
  <si>
    <t>https://drive.google.com/file/d/18RVfRtJWsyrGKYvL41vRWPfCoLlFIUWl/view?usp=sharing</t>
  </si>
  <si>
    <t>https://drive.google.com/file/d/1wkkCVGK6SYNCXGeDjNIL62fya9guf_HU/view?usp=sharing</t>
  </si>
  <si>
    <t>https://drive.google.com/file/d/1kJJXkgXyVLUA5DzPkr0lPQqgRNLQdswx/view?usp=sharing</t>
  </si>
  <si>
    <t>ISMAEL ANDRADE CALICHO</t>
  </si>
  <si>
    <t>ING. M.SC. CARLOS ALBERTO RODRÍGUEZ  RAMÍREZ</t>
  </si>
  <si>
    <t>ESTUDIO DE METODOS PARA LA OPTIMIZACIÓN DE LA PRODUCCION EN EL ÁREA DE RECICLADO DE PLASTICO EN INMAPLAST S.R.L.</t>
  </si>
  <si>
    <t>ismael.andrade.c9@gmail.com</t>
  </si>
  <si>
    <t>IND-635-2013</t>
  </si>
  <si>
    <t>Área de reciclado en Inmaplast S.R.L., Medición de Tiempos, Producción Actual, Método Mejorado, Capacitación.</t>
  </si>
  <si>
    <t>El área de reciclado de INMAPLAST S.R.L. optó  por conveniente realizar un estudio de ingeniería de métodos para lograr cumplir con la demanda de 8000 kg. de materia prima de plástico reciclado.Primeramente se realizó un diagnostico del método actual, se recabo información disponible acerca de las actividades mediante diagramas de operaciones, analíticos y de recorrido para obtener conocimiento sobre la transformación del producto para su posterior desglose de identificación de procesos.Una vez identificados los procesos se procede a medir los tiempos reales por proceso aplicando factores de nivelación y márgenes de tolerancia para obtener la producción actual, siendo este de 2080 Kg. mensual.Es cuando se aplican análisis sobre los procesos, hallando mejoras en reducción de tiempo en los procesos de cortado y aglutinado alcanzando una producción de 6240 Kg., aún sin cubrir a la demanda se procede a realizar dos alternativas de mejora.La primera alternativa en función de incremento con maquinaria existente, que aplicando 20 horas extra a la semana se logra una producción de 8320 Kg. mensual logrando cubrir a la demanda con un costo de producción de 2.40 Bs por Kilo.La segunda alternativa incremento con inversión en maquinaria que se apunto al proceso más moroso siendo este el proceso de aglutinado, se realiza la cotización del mismo brindando una capacidad de 45 Kg por hora con el cual se llega a producir 8320 Kg mensual con un costo de producción de 2.14 Bs por Kilo.Se elige la segunda alternativa debido a la eliminación de horas extra y obtención de un costo de producción menor.</t>
  </si>
  <si>
    <t>https://drive.google.com/file/d/1mQbrShZAhsrLeX2T_kND-rK7Do0saMBO/view?usp=sharing</t>
  </si>
  <si>
    <t>https://drive.google.com/file/d/1-wEjHjJ01_FVOMQZnFGn_dpK-5j8XaJt/view?usp=sharing</t>
  </si>
  <si>
    <t>https://drive.google.com/file/d/1W0gpsphZRsjOBCZ7L0VniHTw2Gb_-noV/view?usp=sharing</t>
  </si>
  <si>
    <t>PAOLA ANDREA HINOJOSA TERRAZAS</t>
  </si>
  <si>
    <t>ING. NELSON HINOJOSA TERRAZAS</t>
  </si>
  <si>
    <t>REDUCCIÓN DE TIEMPO EN EL CAMBIO DE HERRAMIENTA DE LA LÍNEA DE ENVASADO DE DETERGENTE DE UNILEVER ANDINA BOLIVIA S.A. APLICANDO LA METODOLOGÍA DE HISTORIA QC.</t>
  </si>
  <si>
    <t>paolahinojosa_001@hotmail.com</t>
  </si>
  <si>
    <t>IND-636-2013</t>
  </si>
  <si>
    <t>Cambio de bobina,Unilever Andina Bolivia S.A., Incremento Indicador de Eficiencia, Materiales, Reducción de Tiempo, Pérdida de Eficiencia Global del Equipo, Historia QC, Incremento de Eficiencia Global del Equipo, Línea de Envasado de Detergente</t>
  </si>
  <si>
    <t>El análisis de la situación actual diagnosticó que la línea de envasado de detergente de la Empresa Unilever Andina Bolivia S.A, estaba siendo afecta por tiempos muertos, tales como el cambio de herramienta. Debido a que la cultura organizacional de la empresa está basada en metodologías de mejora continua,  como es el caso de Mantenimiento Productivo Total; se decidió contrarrestar la pérdida por cambio de herramienta aplicando la metodología Historia QC. En primer lugar  se procedió a monitorear la pérdida durante el primer trimestre del año 2013 y se seleccionó a la envasadora T1 como  la línea piloto sobre la cual se determinó como impacto de la pérdida la suma de 20.655 Bs/ mes y reducción de volumen en 38,38 tn/mes. Teniendo claro la importancia de la reducción del tiempo en el Cambio de Bobina se desarrolló la metodología seleccionada que fue contemplada en 12 pasos los cuales se agruparon en 4 fases; Verificar, Analizar, Planificar y Hacer. En la fase de la verificación se realizó el cálculo de la O.E.E del mes de abril fecha para la cual se inicia el grupo de mejora, seguidamente se definió el tema y justificativa, se estudió el principio de funcionamiento mediante videos, se identificó el fenómeno con la ayuda de un formulario de investigación, y se estableció objetivos para el aumento de Eficiencia en la línea de envasado de detergente. Durante la fase de análisis se identificaron las causas raíces del fenómeno, dando así el primer paso de la fase siguiente que es la planificación, en la que se mapearon las propuestas de contramedidas generando un cronograma de trabajo tentativo, la última fase se dividió en tres etapas: implementación de una eje auxiliar, actividades del pilar de control inicial para un sub-proyecto y desarrollo de la metodología SMED para reducir tareas internas.Con las medidas propuestas se espera los siguientes resultados globales en la línea de envasado de detergente: reducción de tiempo de cambio de bobina de 5 min/cambio a 2 min/cambio, un ahorro de 24.786 Bs/mes, incremento de volumen de 46,65 Tn/mes,  generando una ganancia de 24782,81Bs/mes y un incremento de O.E.E correspondiente a un valor de 1%.En la evaluación financiera realizada, se pudo constatar que el proyecto es rentable, reportando los siguientes resultados.VAN = 119312,70BsTIR =  16%TMAR = 12.34%PRI= 29 meses</t>
  </si>
  <si>
    <t>https://drive.google.com/file/d/1w6SuG7dz9ruNIjrx0ZhtqiLVYjmRr3SV/view?usp=sharing</t>
  </si>
  <si>
    <t>https://drive.google.com/file/d/1ZlRsGhBwtessu7Rjo8scWEyBzfFXLuvC/view?usp=sharing</t>
  </si>
  <si>
    <t>https://drive.google.com/file/d/1Ts4xB9JUh4qa36VBHQvjA3MZHusq4M4V/view?usp=sharing</t>
  </si>
  <si>
    <t>ALVARO CANEDO BLANCO</t>
  </si>
  <si>
    <t>MGR. DANITZA CABALLERO DELGADO</t>
  </si>
  <si>
    <t>ESTUDIO DE FACTIBILIDAD TECNICA Y ECONOMICA PARA LA INSTALACION DE UNA PLANTA PROCESADORA DE JUGOS CON PULPA DE FRUTAS PARA LA EMPRESA “MANANTIAL LOS ANDES”</t>
  </si>
  <si>
    <t>TESIS</t>
  </si>
  <si>
    <t>IND-637-2013</t>
  </si>
  <si>
    <t>Estudio de Factibilidad, Investigación de Mercados, FODA, Estudio económico y Financiero, Ingeniería del proyecto</t>
  </si>
  <si>
    <t>Objetivo generalDeterminar la factibilidad técnica y económica para la instalación de una Planta  Procesadora de Jugos con Pulpa de Frutas.Objetivos específicosRealizar un estudio de mercado en el departamento de Cochabamba para analizar la oferta y la demanda.Realiza la  Ingeniería del proyectoDesarrollar un sistema organizacional para estructurar los recursos humanos de la empresaEfectuar un análisis y evaluación económica.Realizar  un estudio de evaluación ambiental.La metodología El presente proyecto estará basado en un estudio de investigación “Propositivo”, considerando que se desarrollaran todas las herramientas, documentos y lineamientos necesarios para el estudio de factibilidad técnica y económica para la instalación de una planta procesadora de Jugos con pulpa de frutas. Los resultados Se determinó la rentabilidad del proyecto y esta es de: TIR = 38 %                   VAN =  3, 995,689.89 Bs.,   B/C = 1.15. Demostrando que el proyecto es rentable y que existe viabilidad económica del proyecto.Conclusiones Con el estudio de mercado realizado se pudo definir con precisión la demanda existente, además de definir los precios y las presentaciones.El proyecto una vez realizado el estudio técnico y económico-financiero, demuestra rentabilidad y viabilidad recomendando la implementación del proyecto.Recomendaciones: Se recomienda la implementación del proyecto, considerando la rentabilidad económica demostrada con el estudio</t>
  </si>
  <si>
    <t>https://drive.google.com/file/d/1wf2mwGaQZ59UUlM29WL4uAC4av_yl8YM/view?usp=sharing</t>
  </si>
  <si>
    <t>https://drive.google.com/file/d/1_0N04Nxs0vORUinvfdi4GD3-zJetf4S8/view?usp=sharing</t>
  </si>
  <si>
    <t>https://drive.google.com/file/d/1Yk_7vbPH57es0EC04wp6ACdG5U0q1aDb/view?usp=sharing</t>
  </si>
  <si>
    <t>CARLOS RODRIGO CLAROS CAMACHO</t>
  </si>
  <si>
    <t>ESTUDIO DE FACTIBILIDAD PARA LA IMPLEMENTACIÓN DE UN ESTUDIO DE GRABACIÓN FONOGRÁFICA</t>
  </si>
  <si>
    <t>carlosrodrigoclaros@gmail.com</t>
  </si>
  <si>
    <t>IND-638-2013</t>
  </si>
  <si>
    <t>Estudio de grabación, Música, Sonido, Producción musical, Disco.</t>
  </si>
  <si>
    <t>Se propuso una solución a la problemática desarrollada aplicando elementos de preparación y evaluación de proyectos, solución que en este caso fue la creación de una empresa dedicada a la grabación fonográfica (estudio de grabación) que brinde a los músicos una alternativa al momento de ver plasmado su arte en una grabación fonográfica de buena calidad, contribuyendo de esa forma con el crecimiento y mejora del ámbito artístico musical en la región.Se realizó un estudio de mercado donde se determinó que existe una demanda potencial de 66 grabaciones al año, pudiendo ésta ir en aumento puesto que existe un porcentaje de crecimiento anual de los artistas registrados en ABAIEM filial Cochabamba de 8.63% lo que equivale al registro de un grupo musical o solista nuevo por mes. Se identificaron a los competidores más importantes en la ciudad los cuales son: Sión Works, Terranova Audiovisual y estudio Huascar Paiva.Se definió la tecnología necesaria y la localización adecuada para el estudio en la ciudad de Cochabamba, provincia Cercado, específicamente en la zona de Pacata Baja, Urbanización Entel, calle Nº3. Un lugar que cumple con los requisitos para la implementación de un estudio de grabación.Se determinó la intervención de 3 profesionales para el proyecto: un administrador de empresas o ingeniero industrial para la dirección, un ingeniero de sonido y un músico profesional experimentado para el cargo de productor musical.En la programación y ejecución del proyecto se establecieron 3 etapas: gestión del proyecto, emplazamiento y puesta en marcha, con un tiempo de duración de cada etapa de: 35, 29 y 22 días respectivamente.Las inversiones fijas iniciales (equipos y muebles) ascienden a un valor de 12130 $us en el periodo cero del proyecto, la inversión en activo diferido se estimó en 2464 $us y la inversión en capital de trabajo se estimó en 1960 $us el año cero. La inversión total se estimó en 16554 $us el primer año.Finalmente se preparó la información para poder realizar la evaluación financiera determinando que el proyecto es factible con una TIR del 77%, un VAN de 24013 $us, una relación Beneficio/Costo de 1.47, un índice de Rentabilidad Sobre la Inversión de 45% y un índice de Rentabilidad Sobre las Ventas de 17%. El análisis de sensibilidad realizado muestra que el proyecto es viable hasta una variación del 20% sobre los ingresos,  una variación del 30% solo sobre los egresos, y deja de ser viable para el inversionista para una variación de ingresos y egresos simultáneamente del 13% o mayor a este. El proyecto es más sensible ante variaciones en el precio de venta final que a variaciones en los egresos.</t>
  </si>
  <si>
    <t>https://drive.google.com/file/d/1gzX6KcyOYgtgSpbqEUXfNy4J6gNTG2Bs/view?usp=sharing</t>
  </si>
  <si>
    <t>https://drive.google.com/file/d/1BsuZWo6ejujP7nLCDk2vIPCB_RWDUa9K/view?usp=sharing</t>
  </si>
  <si>
    <t>https://drive.google.com/file/d/1nvuxNeOU0WYJxs9G78yM5rtggBZ8yGzT/view?usp=sharing</t>
  </si>
  <si>
    <t>RAÚL LEDEZMA QUEZADA</t>
  </si>
  <si>
    <t>ING. OSCAR SEGARRA ARNEZ</t>
  </si>
  <si>
    <t>ESTUDIO DE FACTIBILIDAD DE UNA BEBIDA ENERGIZANTE A BASE DE EXTRACTO DE COCA</t>
  </si>
  <si>
    <t>rannd_148@hotmail.com</t>
  </si>
  <si>
    <t>IND-639-2013</t>
  </si>
  <si>
    <t>BEBIDA ENERGIZANTE, COCA, ENERGIA</t>
  </si>
  <si>
    <t>El estudio de factibilidad realizado sobre una bebida energizante a base de extracto de coca para la Empresa Boliviana Comunitaria de la Coca, se lo desarrollo de la siguiente manera: Tomando en cuenta los antecedentes de la empresa la cual ya estaba establecida desde el año 2010 con cinco líneas de producción; harinas, mates, pellets, panadería y licores, se hizo el estudio para la implementación de una línea de producción adicional a las existentes, la cual es la línea de bebidas energizantes para la cual se realizo un estudio técnico financiero. Tomando en cuenta que el tipo de producto se realizo un estudio de mercado en las ciudades del eje troncal de nuestro país Santa Cruz, La Paz y Cochabamba, se obtuvieron datos por medio de encuestas los cuales nos ayudaron a determinar el porcentaje de consumo de bebidas energizantes, marcas de preferencia, frecuencia de consumo por edades de los consumidores, medios de promoción y difusión de bebidas energizantes, la  disponibilidad de los consumidores a probar un nuevo producto, la demanda potencial del sector, demanda efectiva y se pudo realizar la proyección de la demanda en los próximos años que el proyecto esta planteado, plan de introducción del producto al mercado y análisis de la oferta existente. Se realizo el estudio de lo materia prima, insumos y materiales que el proyecto requiere llegando a determinar el costo de los mismos los cuales ascienden a 553425 $us, 569953 $us, 586336 $us los primeros tres años, como también se realizo el cálculo del consumo de energía eléctrica que ascienden a 3620 $us, 3719$us y 3821 $us los primeros tres años. La localización del proyecto no tuvo un enfoque muy profundo debido a que el proyecto se encuentra dentro de una planta ya establecida la cual esta ubicada en el Municipio de Villa Tunari - Padresama en el trópico de Cochabamba, toda la línea de producción llego a ocupar 400 m2 dentro la misma. La ingeniería del proyecto permitió determinar los procesos y tipo de maquinaria que involucran la producción de la bebida energizante, las especificaciones de la maquinaria nos  permitieron realizar el cálculo del tamaño de la planta y realizar un programa de producción juntamente con los datos de la investigación del mercado. Se pudo elaborar el nuevo organigrama de la empresa con la implementación de esta línea, llegando a requerir un jefe de producción, un asistente administrativo, jefe de marketing, tres operarios de planta, operario de transporte y personal de apoyo, lo cual nos permitió el cálculo de el costo de mano de obra el cual asciende a 81156 $us el primer año. La planificación y ejecución del proyecto permitió determinar el tiempo de puesta en marcha del proyecto el cual esta enfocado a realizarse en 173 días (7.2 meses), tomando en cuenta las etapas de negociación del proyecto, etapa de ejecución y etapa de puesta en marca. Se realizó la evaluación financiera del proyecto en el cual se puedo determinar los indicadores financieros del proyecto TIR = 22.48 %, VAN = 44399453 $US, B/C = 1.19 y un periodo de recuperación de capital de 4.6 años, se realizó también el estudio de tres casos de sensibilidad primer caso: TIR = 21.20 %, VAN = 5324200 $US, B/C 1.6 y un periodo de recuperación de 4.96 años, segundo caso: TIR = 19.19 %, VAN = 3194520 $US, B/C = 1.01 y un periodo de recuperación de 5.13 años. Con la evaluación económica usando los factores de corrección permitió cálculos los indicadores económicos del proyecto TIR = 35 %, VAN = 2875068 y B/C = 2.1. Con la realización de la evaluación ambiental se llegó a determinar Se procede a realizar una descripción detallada de la zona en la cual se emplazará el proyecto detallando los factores de ubicación, clima, suelo, ecología y vientos. Como también  que los efectos ambientales causados por el proyecto son menores, siendo el impacto más negativo la emisión de ruido de las maquinarias en funcionamiento durante la producción, este efecto puede ser mitigado adoptando una forma óptima de protección de oídos. Se clasifica al proyecto dentro la categoría 3, de la ley de medio ambiente, es decir, solo requiere el planteamiento de medidas de mitigación y un seguimiento ambiental para un adecuado control del proceso productivo.</t>
  </si>
  <si>
    <t>https://drive.google.com/file/d/1-GaTl54-D9jpBeIcJkmjbjzOeiOx4xZd/view?usp=sharing</t>
  </si>
  <si>
    <t>https://drive.google.com/file/d/1irkenTdZLlWJhSgHYy95mHKJT2Gm6Hd0/view?usp=sharing</t>
  </si>
  <si>
    <t>https://drive.google.com/file/d/1Hs0p7P1Vi2wpNtXdZZ3vuxNEuz5yxejA/view?usp=sharing</t>
  </si>
  <si>
    <t>SORIA FIGUEROA JOAQUIN</t>
  </si>
  <si>
    <t>ING. MSC. ALFREDO PERICÓN BALDERRAMA</t>
  </si>
  <si>
    <t>MODELO DE PLANIFICACIÓN Y CONTROL PARA LA EMPRESA TINABOL</t>
  </si>
  <si>
    <t>joaco_sf21@hotmail.com</t>
  </si>
  <si>
    <t>IND-640-2013</t>
  </si>
  <si>
    <t>Planificación de la Producción, Control de la Producción, Estudio de Mercados, Gestión de Inventarios, Balance.</t>
  </si>
  <si>
    <t>Objetivo generalSe desarrolló un modelo de planificación y control de la producción para la empresa Tinabol.Objetivos específicos: 1) Se realizó el diagnóstico y planteo del modelo. 2) Se elaboró un estudio de mercado. 3) Se realizó una gestión de inventarios. 4) Se Elaboró un plan de producción. 5) Se elaboró un plan de mercado. 6) Se Estableció indicadores de Control del modelo. 7) Se realizó el análisis financiero de la puesta en marcha del modelo.La metodología que se utilizo es la siguiente 1) Estudio de Mercados, primeramente se realizó una encuesta piloto con la cual corregimos preguntas de la encuesta y hayamos el tamaño de muestra. Luego realizamos el encuestado, mediante el cual se hayo información de la demanda, oferta, productos sustitutos y preferencias de los cliente. Con los datos que se encontraron se procedió a realizar el balance entre la oferta y la demanda que nos sirvió para proyectar las ventas de la empresa. 2) Análisis de Costos y determinación de la Cantidad Económica de Pedido, esto nos permitió minimizar los costos que la empresa incurre en inventarios de materia prima, con esta información usamos la fórmula de cantidad económica de pedido, con la que calculamos la cantidad optima de lote a ordenar y el stock de seguridad. 3) Planificación de la producción, con la que diseñamos los planes de producción para los años 2014 y 2015, tomando en cuenta variables como: trabajadores a utilizar, costo de mano de obra y costo por órdenes atrasadas. 4) Marketing Mix y Planificación estratégica,  con la que analizamos precio, producto, plaza y promoción de competencia y de la empresa consiguiendo información con la que creamos dos planes para mejorar el crecimiento de la empresa y mejorar su imagen.Los resultados son: dotamos a la empresa “Tinabol” un modelo de planificación y control de la producción, para atender la demanda insatisfecha y a la vez le proporcionamos un plan de mercado, para contribuir con su crecimiento.Conclusiones: 1) Se ha elaborado planes de producción para los años 2014 y 2015. 2) Se ha elaborado un plan de mercado.Recomendaciones: 1) Implementar el modelo diseñado. 2) Estandarizar los procesos de producción. 3) Certificar a la empresa en la I.S.O. 9001</t>
  </si>
  <si>
    <t>https://drive.google.com/file/d/19Itpf7H_rsbd3ohRuqdYSE7RHRe0UbCr/view?usp=sharing</t>
  </si>
  <si>
    <t>https://drive.google.com/file/d/1HTbdpFt68CsY7hZN60FA7euoSpVvf4_t/view?usp=sharing</t>
  </si>
  <si>
    <t>https://drive.google.com/file/d/1CRa_fG9pDe0654jNAeEJuDjEQM_sxI9S/view?usp=sharing</t>
  </si>
  <si>
    <t>FREDDY CAMACHO SUÁREZ</t>
  </si>
  <si>
    <t>ING. FRANKLIN PEREDO MONTALVO</t>
  </si>
  <si>
    <t>ESTUDIO DE FACTIBILIDAD PARA LA  DIVERSIFICACIÓN PRODUCTIVA Y AMPLIACIÓN DE LA EMPRESA “A&amp;M”  COLECCIÓN HOGAR HECHO A MANO</t>
  </si>
  <si>
    <t>camacho_freddy@hotmail.es</t>
  </si>
  <si>
    <t>IND-641-2013</t>
  </si>
  <si>
    <t>Empresa A&amp;M colección hogar hecho a mano, Productividad, Auditoria, Fidelizar, Mejora Continua de Procesos.</t>
  </si>
  <si>
    <t>El objetivo del presente proyecto es el de realizar un Estudio de factibilidad para la diversificación en la producción y la ampliación en la empresa A&amp;M colección hogar hecho a mano en el rubro de la fabricación y comercialización de muebles artísticos de hierro labrado y forjado en complemento de madera y vidrio; de tal manera poder saber si es conveniente la realización del proyecto.Se realizó una investigación del mercado, para determinar la demanda potencial del producto (20348 Uds.), a la vez que se establecieron estrategias de calidad, comercialización y distribución.Se determinó el tamaño de la planta  (1422 Uds.), para determinar la cantidad a producir, con un análisis cualitativo y un análisis de costos.Se realizó un detalle de la materia prima e insumos requeridos para la fabricación de los muebles, se hizo una descripción de las operaciones necesarias, el tipo de máquinas, herramientas a utilizar y la capacidad de estas; indicando los costos en maquinaria herramientas y equipo de oficina, detallándose también las obras civiles.  Por las características actuales, se vio necesario incluir un análisis  de seguridad industrial, con el fin de tener una guía de los cuidados que se deben tener en la fábrica para evitar accidentes y mantener una adecuada higiene industrial.Se determinó el tipo de organización que necesita la planta, indicando los requerimientos de mano de obra y se cuantificando los costos en que se incurre por este concepto; haciendo una diferenciación entre mano de obra directa e indirecta. Se realizó una planificación de las acciones que deberán ser desarrolladas en el año cero, referidas a la gestión del proyecto, el emplazamiento y la puesta en marcha, destinadas a garantizar el funcionamiento de la fábrica en el año uno. Se realizó una evaluación del proyecto, a través del uso de indicadores financieros como ser el TIR (67%), VAN (64.649 $) y RBC=1,57 (B/C). También se hizo el análisis de distintas situaciones a las que el proyecto podría enfrentarse mediante un análisis de sensibilidad.</t>
  </si>
  <si>
    <t>https://drive.google.com/file/d/1OJ-qaFAFDFP0e68no08ZSCgrRMOUIvk2/view?usp=sharing</t>
  </si>
  <si>
    <t>https://drive.google.com/file/d/1wfk-Z4UAr5TRVopuWTHO2I65Md8FYTa4/view?usp=sharing</t>
  </si>
  <si>
    <t>https://drive.google.com/file/d/1_12vCtF1ZJT6VYcbmzRZJfM04K1f203M/view?usp=sharing</t>
  </si>
  <si>
    <t>JENNY DÌAS ARIAS</t>
  </si>
  <si>
    <t>DESARROLLO DE UN SISTEMA DE GESTIÓN DE LA CALIDAD FUNDAMENTADO EN LOS ESTÁNDARES INTERNACIONALES DE LA NORMA ISO 9001 VERSIÓN 2008 PARA LA EMPRESA “SIE S.A.</t>
  </si>
  <si>
    <t>jennyd291@hotmail.com</t>
  </si>
  <si>
    <t>IND-642-2013</t>
  </si>
  <si>
    <t>SIE S.A., Calidad, Sistema de Gestión de  la Calidad, ISO 9001:2008,   Auditoría Interna, Mejora Continua.</t>
  </si>
  <si>
    <t>El presente proyecto tiene como objetivo el desarrollo de un sistema de gestión de la calidad fundamentado en los Estándares Internacionales de la norma ISO 9001 versión 2008 para la empresa “SIE  S.A.”, que le permita establecer una organización basada en procesos, y que a mediano plazo, pueda implementarse y llegar a obtener una certificación de la calidad, haciendo que la organización se enfoque en la satisfacción de las necesidades de los clientes y en la mejora continua para poder mantenerse en el negocio de la distribución de productos y servicios relacionados con Energías Renovables en Bolivia, y así mismo, llegar a ser más competitivos y lograr ser los líderes del mercado.El SGC buscó cubrir los requisitos que la norma maneja como obligatorios para establecer, implementar y mantener dicho SGC, por lo cual se cubren puntos como la documentación, registros, compromiso de la dirección, la planificación, los recursos, la realización del producto y por supuesto la medición, análisis y mejora. Y para ello ha sido necesario realizar varias etapas que son mostradas a continuación:Primeramente se realizó un diagnóstico de la situación actual. Usando un cuestionario elaborado en base a los requisitos de la Norma ISO 9001:2008,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9001:2008. Como resultado de este diagnóstico, se identificaron las fortalezas, debilidades y oportunidades de mejora de la empresa.En la etapa de diseño del Sistema de Gestión de Calidad, se inicia con el diseño del taller de la Sensibilización que es una de las actividades más importante en el Diseño del Sistema de Gestión de Calidad, dado que es aquí donde la Alta Dirección estudia y conoce el tema y adquiere ese compromiso y responsabilidad que se le demanda dentro del Sistema de Gestión de Calidad. Se presenta el estudio de elementos organizacionales como lo son la Misión, Visión, Política de Calidad. Posteriormente se realiza la Conceptualización del sistema, estableciendo los procesos que formarán parte del sistema y la forma en que se le dará cumplimiento a los diferentes puntos de la norma ISO 9001:2008. Construcción del mapa de procesos. Determinación de las necesidades de documentación. Elaboración de los documentos. Cumplimiento de los requisitos de la Norma ISO 9001:2008. Establecimiento de la Política y de los Objetivos de Calidad. Elaboración del Manual de Calidad. Se Diseño de  un plan para determinar las acciones necesarias para la implementación del SGC. Se realiza la asignación del representante de la Dirección y conformación del Comité de Calidad. Una vez finalizado el diseño del Sistema de Gestión de Calidad, se elaboró un plan para la implementación de dicho Sistema, donde se determinaron las tareas o actividades, los recursos necesarios y el tiempo programado para dicha implementación. Y por último se presenta la determinación de los costos para la implementación del SGC.Finalmente se determinaron los costos de calidad en tres escenarios distintos, los cuales fueron:·        Sin contar con un Sistema de Gestión de Calidad·        El primer año de implementación del Sistema de Gestión de Calidad·        El segundo año a partir de la implementación (primer año de funcionamiento)</t>
  </si>
  <si>
    <t>https://drive.google.com/file/d/1QPcgc7LocdkErb_2yv_8RARdpTwXsSzZ/view?usp=sharing</t>
  </si>
  <si>
    <t>https://drive.google.com/file/d/1R-Ohes6_u5j8rK1Gi47rs7BGafNSQUKP/view?usp=sharing</t>
  </si>
  <si>
    <t>https://drive.google.com/file/d/1y1bd0H--hBoaj7kqv5Do7IQqATa475kw/view?usp=sharing</t>
  </si>
  <si>
    <t>JUAN ALEX CÁRDENAS CHOQUE</t>
  </si>
  <si>
    <t>MARIELA LEYLA VELASCO CONTRERAS</t>
  </si>
  <si>
    <t>ING. HENRY VEIZAGA SALAZAR</t>
  </si>
  <si>
    <t>ESTUDIO DE FACTIBILIDAD PARA LA IMPLEMENTACIÓN DE UNA PLANTA PROCESADORA DE HOJUELAS A BASE DE GRANO ANDINO (CAÑAHUA)</t>
  </si>
  <si>
    <t>alex.cardenas.choque@hotmail.com</t>
  </si>
  <si>
    <t>IND-643-2013</t>
  </si>
  <si>
    <t>Proyecto de Factibilidad, Implementación Planta Procesadora</t>
  </si>
  <si>
    <t>El Estudio de factibilidad para la instalación de una planta procesadora de Hojuelas a base de grano andino, nació para coadyuvar el aprovechamiento de productos como la cañahua, en el departamento de Cochabamba, ya que las hojuelas de cereal son el primer paso para formar los hábitos alimenticios nutritivos y sanos en las personas. Primeramente se realizó un diagnostico situacional, determinando las causas y efectos del problema central que influye en su producción, con su respectiva justificación.En el estudio de mercado se realizó con el análisis de la demanda y oferta de las hojuelas de cañahua en el del departamento de Cochabamba, en vista de que no existen datos históricos de la demanda y oferta se procedió a realizar el respectivo estudio mediante encuestas.El tamaño óptimo de la planta se determinó en función a la demanda pronosticada del mercado en el departamento de Cochabamba.La localización fue obtenida a través de una evaluación cualitativa de puntos ponderados, donde se analizaron tres alternativas, optando por la localidad de Sipe Sipe  por gozar de factores favorables para el proyecto.La Ingeniería del proyecto fue ejecutada seleccionando los procesos y Maquinaria adecuado para la respectiva elaboración de las hojuelas de cañahua, en el estudio se procedió a determinar la cantidad de materia prima requerida describiendo balance de masa en cada proceso. Además se procedió a describir la cantidad de mano de obra requerida para la ejecución del proyecto.Se ilustró la estructura organizativa a través de un organigrama del personal y las funciones que cumplen. Posteriormente se procede a describieron los pasos para la constitución legal de la empresa de forma óptima.Se estimaron las inversiones totales y los respectivos costos operativos. Con toda la información de costos se procedió a la preparación de esta información para realizar el respectivo análisis económico usando indicadores como el TIR (Tasa Interna de Retorno), VAN (Valor Presente Neto), B/C (Beneficio/Costo) y Recuperación del Capital. Se sometió el flujo a un análisis de sensibilidad para  las variables más influyentes. Además se procedió con la evaluación financiera a través de razones de liquidez y razón de endeudamiento.Finalmente se realizó una evaluación de impacto ambiental y una evaluación social, primeramente se procedió con el análisis de los beneficios que aportaría el proyecto durante la implementación, seguidamente se analizó los impactos ambientales en la etapa de construcción, instalación, Operación y funcionamiento, una vez analizada se realizó una lista de chequeo, finalmente se hace un plan de mitigación para los efectos negativos siendo estos menores y controlables.</t>
  </si>
  <si>
    <t>https://drive.google.com/file/d/1I23hc-vmse_cr3DRmQ3I2WkD-n2tk4bf/view?usp=sharing</t>
  </si>
  <si>
    <t>https://drive.google.com/file/d/1N-qngkfy02pKeek4mPhwV-BH93qAfI5_/view?usp=sharing</t>
  </si>
  <si>
    <t>https://drive.google.com/file/d/1Kqgi9Jy80K_BkLzU1AwK46A3ssUnRHSD/view?usp=sharing</t>
  </si>
  <si>
    <t>ROGER ELIAS CONDORI SALINAS</t>
  </si>
  <si>
    <t>DISEÑO DE UN SISTEMA DE GESTIÓN DE CALIDAD ORIENTADO A PROCESOS PARA LA INSTITUCIÓN FINANCIERA DE DESARROLLO CIDRE</t>
  </si>
  <si>
    <t>rogerelias7@gmail.com</t>
  </si>
  <si>
    <t>IND-644-2013</t>
  </si>
  <si>
    <t>Centro de Investigación y Desarrollo Regional (CIDRE), Sistema de Gestión de Calidad (SGC), enfoque a procesos, ISO 9001-2008.</t>
  </si>
  <si>
    <t>Uno de los principales aspectos a considerar por las entidades financieras es la Calidad del Servicio Financiero como el precio que hay que pagar para poder entrar a competir en el mercado, es por esto que se ha creado la necesidad de implementar planes para el mejoramiento de la calidad de servicio que preste determinada empresa y tener cierto nivel de competitividad.El presente trabajo, describe el Diseño de un Sistema de Gestión de Calidad orientado a procesos para una Institución Financiera de Desarrollo (IFD). El Sistema pretende mejorar la calidad de atención en los servicios financieros mediante la gestión y mejora de los procesos crediticios.El objetivo del trabajo es analizar la situación actual de la empresa y establecer los requerimientos que permitan a la Institución cumplir con los requisitos recomendados y/o exigidos por la norma ISO 9001:2008, mediante ello diseñar el Sistema de Gestión de Calidad, demostrando que a través del desarrollo, implementación y mantenimiento del mismo, le permitirá mejorar la competitividad y lograr un alto grado de satisfacción del cliente.En primer lugar se identificaron los procesos estratégicos, de evaluación, procesos principales y los procesos de apoyo, los mismos sirvieron para elaborar el mapa de procesos de la Institución. Posteriormente se realizó el diagnóstico de la situación actual, se identifican capacidades y deficiencias en sus procesos.Una vez identificados los procesos principales de la empresa, se procede al diseño del Manual de Calidad que describe el sistema de Gestión de la Calidad que incluye el alcance, la política de la calidad y la estructura organizacional.Se encuentran establecidos la estructura documental y metodológica para llevar a cabo la identificación y descripción de los manuales, procedimientos y reglamentos de la Institución.Por último se presentan los resultados del trabajo realizado, conclusiones y recomendaciones para mantener el Sistema de Gestión de Calidad a estricto cumplimiento de los requisitos de la norma ISO 9001:2008.</t>
  </si>
  <si>
    <t>https://drive.google.com/file/d/1C65IXnoRBJj463qHvO9hi1Qqk0l5vUN1/view?usp=sharing</t>
  </si>
  <si>
    <t>https://drive.google.com/file/d/1SdMJy8ERt0njvvjxAP9M7RU0TLdKqvus/view?usp=sharing</t>
  </si>
  <si>
    <t>https://drive.google.com/file/d/1ZP6lUeLwDfIQ4I5x2aHelvOibAe94Fga/view?usp=sharing</t>
  </si>
  <si>
    <t>OSCAR WALDO MARTÍNEZ HINOJOSA</t>
  </si>
  <si>
    <t>PLAN DE SEGURIDAD INDUSTRIAL PARA LA EMPRESA “PRODUCTOS NATURALES DESIERTOS BLANCOS S.R.L.”</t>
  </si>
  <si>
    <t>juguetonazo_984@hotmail.com</t>
  </si>
  <si>
    <t>IND-645-2013</t>
  </si>
  <si>
    <t>Seguridad industrial, plan, riesgo, evaluación de riesgos.</t>
  </si>
  <si>
    <t>La empresa “Productos Naturales Desiertos Blancos S.R.L.” introdujo dentro de su plan denominado mejoramiento continuo una línea estratégica denominada seguridad industrial, lo cual llevo a pensar en la salud y bienestar de sus trabajadores que realizan su trabajo en su planta de producción. Por lo tanto dicha empresa se vio en la necesidad de contar con un documento del tema en cuestión. Se procedió a identificar el problema central, el cual radicaba en que la en la planta de producción de la empresa el ambiente de trabajo no era seguro, se determino que eso se debía a que en dicha planta no se había implementado un plan de seguridad industrial que permita identificar los riesgos de accidentes como de enfermedades, y todo ello desencadenaba en un efecto negativo que la empresa no podía cumplir con su plan de mejoramiento continuo.Es por todo lo anteriormente mencionado, que el objetivo de este proyecto estuvo orientado a la elaboración de un plan de seguridad para la empresa “Productos Naturales Desiertos Blancos S.R.L.”, el cual tenía una finalidad y era la de evitar accidentes de trabajo y enfermedades ocupacionales que pudiera afectar la salud de las personas que trabajan en dicha planta   Primeramente se vio que era necesario determinar cuál era la situación  en la cual se encontraba la planta de producción de dicha empresa en lo referente a seguridad industrial. Para ello se decidió recopilar información a través de herramientas como son la observación de todas las actividades, conductas de las personas al momento que realizan su trabajo en la planta de producción de la empresa. También se realizaron dos encuestas, una que estuvo dirigida al gerente general y otra que estuvo dirigida a los trabajadores. Estas encuestas nos permitieron obtener información sobre aspectos que no se pueden detectar con la simple observación.También se realizo la medición del nivel de ruido existente en la planta de producción, el cual arrojo como resultado que los niveles de ruido estaban por debajo de los límites permisibles, o sea que no generan riesgo. Además de ello también se realizo el cálculo sobre los niveles de iluminación existente en los diferentes sectores de la planta de producción, Dicho cálculo nos llevo a la conclusión de que la iluminación no genera riesgos porque se encuentra entre los límites o niveles recomendados y por lo tanto tampoco generaba riesgos.Una vez recopilada la información a través de las acciones mencionadas anteriormente, se procedió a identificar los riesgos que existían en cada sector de la planta de producción. Una vez identificados los riesgos se procedió a evaluarlos, y para ello se utilizo un método denominado el método de evaluación de riesgos de William T .Fine. En base a este método se pudo determinar que riesgos eran los que debían atenderse con prioridad. Una vez evaluados los riesgos se sacaron conclusiones acerca de la evaluación de riesgos y también acerca de todos los aspectos relacionados al aspecto de la Ley General de Higiene Seguridad Ocupacional y Bienestar, determinando los aspectos en los cuales la empresa no estaba cumpliendo.En base a todo lo determinado en las conclusiones, se procedió a realizar propuestas de corrección en base a las deficiencias identificadas en lo referente a seguridad industrial. Debido a ello se obtuvieron como resultado seis líneas de acción, las cuales pasaron a conformar el plan de seguridad industrial.Para desarrollar el plan de seguridad industrial se desarrollaron los siguientes aspectos: La ficha descriptiva del plan, la ficha descriptiva de las líneas de acción, el cronograma de ejecución y el despliegue de la planificación operativa hasta el nivel de actividades y tareas. Luego de realizar la planificación de cada línea de acción que conformaba el plan, se procedió a determinar el tiempo de implementación, el cual alcanzo u periodo de nueve meses. Además de este tiempo también se determino la cantidad de tiempo que estará vigente el plan  de seguridad industrial y considerando las características de la empresa se determino que el tiempo ideal es de dos años.Además de las líneas de acción también se dieron propuestas referidas al cumplimiento de la Ley General de Higiene Seguridad Ocupacional y Bienestar, para que la empresa evite sanciones de las autoridades correspondientes, pero aun más importante para que en la planta de producción de la empresa se alcance un ambiente de trabajo seguro. Posteriormente se procedió a determinar cuál es la inversión que requería el plan de seguridad industrial y también los gastos que generaría en el tiempo de su vigencia. Además se determinaron también los beneficios que le dejaría a la empresa el implementar dicho plan.Una vez elaborado el plan de seguridad industrial, con toda la información se pudieron sacar conclusiones que nos permitieron ver las cosas un poco más claras, entre las que destaca la reducción del nivel de riesgos existente en la planta de producción de la empresa.Las recomendaciones que se pudieron dar estuvieron relacionadas con la importancia que los trabajadores y los empleadores le debían dar al Comité Mixto de seguridad que se propuso conformar en la empresa, ya que es por este medio que de ahora en adelante , de establecerán medidas relacionadas a la seguridad industrial, y eso se lo hará con la participación de todos los que forman parte de la empresa.</t>
  </si>
  <si>
    <t>https://drive.google.com/file/d/1ed9tGLxRcR5xwDmw54ngt9TfIG2__YIF/view?usp=sharing</t>
  </si>
  <si>
    <t>https://drive.google.com/file/d/1gYUTuz7O4MxBJCy-fFZmoCA7Uodrpouv/view?usp=sharing</t>
  </si>
  <si>
    <t>https://drive.google.com/file/d/1Ic6p1vEIikWIyrzMGvcWWDU6JUsJnS8i/view?usp=sharing</t>
  </si>
  <si>
    <t>SELMY ROCHA COCA</t>
  </si>
  <si>
    <t>CARLOS RICARDO PORCEL CALZADA</t>
  </si>
  <si>
    <t>ESTUDIO DE FACTIBILIDAD TÉCNICA Y DE MARKETING PARA LA IMPLEMENTACIÓN DE DOS NUEVAS LÍNEAS DE SERVICIO (ELECTRICIDAD Y FONTANERÍA) PARA TELETECNICOS S.R.L.</t>
  </si>
  <si>
    <t>selmy19@gmail.com</t>
  </si>
  <si>
    <t>IND-646-2013</t>
  </si>
  <si>
    <t>Teletecnicos Servicios Generales S.R.L., Cochabamba Cercado, Interfaz Humano Maquina (HMI), Estudio de mercado y Plan de Marketing</t>
  </si>
  <si>
    <t>Teletecnicos Servicios Generales S.R.L., dedicada a brindar servicios en áreas de reparación en electrodomésticos, se encuentra en el deseo de expansión, habilitando sus dos nuevas líneas de acción (Electricidad y Fontanería).En este sentido se realizó un estudio de mercado, para saber la demanda del mercado respecto al servicio, el mencionado estudio de mercado permitió conocer la competencia a la cual se enfrentara la empresa.Al mismo tiempo al ver que existe una buena demanda se realizó un estudio técnico, el objetivo del mismo era para poder ubicar la localización de la empresa y su distribución de la misma.El estudio técnico, permitió conocer que la ubicación de la empresa respecto al entorno es indiferente, ya que es un servicio a domicilio y no se realiza ningún proceso dentro la empresa o en oficinas de ellas, así como es en el área de reparación de electrodomésticos.Para saber cómo introducir los servicios al mercado se realizó un Plan de Marketing, elaborado por segmentos mensuales y sencillos para su aplicación.Este plan de Marketing permite conocer las inversiones y gastos que realizara la empresa durante los próximos 5 años.En el área política, la empresa no requirió un estudio ya que la apertura de sus nuevas líneas está incluida en el marco legal de la empresa como institución.Durante el desarrollo del plan de marketing se logró identificar ciertos aspectos negativos y positivos a la cual se ve sometida la empresa. Para poder mejorar los aspectos positivos y eliminar o reducir la parte negativa.Se realizó una matriz FODA, que permitió conocer a cabalidad las fortalezas, debilidades, oportunidades y amenazas las cuales está sujeta la empresa.El objetivo de ello fue aumentar las fortalezas reduciendo las debilidades.Así mismo  incrementar las oportunidades para poder reducir las amenazas.Por último la empresa durante los años de ejecución de su apertura de sus nuevas líneas, realizara inversiones para lo cual se estudió la empresa, mercado, publicidad, gastos en general, con el fin de poder tener un análisis financiero respecto al funcionamiento económico de la empresa.Durante el estudio financiero se vio la necesidad de establecer un estudio de sensibilidad que permitio conocer el estado de la empresa en escenarios positivos y negativos.Este estudio de sensibilidad sirve para conocer como actuara la empresa frente a una baja de precios en el área de sueldos, cambio monetario, demanda, etc.Se concluyo el estudio ofreciendo recomendaciones y conclusiones para las estrategias, plan de marketing y para cada una de las áreas estudiadas.</t>
  </si>
  <si>
    <t>https://drive.google.com/file/d/1lHiaYZvDb-Fu8LMzkvtFOu-PCIOza8oD/view?usp=sharing</t>
  </si>
  <si>
    <t>https://drive.google.com/file/d/1Zzv2quPKgCb7cAfwcHXNAXCMpiRr9Ese/view?usp=sharing</t>
  </si>
  <si>
    <t>https://drive.google.com/file/d/1YC-NiQBd7aGPhbNdIjIyJqaNUwDYThTa/view?usp=sharing</t>
  </si>
  <si>
    <t>YEYSON FLORES ASCUY</t>
  </si>
  <si>
    <t>ANDREA ARUQUIPA UBINA</t>
  </si>
  <si>
    <t>ING. WILHELM EDUARDO LANGE GONZALES</t>
  </si>
  <si>
    <t>ESTUDIO PARA EL MEJORAMIENTO DE MÉTODOS Y DETERMINACIÓN DE LOS TIEMPOS ESTÁNDAR DEL  PROCESO DE PRODUCCIÓN DE LA EMPRESA “NATU CASAS” S.R.L.</t>
  </si>
  <si>
    <t>I-2014</t>
  </si>
  <si>
    <t>dyeyson01@hotmail.es</t>
  </si>
  <si>
    <t>IND-647-2014</t>
  </si>
  <si>
    <t>Estudio de tiempos, Mejoramiento de métodos, Diagnóstico de la empresa, Diagrama de proceso, Producción, Tiempos estándar, NATU CASAS S.R.L., Estudio Financiero, Análisis de costos.</t>
  </si>
  <si>
    <t>Se realizó un diagnóstico de la situación actual de la empresa NATU CASAS S.R.L., se obtuvo información respecto a la organización, descripción del proceso productivo, productos, se estudiaron los datos internos y externos, identificando de esta manera  las debilidades de la empresa. Concluido el diagnostico se realizó una descripción general del funcionamiento de la planta, en la que se presenta la descripción de los procesos, diagramas de recorrido, diagramas de procesos y diagramas de actividades múltiples en equipo. Se realizó un análisis del producto, las instalaciones, maquinarias y herramientas que son utilizadas para la fabricación del producto, para determinar propuestas de mejora para el proceso de producción, a través de la información recolectada se registró cada uno de los procesos y así poder contar con documentación que será el punto de partida para un mejor control en la producción.Se hizo un análisis de método actual, primero se ha descrito las actividades que se realiza en cada puesto de trabajo y de esta manera registrarlos para posteriormente realizar un análisis de método, eliminando procesos o pasos innecesarios. Para su comprensión se realizó: un diagrama de hilos actual y  un análisis de distribución de planta.Seguidamente se elaboró diagramas de procesos propuestos a partir de la identificación de los procesos críticos, como también propuestas en la distribución de planta tomando en cuenta el tipo de producción, determinando de esta manera los métodos propuestos.Posteriormente fueron determinados los tiempos estándares de los procesos de producción para la fabricación de paneles de madera a través del estudio de tiempos con cronometro método elegido debido a que algunas actividades son desarrolladas en un corto tiempo, tomando en cuenta factores como: la identificación de operaciones de cada puesto de trabajo y la ruta que siguen. Por último se realizó el estudio financiero, donde se determinaron indicadores financieros que demostraron la viabilidad y aceptación del proyecto.</t>
  </si>
  <si>
    <t>https://drive.google.com/file/d/1T-f5WtpcgZNk9db2nQzExwc4TYnaWtfi/view?usp=sharing</t>
  </si>
  <si>
    <t>https://drive.google.com/file/d/19sN6zm_2-eKAsSgcN-bXePcUwwKBn8ry/view?usp=sharing</t>
  </si>
  <si>
    <t>https://drive.google.com/file/d/1F8-57-ChnQ-nLhqY4vhLAbJtJie5Tua7/view?usp=sharing</t>
  </si>
  <si>
    <t>SERGIO LUIS BALDERRAMA SUBIETA</t>
  </si>
  <si>
    <t>ESTUDIO DE FACTIBILIDAD PARA LA IMPLEMENTACIÓN DE UNA PLANTA PRODUCTORA DE ABONO EN BASE A RESIDUOS ORGANICOS DEL DISTRITO 3 DE LA CIUDAD DE CERCADO</t>
  </si>
  <si>
    <t>Sergiob44_47@hotmail.com</t>
  </si>
  <si>
    <t>IND-648-2014</t>
  </si>
  <si>
    <t>Planta Productora de fertilizante orgánico, compost, Factibilidad, abono orgánico, residuos orgánicos.</t>
  </si>
  <si>
    <t>Primeramente se realizó un análisis de la situación actual de los residuos orgánicos y de la basura en el mundo, Bolivia y la ciudad de Cochabamba. En la cual se determinó que como en todo el mundo la ciudad de Cochabamba tiene un aumento de la cantidad de residuos sólidos debido principalmente al aumento de la población y la mal aprovechamiento de recursos de la personas.A continuación se hizo una investigación de mercado en la ciudad de Cochabamba para el análisis de 3 segmentos de mercado: consumidores ornamentales, agrícolas y viveros. Se recolecto principalmente las preferencias sobre el tipo de uso del abono orgánico, periodo de compra, cantidad comprada y preferencias en formatos para la comercialización de dicho producto.Seguidamente con la información obtenida desarrollamos una estrategia de marketing basados en las 4 Ps (producto, precio, plaza y promoción) de manera de poder llegar a los nichos de mercado objetivo.También se realizó el análisis del proceso de compostaje y todas las variables que intervienen en ella. Se determinó que la perdida en peso desde que los residuos orgánicos entran hasta que son completamente degradados es de  del 78 % del peso, que se necesitan 16 días para culminar el proceso siempre que la materia prima haya sido picada y las variables del proceso sean monitoreadas para que se encuentren dentro de los límites aceptables.La realización de la ingeniería del proyecto se realizó de manera de que se optimiza el proceso de producción. Con la ayuda de los datos experimentales se realizó la selección de máquinas y equipos más adecuados para el proceso. También se definió las obras civiles necesarias para poder tener un adecuado trabajo dentro de la planta de compostaje.Se determinó la estructura organizacional de la planta de compostaje de manera que se pueda tener una adecuada división del trabajo y que todo el personal tenga bien delimitadas sus obligaciones y responsabilidades.Debido a la demanda de fertilizantes orgánicos, financiamiento disponible, cantidad de materia prima se decidió que la planta procesar 15 toneladas/día. Además se definió que el lugar idóneo para la implementación de la planta de fertilizantes orgánicos es la zona de alba rancho en la zona sud de Cochabamba.El tiempo determinado para poder concluir con la implementación del proyecto será de 11 meses que abarcan desde el momento en que la planta de fertilizantes orgánicos se crea como empresa legalmente constituida hasta la revisan final por parte de la dirección de la planta a las obras concluidas y listas para empezar a producir.En el análisis financiero se determinó que el proyecto de la planta de fertilizantes orgánicos tiene  un TIR de 11 %, el VAN 1243431 de y finalmente un B/C de 1.42.Finalmente se determinó los posibles impactos ambientales que la planta de fertilizantes orgánicos produciría a su alrededor y como estos podrían ser mitigados.</t>
  </si>
  <si>
    <t>https://drive.google.com/file/d/16CQV4z06WRojUmfB8UP03LeeuomqQ669/view?usp=sharing</t>
  </si>
  <si>
    <t>https://drive.google.com/file/d/1y6yZ4588JoKXsrVy39vNPqBDb26yj9rK/view?usp=sharing</t>
  </si>
  <si>
    <t>https://drive.google.com/file/d/1yeKgU03ddLNSii4AK5vO3m4by687wlNc/view?usp=sharing</t>
  </si>
  <si>
    <t>BORDA ZAPATA PEDRO ROBERTO</t>
  </si>
  <si>
    <t>ING. ALBERTO JAVIER HERBAS BRAVO</t>
  </si>
  <si>
    <t>ELABORACIÓN DE UN MANUAL DE PROCEDIMIENTOS PARA EL CENTRO DE OPERACIONES DE REDES (NOC) DE COMTECO.</t>
  </si>
  <si>
    <t>pborda@hotmail.com</t>
  </si>
  <si>
    <t>IND-649-2014</t>
  </si>
  <si>
    <t>Centro de Operaciones de Redes (Noc), Circulo de Deming, Gestión de la calidad, Mejora continua, enfoque basado en procesos</t>
  </si>
  <si>
    <t>El Centro de Operaciones de Redes (Noc) de Comteco ha visto por conveniente elaborar un manual de procedimientos debido a una falta de uniformidad en el trabajo realizado y desorganización en las actividades de monitoreo.Primeramente se realizó un diagnóstico de la situación actual del Centro de Operaciones de Redes (Noc) de Comteco, y se recabo la información disponible acerca de las actividades, procesos de las actividades, la organización actual de la unidad, etc. Todo ello con el fin de establecer el trabajo actual que allí se realiza, a través del diagrama de causas y efectos del Noc de Comteco. En función a este análisis se podrá determinar las posibles soluciones al problema.Seguidamente se procedió con el estudio de identificación y priorización de procesos dentro de la empresa a partir del enfoque basado en procesos, fue necesario estudiar el marco global en el que se desenvuelve el enfoque basado en procesos, como ser: Gestión de la Calidad y la Mejora continua, así también el porqué de su aceptación, práctica y consideración en los sistemas de gestión de calidad.Una vez concluido y entendido el estudio de identificación de procesos, mejora  continua y el enfoque basado en procesos, se procedió con la elaboración del mapa de procesos del Noc de Comteco, para posteriormente seguir con la identificación de procesos y clasificación de los mismos para su documentación.Posteriormente se procedió al diseño del Manual de Procedimientos y así proporcionar un instrumento técnico-administrativo que norme la elaboración de los manuales de procedimientos con uniformidad, contenido y presentación que permita optimizar el cumplimiento de las atribuciones y el buen funcionamiento del Noc.Con la adopción y manejo de los conceptos y elementos vertidos en este diseño, se facilitará la elaboración de dichos manuales, contribuyendo con ello, a contar con herramientas técnicas que permitan, a los trabajadores del Noc, realizar posteriores cambios o actualizaciones al manual y a los procedimientos.</t>
  </si>
  <si>
    <t>https://drive.google.com/file/d/1jEIhO80lDq5qxjW21isrMwneoS8hHgLv/view?usp=sharing</t>
  </si>
  <si>
    <t>https://drive.google.com/file/d/1AsGbCBxrjCxvNqPooH2YSj-cbZuNzCvF/view?usp=sharing</t>
  </si>
  <si>
    <t>https://drive.google.com/file/d/1pRjKZWYTxt8JzGlG3pTNaRfl64_xcAsc/view?usp=sharing</t>
  </si>
  <si>
    <t>JUSTINA ALANIS VASQUEZ</t>
  </si>
  <si>
    <t>SILVIA EUGENIA TOTORA GOMEZ</t>
  </si>
  <si>
    <t>ING. MOISÉS ISLA</t>
  </si>
  <si>
    <t>PLAN DE SEGURIDAD INDUSTRIAL, SALUD E HIGIENE OCUPACIONAL Y GESTIÓN MEDIO AMBIENTAL PARA LA “CURTIEMBRE JAZMÍN”</t>
  </si>
  <si>
    <t>Justy_Av@hotmail.com</t>
  </si>
  <si>
    <t>IND-650-2014</t>
  </si>
  <si>
    <t>Curtiembre, Seguridad Industrial, Medio ambiente, Método George Kinney, Análisis Preliminar de Riesgos (Preliminary Hazard Analysis, PHA), Buenas Prácticas de Producción más limpia.</t>
  </si>
  <si>
    <t>La Curtiembre Jazmín, con su planta ubicada en Pinami Norte, se dedica a la producción de cueros curtidos para abastecer la demanda de las empresas que se dedican a la producción de textiles y otros.Debido a los insumos que se hacen uso, al manipuleo de la materia prima, las condiciones que presenta el lugar de trabajo, entre otros factores se determinó la necesidad de contar con herramientas de ingeniería, que ayuden a identificar las áreas de riesgos existentes dentro de la empresa.Considerando que las condiciones de riesgo que presentaba la empresa eran considerables y estas afectaban en gran manera al recurso más importante, el recurso humano, se propuso realizar el diseño de un programa de seguridad e higiene y poder disminuir o eliminar las condiciones de riesgo existentes.Para determinar el diagnostico de la empresa se realizo una encuesta al Gerente General de la empresa y los trabajadores, además se empleo los siguientes métodos: Listas de Control (Check Lists) y Análisis Preliminar de Riesgos (Preliminary Hazard Analysis, PHA); a través de los cuales se determino los factores riesgos existentes en cada  área de trabajo.Posteriormente se procedió a la evaluación del diagnostico  realizado; para determinar su criticidad y las medidas preventivas a aplicarse, esto fue realizado a través del Método George Kinney.Todas las medidas preventivas propuestas se especificaron con mayor detalle en el Manual de Seguridad Industrial y Salud Ocupacional  de acuerdo a los factores de riesgos identificados.Para la parte ambiental; considerando que la empresa presentaba impactos relevantes al medio ambiente por los insumos químicos usados, por el uso de grandes cantidades de agua, por los residuos líquidos y sólidos  que quedan y por los olores que emanan; se propuso un Plan de Gestión Medio Ambiental, el cual destacaba las medidas de mitigación para los impactos definidos, además de una propuesta de Practicas de Producción Mas Limpia.</t>
  </si>
  <si>
    <t>https://drive.google.com/file/d/1TIlmEIGCvvVx8ZWhxlUGCgoGxRNqyyVG/view?usp=sharing</t>
  </si>
  <si>
    <t>https://drive.google.com/file/d/1nyKu_xtJ2UFaUFBtz6anOGTFT7dNZb_N/view?usp=sharing</t>
  </si>
  <si>
    <t>https://drive.google.com/file/d/1duHC2bQaeDoqguF5X2t9_B9HkeLSyM9W/view?usp=sharing</t>
  </si>
  <si>
    <t>CÉSAR AUGUSTO MENDIVIL COLLAZOS</t>
  </si>
  <si>
    <t>ING. RUBÉN GARCIA</t>
  </si>
  <si>
    <t>ESTUDIO DE FACTIBILIDAD PARA LA IMPLEMENTACIÓN DE UNA PLANTA PROCESADORA DE PULPA DE TUMBO EN EL DEPARTAMENTO DE COCHABAMBA.</t>
  </si>
  <si>
    <t>cfenix@hotmail.com</t>
  </si>
  <si>
    <t>IND-651-2014</t>
  </si>
  <si>
    <t>Tumbo, Factibilidad, Planta, Procesadora, Pulpa, Cochabamba.</t>
  </si>
  <si>
    <t>Se realizó un estudio de mercado, utilizando técnicas de investigación de mercado y estrategias de mercadotecnia para la introducción del nuevo producto, donde se pudo obtener información sobre las expectativas, volúmenes de compra de los clientes objetivos, precio de venta y demanda insatisfecha.Se hizo un estudio técnico de materia prima e insumos, donde se pudo definir una nueva demanda efectiva, ya que una medida restrictiva era la capacidad productiva de los proveedores de materia prima. Se pudo también cuantificar los costos asociados a materias primas, insumos y materiales.Se obtuvo la ubicación de la planta procesadora en la provincia de Cercado en el departamento de Cochabamba por la disponibilidad de servicios básicos y la cercanía al mercado objetivo.En la ingeniera del proyecto se definió el proceso productivo para la obtención de pulpa de tumbo y se pudo cuantificar la inversión en obras civiles y terreno.Con los datos recabados se procedió a la determinación de la estructura orgánica de la empresa, cuantificando los costos asociados a la mano de obra directa e indirecta. Con el análisis ambiental de la empresa se identificó que el proyecto es ecológicamente compatible.Con todos los datos del proyecto se realizó es estudio financiero del proyecto, donde se pudo cuantificar la utilidad, la tasa interna de retorno y el valor actual neto. Dando una perspectiva para tomar decisiones a futuros inversionistas.</t>
  </si>
  <si>
    <t>https://drive.google.com/file/d/1aK8pQQNYbXCrG80zHwfwbLduTL59Tpom/view?usp=sharing</t>
  </si>
  <si>
    <t>https://drive.google.com/file/d/1_kRjDZZnEBs97zzdwD1eU1ZbKGLzUTB3/view?usp=sharing</t>
  </si>
  <si>
    <t>https://drive.google.com/file/d/1-R_osM8TGKyWe8Qj9WWYrAxSliTzIiXe/view?usp=sharing</t>
  </si>
  <si>
    <t>CESIA DAMARIS QUISPE BAUTISTA</t>
  </si>
  <si>
    <t>ING. SCARLET MERIDA</t>
  </si>
  <si>
    <t>DISEÑO DE UN SISTEMA DE GESTIÓN DE INOCUIDAD DE LOS ALIMENTOS BASADO EN LA NORMA ISO 22000:2005 PARA EL GRUPO EMPRESARIAL VALENCIA S.R.L.</t>
  </si>
  <si>
    <t>cesyquispe@hotmail.com</t>
  </si>
  <si>
    <t>IND-652-2014</t>
  </si>
  <si>
    <t>Sistema de Gestión de Inocuidad Alimentaria (SGIA), Inocuidad, Buenas Prácticas de Manufactura (BPM´s), Puntos Críticos de Control (PCC´s), Análisis de Peligros y Puntos Críticos de Control (HACCP).</t>
  </si>
  <si>
    <t>El Grupo Empresarial Valencia, ha visto por conveniente la aplicación de un sistema de aseguramiento de la inocuidad enfocado en el control de peligros en sus procesos de producción y comercialización.  Primeramente se realizó un diagnostico según la norma ISO 22000:2005 evaluando los requisitos de la documentación, responsabilidad de la dirección, gestión de los recursos, realización del producto y la validación. Se prosiguió con el diagnóstico al cumplimiento de los principios generales del Codex alimentarius (BPA, BPM/BPF, BPH, POES) como prerrequisito del plan HACCP (Análisis de Peligros y Puntos Críticos de Control). Posteriormente en función a los principales problemas relacionados con los procesos obtenidos según el diagnóstico, se realizó el desarrollo de SGIA propuesto para la mejora según la norma ISO 22000:2005; es decir se elaboró toda la estructura documental necesaria: Manual de inocuidad, Plan de inocuidad, procedimientos, instructivos y otros documentos; resaltando que estos permitirán brindar solución a los problemas detectados en el diagnóstico. Finalmente se realizó un análisis de los costos en los cuales incurrirá la empresa una vez que la propuesta sea aplicada.</t>
  </si>
  <si>
    <t>https://drive.google.com/file/d/1PJKuIzN__QKDY9tzIViLEFJJx0UudDZz/view?usp=sharing</t>
  </si>
  <si>
    <t>https://drive.google.com/file/d/1P0EdrEJL8MhC8NfbY2fZ0PFdDcWvSp17/view?usp=sharing</t>
  </si>
  <si>
    <t>https://drive.google.com/file/d/1ecKniBF-r8ye_wzlyx-hb587Tzee8ziq/view?usp=sharing</t>
  </si>
  <si>
    <t>MARIEL VANESSA GONZALES NINA</t>
  </si>
  <si>
    <t>GALIA ZAMBRANA CÁMARA</t>
  </si>
  <si>
    <t>ING. CARLOS ACEVEDO P.</t>
  </si>
  <si>
    <t>PLAN DE GESTIÓN DE PROCESOS PARA EL DISEÑO DE UN SISTEMA ENFOCADO A LA TRIPLE HÉLICE DEL CLÚSTER DE ALIMENTOS COCHABAMBA</t>
  </si>
  <si>
    <t>vanessa_m_7@hotmail.com</t>
  </si>
  <si>
    <t>IND-653-2014</t>
  </si>
  <si>
    <t>Triple hélice, vincula­ción, innovación, gestión de procesos,  universidad, empresa, gobierno</t>
  </si>
  <si>
    <t>El Clúster de Alimentos Cochabamba ha visto por conveniente realizar un plan de gestión por procesos debido a la inexistencia de un manual de funciones de los procesos y los cargos, el cual  se  desarrolló  sobre  la  base  teórica  del modelo de la Triple Hélice que considera las relaciones existentes de cooperación entre la Universidad-Empresa-Gobierno.  Con el propósito de crear nuevos conocimientos, nuevas estrategias y actividades de innovación para el desarrollo de un país. El análisis de la teoría consultada, deja manifiesto  que  existe  una  amplia  gama  de  estudios  que  contemplan  la  Triple  Hélice  como  un modelo que se está desarrollando tanto en América Latina, Asia y Europa. El cambio tecnológico, la necesidad de cooperación y de establecer alianzas,  entre  las  empresas,   es  necesario  para  que exista  una  mayor  participación  en  el  mercado  y se desarrolle más a fondo la vinculación existente entre la Universidad, la Empresa y Gobierno. Primeramente se realizó un diagnóstico de la situación actual del Clúster de Alimentos, y se recabo la información disponible acerca de las actividades, procesos de las actividades, la organización, etc. Todo ello con el fin realizar un análisis interno y externo del conglomerado, en función a este análisis se podrá determinar estrategias de  soluciones al problema, para la estructuración de gestión por procesos.Se realizó la planificación del sistema de gestión por procesos, el cual describe los principios de calidad, la mejora continua, con el fin de estructurar un enfoque sistémico y un mapa de procesos donde se identificó los procesos estratégicos, proceso clave y procesos de apoyo, para los cuales se realizara el manual de funciones.También se realizó el diseño del sistema de gestión por procesos, en base a herramientas que muestren la secuencia de las actividades mediante el uso de la documentación de cada proceso y cargos. Con el fin de la elaboración  del manual de funciones y procedimientos del personal y así sabrá que funciones debe de cumplir, que actividades debe de seguir y que apoyo deben de recibir en su área.Para el cumplimento de sus actividades de manera eficaz y eficiente se desarrolló un sistema de control y medición a través de indicadores con factores críticos de éxito por medio de un objeto, detector, comparador y activador.</t>
  </si>
  <si>
    <t>https://drive.google.com/file/d/1u25gFF4z5mM9wq29nnPOh1mfve9L_BhB/view?usp=sharing</t>
  </si>
  <si>
    <t>https://drive.google.com/file/d/1Y4sWnrnUrb-P6QGvkym6Fs_odn-ZiMth/view?usp=sharing</t>
  </si>
  <si>
    <t>https://drive.google.com/file/d/1A4G14r1buZLRT9324liwpFbH3CBtMQBw/view?usp=sharing</t>
  </si>
  <si>
    <t>JORGE MAURICIO PEREDO TERCEROS</t>
  </si>
  <si>
    <t>ING. LUIS OVANDO DEL BARCO</t>
  </si>
  <si>
    <t>ESTUDIO DE FACTIBILIDAD PARA LA EXPORTACIÓN DE BEBIDAS ENERGIZANTES MAGYQ A LOS ESTADOS UNIDOS</t>
  </si>
  <si>
    <t>mauricioperedoterceros@gmail.com</t>
  </si>
  <si>
    <t>IND-654-2014</t>
  </si>
  <si>
    <t>Factibilidad, Exportación, Mercados Internacionales, INCOTERMS 2010, Viabilidad Financiera, Logística de Exportación.</t>
  </si>
  <si>
    <t>El trabajo de investigación pretende demostrar la vialidad de la internacionalización de la  bebida energizante natural MAGYQ logrando aumentar las ventas y márgenes de ganancia para la empresa Grupo Empresarial Valencia satisfaciendo los requerimientos del mercado destino.Se analizo la situación de la empresa en estudio, ilustrando el Marco Estratégico, políticas de Calidad, su estructura organizacional y su campo de acción en el entorno empresarial.En el Estudio del Mercado Internacional tiene como objetivo recopilar, seleccionar y analizar la información del país objeto de estudio, para ayudar al exportador a entender el medio ambiente internacional, a identificar problemas y oportunidades también a desarrollar y evaluar cursos de acción para la adecuada toma de decisiones al momento de llevar a cabo el proceso de exportación.En la perspectiva de exportar la bebida energética natural MAGYQ, la empresa Grupo Empresaria Valencia S.R.L. necesita cumplir una serie de requisitos legales exigidos para vender al mercado de Estados Unidos donde describiremos puntualmente el procedimiento de exportación a seguir como leyes, normas, trámites, logística y procedimientos de exportación a realizar.Los resultados de los indicadores financieros que se obtuvieron son bastantes alentadores ya que se obtuvo para un tiempo de duración de 5 años del proyecto un TIR del 34%, un VAN de  284.950,13Bs. y además un índice B/C de 0,89, lo cual quiere decir que este proyecto es por demás rentable por donde se vea y se comprueba que el proyecto es factible.Grupo Empresarial Valencia a pesar de ser una de las empresas pioneras para la elaboración de productos naturales, no toma la decisión de exportar por la falta de Sistematización de información Técnica, Comercial, legal y financiera que permita determinar la factibilidad y la toma de la decisión de la Exportación de las Bebidas MAGYQ, donde la empresa ya cuenta con un producto adecuado con sus propiedades energizantes reconocidas, que hace al producto preferible a los de la competencia.</t>
  </si>
  <si>
    <t>https://drive.google.com/file/d/149kxLcrnV5fM7OgViVqMsMGwBX24c9JL/view?usp=sharing</t>
  </si>
  <si>
    <t>https://drive.google.com/file/d/1WuaVkIlurdpnN1PUGebF0u5-ui3ovetp/view?usp=sharing</t>
  </si>
  <si>
    <t>https://drive.google.com/file/d/1EPjqwL9HUW1kMXlUZfLNmQmwcl7Py3M-/view?usp=sharing</t>
  </si>
  <si>
    <t>WENDY ORTEGA ZAPATA</t>
  </si>
  <si>
    <t>LIC. JAVIER FELIX DÁVILA ANTEZANA</t>
  </si>
  <si>
    <t>DISEÑO DE UN SISTEMA DE GESTIÓN DE CALIDAD BASADO EN LA NORMA ISO 9001:2008, PARA LA COOPERATIVA DE AHORRO Y CRÉDITO ABIERTA SAN JOSÉ DE PUNATA LTDA</t>
  </si>
  <si>
    <t>w.ortega.zapata@gmail.com</t>
  </si>
  <si>
    <t>IND-655-2014</t>
  </si>
  <si>
    <t>Sistema de gestión de calidad basado en procesos, Norma Iso 9001:2008, Satisfacción del cliente</t>
  </si>
  <si>
    <t>En este proyecto de grado tuvo como objetivo diseñar un sistema de gestión de la calidad, que funcionó de acuerdo a los requisitos de la Norma internacional ISO 9001:2008, para la Cooperativa de Ahorro y Crédito Abierta San José de Punata Ltda.Para la realización del proyecto se ejecutaron  las siguientes actividades: investigación, recolección de información, revisión y análisis de la documentación,  y elaboración de la propuesta final que incluye la creación de un sistema de gestión de la calidad.La estructuración del sistema de calidad en la Cooperativa de Ahorro y Crédito Abierta San José de Punata Ltda., surgió de la necesidad de satisfacer e incluso superar los requerimientos de los socios/ clientes y de la búsqueda de una ventaja competitiva que diferencie el servicio prestado por la cooperativa.Esta estructuración se desarrolló en varias etapas: la primera fue un diagnóstico de la situación actual de la cooperativa frente a la Norma, lo que permitió conocer las no conformidades. La siguiente etapa fue el análisis de la situación actual interno y externo de la cooperativa (Análisis FODA), y con base a los resultados de estas dos etapas se consiguió plantear el Marco estratégico para la cooperativa, entre estas se propuso una misión, visión, valores institucionales, estrategias para el sistema, política de calidad y objetivos de calidad.Se desarrolló la documentación según los requisitos de la norma ISO 9001:2008 y se elaboró el Manual de calidad, se establecieron los procesos normativos, los procesos operativos y  los requerimientos del cliente, que garantizó que la calidad de los servicios financieros ofrecidos, sea un fiel reflejo de las expectativas de los socios/clientes.Con el fin de dar cumplimiento a los objetivos de calidad se seleccionaron indicadores de control, los cuales se determinaron en función a las dimensiones de: procesos internos, financiera, del cliente y recursos humanos.Posteriormente se determinaron los costos y beneficios de la implementación del proyecto, determinando una relación Beneficio/ Costo de 1,73, mayor a  1, que demuestró que el proyecto se justifica. Para ello se definió una inversión inicial de Bs. 107.900, gastos de operación anuales de Bs. 21.922 y un beneficio estimado de Bs. 103.788 anualmente (al reducirse las quejas del cliente, al reducir los retrasos en la entrega de productos/ servicios financieros, reducir la imagen negativa de la cooperativa por clientes insatisfechos y reducir las pérdidas de ventas debido a clientes potenciales no captados).</t>
  </si>
  <si>
    <t>https://drive.google.com/file/d/1epv-f-VUcIRwffoLuO2ENiCLHNdIhOJq/view?usp=sharing</t>
  </si>
  <si>
    <t>https://drive.google.com/file/d/1qomKTH0ZCg21NHkPfMQPYka9WvrSdJYq/view?usp=sharing</t>
  </si>
  <si>
    <t>https://drive.google.com/file/d/1OgXcN0NzTYczyy4LQOdBKcDO5sEq-kRC/view?usp=sharing</t>
  </si>
  <si>
    <t>PAOLA ANDREA CHOQUE MALDONADO</t>
  </si>
  <si>
    <t>ELABORACIÓN DE UN ESTUDIO ERGONÓMICO Y DETERMINACIÓN DE PROPUESTAS DE MEJORA PARA LA EMPRESA ELFEC S.A.</t>
  </si>
  <si>
    <t>paola.choque.maldonado@gmail.com</t>
  </si>
  <si>
    <t>IND-656-2014</t>
  </si>
  <si>
    <t>ELFEC S.A., estudio ergonómico, manipulación manual de cargas,                        trastornos musculoesqueléticos, disconfort.</t>
  </si>
  <si>
    <t>La empresa ELFEC S.A. siempre velando por la integridad de su recurso más importante: los trabajadores, encuentra la necesidad de realizar un estudio ergonómico, que permita conocer, analizar y proponer mejoras acerca de las condiciones del entorno laboral en la que se desenvuelven los trabajadores.Es de esta manera, que en el afán de mejorar las condiciones del entorno en la que se desenvuelven los trabajadores, se decide realizar un estudio ergonómico y determinación de propuestas para todas las áreas de la empresa ELFEC S.A.En las áreas donde se desarrollan tareas de oficina (áreas administrativas) se realizó una evaluación de las características ergonómicas de los puestos con pantallas de visualización de datos y en las áreas operativas se realizó la evaluación de las tareas que involucran una manipulación manual de cargas.Para la realización de la evaluación ergonómica de los puestos de trabajo con pantalla de visualización de datos, se extrajo una muestra de la población de estudio y usando muestreo aleatorio estratificado, se aplicó un test de evaluación de las características ergonómicas de los puestos de trabajo y se evaluaron las condiciones físicas del ambiente interior; conjuntamente se realizó un análisis de los síntomas musculoesqueléticos para lo cual se aplicó un cuestionario nórdico.Asimismo, para la evaluación de las tareas de manipulación manual de cargas en las áreas operativas de la empresa ELFEC S.A., se analizaron los factores de riesgos involucrados en las tareas y luego se procedió a la evaluación de las tareas.Los resultados de la evaluación ergonómica de los puestos de trabajo con pantalla de visualización de datos muestran que existen deficiencias en aspectos concernientes al diseño físico del puesto, interfaz de comunicación, ambiente interior físico, organización del trabajo, malas posturas que adquieren los trabajadores a lo largo de la jornada laboral, entre otros.En aspectos concernientes a los factores evaluados de las tareas de manipulación manual de cargas, los resultados muestran que existen factores ergonómicos durante la realización de las tareas que generan que la tarea conlleve un riesgo posible o no aceptable, por lo cual se elaboraron medidas correctivas que reduzcan el riesgo de la tarea a un nivel aceptable.De acuerdo a los resultados obtenidos se realizaron propuestas de mejoras, tanto para las áreas administrativas como para las áreas operativas, respecto a los aspectos deficientes que se encontraron durante el análisis ergonómico.La realización de este estudio ergonómico y la determinación de propuestas de mejoras, permitirá a la empresa ELFEC S.A. conseguir condiciones de trabajo confortables, que no perjudiquen al trabajador  y lo liberen del disconfort físico ocasionado por la inadecuada interacción con su entorno laboral.</t>
  </si>
  <si>
    <t>https://drive.google.com/file/d/1bfNFEUav9ZGfEdu4Pmnn11c_ZkgITpM9/view?usp=sharing</t>
  </si>
  <si>
    <t>https://drive.google.com/file/d/1Yzfkod6zdJQxFofnu3ZNkN078TBKlPiu/view?usp=sharing</t>
  </si>
  <si>
    <t>https://drive.google.com/file/d/1ClJnyU-bHP8Lb1lC1vmPZYrfszIsdPKO/view?usp=sharing</t>
  </si>
  <si>
    <t>JULIO CESAR POZO</t>
  </si>
  <si>
    <t>ING. MARCO ANTONIO VELÁSQUEZ GARCÍA</t>
  </si>
  <si>
    <t>DESARROLLO DE UN SISTEMA DE GESTIÓN DE LA CALIDAD BASADO EN LA NORMA ISO 9001 VERSIÓN 2008 PARA LA EMPRESA “TODO ACERO”</t>
  </si>
  <si>
    <t>julioimaginable@hotmail.com</t>
  </si>
  <si>
    <t>IND-657-2014</t>
  </si>
  <si>
    <t>Sistema de Gestión de Calidad ISO 9001:2008, Ciclo PHVA, Programa de mejora continua, Auditorias de Calidad.</t>
  </si>
  <si>
    <t>El presente proyecto tiene como objetivo el desarrollo de un sistema de gestión de la calidad basado en la norma Internacional ISO 9001 versión 2008 para la empresa “TODO ACERO”, en las unidades de producción y montaje, haciendo que la organización se enfoque en la satisfacción de las necesidades de los clientes y en la mejora continua y que a mediano plazo, pueda implementarse y llegar a obtener una certificación de la calidad, para poder mantenerse en el negocio de la distribución de productos y servicios relacionados con estructuras metalmecánicas en Bolivia, y así mismo, llegar a ser más competitivos y lograr ser los diez líderes del mercado.El S.G.C. buscó cubrir los requisitos que la norma maneja como obligatorios para: establecer, implementar y mantener dicho S.G.C., por lo cual se cubren puntos como la documentación, registros, compromiso de la dirección, la planificación, los recursos, la realización del producto y por supuesto la medición, análisis y mejora, dicho desarrollo fue realizado de acuerdo a la siguiente metodología:Primeramente se realizó un diagnóstico de la situación actual. Usando un cuestionario elaborado en base a los requisitos de la Norma ISO 9001:2008,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9001:2008. Como resultado de este diagnóstico, se identificaron las fortalezas, debilidades y oportunidades de mejora de la empresa.El diseño del Sistema de Gestión de Calidad, se inicia con el diseño del taller de la Sensibilización que es una de las actividades más importante en el Diseño del Sistema de Gestión de Calidad, dado que es aquí donde la Alta Dirección estudia y conoce el tema y adquiere ese compromiso y responsabilidad que se le demanda dentro del Sistema de Gestión de Calidad. Se presenta el estudio de elementos organizacionales como lo son la Misión, Visión, Política de Calidad. Posteriormente se realiza la Conceptualización del sistema, estableciendo los procesos que formarán parte del sistema y la forma en que se le dará cumplimiento a los diferentes puntos de la norma ISO 9001:2008. -      Construcción del mapa de procesos. -      Determinación de las necesidades de documentación. -      Elaboración de los documentos. -      Cumplimiento de los requisitos de la Norma ISO 9001:2008. -      Establecimiento de la Política y de los Objetivos de Calidad. -      Elaboración del Manual de Calidad. El diseño de  un plan para determinar las acciones necesarias para la implementación del SGC. Se realiza la asignación del representante de la Dirección y conformación del Comité de Calidad. Una vez finalizado el diseño del Sistema de Gestión de Calidad, se elaboró un plan para la implementación de dicho Sistema, donde se determinaron las tareas o actividades, los recursos necesarios y el tiempo programado para dicha implementación. Y por último se presenta la determinación de los costos para la implementación del SGC.Finalmente se determinaron los costos de calidad en tres escenarios distintos, los cuales fueron:-      Sin contar con un Sistema de Gestión de Calidad.-      El primer año de implementación del Sistema de Gestión de Calidad.-      El segundo año a partir de la implementación (primer año de funcionamiento).</t>
  </si>
  <si>
    <t>https://drive.google.com/file/d/1dtXVDwHn08ef7o3rx-7muovJmf4YwhLy/view?usp=sharing</t>
  </si>
  <si>
    <t>https://drive.google.com/file/d/1rLTvkeGn7iYkvvVRKHJNu4eIuTdmmfru/view?usp=sharing</t>
  </si>
  <si>
    <t>https://drive.google.com/file/d/1YGDx7xKCTyBqPnKPEnRf_1u9jeC_jIpD/view?usp=sharing</t>
  </si>
  <si>
    <t>ARANDIA GARCIA IVAN JAVIER</t>
  </si>
  <si>
    <t>GUAMÁN ARÉBALO JATNIEL</t>
  </si>
  <si>
    <t>ESTUDIO DE FACTIBILIDAD PARA LA PRODUCCIÓN Y COMERCIALIZACIÓN DE “GALLETAS DE QUINUA” DIRIGIDO AL MERCADO DE COCHABAMBA PARA LA EMPRESA “CORONILLA S.A.”</t>
  </si>
  <si>
    <t>ivan_arandia_7@hotmail.com</t>
  </si>
  <si>
    <t>IND-658-2014</t>
  </si>
  <si>
    <t>Factibilidad, Estudio de mercado, Estudio Técnico, Evaluación Financiero, producto libre de gluten, Cochabamba.</t>
  </si>
  <si>
    <t>El estudio de factibilidad que se desarrolló para la creación de galletas a base de quinua libre de gluten, nació al detectar en este producto andino un alto contenido de proteína, almidón, carbohidratos, minerales, vitaminas A, C, D, B1, B2, B6, fibra, etc., en cantidad y balance superior al que nos proporcionan actualmente otros granos y cereales de consumo masivo, lo que determinó su valor e importancia en la alimentación humana.Se realizó un estudio de mercado en la zona central y norte de la provincia de Cercado del departamento de Cochabamba, para demostrar que existe una demanda insatisfecha, permitiendo establecer el nivel de oferta y demanda del producto, población y posibles consumidores del producto.Se desarrolló un estudio técnico en el cual se definió las materias primas e insumos, los equipos, el tamaño del proyecto considerando que la empresa desea satisfacer el 52 % de la demanda insatisfecha, la mano de obra necesaria para la instalación y puesta en marcha del proyecto.Se estableció el organigrama estructural para la línea de galletas, tomando en cuenta el Organigrama actual de la empresa.Se determinó la evaluación financiera para el proyecto para la cual se realizó el cálculo de indicadores que definen la factibilidad del proyecto, determinando una Tasa Interna de Retorno (TIR) del 22%. La inversión presentó una rentabilidad económica aceptable, ya que cuenta con un Valor Actual Neto de Bs. 108.244. Se definió una inversión total de 1’001.496 Bs.- para todo el proyecto definiendo un 75% de aporte propio y un 25% de financiamiento. La recuperación del capital fue determinado en un periodo de 3 años y 9 meses aproximadamente.Finalmente se concluyó con Evaluación del Impacto Ambiental de acuerdo a la ley 1333,  donde se realizó la Identificación y Evaluación de los aspectos ambientales que ocasiona la ejecución y operación del proyecto, para ello se aplicó los criterios de la Norma Boliviana ISO 14001, que actualmente aplica la empresa para las demás líneas de producción. Se determinó que la ejecución del proyecto no incide en la contaminación ambiental del aire, agua y suelo como también no destruye el ecosistema, por tanto se concluyó que no existen factores de riesgo negativo considerables sobre el Medio Ambiente y la Sociedad.</t>
  </si>
  <si>
    <t>https://drive.google.com/file/d/16EUtkMbRXC0NdKZX-y7xRLbL_SA3E6tY/view?usp=sharing</t>
  </si>
  <si>
    <t>https://drive.google.com/file/d/1azUnpCak2Moc0lup4MZhz_2A4B3mCdaJ/view?usp=sharing</t>
  </si>
  <si>
    <t>https://drive.google.com/file/d/1eMacv1MXnXc4EGVUc-dgUhv_HDT5Ry3y/view?usp=sharing</t>
  </si>
  <si>
    <t>GUSTAVO RUIZ ANGELO</t>
  </si>
  <si>
    <t>ING. JORGE JAIME RUIZ ANGELO</t>
  </si>
  <si>
    <t>ESTUDIO DE FACTIBILIDAD PARA LA IMPLEMENTACIÓN DE UNA PLANTA PROCESADORA DE SALSA DE LOCOTO EN EL DEPARTAMENTO DE COCHABAMBA</t>
  </si>
  <si>
    <t>II-2014</t>
  </si>
  <si>
    <t>gustavo_and1@hotmail.com</t>
  </si>
  <si>
    <t>IND-659-2014</t>
  </si>
  <si>
    <t>Producción de locoto, Método de factor ponderado por puntos, Evaluación financiera, Análisis de sensibilidad, Evaluación ambiental.</t>
  </si>
  <si>
    <t>La necesidad de haber realizado el estudio fue la existencia de locoto en Cochabamba que no llega a ser industrializada y comercializada adecuadamente, donde este llega a venderse a precios bajos ocasionando de esta manera los bajos ingresos para la población. Se realizo un análisis de la materia prima, donde se pudo evidenciar que Cochabamba es un potencial productor de locoto, con un 71,45 % del total de producción de Bolivia. En el estudio de mercado se realizo el análisis de la demanda y la oferta, encontrando la brecha en el mercado sobre la cual el proyecto puede desarrollarse, ingresando al mercado el primer año con 460 toneladas y para el ultimo año 492 toneladas, adicionalmente se realizo un análisis de precios y comercialización.Se determino la localización de la planta mediante el método ponderado por puntos donde se eligió la opción más óptima, siendo esta el municipio de Sacaba.El tamaño óptimo de la planta se determino en función a la brecha de mercado pronosticada en el departamento de Cochabamba.Dentro de la ingeniería del proyecto, se analizo el proceso productivo, se determino en forma precisa y clara la maquinaria y equipos requeridos para la elaboración de salsa de locoto, se identifico los proveedores de materia prima e insumos, se detallo la distribución de planta mediante el método SLP.Se definió la estructura organización de la empresa mediante un organigrama por funciones. La planificación y ejecución del proyecto tiene un tiempo de duración de 6 meses la cual se determino mediante el diagrama de la ruta crítica.Se estimaron las inversiones totales y los costos en los que incurre el proyecto, en cuanto a la evaluación financiera, se determino que el proyecto es rentable, dado por sus indicadores financieros se concluyo que el VAN del proyecto es de 906.933 Bolivianos, el TIR es de 26,72%,  la relación beneficio costo es de 1,48 y el TRI de 3 años.En cuanto a evaluación del impacto ambiental se determino que el proyecto en la zona de su emplazamiento no genera impactos negativos graves o severos, al contrario genera un aumento en el desarrollo de la industria Cochabambina, provocando de esta manera mas fuentes de empleo.</t>
  </si>
  <si>
    <t>https://drive.google.com/file/d/1_0cZLo4nBVVE2395_iDQJfoK-zBH6l42/view?usp=sharing</t>
  </si>
  <si>
    <t>https://drive.google.com/file/d/1bD_6Kt1ljmEah05s8-P6OY5cypib17_b/view?usp=sharing</t>
  </si>
  <si>
    <t>https://drive.google.com/file/d/1hXig3Kek46fY3uOIdYB7hCiYS-8TQIPp/view?usp=sharing</t>
  </si>
  <si>
    <t>ERIKA CAROLA TIÑINI GUZMAN</t>
  </si>
  <si>
    <t>ING. M.SC. JUAN CARLOS GONZALES QUIROZ</t>
  </si>
  <si>
    <t>ESTUDIO Y CONTROL DE LA PROGRAMACIÓN DE DESPACHOS DIARIOS DE HORMIGÓN PARA EL ÁREA DE PRODUCCIÓN, EN LA EMPRESA COBOCE-HORMIGÓN.</t>
  </si>
  <si>
    <t>soledad23_carolay@hotmail.com</t>
  </si>
  <si>
    <t>IND-660-2014</t>
  </si>
  <si>
    <t>Área de producción de COBOCE-Hormigón, Productividad, DEMING, Programación y control de la producción.</t>
  </si>
  <si>
    <t>El Área de producción de la empresa COBOCE-Hormigón se dedica a la elaboración y provisión de diferentes tipos de hormigón premezclado a la ciudad de Cbba., esta tiene variaciones en la programación de despachos diarios de Hormigón, optó  por conveniente realizar el seguimiento para complementar la eficacia de la programación, ya que las demoras en la entrega de hormigón al cliente que tiene como consecuencia el descontento de los mismos y el desprestigio de la propia empresa.Através de la metodología de control de procesos se verificó cuantitativamente el grado variación entre la Planificación vs. Ejecución, evaluando cada proceso mediante su medición y posterior estandarización del proceso de vaciados de hormigón en obra, mejorando los tiempos de entrega. Por la necesidad de controlar la programación planificada se propuso el sistema de mejora continua enfocada a la solución de problemas el cual sigue una serie de pasos lógicos para llevar a cabo mejoras en el sistema operativo.Con toda la información analizada, se obtuvo los costos que implica la supervisión de los despachos realizados en la planta de COBOCE-Hormigón. El análisis económico comparativo, se realizó con el objetivo de verificar cuantitativamente el incremento en costos por incumplimiento de la programación en las entregas de producto al cliente.Se calculó la relación Beneficio/Costo de la propuesta, otorgando resultados favorables para su respectiva implementación.</t>
  </si>
  <si>
    <t>https://drive.google.com/file/d/1Z8HLwxEkPHPMwLiO0sGlPfxKXPbUvtqE/view?usp=sharing</t>
  </si>
  <si>
    <t>https://drive.google.com/file/d/1o6PKOXoUT_9NB8pS-IMpNmam3Mx6sSRF/view?usp=sharing</t>
  </si>
  <si>
    <t>https://drive.google.com/file/d/1GRpH5w8SNBgyNZBCwUtu8bSR_1BwUmON/view?usp=sharing</t>
  </si>
  <si>
    <t>CLAROS ALVAREZ INGRID MARISOL</t>
  </si>
  <si>
    <t>PÉREZ CALDERÓN CINTHIA XIMENA</t>
  </si>
  <si>
    <t>ING. INGRID TRIGO ROCHA</t>
  </si>
  <si>
    <t>MODELO DE GESTIÓN ORGANIZACIONAL PARA LA EMPRESA COINMAR</t>
  </si>
  <si>
    <t>IND-661-2014</t>
  </si>
  <si>
    <t>Marmolera COINMAR, Modelo, Gestión, Organizacional, Estructura, Manuales</t>
  </si>
  <si>
    <t>El propósito principal del presente trabajo era desarrollar un Modelo de Gestión Organizacional para la empresa COINMAR (compañía industrializadora de mármol).  El levantamiento de la información sobre los procedimientos técnicos y administrativos y su respaldo documentado brindo una mejora en los procesos de la organización, esto a su vez mejoro los productos terminados y evitando así  las modificaciones y arreglos finales en ellos.Los métodos utilizados para la elaboración del proyecto fueron:Por su temporalidad: la investigación fue de tipo transversal descriptiva. Porque recolecto datos y variables simultáneamente a un determinado tiempo.Investigación descriptiva: se realizó un ordenamiento de los resultados de las  observaciones de fenómenos y situaciones dadas, porque mostro un problema específico y las variables son cuantitativas y cualitativas.También se elaboró y se propuso políticas de recursos humanos y un reglamento interno, ya que estos servirán para  mantener relaciones entre la empresa y sus colaboradores quienes se desempeñan en prevalecer la relación laboral.Se realizó la implementación del Modelo de Gestión Organizacional propuesto a través de la capacitación del personal dentro de la empresa; esto lograro un cambio y mejora en la empresa, al contar con el presente Modelo de Gestión ya implementado.</t>
  </si>
  <si>
    <t>https://drive.google.com/file/d/1eBGA_sswT8W5j0PMaj-rGDRCoOAstZ7Q/view?usp=sharing</t>
  </si>
  <si>
    <t>https://drive.google.com/file/d/1ZoeuXZK5Pv6MSfb5F8qF9AZ6d6TNaM-a/view?usp=sharing</t>
  </si>
  <si>
    <t>https://drive.google.com/file/d/1eqHa_KhKo1mEC6RXC4o4dkO8B3K42VXM/view?usp=sharing</t>
  </si>
  <si>
    <t>GROBER EFRAIN CONDORI CHAVEZ</t>
  </si>
  <si>
    <t>LIMBER ALBA VALLEJOS</t>
  </si>
  <si>
    <t>DISEÑO DE UN SISTEMA DE GESTION DE CALIDAD BASADO EN LA NORMA ISO 9001:2000 PARA UNA EMPRESA AVÍCOLA.</t>
  </si>
  <si>
    <t>grobercondorichavez@gmail.com</t>
  </si>
  <si>
    <t>IND-662-2014</t>
  </si>
  <si>
    <t>Sistema de Gestión de la Calidad, Empresa avícola, norma ISO 9001:2000.</t>
  </si>
  <si>
    <t>El objetivo que se alcanzó con el presente proyecto fue el Diseño de un Sistema de Gestión de la calidad basado en la norma ISO 9001:2000 para una empresa Avícola. Este objetivo se planteó debido a la deficiencia en el control de sus procesos de prestación de servicio evidenciado en elevados costos por fallos internos y externos.Se procedió a consultar la norma ISO 9001:2008 “Sistema de gestión de calidad” con el objeto de conocer la terminología y los requerimientos para el Sistema de Gestión de la Calidad. Además se realizó una recopilación de información sobre temas específicos que complementan el Sistema de Gestión de la Calidad.Mediante una entrevista realizada a todo el personal de la organización se determinó los procesos de la empresa, las actividades que realiza, la estructura organizativa, los equipos, el personal y la infraestructura con la que cuenta. Dicha información se constituyó en la base para la aplicación de la norma ISO 9001:2000.  Al comparar los requisitos para un sistema de gestión según la norma ISO 9001:2000 con las actividades que se realizaban en la empresa se pudo diagnosticar la situación de la empresa. En base al diagnostico de situación organizacional y de comportamiento de la calidad en la empresa, se establecieron los puntos fuertes y débiles existentes, para de esta manera se determinó las áreas críticas que necesitan mejora y en las que se implementará el Sistema de Gestión de la Calidad.Se desarrolló la documentación necesaria para el funcionamiento del Sistema de Gestión de la Calidad como ser: Manual de la Calidad, Manuales de Procedimientos, Instrucciones de Trabajo, Planes de la Calidad, Fichas de Especificaciones, Manual de funciones y Registros de la Calidad.Se establecieron y documentaron procedimientos para la realización de evaluaciones del Sistema de Gestión de la Calidad. La metodología para las evaluaciones incluye el desarrollo de: Auditorias internas de la calidad y revisiones por la dirección.Se realizó un plan para determinar las acciones necesarias para la implementación del Sistema de Gestión de la Calidad y cuando y como deben realizarse las mismas.  Se realizó una determinación de costos para la implementación y certificación del sistema de Gestión de la Calidad. Además se proyectaron los costos y se calculó el periodo de recuperación de la inversión en la implementación del sistema.En base al cálculo de costos proyectados se demostró la viabilidad de la implementación del Sistema de Gestión diseñado para la Avícola, por lo que se recomendó la ejecución del presente proyecto, considerando que le conviene a la empresa invertir en medidas de prevención y evaluación en sus procesos puesto que estas medidas disminuirán las gastos por fallos internos y externos.</t>
  </si>
  <si>
    <t>https://drive.google.com/file/d/1eagnDRgFf7QYh8Fi_FHVzFGJlDoMm54M/view?usp=sharing</t>
  </si>
  <si>
    <t>https://drive.google.com/file/d/1HxoW6nfSdcd8EHHONSE-HdxcINlPBJjR/view?usp=sharing</t>
  </si>
  <si>
    <t>https://drive.google.com/file/d/1tvresOsZ8ZrV2ZTg-kKKJljLLRcEt_pO/view?usp=sharing</t>
  </si>
  <si>
    <t>OSCAR DIEGO OVIEDO GAMBOA</t>
  </si>
  <si>
    <t>ING. IVO VÍCTOR ROJAS ESPINOZA</t>
  </si>
  <si>
    <t>DISEÑO DE UN SISTEMA DE PLANIFICACIÓN Y CONTROL DE MATERIALES EN EL ÁREA DE ALMACENES DE LA EMPRESA ESTRUTEC SRL</t>
  </si>
  <si>
    <t>doviedo@hotmail.com</t>
  </si>
  <si>
    <t>IND-663-2014</t>
  </si>
  <si>
    <t>Sistema Planificación Control Almacén</t>
  </si>
  <si>
    <t>El presente proyecto de grado tiene por objetivo el Diseño de  un Sistema de Planificación y Control de Materiales para el Almacén de la empresa ESTRUTEC SRL, para lo cual concibe, propone y aplica principios de la “Teoría de Sistemas” propuesta por Oscar Johansen Bertoglio, integrando en su arquitectura funcional el “Enfoque Basado En Procesos” acogido por la familia de normas ISO 9000, la metodología MRP: Material RequirementsPlanning propuesta por Joseph Orlicky y al ciclo PDCA deWilliam Edwards Deming como filosofía y direccionamiento lógico hacia la mejora continua.La primera etapa consiste en un diagnóstico de desempeño sobre los subprocesos y el alcance global del sistema “Almacenes” mediante la metodología de Factores Críticos de Éxito. Se determinó la productividad real, deficiencia dinámica, deficiencia estática y se dio parte a la caracterización objetiva de causas permitiendo identificar y definir un problema hasta entonces oculto en la organización, cuyos efectos provocaban una fuga de recursos, especialmente concentrada en el tiempo.La segunda etapa, aplica el direccionamiento del ciclo PDCA como fundamento para la propuesta de mejora, siendo su fin articular la planificación de  reestructuración sistémica con los niveles operativo-funcionales y de control que necesariamente debían ser incluidos en la consecución lógica hacia el cambio.La tercera etapa  propone una Planificación Recursiva, acogiendo tres niveles fundamentales del sistema para su rediseño; el nivel Estratégico de Proceso, el nivel de interacción Estratégico de Obra (MRP) y finalmente el nivel Operativo funcional donde se rediseñan los espacios de trabajo (Lay-Out) en función a índices de movimiento y carga.La cuarta etapa estandariza un primer criterio auditable como lo es el Manual de Procedimientos abordando cada uno de los subprocesos del sistema Almacenes como núcleos de ahorro y eficiencia.Finalmente una quinta etapa, correlativa a la anterior, contempla instructivos de control para cada uno de los procedimientos desarrollados permitiendo tener lectura a tiempo real del desempeño del sistema.</t>
  </si>
  <si>
    <t>https://drive.google.com/file/d/1oumg-75DKJmnGt1OzyJVwMlTzAIYe8dF/view?usp=sharing</t>
  </si>
  <si>
    <t>https://drive.google.com/file/d/1VOWpNDlR1LOpHOUepZqnYkCHfGh0cfzT/view?usp=sharing</t>
  </si>
  <si>
    <t>https://drive.google.com/file/d/1rEwftcet03N7qAnmB_qGB5biRc2EIW9Z/view?usp=sharing</t>
  </si>
  <si>
    <t>DANIELA PEREIRA GONZALES</t>
  </si>
  <si>
    <t>GIMENA VELASQUEZ CLAROS</t>
  </si>
  <si>
    <t>ESTUDIO DE FACTIBILIDAD PARA LA IMPLEMENTACIÓN DE UNA PLANTA PROCESADORA DE PAPAS PREFRITAS CONGELADAS</t>
  </si>
  <si>
    <t>dani_ela_pg@hotmail.com</t>
  </si>
  <si>
    <t>IND-664-2014</t>
  </si>
  <si>
    <t>‘Papa prefrita congelada’, ’IQF‘, ’congelado‘, ‘rectificado’, ‘blanqueado’, ‘fritado’, ‘refilado’, ‘decantación’.</t>
  </si>
  <si>
    <t>El presente proyecto tiene por objetivo realizar un estudio de factibilidad para la implementación de una planta procesadora de papas prefritas congeladas, ubicada en el departamento de Cochabamba. El capítulo I, parte del diagnóstico situacional, objetivos, determinación de variables diagnósticas e indicadores, metodología de la investigación utilizada, técnicas de recopilación de la información, determinación del problema y justificación.El capítulo II contiene el marco referencial y marco teórico, el mismo que formula corrientes y conceptos teóricos que se toman en cuenta en todo el proceso de elaboración de la tesis. En el desarrollo del estudio y análisis del mercado, capitulo III se identifica al mercado consumidor, proveedor y competidor determinando que existe una demanda estimada inicial de 19.639,19 t/año de papas prefritas congeladas. El capítulo IV, desarrolla un estudio de materia prima, insumos y materiales. El tamaño de la planta fue definido en base al crecimiento esperado de captación de mercado a nivel Cochabamba, la localización fue obtenida a través de una ponderación de puntos, determinando que la alternativa óptima de ubicación es el parque industrial de Santivañez (Capítulo V). La ingeniería del proyecto, la estructura organizacional, normas legales, y todos los requerimientos administrativos del nuevo proyecto, se detallan en el capítulo VI, VII y VIII.La inversión que necesita el proyecto se especifica en el capítulo estudio financiero detallados en los Estados Financieros del proyecto, determinando la Relación B/C de Bs. 1,11, TIR de 32%, superior al TREMA del 14,1%, corroborado por el VAN Bs. 16.260.245, que es positivo y mayor a cero y una recuperación de capital al sexto año del proyecto. Se sometió el flujo a un análisis de sensibilidad las variables más influentes, concluyendo que el proyecto es económicamente viable. Finalmente se identificaron, los posibles impactos ambientales que tendrá la realización de este nuevo proyecto, concluyendo que es también viable de manera ambiental.</t>
  </si>
  <si>
    <t>https://drive.google.com/file/d/1Sd8Zy7MzrUrcorHhl9AZLzM0-PPON1Hk/view?usp=sharing</t>
  </si>
  <si>
    <t>https://drive.google.com/file/d/1gUZ9gr6MHak2OKUqoNJ5j050BaY5HNkp/view?usp=sharing</t>
  </si>
  <si>
    <t>https://drive.google.com/file/d/1t6bHUZOJZ00apXsJmfpMKNaEgXH3ZxC7/view?usp=sharing</t>
  </si>
  <si>
    <t>JILL KELLY ESCOBAR TERRAZAS</t>
  </si>
  <si>
    <t>DAYSI LIDIA IÑIGUEZ CALVETI</t>
  </si>
  <si>
    <t>ESTUDIO DE FACTIBILIDAD PARA LA IMPLEMENTACIÓN DE UNA PLANTA PRODUCTORA Y COMERCIALIZADORA DE SNACKS DE YUCA.</t>
  </si>
  <si>
    <t>jill__05_07@hotmail.com</t>
  </si>
  <si>
    <t>IND-665-2014</t>
  </si>
  <si>
    <t>Planta Productora de snacks, Productividad, Innovador, Estudio de Mercado, Evaluación Financiera.</t>
  </si>
  <si>
    <t>En el presente proyecto se aboco al estudio de factibilidad para la implementación de una línea productiva de snacks para el mercado cochabambino. El objetivo del mismo es demostrar técnica y financieramente la posibilidad de implementación de la planta, así como determinar los procesos tecnológicos a utilizarse para la transformación de la materia prima e insumos.Se procedió a un estudio de mercado en la provincia Cercado, Quillacollo y la localidad de Sacaba en la ciudad de Cochabamba para ver la demanda, oferta, precio; datos que nos sirvieron principalmente para obtener el mercado potencial de consumidores de snacks y la capacidad de la planta.Seguidamente se estableció la localización de la planta la cual está ubicada en una zona estratégica para la distribución de los snacks a los diferentes puntos de venta de Cercado, Quillacollo y la localidad de Sacaba además de encontrase cerca de los productores de yuca.Por medio de la ingeniería del proyecto se determinaron los procesos a ser utilizados en la elaboración de los snacks de yuca, identificándose la maquinaria, los diferentes equipos y herramientas, además de la infraestructura con los requerimientos exigidos para la planta.Se estableció un organigrama jerárquico de dentro de la empresa donde cada encarado realiza diferentes tareas y cada uno sabe cual es el alcance de su proceso y son responsables de todo su grupo de trabajo. Además de establecer algunos requerimientos legales para su funcionamiento lo que fue realizado por un abogado externo quien sigue ayudando en la realización de documentos faltantes.De la evaluación financiera se concluyó: VAN = 3.406.079,80 Bs., TIR= 29% y una  relación de B/C= 1,10. Dado una inversión de 6.446.032,94 Bs., donde se concluye que la  implementación del proyecto es factible desde el punto de vista financiero y técnico.Y finalmente se realizó una identificación de los impactos ambientales en base a la guía del Registro Ambiental Industrial (RAI).</t>
  </si>
  <si>
    <t>https://drive.google.com/file/d/1NAKTcn80wyezp9KDjK4AmZhiEPUfIBu5/view?usp=sharing</t>
  </si>
  <si>
    <t>https://drive.google.com/file/d/1ChOZ4jsDwb3mTY8y9u6Kt7LfI7cgXzI7/view?usp=sharing</t>
  </si>
  <si>
    <t>https://drive.google.com/file/d/1AEKSInubfds3sr2JL0LlB4nBczFdPbA8/view?usp=sharing</t>
  </si>
  <si>
    <t>MARLENE MIRANDA LEON</t>
  </si>
  <si>
    <t>SUSANA QUIROZ ARANIBAR</t>
  </si>
  <si>
    <t>ING. LINETH GABRIELA HERBAS SORIA</t>
  </si>
  <si>
    <t>PLAN DE SANEAMIENTO BÁSICO Y DISEÑO DE UN SISTEMA DE BUENAS PRÁCTICAS DE MANUFACTURA PARA LA EMPRESA INPROFE (INDUSTRIA PROCESADORA DE FRUTA EXÓTICA)</t>
  </si>
  <si>
    <t>marlen.m27l@gmail.com</t>
  </si>
  <si>
    <t>IND-666-2014</t>
  </si>
  <si>
    <t>Buenas Prácticas de Manufactura (BPM), Buenas Practicas de higiene (BPH),  Plan de Saneamiento Básico (PSB), Registro Sanitario.</t>
  </si>
  <si>
    <t>Las Buenas Prácticas de Manufactura (BPM) son una herramienta básica para la obtención de productos seguros para el consumo humanos, que se centralizan en la higiene y forma de manipulación.• Son útiles para el diseño y funcionamiento del establecimiento, y para el desarrollo de procesos y productos relacionados con la alimentación.• Contribuyen al aseguramiento de una producción de alimentos seguros, saludables e inocuos para el consumo humano.• Son indispensable para la aplicación del Sistema HACCP (Análisis de Peligros y Puntos Críticos de Control), de un programa de Gestión de Calidad Total (TQM) o de un Sistema de Calidad como ISO 22000.• Se asocian con el Control a través de inspecciones del establecimiento.En Bolivia IBNORCA (Instituto Boliviano de Normalización y Calidad) y SENASAG (Servicio Nacional de Sanidad Agropecuaria e Inocuidad Alimentaria), son la instituciones  encargadas de certificar las Buenas Prácticas de Manufactura e Higiene en las empresas del rubro alimenticio.Las enfermedades provocadas por los alimentos contaminados constituyen un problema sanitario, debido al nivel de educación de la población en materia de inocuidad de los alimentos, la proliferación de ventas callejeras, el crecimiento de las empresas de alimentos estas pequeñas y medianas, están ligados fundamentalmente a la no aplicación de BPM, por esto SENASAG a través de la Unidad de Inocuidad Alimentaria (UNIA),ha incluido como base de la legislación sanitaria sistemas de aseguramiento de la inocuidad basados en las Buenas Prácticas de Manufactura e Higiene siguiendo los lineamientos de la norma internacional Codex Alimentarius.De esta manera cualquier empresa del rubro de alimentos que desee comercializar sus productos en territorio boliviano debe de solicitar un Registro Sanitario, como constancia de que la empresa cumple con lo establecido en la norma “Requisitos Sanitarios para la Fabricación, Almacenamiento, Fraccionamiento y Transporte de alimentos y bebidas de consumo humano”.Bajo esta premisa se desarrolló un sistema de Buena Prácticas de Manufactura y Plan de Saneamiento Básico para la empresa INPROFE (Industria Procesadora de Fruta Exótica), que permitirá la obtención de un producto, saludable y sano para el consumo humano acorde con los requisitos actuales establecidos el cual es avalado con el Registro Sanitario emitido por SENASAG.Se desarrolló un diagnóstico de la situación actual de la empresa en lo referente al grado de cumplimiento de requisitos de BPM y POES (Procedimientos Operacionales Estándares) de limpieza y desinfección, utilizando el acta de inspección UNIA – INSPCTRL – ACT – 003 – B de SENASAG el cual fue calificado como Conforme o No Conforme; las No Conformidades consideradas como deficiencias son calificadas como deficiencia critica, deficiencia alta y deficiencia baja. El acta de inspección contiene 59 principios. De acuerdo al nivel de cumplimiento de los principios se le asigna un Registro Sanitario. Para el caso de la empresa INPROFE la calificación que obtuvo fue 54.24% de Conformidades y por tanto se le asignó un Registro Sanitario Local.Las Deficiencias encontradas corresponden al 45.76%, para los cuales se establecieron una serie de propuestas o acciones correctivas. Para las deficiencias encontradas como falta de documentación se diseñó el: Manual de Buenas Prácticas de Manufactura, Manual de Buenas Prácticas de Higiene, programa de limpieza y desinfección, programa de control de plagas, programa de abastecimiento de agua potable y un programa de recolección de sólidos estos cuatro programas forman parte del Plan de Saneamiento Básico que se diseñó para la empresa. Esta información establece las reglas higiénicas con las que los trabajadores realizaran sus actividades  de forma que se garantice las condiciones salubres para la elaboración del néctar de frutas.También se trabajó en la elaboración de un programa de capacitación al personal en temas de inocuidad alimentaria, enfermedades de transmisión alimentaria (ETAS), Buenas Prácticas de Manufactura, Buenas Practicas de Higiene y programas del Plan de Saneamiento Básico.Para ayudar en el adiestramiento o práctica de los conocimientos adquiridos en las capacitaciones se elaboró una propuesta de señalización sanitaria para que el trabajador tenga siempre presente o recuerde lo aprendido.Como último paso se elaboró un presupuesto tentativo con el fin de conocer la inversión necesaria para la implementación de las acciones correctivas sugeridas. Se trabajó primeramente en los costos de inversión en obras civiles, muebles y enseres, equipos, indumentaria o uniformes de trabajo y señalización sanitaria. Segundo los costos operativos mensuales en pruebas de laboratorio, carnet sanitario, gastos estimados en capacitación, material de escritorio, material e insumos de limpieza &amp; desinfección y insumos para el control de plagas.Como conclusión se tuvo lo siguiente:Realizado  el diagnostico a la empresa “INPROFE” se evidencio que esta no aplica de forma correcta las Buenas Prácticas de Manufactura e Higiene, por lo que el producto obtenido no es 100% garantizado para el consumo humano. El diseño de los manuales de Buenas prácticas de Manufactura e Higiene más el Plan de Saneamiento Básico, establecerá las disposiciones o reglas que los trabajadores deberán cumplir como una nueva forma de trabajo para que el producto procesado sea sano, seguro, que cumpla con las expectativas de salubridad del consumidor y además cumpla con la normativa sanitaria establecidas en el país. El programa de capacitación al personal promoverá la adquisición de conocimiento en temas de higiene alimentaria y desarrollara las habilidades y destrezas de los trabajadores para que estos realicen sus labores de forma eficiente.Las recomendaciones sobresalientes fueron:Implementación de las acciones correctivas según los plazos establecidos por SENASAG. Poner en práctica las disposiciones establecidas en los Manuales de Buenas Prácticas de Manufactura e Higiene y el Plan de Saneamiento Básico porque las mismas constituyen requisitos establecidos por SENASAG y como tal es de cumplimiento obligatorio.Es importante aclarar que la implementación de Buenas Prácticas de Manufactura e Higiene es más que dar un servicio esmerado; es una nueva forma de hacer las cosas cumpliendo las normas establecidas en el país además de ofrecer al consumidor un producto que no afecte su salud.Recordemos que la introducción de estrategias innovadoras en la producción de alimentos sanos, seguros y de calidad le da a los productos un valor agregado y una ventaja competitiva y comparativa en el mercado.Mediante la aplicación de BPM se logra: desarrollar las competencias del personal de planta a través de la capacitación; Tener un mejor control del proceso de fabricación de productos mediante las hijas de registro de control; Mejorar continuamente el proceso de producción; Contar con un infraestructura adecuada; gestionar el uso del agua dentro de las actividades de la empresa; Procedimientos de limpieza y sanitización que permiten optimizar mejor los recursos y tiempos para estas operaciones. Estos son algunos beneficios.Para terminar es importante aclarar que la implementación de Buenas Prácticas de Manufactura e Higiene es más que dar un servicio esmerado; es una nueva forma de hacer las cosas cumpliendo las normas establecidas en el país además de ofrecer al consumidor un producto que no afecte su salud.</t>
  </si>
  <si>
    <t>https://drive.google.com/file/d/1IKaEwBw8IKUolNo4pfQtA84umZ0o1-9g/view?usp=sharing</t>
  </si>
  <si>
    <t>https://drive.google.com/file/d/1GaftZSEjyG-2RZabaK5ql8UagX_x1wx1/view?usp=sharing</t>
  </si>
  <si>
    <t>https://drive.google.com/file/d/10m5uiQYFdbP6ZDjB0WyTllKNnh5hbQCI/view?usp=sharing</t>
  </si>
  <si>
    <t>JUAN DIEGO PEÑALOZA FLORES</t>
  </si>
  <si>
    <t>WENDY REVOLLO ALCOCER</t>
  </si>
  <si>
    <t>DR LUCIO GONZALES C.</t>
  </si>
  <si>
    <t>ESTUDIO DE FACTIBILIDAD TÉCNICA Y FINANCIERA PARA LA  INSTALACIÓN DE UN MATADERO MODERNO</t>
  </si>
  <si>
    <t>IND-666-2014-1</t>
  </si>
  <si>
    <t>Matadero, Faena de ganado bovino y porcino, Demanda de carne, proceso productivo de faena de ganado bovino, Canales bovinos.</t>
  </si>
  <si>
    <t>El  matadero moderno, se dedicara a prestar el servicio de matanza y destace de reses y cerdos, para satisfacer la demanda de carne para la provincia Pedro Domingo Murillo del departamento de La Paz, cumpliendo las normas de sanidad e inocuidad alimentaria establecida por SENASAG.Las materias primas utilizadas en el matadero moderno son: cabezas de ganado bovino y ganado porcino  y como insumos: el gas natural, el agua; recursos  de amplia disponibilidad en nuestro país y que actualmente no representan un obstáculo para la realización del proyecto.El objetivo general del presente proyecto de grado es  realizar un estudio de factibilidad técnica y financiera para la instalación de un matadero moderno.Se recopiló datos históricos de la  población de la provincia Pedro Domingo Murillo y el consumo promedio de carne para determinar la   proyección de la demanda de matanza de ganado bobino y porcino, a partir de esta demanda determinar la capacidad de  producción del matadero moderno.Se estudiaron las características, disponibilidad, abastecimiento de materias primas y suministros requeridos para el servicio de faena.Se determinó el proceso productivo para las líneas de faena y sistemas de tratamiento de agua, secado de sangre, rumen y cuernos.Se determinó los costos de cada uno de los equipos requeridos en el proceso productivo y los servicios necesarios en la instalación y operación de la planta.Finalmente se realizó un estudio financiero, económico y ambiental para el matadero moderno.</t>
  </si>
  <si>
    <t>https://drive.google.com/file/d/1ovOStX6hZDINxC_hLHnUmQF8vmhXzSo4/view?usp=sharing</t>
  </si>
  <si>
    <t>https://drive.google.com/file/d/1shacKB3xA2LHBWD6_sC6ISnSsDSXAtXw/view?usp=sharing</t>
  </si>
  <si>
    <t>OSMAR ALVARADO PONCE</t>
  </si>
  <si>
    <t>NELSON CAÑOTO ONOFRE</t>
  </si>
  <si>
    <t>ING. ALEX D’ANGELO CHOQUE FLORES</t>
  </si>
  <si>
    <t>ESTUDIO DE FACTIBILIDAD PARA LA IMPLEMENTACIÓN DE UNA PLANTA INDUSTRIALIZADORA DE LECHE PARA LA ASOCIACIÓN DEPARTAMENTAL DE PRODUCTORES LECHEROS DE COCHABAMBA “ADEPLEC”</t>
  </si>
  <si>
    <t>osmi_guitar_12@hotmail.com</t>
  </si>
  <si>
    <t>IND-667-2014</t>
  </si>
  <si>
    <t>Industrialización de la leche y productos derivados, Estudio de Mercado, Evaluación Económica-financiera.</t>
  </si>
  <si>
    <t>Primeramente se realizó una investigación de mercado en las provincias y secciones del Valle de Cochabamba, donde se determinó que nuestro mercado objetivo está conformado por 174,050 familias. El consumo por familia era de 0.3 l/día, para inicios del 2013 fue de 0.42 l/día, en el trabajo de campo realizado se pudo observar que el consumo promedio por familia es de 0.67 l/día con lo cual tendríamos un consumo total de 116,613.5 litros/día en todo el sectorPosteriormente se definió el tamaño de la planta considerando para el proyecto la producción de leche en 30,000 litros diarios los dos primeros años, incrementándose a 65,000 litros diarios a partir del tercer al quinto año, y a 100,000 litros diarios a partir del sexto año hasta la culminación del ProyectoSe definió la localización de la planta haciendo un análisis cualitativo de puntos, en el cual ganó ponderación la Zona Sud del departamento de Cochabamba. Se definió un tamaño de 2000 mt2 para la planta. El estudio organizacional fue realizado para la planta definiendo el diagrama organizacional, las funciones de cada trabajador y los costos de mano de obra directa e indirecta.El estudio de viabilidad técnica se explicó a detalle, donde se determina la elaboración de leche pasteurizada de 1 litro, mantequilla de 200 gr, yogur de 1 litro y de 150 (cc), así como la elaboración de queso de 1 kilogramo y ½ kilogramo. La inversión total requerida alcanza a 2,451,051 $US, que corresponde a obras civiles 611,050 $US, maquinarias y equipos 577,196 $US, vehículos 195,000 $US, mobiliario y equipamiento de oficinas 12,859 $US, gastos pre-operativos 5,000 $US,  imprevistos 168,339 $US y el capital de trabajo en 594,327 $US. La tecnología a adoptar es nacional y extranjera.Posteriormente se preparó la información para poder realizar la evaluación financiera determinando un  V.A.N. que alcanza un valor de 2, 507,504 $US; la T.I.R. de 28.3 %; la relación beneficio costo R B/C de 1.28 y el periodo de recuperación de capital en promedio es de dos años con cinco meses en términos efectivos. El financiamiento es proyectado a un plazo de 10 años, con una tasa de interés del 6% con dos años de  periodos de gracia. Los intereses  totales a pagar son de 955,910 $US. Finalmente Se demostró la rentabilidad del proyecto por lo tanto también se demuestra que es viable para su ejecución.</t>
  </si>
  <si>
    <t>https://drive.google.com/file/d/18t-s2nyVEIRwgKO_84jvwOxRWKpdaGuo/view?usp=sharing</t>
  </si>
  <si>
    <t>https://drive.google.com/file/d/1RLe0-xqtiXtbdNjsFbe4u93Ry8e7yQWI/view?usp=sharing</t>
  </si>
  <si>
    <t>https://drive.google.com/file/d/16tJ-uqkkABDgMZnc2kyzUTwiZ5IFe4L9/view?usp=sharing</t>
  </si>
  <si>
    <t>SERGIA IVANA CENTELLAS NAVIA</t>
  </si>
  <si>
    <t>JUAN ADOLFO SARAVIA VIDAL</t>
  </si>
  <si>
    <t>ING. PABLO RAÚL FUENTES CADIMA</t>
  </si>
  <si>
    <t>ESTUDIO TÉCNICO PARA LA INSTALACIÓN DE UNA NUEVA LÍNEA PRODUCTIVA EN LA EMPRESA MADERVAF S.R.L.</t>
  </si>
  <si>
    <t>ivi_thebestfriend@hotmail.com</t>
  </si>
  <si>
    <t>IND-668-2014</t>
  </si>
  <si>
    <t>Tableros con unión Finger Joint, Nueva línea de producción, Sistema de unión Finger Joint.</t>
  </si>
  <si>
    <t>MADERVAF SRL es una empresa que se dedica a la producción a pedido de todo tipo de  muebles en diferentes especies de madera y otros, tiene alrededor de 9 años en el rubro de la madera, debido al sistema de producción actual de la empresa, se ve que los ingresos son relativamente variables e inestables por la creciente aparición de empresas importadoras de muebles a bajos costos, razón por la cual la administración de esta presenta pide realizar un estudio para poder garantizar mayor estabilidad económica. Para el estudio es importante aprovechar la experiencia acumulada en esta empresa y la aparición de un nuevo sistema de unión para maderas, llamado Finger Joint o su traducción “unión entre dedos”, consta de la unión entre maderas solidas previamente preparadas cuyos lados están provistos de empalmes endentados y de similar perfil, posteriormente unidas entre ellas mediante un adhesivo permitiendo la producción de tableros en un proceso continuo y a gran escala. A partir del análisis de datos recabados de entidades nacionales e internacionales de la apertura de nuevos mercados en la Unión Europea para tableros con diferentes tipos de uniones y especies de madera.Se realiza el presente estudio, tomando como objetivo principal la instalación de una nueva línea productiva en la empresa MADERVAF SRL, para la cual se determinará el proceso de producción continuo aplicando el sistema de unión Finger Joint,  la organización y los costos asociados a la creación de esta nueva línea de producción.Para ello se realizó el estudio del mercado Holandés y la proyección de su demanda a partir de datos históricos, permitiendo programar la producción en función al crecimiento de este mercado y a la vez calcular los costos asociados a la producción de los tableros para el tiempo proyectado.Finalmente se analizó los ingresos y costos del proyecto, obteniendo buenos resultados en la rentabilidad de diferentes escenarios a partir de las variables más susceptibles para la producción de tableros con unión Finger Joint, como la reducción en precio del producto para el mercado Holandés, el incremento en los costos variables de materia prima, transporte y la mano de obra directa que es parte del proceso productivo.</t>
  </si>
  <si>
    <t>https://drive.google.com/file/d/1Clbqmr_-RFYAjDMW9JQlBmaM4CGCz7NF/view?usp=sharing</t>
  </si>
  <si>
    <t>https://drive.google.com/file/d/1gtOIYPJsQXt1tY1NfrUZzDML1dlk9UHB/view?usp=sharing</t>
  </si>
  <si>
    <t>https://drive.google.com/file/d/1dex67NlsPgLcPWWQwaWwJ0XyFgEsM-yv/view?usp=sharing</t>
  </si>
  <si>
    <t>ANDREA ESTEFANÍA MOSCOSO ROJAS</t>
  </si>
  <si>
    <t>DISEÑO E IMPLEMENTACIÓN DE BUENAS PRÁCTICAS DE MANUFACTURA EN LA LÍNEA INDUSTRIAL DE CÍA. ALIMENTOS FOODS COMPANY S.R.L.</t>
  </si>
  <si>
    <t>IND-669-2014</t>
  </si>
  <si>
    <t>Buenas Prácticas de Manufactura, POES.</t>
  </si>
  <si>
    <t>El presente trabajo se realizó en  la empresa Cía. Alimento Foods Company S.R.L, dedicada  a la industrialización del maíz, con el objetivo de diseñar e implementar las Buenas Prácticas de Manufactura en la línea industrial,  a fin de que con su aplicación contribuya al mantenimiento de la calidad en todas sus etapas de producción y a la obtención de un producto inocuo.En primera instancia se adquirió un conocimiento general de la empresa y su labor diaria mediante la participación en las actividades implicadas para la ejecución de los procedimientos de elaboración y la conversación mantenida con el personal involucrado.Se llevó a cabo el diagnóstico inicial, empleando una lista de verificación elaborada en base a las directrices establecidas en el Reglamento para los requisitos sanitarios de fabricación, almacenamiento, transporte y fraccionamiento de alimentos y bebidas de consumo humano R.A. 19/2003.En esta evaluación se obtuvo un resultado  de cumplimiento un 38% y de incumplimiento un 62%, esto se debió principalmente a la falta de procedimientos y registros relacionados con las Buenas prácticas de manufactura,  además del desconocimiento del personal en cuanto a la importancia del cuidado de la higiene en sus tareas a lo largo de su jornada laboral.Obtenido el diagnóstico inicial se procedió al establecimiento de acciones dirigidas a la solución de las inconformidades halladas. Se desarrollaron documentos con los que la empresa no contaba, como ser: Manuales, Planes, Programas, Procedimientos, instructivos y documentos de apoyo, se capacitó al personal en temas relacionados con la higiene y BPM´s, se reorganizaron los almacenes, se realizó las refacciones necesarias a la infraestructura.Implementadas las acciones factibles se realizó el diagnostico final mediante la lista de verificación antes mencionada, obteniendo como resultado un 87% de cumplimiento y un 17% de incumplimiento.Por último se determinó la inversión total estimada por la implementación de las Buenas Prácticas de Manufactura, la cual asciende a la suma de Bs 53.569,90</t>
  </si>
  <si>
    <t>https://drive.google.com/file/d/1fwLPg7OKoq55-qZ0XpIgEw79BNhqHa1l/view?usp=sharing</t>
  </si>
  <si>
    <t>https://drive.google.com/file/d/1FKtqezTIuG6iRRkcsD5DcRHmhdpIUJtc/view?usp=sharing</t>
  </si>
  <si>
    <t>https://drive.google.com/file/d/1YKINkXFNUrohz7p-eqSFmcDDlPhglbrt/view?usp=sharing</t>
  </si>
  <si>
    <t>GONZALO HUALLATA BENAVIDES</t>
  </si>
  <si>
    <t>ING. MARCO VELASQUEZ GARCIA.</t>
  </si>
  <si>
    <t>DISEÑO DE UN MODELO DE ASEGURAMIENTO DE LA CALIDAD EN LA POST COSECHA DE LA NARANJA EN EL SECTOR DE VILLA 14 DE SEPTIEMBRE.</t>
  </si>
  <si>
    <t>gh.1987@outlook.com</t>
  </si>
  <si>
    <t>IND-670-2014</t>
  </si>
  <si>
    <t>Modelo, Calidad, Aseguramiento de la Calidad, Post Cosecha, Documento, Capacitación.</t>
  </si>
  <si>
    <t>La necesidad de haber realizado un Modelo de Aseguramiento de la Calidad en la Post Cosecha de la Naranja en el Sector de Villa 14 de Septiembre es la creciente perdida de ingresos por la mala calidad que estos entregaban a sus clientes.  En Bolivia la naranja es el segundo producto principal que se produce, así también es el de mayor crecimiento en nuestro país, esto demuestra la necesidad de contar con un aseguramiento de la calidad para la naranja.Villa 14 de Septiembre fundada en 1959 esta ubicada en la provincia Chapare del departamento de Cochabamba. Esta villa tiene como principal actividad la producción de naranjas, ya que la zona cuenta con las condiciones necesarias para el cultivo de plantas de naranja como ser temperatura, suelo, humedad y cantidades suficientes de agua disponibles.Se identificaron los rasgos de calidad para la naranja las cuales no se limitan solo a la parte externa de la misma tales como:Color, Tamaño y Textura.Sino que también se ve necesario el cumplimiento de requisitos físico químicos tales como:Contenido de jugo, Contenido de azúcar o solido soluble presente en la naranja y Contenido de acido cítrico que esta pueda tener.El estudio realizado en el presente trabajo propone un proceso nuevo de acondicionamiento óptimo para la post cosecha que asegure y mejore la calidad de la naranja que el sector de Villa 14 de Septiembre ofrece a la población, a su vez mejore la competitividad que posee en relación a los productores vecinos y llegue a ser el principal productor cítrico de la región.El Modelo de Aseguramiento de la Calidad de la Naranja en la Post Cosecha da como beneficios:Desarrollo económico para el sector de villa 14 de septiembre.Especialización en el sector citrícola.Ofrecer a la población productos de calidad.Posibilidad de certificación de calidad.Posibilidad de ampliar el mercado a nivel nacional e internacional.</t>
  </si>
  <si>
    <t>https://drive.google.com/file/d/1N-ATP4_BkRoA8_8om2LWAqzpZOgxGJwS/view?usp=sharing</t>
  </si>
  <si>
    <t>https://drive.google.com/file/d/1-PSRvUgWD6LcAH6Ad43H0vKT8pSAhkye/view?usp=sharing</t>
  </si>
  <si>
    <t>https://drive.google.com/file/d/1102s4Kjh1xrfoiHqha7lPi70Yl-P7oE6/view?usp=sharing</t>
  </si>
  <si>
    <t>MARILYN ROSIO ROMERO RODRIGUEZ</t>
  </si>
  <si>
    <t>GESTIÓN Y PLANIFICACIÓN ESTRATÉGICA APLICADA A LA EMPRESA ¨STUDIO PÉREZ CONSTRUCCIONES</t>
  </si>
  <si>
    <t>marirrr_1204@hotmail.com</t>
  </si>
  <si>
    <t>IND-671-2014</t>
  </si>
  <si>
    <t>Studio Pérez Construcciones; Rentabilidad y Crecimiento de la Empresa; Gestión Estratégica de Empresas; Diagnostico de Productividad, Competidores, Escenarios y Servicios;  Estrategia; Planificación Estratégica; Planificación Operativa; Planificación Financiera; Cochabamba</t>
  </si>
  <si>
    <t>Se desarrolló una serie de herramientas y metodologías encaminadas a la acción, es decir una “Gestión estratégica”, además se elaboró las estrategias para llegar a los objetivos es decir la “Planificación Estratégica”.Se elaboró el marco estratégico con la colaboración del gerente propietario de la empresa, por lo mismo ahora cuenta con una misión, visión (de la empresa y procesos), valores, políticas y mapa de procesos y estratégico para poder desenvolver sus operaciones mejorando la competitividad de la empresa.Se realizó un diagnóstico de la situación actual interna de la empresa por el cual diseñó Sistemas de Control con Indicadores de Medición una vez identificado los Factores Críticos del Éxito basado en la misión y visión de los procesos, para poder evaluar la situación interna de la empresa a consecuencia de ello identificar las falencias y corregirlas.Se realizó un diagnóstico de la situación actual externa de la empresa en base a un Análisis de las 5 fuerzas de Michael Porter (Competencia Actual,Aparición de Nuevos Competidores, Poder de Negociación del Cliente, Poder de Negociación del Proveedor y Servicios Sustitutos); un Análisis de Previsiones y Escenarios (economía, demografía, sociedad, política, tecnología, sindical); un Análisis de Productos y Mercados (Fases de Vida del Servicio, Análisis de Servicios Vs. Mercados, Matriz Boston ConsultingGroup). Análisis FODA, Contingencias, Vulnerabilidad y competencias nucleares, esta sección es un resumen de todo el análisis visto anteriormente tanto interno como externo.En base al análisis de la evaluación de la empresa se elaboraron alternativas estratégicas (Supervivencia y mantenimiento, crecimiento, reducción de la actividad, liderazgo en costos, diferenciación de productos y enfoque o concentración); del análisis FODA se pudo realizar la reflexión estratégica que consta de elaborar estrategias para las fortalezas, oportunidades, debilidades y amenazas; en base a esto se procesó con el FODA Estratégico (combinar las estrategias de las fortalezas con oportunidades; las estrategias de las fortalezas con las amenazas; las estrategias de debilidades con oportunidades; y las estrategias de debilidades con las de las amenazas); la Evaluación y Selección de las Estrategias (matriz cuantitativa de la planificación estratégica que consta de evaluar las estrategias en base a los factores críticos del éxito internos como externos dando a este un peso de importancia).En la planificación estratégica se realizó la Ficha Descriptiva de los Planes Estratégicos y la Planificación Operativa donde se describe las líneas de acción, las actividades y tareas, además la asignación de los responsables de dichas tareas, la fechas a realizarse y además la inversión y gasto que se necesitara para realizar los planes.Planificación Financiera se muestra el Estado de Resultados histórico de la empresa del año 2011 al 2013, que sirve de base para la proyección del Estado de Resultados de los próximos cinco años sin Planificación Estratégica, luego de eso se hizo un presupuesto del Plan Estratégico del año 2014 al 2018, y en base a el presupuesto y además de los objetivos de cada plan se arma el Estado de Resultados proyectados a cinco años del año 2014 al 2018 con el Plan Estratégico.</t>
  </si>
  <si>
    <t>https://drive.google.com/file/d/101edF2ikH-sYqGjXZFd2xcdNmtbh0-hf/view?usp=sharing</t>
  </si>
  <si>
    <t>https://drive.google.com/file/d/14M7FwHS0T3xge6dO3vn0uNipCffdkGco/view?usp=sharing</t>
  </si>
  <si>
    <t>https://drive.google.com/file/d/1b2Dfm4_-PFZUQfkOEKJjSMtNUojI1Cge/view?usp=sharing</t>
  </si>
  <si>
    <t>DELGADILLO ROJAS MARCIA JIMENA</t>
  </si>
  <si>
    <t>DRA. CARLA DELGADILLO</t>
  </si>
  <si>
    <t>MEJORAMIENTO EN LOS PROCESOS DEL ÁREA DE PRODUCCIÓN DE MAÍZ PELADO EN EL  MUNICIPIO DE GERMÁN JORDÁN - CLIZA</t>
  </si>
  <si>
    <t>IND-671-2014-1</t>
  </si>
  <si>
    <t>Diagnostico, Productividad, calidad, empresa peladora de maíz, puntos críticos.</t>
  </si>
  <si>
    <t>https://drive.google.com/file/d/1iktCnKhb6o9oFUf8E2J-IHdoV4oQ8X6o/view?usp=sharing</t>
  </si>
  <si>
    <t>https://drive.google.com/file/d/1-li8CorWm1HzuiCq8dFTjeasYY0JynkK/view?usp=sharing</t>
  </si>
  <si>
    <t>DANITZA KAREN MARISCAL TERCEROS</t>
  </si>
  <si>
    <t>JANNETH RIOS PACCHI</t>
  </si>
  <si>
    <t>ESTUDIO DE FACTIBILIDAD PARA UNA PLANTA DE PRODUCCIÓN DE CREMA FACIAL A BASE DE SACHA INCHI.</t>
  </si>
  <si>
    <t>dntz_kmt@hotmail.com</t>
  </si>
  <si>
    <t>IND-672-2014</t>
  </si>
  <si>
    <t>Planta de Producción de Crema Facial a Base de Sacha Inchi, Demanda y Oferta, Macro-Micro Localización, Diagrama de Operaciones.</t>
  </si>
  <si>
    <t>En Bolivia actualmente existe un crecimiento en el consumo de cremas faciales, por la necesidad que tienen las personas de mejorar su aspecto físico y cuidar su salud dérmica, como respuesta a esta problemática surge la idea de realizar un Estudio de Factibilidad para una Planta de Producción de Crema Facial a Base de Sacha Inchi, ofreciendo al mercado una crema facial con propiedades regenerativas, nutricionales e hidratadoras a un precio accesible a base de un producto natural valioso por sus grandes propiedades.A través del estudio de mercado realizado en la zona urbana de ciudad de Cochabamba se determinó la demanda potencial de crema facial a base de Sacha Inchi, considerándose el 10 % de la misma para estudio del proyecto. Así mismo, se identificaron las principales características que busca el consumidor final en una crema facial.A partir del estudio de mercado se realizó la investigación de la materia prima, insumos y materiales que formarán parte del producto final. Se diseñaron estrategias de mercado para determinar la viabilidad del flujo de comercialización. De igual manera se llevó a cabo un estudio técnico para el análisis y determinación de la estructura, organización, tecnología y tamaño óptimo del proyecto. Se desarrolló la planificación del proyecto que muestre de forma detallada y cronológica la secuencia de actividades.Posteriormente se elaboró una evaluación financiera donde se estimó la inversión total que el proyecto requiere para su implementación, el cual corresponde a 1.409.446 Bs, en la que el aporte bancario será del 70 %. A través del flujo de caja se determinaron los parámetros de rentabilidad con una TMAR igual a 10,74 % del cual se tiene un VAN igual 528.442 Bs, una TIR de 28 %, una relación B/C de 2,2 y el periodo de recuperación de la inversión será el sexto año de la vida útil del proyecto, lo que significa que el proyecto es rentable. También se realizó el análisis de sensibilidad para tres escenarios considerando las variables más influyentes, según la cual el proyecto es rentable y la variable más sensible es el precio de venta del producto.Finalmente se realizó la evaluación del impacto ambiental, identificándose impactos negativos leves que pueden ser mitigados y controlados a través de medidas correctivas de fácil implementación. Por tanto se concluye que el proyecto pertenece a la categoría 3.</t>
  </si>
  <si>
    <t>https://drive.google.com/file/d/171531Z3Npf0nF1-bNuMxeIdk6yueLoS5/view?usp=sharing</t>
  </si>
  <si>
    <t>https://drive.google.com/file/d/15TVNlb0rY2rdMhQih65tKFPSVdMQLIOX/view?usp=sharing</t>
  </si>
  <si>
    <t>https://drive.google.com/file/d/16DZfVz1Dk2NaE4G08jFF8TV8Dp9Tg70-/view?usp=sharing</t>
  </si>
  <si>
    <t>RODRIGO MARCEL SAINZ PEREIRA</t>
  </si>
  <si>
    <t>DESARROLLO DE UNA BIBLIOTECA DIGITAL EN LA CARRERA DE INGENIERÍA INDUSTRIAL</t>
  </si>
  <si>
    <t>IND-673-2014</t>
  </si>
  <si>
    <t>Facultad Ciencias y Tecnología, Ingeniería Industrial, Biblioteca Digital, Material bibliográfico.</t>
  </si>
  <si>
    <t>La carrera de Ingeniería Industrial dentro el proceso de Re- acreditación al ARCU-Sur en 2012, vió por conveniente contar con una Biblioteca Digital, lo cual dio viabilidad a este trabajo.Primeramente se realizó un diagnóstico de la situación actual del sistema de consulta bibliográfico en la Facultad de Ciencias y Tecnología y más precisamente para la Carrera de Ingeniería Industrial, se analizó las ventajas y desventajas de la misma.  También se recopilo el material bibliográfico requerido para cursar la Carrera de Ingeniería Industrial, con la orientación de los docentes de las materias dictadas, se incluyó prácticas y guías de laboratorio a fin de complementar la información.Se organizó el material recopilado por semestres, materias, libros, prácticas y guías de laboratorio, se incluyó exámenes pasados en la sección de prácticas. Se desarrolló la plataforma de consulta bibliográfica, identificando los usuarios, el cliente y el diseñador, se programó en Visual Basic 6.0 la interfaz de consulta, en función de los requerimientos expuestos por el Director de la Carrera y estudiantes, obteniendo un software final.Se realizaron las pruebas correspondientes al software para verificar el funcionamiento correcto en todas sus secciones, se realizó un instalador del mismo, para complementar se realizó un “Manual de Usuario” y una “Guía de Instalación”. Se procedió a determinar el impacto económico del estudiante, tomando en cuenta el costo de cada ítem en nuestro medio, se realizó una encuesta para analizar el conocimiento de esta herramienta por parte de los estudiantes, se recabo del Centro de Servicios las visitas que tiene el segmento de la Biblioteca Digital en la página web de la Facultad.Se estimó también la inversión en la que debe incurrir la Universidad para contar con las Licencias de Acceso a los libros puesto que se debe respetar los derechos de Autor.</t>
  </si>
  <si>
    <t>https://drive.google.com/file/d/1J7KKhuSYxaw-CsK-75TYCB0oNGRmbdE8/view?usp=sharing</t>
  </si>
  <si>
    <t>https://drive.google.com/file/d/1P_J1BOmDDpoYlFtObb1ozgfwDCKrwbxq/view?usp=sharing</t>
  </si>
  <si>
    <t>https://drive.google.com/file/d/1RhdqccWPb7HYQ0v0VrM1nNTOyBdk_FlI/view?usp=sharing</t>
  </si>
  <si>
    <t>FARAH FERREIRA GUTIERREZ</t>
  </si>
  <si>
    <t>MARIA LAURA GAMEZ FERNANDEZ</t>
  </si>
  <si>
    <t>PLAN ESTRATÉGICO DE MARKETING PARA INCURSIONAR EN EL MERCADO DE FIAMBRES Y EMBUTIDOS POR LA EMPRESA “STEGE” EN LAS PROVINCIAS DE CHAPARE Y QUILLACOLLO DEL DEPARTAMENTO DE COCHABAMBA</t>
  </si>
  <si>
    <t>farita_17@hotmail.com</t>
  </si>
  <si>
    <t>IND-674-2014</t>
  </si>
  <si>
    <t>Consumidor final (CF), Punto de venta (PV).</t>
  </si>
  <si>
    <t>El presente estudio desarrolló un “Plan Estratégico de Marketing para incursionar en el mercado de fiambres y embutidos por la empresa “STEGE” en las provincias de Chapare y Quillacollo del departamento de Cochabamba”.El marketing no sólo es planteamiento estratégico sino su implantación, por esto es necesario guiarse de indicadores como: comportamiento del consumidor y demanda en los puntos de venta. Para conocer todo esto se realizara un Estudio de Mercado con la finalidad de diseñar un adecuado plan estratégico de marketing de acuerdo a las necesidades y exigencias del consumidor.El capítulo I muestra los antecedentes generales de la empresa.El capítulo II muestra la identificación del problema central y abordaje de la solución, los objetivos generales y objetivos específicos del estudio, el plan de trabajo y justificación del proyecto.El capítulo III muestra el Marco Teórico, describe el desarrollo y análisis de todo el estudio realizado que será necesario para poder aplicar un correcto Plan estratégico de marketing.El capítulo IV enseña la Metodología de Investigación, plantea los análisis de estudio del mercado de la Provincia Quillacollo y Provincia Chapare realizados para determinar el comportamiento del consumidor y los puntos de venta.El capítulo V describe la adecuación de la información para la realización del plan estratégico de marketing, como resultado de la información obtenida de los capítulos III y IV. En el capítulo VI se plantea la evaluación financiera.Se finaliza con el capítulo VII donde se desarrolla las conclusiones y recomendaciones del proyecto.</t>
  </si>
  <si>
    <t>https://drive.google.com/file/d/1rRt1mZOTziGsEMO5IGTT-puATIHH5543/view?usp=sharing</t>
  </si>
  <si>
    <t>https://drive.google.com/file/d/1nj98yv5JgN0_172h4zP0vmlSgSGSucry/view?usp=sharing</t>
  </si>
  <si>
    <t>https://drive.google.com/file/d/1s2X4ZdOLqaDmMBySOAxOQlhhSkELnwcq/view?usp=sharing</t>
  </si>
  <si>
    <t>BIANCA JIMENA ENCINAS FLORES</t>
  </si>
  <si>
    <t>ING. JOHANN ESPINOZA MAGNE</t>
  </si>
  <si>
    <t>PLAN DE SEGURIDAD Y SALUD OCUPACIONAL PARA LA FÁBRICA DE MUEBLES ALA.</t>
  </si>
  <si>
    <t>encinasfbj1@gmail.com</t>
  </si>
  <si>
    <t>IND-675-2014</t>
  </si>
  <si>
    <t>Fábrica de muebles ALA, seguridad e higiene industrial, método George F. Kinney,  mapa de riesgos, identificación de riesgos, medidas de control.</t>
  </si>
  <si>
    <t>La fábrica de muebles (melanina) ALA ha visto conveniente realizar un estudio de Seguridad Industrial  debido a la permanente inseguridad  del personal de planta  en todos los procesos que se realizan diariamente. La fabrica  tampoco cuenta con normas ni políticas  de  Seguridad e Higiene Industrial, no existe conciencia ni conocimiento sobre importancia de la seguridad, es así que en  respuesta  a todos estos requerimientos  se realizo el Plan  Seguridad y Salud Ocupacional.Lo primero que se hizo fue realizar  un Diagnostico el cual dio la información  acerca de las condiciones reales  en las que se encontraba la fábrica  en el área de Seguridad Industrial: organización general, descripción de los procesos, organización de la seguridad, características y estado  de las instalaciones el personal que interviene las actividades que realizan en cada área de trabajo, para todo ello se realizo entrevistas al gerente general de la empresa para tener una información real acerca de las condiciones verdaderas de la empresa los cuales confirmaron que la fabrica se encontraba en una situación de riesgo laboral.Posteriormente se realizo una observación más detallada en las instalaciones  de la fabrica  para determinar las características de los puestos de trabajo, maquinaria y equipo existente en cada una de las secciones, materias primas utilizadas en el proceso de producción, las maquinas que se empleaban, los factores generadores de riesgo y con toda la información recabada se procedió a la identificación y evaluación de riesgos.Las metodologías utilizadas para la identificación y evaluación de riesgos  fueron: Análisis preliminar de riesgos (APR) Técnica de evaluación de riesgo: método George F. Kinney, mapas de riesgos, tabla de valoración de riesgos generales.Con toda esta información obtenida del diagnostico de la identificación y evaluación de riesgos  se procedió a realizar el Plan de Seguridad y Salud Ocupacional , en el que se tomo en cuenta la organización de la seguridad, la capacitación, la prevención de riesgos ,los equipos de protección personal, los primeros auxilios ,la prevención de incendios ,la señalización adecuada ,manejo de registros y reportes, acciones a seguir en caso de emergencias, manejo adecuado de maquinaria equipo herramientas, procedimientos y acciones  de respuesta para mejorar la seguridad y la higiene industrial.El resultado del Proyecto  de  Grado  es un documento que está acorde a las necesidades de la fábrica de muebles ALA, la implementación del Plan de Seguridad y Salud ocupacional nos permitirá prevenir controlar, reducir y eliminar los riesgos identificados, por otro lado ofrecer condiciones de trabajo aceptables  y adecuadas para lograr un ambiente laboral seguro y eficiente.Finalmente, se realizó un análisis de costos  que determino la inversión necesaria para la implementación del Plan de Seguridad y Salud Ocupacional que garantice su ejecución y funcionamiento.</t>
  </si>
  <si>
    <t>https://drive.google.com/file/d/1ZOHHY3aDofKLLj9bXuznpHnQpwObH53k/view?usp=sharing</t>
  </si>
  <si>
    <t>https://drive.google.com/file/d/1kqWTFyDmheZnxVXz4CmAtrZhLEp5jZ1W/view?usp=sharing</t>
  </si>
  <si>
    <t>https://drive.google.com/file/d/12KObfW4Q41XMQg9bK1C4vG04JxWayp8q/view?usp=sharing</t>
  </si>
  <si>
    <t>MARIO CESAR VELARDE CANAVIRI</t>
  </si>
  <si>
    <t>MGR. ING. JUAN RUBÉN GARCIA MOLINA</t>
  </si>
  <si>
    <t>CADENAS DE MARKOV PARA LA CONSTRUCCIÓN DE UN GRAFO SOCIAL COMERCIAL</t>
  </si>
  <si>
    <t>canaviri_dp7@hotmail.com</t>
  </si>
  <si>
    <t>IND-676-2014</t>
  </si>
  <si>
    <t>INVESTIGACIÓN OPERATIVA</t>
  </si>
  <si>
    <t>Comercio gráfico social, Grafo social, Procesos estocásticos, Cadenas de Markov, Dinámicas sociales, Dinámicas comerciales, Simulación Montecarlo, Programación dinámica, Modelo probabilístico, Modelo dinámico, Modelo discreto, WinQSB.</t>
  </si>
  <si>
    <t>Empleando técnicas de investigación, Benchmarking y mediante la aplicación de procesos estocásticos como son las cadenas de Markov, se logró la construcción de un grafo social comercial, así mismo dicha aplicación permitió el diseño de métricas y herramientas que serán de utilidad para las distintas unidades productivas y demás y que se describen a continuación. A través del vector MarketRank diseñado se logró determinar la relevancia de todos los componentes del mercado mediante los siguientes sub indicadores: el SocialRank encargado de medir la relevancia de ofertantes y consumidores, y el ProductoRank encargado de medir la relevancia de los productos ofertados en el mercado. Para ello se procedió a la estabilización de la matriz de dinámica social con la ayuda del paquete matemático WinQSB específicamente el modulo Markov Process, una vez estabilizada la matriz se obtuvieron las probabilidades de estado estacionario “π” coincidente con el vector SocialRank, dicho vector posteriormente fue utilizado junto con los enlaces comerciales para obtener el vector ProductoRank.Con el objetivo de determinar la trayectoria social más eficiente (corta) entre dos actores sociales del mercado (ofertantes y/o consumidores), se procedió al diseño del  Algoritmo de conectividad social que opera básicamente con los tiempos esperados de primera llegada “μij”. Para ello se aplicaron cadenas de Markov y  la matriz de adyacencia social ergódica.Dado que la información  socio-comercial puede crecer vertiginosamente, se procedió al diseño del Optimizador NewsRank, herramienta que  permite ordenar el Timeline socio-comercial del mercado por orden de relevancia, para ello se aplicaron los valores del vector SocialRank, obtenidos al principio del trabajo.La Matriz REPP (Matriz de Representación Espacial de Posicionamiento de los Productos) es una herramienta de orientación estratégica que fue diseñada para determinar el posicionamiento de los productos en los segmentos sociales de consumidores del mercado y que trabaja conjuntamente con los valores de relevancia del MarketRank. Para ello se aplicaron técnicas de Benchmarking con otras herramientas graficas de orientación estratégica.Todos los indicadores y herramientas diseñadas para el grafo socio-comercial tienen como bases las dinámicas sociales y comerciales de los distintos actores sociales, mismos que fueron cartografiados mediante grafos markovianos.Finalmente se aplicaron Simulación Montecarlo y el método de la transformada inversa para la construcción del modelo de mercado social propuesto,  y la aplicación del estudio desarrollado fue representada mediante el sistema “fectivo” (codificado en Visual Basic) que a su vez permitió demostrar la hipótesis planteada sobre la aplicabilidad de las cadenas de Markov para la construcción de un grafo social comercial.</t>
  </si>
  <si>
    <t>https://drive.google.com/file/d/1B1He3S8UJxEjTkrtYy8fwbGJ58BlDrD0/view?usp=sharing</t>
  </si>
  <si>
    <t>https://drive.google.com/file/d/1qkIhLwyWaT53vnVDPnT6Qy1SpIXfFvD3/view?usp=sharing</t>
  </si>
  <si>
    <t>https://drive.google.com/file/d/1KKSzZdu9Pf1gygVxzJHM8u3XfasQhzYE/view?usp=sharing</t>
  </si>
  <si>
    <t>FELIPE ALANES PARICAGUA</t>
  </si>
  <si>
    <t>ING. HERNÁN AYALA TEJADA</t>
  </si>
  <si>
    <t>ELABORACIÓN E IMPLEMENTACIÓN DE UN SISTEMA DE SEGURIDAD E HIGIENE INDUSTRIAL EN EL SERVICIO DEPARTAMENTAL DE CAMINOS COCHABAMBA</t>
  </si>
  <si>
    <t>pipino_pepe@hotmail.com</t>
  </si>
  <si>
    <t>IND-677-2014</t>
  </si>
  <si>
    <t>Servicio Departamental de Caminos, Sistema Seguridad Industrial, Reglamento de Seguridad, Mapa de riesgos, Registro de Accidentes</t>
  </si>
  <si>
    <t>El presente trabajo brinda herramientas, procedimientos y programas dentro de un Sistema de Seguridad e Higiene Industrial. Debido a los servicios que presta el Servicio Departamental de Caminos (SEDCAM) Cochabamba (Mejoramiento y mantenimiento de vías y apoyo a los Municipios con atención de emergencias) expone diariamente a sus trabajadores a toda clase de riesgos, con probabilidad de sufrir accidentes laborales.En la actualidad la institución no cuenta, con un Plan de Seguridad Industrial, eso quiere decir que no existen medidas de prevención, para prevenir, controlar, minimizar y eliminar los riesgos existentes. Considerando lo último mencionado, SEDCAM busca establecer un Sistema para el manejo óptimo de la Seguridad Industrial, por esta razón se procederá a elaborar e implementar un Sistema de Seguridad e Higiene Industrial.Primeramente se realizó un diagnóstico general de la situación actual de todas las unidades de trabajo del SEDCAM, se recabó la información disponible acerca de la organización y los trabajos que realizan. Para ello se realizó una entrevista con el Responsable de Seguridad Industrial de la institución, se realizó una encuesta al personal y la observación de las operaciones que realizan en las unidades y residencias con la ayuda de un Check List.  Se emplearon los métodos de Mapa de Riesgos, Análisis, Causas y Consecuencias y el método de William T. Fine para la identificación, análisis y evaluación de los riesgos respectivamente en todas unidades y residencias de trabajo de la institución, posteriormente se establecieron medidas de actuación para los riesgos críticos.Tomando en cuenta los resultados del diagnóstico se procedió a la Elaboración del Sistema de Seguridad e Higiene Industrial,  proponiendo lo siguiente: modificación de la estructura orgánica de Seguridad Industrial , un registro de accidentes y enfermedades laborales, un reglamento de seguridad para la prevención de riesgos, capacitación, orden y limpieza, manejo de residuos sólidos, un plan de control, primeros auxilios, señalización y equipos de protección personal para que mejoren la seguridad e higiene industrial. Se realizó un presupuesto con el fin de determinar los costos para la implementación del sistema, también se realizó el presupuesto para su funcionamiento a partir del segundo semestre del año en curso.Se implementaron las diferentes propuestas en coordinación con Recursos Humanos y la Sección de Seguridad Industrial, para equipar a la misma con distintas herramientas que le permitan cumplir con eficacia las funciones que efectúa su cargo. El resultado del proyecto de grado es un documento importante, porque está acorde a las necesidades del Servicio Departamental de Caminos de Cochabamba, la implementación del Sistema nos permitirá, prevenir, controlar, minimizar y eliminar los riesgos identificados, por otro lado ofrecer condiciones seguras y un ambiente de trabajo aceptable y adecuado.</t>
  </si>
  <si>
    <t>https://drive.google.com/file/d/1Q1tiy1Xb8aeYjS-NpJCshmfPMPX-WAwJ/view?usp=sharing</t>
  </si>
  <si>
    <t>https://drive.google.com/file/d/1ve5m5lSnbqzscwdur9jgydrkc_VLOpGw/view?usp=sharing</t>
  </si>
  <si>
    <t>https://drive.google.com/file/d/14osMt4Eeulwxvhp7CsTb9gF_MInglKh9/view?usp=sharing</t>
  </si>
  <si>
    <t>CRISTHIAN LLANQUE MARTÍNEZ</t>
  </si>
  <si>
    <t>VENANCIO SURI CHINAHUANCA</t>
  </si>
  <si>
    <t>PROYECTO DE FACTIBILIDAD PARA LA IMPLEMENTACIÓN DE UN CRIADERO DE TRUCHAS EN LA COMUNIDAD DE MONTE PUNCO, MUNICIPIO DE POCONA</t>
  </si>
  <si>
    <t>crist-dady1@hotmail.com</t>
  </si>
  <si>
    <t>IND-678-2014</t>
  </si>
  <si>
    <t>Proyecto de factibilidad,  Ingeniería de proyectos, investigación de mercado, Indicadores de rentabilidad, nivel organizacional, matriz de Leopold.</t>
  </si>
  <si>
    <t>Se desarrolló una investigación de mercado para la determinar la demanda del proyecto, por tanto se encontró que existía mayor demanda por las familias, en cuanto a trucha evisceradas y en filetes, esto por el valor nutritivos de la carne de trucha, en especial de truchas medianas, donde la carne se compraba del mercado 6 de agosto en Cochabamba y el mayor consumo de platos de truchas se daba en los restaurantes.Se realizó una evaluación por puntos para los factores determinantes en la localización del criadero, asignando pesos a cada uno de los factores determinantes como: terreno, agua, materia prima, clima, mano de obra entre otros, el total de los pesos de cada factor debía resultar el 100 por ciento, se les asigno un calificación a los factores entre 1 a 4, donde uno era muy débil y 4 era muy fuerte, y el resultado dio que el lugar estratégico para desarrollar el proyecto era Pocona, con respecto a Colomi y Villa Tunari.Por medio de experiencia vistas se definió manejar estanques rectangulares, en series, y en forma de cascadas, atreves de cálculos se determinó las dimensiones y cantidad de estanques, los estanques para cada ciclo de vida de la trucha serán diferentes, también se determinó tener una sala de incubación de truchas, el alimento a utilizar será artificial, será balanceado en forma de pellet y con mucha proteína.Se definió que nivel organizacional será lineal, donde la organización jurídica recae donde el gerente general independiente, y contara con un jefe de producción, de administración y de comercialización.Se consideró un préstamo financiero del 65 % y aporte propio de 35 %, se calculó los indicadores de rentabilidad como el TIR, VAN, la relación beneficio costo, concluyendo de esta manera que el proyecto es rentable y atractivo para invertir.Se realizó una categorización del proyecto, atreves de la matriz de Leopold, donde se analizaron factores ambientales en cada etapa del proyecto, dándoles calificaciones de impactos negativos y positivos, y se determinó que tiene un efecto ambiental menor.</t>
  </si>
  <si>
    <t>https://drive.google.com/file/d/1vkdbdTbGDjrWQ0D5MmcPeeD9rw1jfYmn/view?usp=sharing</t>
  </si>
  <si>
    <t>https://drive.google.com/file/d/1nQkA8w6stkyIJXHYuGBK41OiXFbbyuT6/view?usp=sharing</t>
  </si>
  <si>
    <t>https://drive.google.com/file/d/1eGkDoMS-885N4l85jN1DBaLTXPlLAjZC/view?usp=sharing</t>
  </si>
  <si>
    <t>FERNANDO SAAVEDRA RUBI</t>
  </si>
  <si>
    <t>ING. LUDWING RUDON SANCHEZ</t>
  </si>
  <si>
    <t>PLAN DE EMERGENCIAS Y CONTINGENCIAS EN LA COMPAÑÍA PAPELERA MENDOZA “COPELME S.A.</t>
  </si>
  <si>
    <t>fernandito1533@hotmail.com</t>
  </si>
  <si>
    <t>IND-679-2014</t>
  </si>
  <si>
    <t>Plan, Emergencia, Contingencias, Seguridad, Papelera, Copelme.</t>
  </si>
  <si>
    <t>No hace mucho las actividades industriales y productivas en Bolivia no consideraban los planes de Emergencia y Contingencia en sus diferentes procesos de producción. Una manera adecuada de brindar seguridad al trabajador en su puesto de trabajo es el de concientizar y capacitar a los trabajadores y empleadores, de que aplicando ciertas normas y reglas con los cuales se pueden garantizar la forma de actuar en caso de cualquier eventualidad que pueda ocurrir en la industria.El proyecto tuvo como objetivo general el de realizar un Plan de Emergencias y Contingencias en la Compañía Papelera Mendoza COPELME S.A.Para poder cumplir con el objetivo general se realizó una serie de objetivos específicos. Como primer paso se realizo un diagnóstico general de la planta. Luego se realizó la identificación de riesgos de las diferentes áreas de la planta. Después se elaboró los planes de emergencia. Para finalmente elaborar el presupuesto referencial del plan.Para realizar el estudio se siguio con la siguiente metodología resumida que se divide en tres etapas:Etapa 1.- Se realizo el diagnostico general de la planta basado en la Ley General de Higiene y Seguridad Ocupacional y Bienestar Social que actualmente se encuentra vigente en el territorio nacional, seguido de este diagnóstico se realizo una encuesta en materia de seguridad industrial a los trabajadores el cual ayudo a identificar las debilidades y deficiencias de la seguridad industrial. Etapa 2.- Se realizó el análisis preliminar de riesgos a todas las áreas de la planta para posteriormente mediante un check list colocar los riesgos generados en las diferentes áreas de producción, luego se desarrolló el análisis de vulnerabilidad el cual ayudo a comprobar la vulnerabilidad empresarial de poder generarse una emergencia, para luego diseñar el mapa de riesgos de la plantaEtapa 3.- Se elaboró los planes de emergencia de primeros auxilios, evacuación, lucha contra el fuego donde se considera los diferentes flujogramas de procedimientos así como también los diferentes manuales de emergencia.Finalmente se realizo el presupuesto que necesitan los planes de emergencia para su operación y mantenimiento.Como resultado del estudio se emitieron las siguientes conclusiones y recomendaciones: ·       Conclusiones:o   Se ha diagnosticado la empresa en base a la Ley General de Higiene y Seguridad Ocupacional y Bienestar Social.o   Se procedió a identificar mediante un análisis de vulnerabilidad las fortalezas, oportunidades, debilidades y amenazas, siendo el resultado que COPELME tiene una vulnerabilidad muy elevada.o   La aplicación de las leyes y normas bolivianas, no se cumplen en su totalidad en cuanto a la seguridad industrial.·       Recomendaciones:o   Para lograr implementar el plan además de la actitud proactiva de los ejecutivos, debe existir consciencia de todos los trabajadores en materia de seguridad industrial.o   Reducir la vulnerabilidad empresarial mediante las fortalezas y oportunidades y tratar de minimizar las debilidades y eliminar las amenazas. o   Cumplir con el plan propuesto ya que cumple con las leyes bolivianas vigentes.</t>
  </si>
  <si>
    <t>https://drive.google.com/file/d/1TJ1J6HEMO86suK-S3U_KWQBKKa1Q89RH/view?usp=sharing</t>
  </si>
  <si>
    <t>https://drive.google.com/file/d/12HOE8uyiNJ6oKaFZeVvQS8Y8KCy03Dm8/view?usp=sharing</t>
  </si>
  <si>
    <t>https://drive.google.com/file/d/1KgoR2TV_Ci6CcaLyaH-OgwbdP3IG4TTo/view?usp=sharing</t>
  </si>
  <si>
    <t>MAURICIO LANDY TORRICO LIZÁRRAGA</t>
  </si>
  <si>
    <t>ING. ALFREDO PERICÓN BALDERRAMA</t>
  </si>
  <si>
    <t>ESTUDIO DE FACTIBILIDAD PARA LA IMPLEMENTACIÓN DE UNA PLANTA PROCESADORA DE ACEITE DE MANÍ EN LA LOCALIDAD DE MIZQUE</t>
  </si>
  <si>
    <t>mauri_torrico@hotmail.com</t>
  </si>
  <si>
    <t>IND-680-2014</t>
  </si>
  <si>
    <t>Aceite, Maní, Localidad, Producción, Productividad</t>
  </si>
  <si>
    <t>Nuestro país, se caracteriza como un país potencial en la disponibilidad de recursos naturales renovables y no renovables, y  la producción de materia prima para el proceso de diversos productos, cuenta con tierras ricas y aptas para la actividad agrícola del producto del maní en cantidades suficientes para su industrialización. El proyecto propuesto, titulado: ‘’Estudio de factibilidad para la implementación de una planta procesadora de aceite de maní en la localidad de mizque”, ya que su implementación proporciona  oportunidades de negocio y expectativas de crecimiento para los productores de maní asentados en la región, constituye una variable importante para el desarrollo de la población en general  a través de la oferta de un producto saludable con alto valor nutritivo y bajo en colesterol, como es el aceite de maní; asimismo, se podrá contribuir a los cultivadores del maní, con la generación de valor agregado, la disminución del desempleo e incremento económico en la región logrando bienestar en la localidad de Mizque y su entorno.Para la elaboración del proyecto se ha considerado instrumentos técnicos, administrativos y legales en un orden lógico que busca desde el diagnóstico  de la información, y la construcción de la ingeniería del proyecto; así como,  la evaluación financiera, organizativa y operativa poniendo en practica nuestros conocimentos obtenidos en transcurso del proceso de formación en la Carrera “Ingenieria Industrial”. Consiguientemente a manera sugerimos a los inversionistas  la implementación de este proyecto por su viabilidad técnica y financiera que presenta,  así como la aceptación del aceite de maní que presenta características de calidad, saludable para el consumo, bajo en colesterol y nutritivo.</t>
  </si>
  <si>
    <t>https://drive.google.com/file/d/10HGCHYC2kHzDJWO4mvgqALhHj0VZAK7L/view?usp=sharing</t>
  </si>
  <si>
    <t>https://drive.google.com/file/d/1Z1J3WXSY4pNwgZzndQcsyCKcVbDS2HcQ/view?usp=sharing</t>
  </si>
  <si>
    <t>https://drive.google.com/file/d/1Mw-8bViH7vBSE-oB6RdKCmKMjMKgVrIp/view?usp=sharing</t>
  </si>
  <si>
    <t>WALDIR TONY CHOQUE FLORES</t>
  </si>
  <si>
    <t>ING. RODRIGO ECHEVERRÍA HERRERA</t>
  </si>
  <si>
    <t>ESTUDIO DE TIEMPOS Y DISEÑO DE UN PLAN DE SEGURIDAD INDUSTRIAL PARA LA EMPRESA PLÁSTICOS MUNDIAL S.R.L.</t>
  </si>
  <si>
    <t>wsonyworld@yahoo.com</t>
  </si>
  <si>
    <t>IND-680-2014-1</t>
  </si>
  <si>
    <t>Seguridad industrial, Estudio de Tiempos, Bobinas, Polietileno de alta densidad HDPE, Polietileno de baja densidad, LDPE, Balance de línea, Balance de masa.</t>
  </si>
  <si>
    <t>La empresa Plásticos Mundial S.R.L. es una empresa que comenzó operaciones en 1989 se dedica a la fabricación y comercialización de bolsas de polietileno de alta y baja densidad, HDPE, LDPE.El proyecto tuvo como objetivo principal reducir los riesgos ocupacionales a los que están expuestos los trabajadores y mejorar el flujo de recorrido del producto para así incrementar la producción.El estudio realizado tuvo una metodología, que se resume a continuación:Se tuvo que evaluar el área de producción, más concretamente el sector de las máquinas extrusoras y el sector de las máquinas cortadoras, se tenía que ver el grado de probabilidad a la exposición de un riesgo directo o indirecto. Seguidamente se hizo el seguimiento a cada una de las operaciones y eventos para sacar los tiempos cronometrados, normales y estándar.Se da una propuesta de solución a los posibles accidentes por riesgo no programadas, mediante un Plan de seguridad industrial, se propone el mejor aprovechamiento de recursos humanos y materiales mediante el estudio de tiempos.Como resultado del estudio realizado se emitieron las siguientes conclusiones.v Seguridad laboral:o   Adoptar las medidas preventivas Plan de seguridad industrial mediante el comité mixto.o   Se minimizo las probabilidades de riesgos, de sufrir daños o accidentes no programados.v Utilización de recursos:o   Mejorar el flujo de producción, reduciendo tiempos y demoras innecesarias, mejor aprovechamiento de materiales.o   Incremento de los índices de producción (bobinas) por jornada de trabajo.</t>
  </si>
  <si>
    <t>https://drive.google.com/file/d/1_7rrw9xbFLL2SjQ6iHe3Jil5rmBdyviu/view?usp=sharing</t>
  </si>
  <si>
    <t>https://drive.google.com/file/d/15kLyv-wTHPNn0qBHqb8A6EgX8MtPCqJ2/view?usp=sharing</t>
  </si>
  <si>
    <t xml:space="preserve">No tiene </t>
  </si>
  <si>
    <t>HERBERT ZENZANO HIDALGO</t>
  </si>
  <si>
    <t>ING. ALFREDO DELGADILLO COSSIO</t>
  </si>
  <si>
    <t>PLAN DE SEGURIDAD INDUSTRIAL Y SALUD OCUPACIONAL PARA LA EMPRESA METAL MECÁNICA MARQUEZ</t>
  </si>
  <si>
    <t>herbertgod@hotmail.com</t>
  </si>
  <si>
    <t>IND-681-2014</t>
  </si>
  <si>
    <t>Plan de Seguridad Industrial y Salud Ocupacional, Metal Mecánica,  Identificación y evaluación de riesgos, Equipos de protección personal, Manuales de procedimientos, Registros de accidentes.</t>
  </si>
  <si>
    <t>Primero se realizo la visita a la empresa Metal Mecánica Marquez, donde se pudo observar la falta de normas de seguridad, se hizo la identificación del problema central así como de las causas y consecuencias. Posteriormente se realizo entrevistas y cuestionarios a los trabajadores.Se planteo el objetivo general que fue realizar un plan de seguridad y salud ocupacional para que puedan mejorar las condiciones de trabajo. También se plantearon los objetivos específicos que fueron: - Identificar, analizar y evaluar los riesgos- Elaborar mapa de riesgo y mapa de riesgo corporal- Determinar los equipos de protección personal- Diseñar un procedimiento de señalización - Elaborar un manual de primeros auxilios- Elaborar un plan de prevención de incendios- Realizar un manual para uso de extintores- Realizar la estimación de costos para la implementación del planDespués se realizó el diagnostico a la empresa con el fin de evidenciar la situación actual en cuanto a seguridad y salud ocupacional.Para la identificación de riesgos en la empresa se utilizo el método general de evaluación de riesgos que consta de tres etapas: - La segunda etapa fue la estimación del riesgo determinando la probabilidad y consecuencia.- La tercera etapa fue la valoración del riesgo.Se identifico todos los riesgos existentes en la empresa y se propuso mediadas correctivas. Se identifico que el mayor riesgo presente es el riesgo físico.Se realizo el plan de seguridad industrial con el objetivo de minimizar los riesgos y accidentes laborales de la empresa. La estructuración del plan de seguridad estuvo basada en la Ley General de Higiene, Seguridad Ocupacional y Bienestar Nº 16998. La estrategia y metodología utilizada fue la elaboración de manuales de procedimientos. Se realizo la estimación de costos para mejorar la seguridad en la empresa. El costo total fue de 33.110 Bs.Se detecto las falencias en el tema de seguridad y salud ocupacional, la implementación de este plan beneficio a la empresa ya que proporciono un mejor desempeño de las actividades. Se logro formar, educar, concientizar y preparar a los trabajadores.</t>
  </si>
  <si>
    <t>https://drive.google.com/file/d/1X1KyyEl_p_UlXoPTaE2PkBeXuwt1yp7l/view?usp=sharing</t>
  </si>
  <si>
    <t>https://drive.google.com/file/d/1-IzhWUBCebZ8QaU-SZeGVH43Vl5qh7ut/view?usp=sharing</t>
  </si>
  <si>
    <t>https://drive.google.com/file/d/1vTJ4e0VK8UfGwWobPbt2K_peeL4pVOYD/view?usp=sharing</t>
  </si>
  <si>
    <t>ESTHER RIMASSA MARTÍNEZ</t>
  </si>
  <si>
    <t>ING. FERNANDO FAVIO RIMASSA MARTÍNEZ</t>
  </si>
  <si>
    <t>ESTUDIO DE FACTIBILIDAD PARA LA INSTALACIÓN DE UNA PLANTA PROCESADORA DE MANÍ PARA LA ASOCIACIÓN DE PRODUCTORES DE MANÍ DE MIZQUE (APROMAM).</t>
  </si>
  <si>
    <t>esther.rimassa@gmail.com</t>
  </si>
  <si>
    <t>IND-682-2014</t>
  </si>
  <si>
    <t>Mantequilla de maní, Mizque, APROMAM, factibilidad, maní.</t>
  </si>
  <si>
    <t>El presente proyecto pretende demostrar la factibilidad técnica y financiera de la instalación de una planta procesadora de maní para la Asociación de Productores de Maní de Mizque (APROMAM), ya que los productores se ven muchas veces obligados a vender su producto a precios bajos, que apenas cubren los gastos de producción.Los productores no tienen un mercado seguro, ni canales de comercialización definidos para vender su producto, es por esto que APROMAM buscó apoyo técnico para poder dar valor agregado a su producción y recibir mejores ingresos para mejorar su calidad de vida.En ese sentido se le dará valor agregado al maní transformándolo en mantequilla de maní, el cual es un producto que ofrece muchos beneficios para la salud y también  muchos beneficios nutricionales, mejorando la calidad alimentaria, lo que resulta ser de gran importancia en un país que se encuentra en vías de desarrollo como el nuestro, que presenta índices elevados de desnutrición por la mala alimentación, agravada por la crisis económica, la pérdida del poder adquisitivo y el incremento de la población. La concepción del proyecto fue realizar un estudio que permita conocer la factibilidad de una oportunidad de inversión. Para lo cual, se procedió a realizar estudios e investigaciones más detallados, en lo que concierne al estudio de mercado y aspectos técnicos del proyecto como ser: materia prima, localización y tamaño, ingeniería del proyecto, aspectos organizacionales y legales, evaluación financiera y evaluación ambiental.La población objetivo que se estableció para el estudio de mercado son las familias de la zona urbana de la provincia Cercado del departamento de Cochabamba.Se determinó que actualmente el 15,28% de la población consume mantequilla de maní. El resto de la población no la consume principalmente por falta de costumbre o porque no conoce el producto y sus características, otro factor importante es que en determinado momento, un segmente de la población buscó el producto en el mercado y no lo encontró, exponiendo los primeros indicios de que existe un mercado insatisfecho. La oferta de la mantequilla de maní está compuesta básicamente por dos marcas nacionales (PIM y PAULO) y cuatro marcas importadas, teniendo un precio promedio de venta de Bs.- 18 por cada 250 gramos de producto. Se determinó que la cantidad de mantequilla de maní ofertada en el mercado para el primer año del proyecto es de 37347 Kg/año. Del estudio de mercado se determinó que la demanda es mayor a la oferta, por lo tanto existe un mercado para la mantequilla de maní. El proyecto cubrirá inicialmente el 11% de la demanda del mercado e irá incrementando un 2% cada año hasta llegar al 29%. Dichos valores se muestran en la tabla 1.1.Se determinó que la capacidad máxima de producción de la planta es de 93456 Kg/año de mantequilla de maní, trabajando un turno de 8 horas al día y 264 días al año.La materia prima será proveída por APROMAN (Asociación de Productores de Maní de Mizque), cuya capacidad productiva satisface los requerimientos de la planta procesadora de maní, como se observa en la tabla 1.2.Los materiales e insumos requeridos para la obtención del producto final, se encuentran disponible para su compra, así también los suministros de fábrica y los servicios básicos que requiere el proyecto.Los insumos a utilizar para la elaboración del producto son: azúcar, sal, margarina, maltodextrina y antioxidante en solución (TBHQ). Las proporciones correctas de estos insumos son esenciales para tener éxito en la preparación de la mantequilla de maní.El resultado del análisis de la evaluación cualitativa, presentó como mejor alternativa a Mizque, por presentar mejores características de proximidad a la materia prima, por el costo y disponibilidad de terreno y por poseer los servicios básicos necesarios. Se determinaron los principales procesos, maquinaria y equipos que permitirán obtener la mantequilla de maní, tomando en cuenta la capacidad de planta establecida. La estructura organizacional para la empresa será una combinación del tipo de organización lineal y funcional, la cual permitirá una actividad conjunta y coordinada entre ambos, estimándose un total de 15 personas involucradas en el funcionamiento de la planta.Se requerirá de una inversión total de $us.- 174841, siendo este proveniente en un 30% del aporte propio y el restante 70% proveniente de un financiamiento bancario con una tasa de interés del 11%.De la evaluación financiera del proyecto se obtuvo los siguientes resultados: TIR = 40,14%VAN = 227315 $usB/C = 1,20Estos resultados mostraron la viabilidad financiera del proyecto.De acuerdo al análisis de sensibilidad el precio de venta del producto es la variable más sensible, por lo que se deberá establecer políticas para que esta variable no sufra decrementos a lo largo de la vida útil del proyecto.De la evaluación del impacto ambiental se determinó que los impactos negativos son leves, por lo tanto el proyecto es ecológicamente compatible.Finalmente por todas las consideraciones mencionadas anteriormente, se concluye que el proyecto es financiera y técnicamente factible, por lo tanto se recomienda la ejecución del mismo.</t>
  </si>
  <si>
    <t>https://drive.google.com/file/d/1PA0C0T8KB-hF1KIbsD15fLlWJlRDz5WS/view?usp=sharing</t>
  </si>
  <si>
    <t>https://drive.google.com/file/d/1MZlweceRGE3QViPpjuoutomPsZqTz9f-/view?usp=sharing</t>
  </si>
  <si>
    <t>https://drive.google.com/file/d/1ZaKX0Vqg4wkCy1leCVYsP6ENuaZ7vhWG/view?usp=sharing</t>
  </si>
  <si>
    <t>CARLOS ALEJANDRO ROSSO MONTENEGRO</t>
  </si>
  <si>
    <t>ESTUDIO DE TÉCNICO PARA LA IMPLEMENTACIÓN DE UNA PLANTA PROCESADORA DE FIBRA DE ALPACA UBICADA EN LA ZONA DE MOROCHATA</t>
  </si>
  <si>
    <t>crosso1983@yahoo.es</t>
  </si>
  <si>
    <t>IND-683-2014</t>
  </si>
  <si>
    <t>Planta Procesadora de Fibra de Alpaca, método SLP, Fibra, titulo de lana</t>
  </si>
  <si>
    <t>La Idea de este Estudio fue adentrarse en la potencialidad de la zona de Morochata, en su riqueza natural y también productiva de camélidos particularmente de la alpaca.Con la finalidad de desarrollar empleo que beneficie a las personas estantes y habitantes de la zona con empleos directos e indirectos haciendo relucir la capacidad productiva de la zona, y planificando la creación de una planta cerca de Morochata la cual proveerá de lana de Alpaca como materia prima en bruto para la planta procesadora.El  producto final saldrá en ovillo de lana de 100 grs, este ovillo de lana es la fusión de tipos de fibra que son unidos y que dan su respectivo titulo. Pudiendo ser Grueso y delgado en titulo 3/10 y 2/4.La zona de Morochata fue elegida por su adaptabilidad de manejo al ganado camélido, el cual cuenta con inmensas praderas, bofedales que mantienes la zona humeda siendo este ambiente el mas apto para la cría de alpaca.  El precio salido de  Fábrica del ovillo de Alpaca esta a 10 Bolivianos, agregando un margen de utilidad el precio al consumidor estaría por 18 bs el ovillo Precio Bastante Competitivo.La empresa elaborará cerca del primer año 327600 ovillos de lana por lo que utiliza una parte de su capacidad de producción en sus distintos procesos de Transformación.La evaluación financiera, mostro que el producto es viable  cumpliendo  con las exigencias necesarias de capacidad productiva. La empresa adquirirá equipos y maquinaria de acuerdo con las características necesarias para la producción de Lana de Alpaca, Por ser una empresa nueva se realizaron inversiones de activo fijo, activo diferido y se consideró las depreciaciones correspondientes para cada activo.En la evaluación financiera realizada, se pudo constatar que el proyecto es rentable, reportando los siguientes resultados.Inversión Inicial: 5.661.453 Bs.VPN= 5.438.312,63 Bs.      VPN &gt; 0 TIR = 17% &gt; TMAR = 16.5%. La evaluación de impacto ambiental social concluye que el proyecto es ecológicamente compatible, por lo que tiene impactos negativos en una escala baja.</t>
  </si>
  <si>
    <t>https://drive.google.com/file/d/10CbscmE_KabJPITWBVhq3DzqhJRFvA99/view?usp=sharing</t>
  </si>
  <si>
    <t>https://drive.google.com/file/d/1NAgXy8vfZ04y2JmNpDhZgv5qJkFRFGW0/view?usp=sharing</t>
  </si>
  <si>
    <t>https://drive.google.com/file/d/15OWHHTAQZnJqxPIgg5bU_YZWyXMBeANM/view?usp=sharing</t>
  </si>
  <si>
    <t>ERICK GUILLERMO SEMPÉRTEGUI RUELAS</t>
  </si>
  <si>
    <t>ING. EMIR VARGAS PEREDO</t>
  </si>
  <si>
    <t>ESTUDIO DE FACTIBILIDAD PARA LA CREACIÓN DE UNA EMPRESA CRIADORA DE AVESTRUCES EN EL TRÓPICO DE COCHABAMBA</t>
  </si>
  <si>
    <t>erick_sr17@hotmail.com</t>
  </si>
  <si>
    <t>IND-684-2014</t>
  </si>
  <si>
    <t>Estudio de factibilidad,  Ingeniería de proyectos, estudio de mercado, indicadores de rentabilidad, nivel organizacional, análisis de sensibilidad.</t>
  </si>
  <si>
    <t>Se desarrolló una investigación de mercado para determinar la demanda del proyecto, por tanto se encontró que existiría una demanda aproximada de 1.000 kilogramos por año a un precio de 50 bs por kilo de carne de avestruz. El precio de venta que prefiere el consumidor es de 30 bs por kilo de carne. Con estos datos el mercado objetivo concluyo que prefiere pagar 50 bs por kilo de carne por una carne más saludable.Se realizó una calificación por puntos con factores determinantes para la localización de la empresa, asignando una calificación subjetiva de pésima, correspondiendo una valoración de “0”, hasta un rango de excelencia con un valor máximo de “10”. Los factores que se utilizaron fueron 9 y el lugar que dio como resultado fue Chimoré senda B con respecto de Ivirgarzama y Chimoré centro. No obstante, las demás opciones de emplazamiento no dejan  de ser viables.En media hectárea de terreno se podrá construir las siguientes áreas: área de incubación, área de cría, área de crecimiento y engorde, área de reproducción, área de oficinas, bodegas y vivienda. Y tendrá opción de extenderse a 2 o 3 hectáreas.La estructura organizacional y administrativa que se diseñó servirá para asumir tareas y tendrá no sólo relevancia en términos de su adecuación para el logro de los objetivos previstos sino que también por sus repercusiones económicas en las inversiones iniciales y en los costos de operación del proyecto.Se consideró un préstamo del 78,20% y un aporte propio del 21,80%, se calculó los indicadores de rentabilidad como el TIR, VAN, la relación beneficio costo, concluyendo de esta manera que el proyecto es rentable y atractivo para invertir.En el análisis de sensibilidad se concluyó que el precio de venta es un factor que puede alterar los resultados del proyecto. No obstante, a pesar de que el proyecto tomó un 50% en mortalidad, el proyecto sigue siendo viable.</t>
  </si>
  <si>
    <t>https://drive.google.com/file/d/10KhqKivjp9M7B-8wg-i4luXCADCiBTEX/view?usp=sharing</t>
  </si>
  <si>
    <t>https://drive.google.com/file/d/1CP2TDishUiPt3hhQC0ZaSKiulOCb_KhA/view?usp=sharing</t>
  </si>
  <si>
    <t>https://drive.google.com/file/d/1GuS_wR9k_ihxBUi3YEeHQUBgSPGD4yRd/view?usp=sharing</t>
  </si>
  <si>
    <t>MARIA ELIZABETH FERRER DIAZ</t>
  </si>
  <si>
    <t>ING. JAIME PERÉZ</t>
  </si>
  <si>
    <t>POTENCIAMIENTO DEL SISTEMA DE GESTIÓN DE CALIDAD DE LA CÁMARA DEPARTAMENTAL DE INDUSTRIA EN LOS REQUISITOS 5.5.1, 6.2.1  DE LA NORMA ISO 9001:2008, BASADO EN UNA GESTIÓN DE RECURSOS HUMANOS POR COMPETENCIAS.</t>
  </si>
  <si>
    <t>elyzabethorganica@gmail.com</t>
  </si>
  <si>
    <t>IND-685-2014</t>
  </si>
  <si>
    <t>Cámara Departamental de Industria, Gestión de Recursos Humanos, ISO 9001, Gestión por Competencias</t>
  </si>
  <si>
    <t>El proyecto en primera instancia tuvo la finalidad de subsanar la observación emitida por el auditor del IRAM al Sistema de Gestión de Calidad de la CAMIND específicamente al requisito 5.5.1 de la Norma Iso 9001: 2008 que denota “La alta dirección debe asegurarse de que las responsabilidades y autoridades están definidas y son comunicadas dentro de la organización”, posterior a esta observación la alta dirección al mando de Gerencia General decidió dar inicio al diseño de la gestión de recursos humanos por competencias, considerando que actualmente los recursos humanos son administrados y no gestionados. Para tal efecto se realizo la acción correctiva en el potenciamiento del requisito 6.2.1 que establece “El personal que realice trabajos que afecten a la conformidad con los requisitos del producto debe ser competente con base en la educación, formación, habilidades y experiencias apropiadas”.En base a todo lo mencionado se diseñaron un total de 16 manuales de funciones, posteriormente se le otorgo el enfoque por competencias con la identificación de competencias institucionales propias de la CAMIND, seguidamente  en base a estas competencias fueron identificadas las competencias necesarias para operar en cada puesto de trabajo, estas competencias fueron reflejadas en la última sección del manual de funciones.Para un buen monitoreo de las competencias fue elaborado el documento denominado “Diccionario de Competencias” que contiene las competencias necesarias en cada puesto de trabajo, los descriptores de los mismos e indicadores que permiten evaluar si el personal está logrando cumplir con las exigencias indicadas en los manuales de funciones.La evaluación del desempeño se desarrolla en base a las competencias identificadas, se elaboró la metodología de realización del mismo, así mismo se otorgó un  documento Excel que permite la acumulación de los resultados obtenidos en las diferentes evaluaciones. La recomendación en el área de evaluación del desempeño fue el de realizar  la retroalimentación correspondiente ya que no cobra importancia dicha evaluación si no se realiza la misma.El proyecto alineo los subsistema de “Análisis, Descripción de Puestos e Inducción” y “Evaluación del Desempeño” al Sistema de Gestión de Calidad Iso 9001:2008 de la  CAMIND, con el fin de generar competitividad en los recursos humanos que conforman la institución.</t>
  </si>
  <si>
    <t>https://drive.google.com/file/d/1Hl3hXRyoh-fRNEMusgPZMNicVs1BOm9h/view?usp=sharing</t>
  </si>
  <si>
    <t>https://drive.google.com/file/d/1wyoD0bNELnxMf3MP6b09pEMJ72rlFy6x/view?usp=sharing</t>
  </si>
  <si>
    <t>https://drive.google.com/file/d/1r487m-9cfPlVlK7F5dKLEM6TsK4ETh36/view?usp=sharing</t>
  </si>
  <si>
    <t>CLAUDIA FANNY MONTAÑO RODRIGO</t>
  </si>
  <si>
    <t>BERNARDO RAUL SORIA FIGUEROA</t>
  </si>
  <si>
    <t>LIC. JAVIER BERNARDO LÓPEZ ARZE</t>
  </si>
  <si>
    <t>ESTUDIO DE FACTIBILIDAD PARA LA ELABORACIÓN DE PRODUCTOS NUTRACÉUTICOS A PARTIR DE FRUTAS EXÓTICAS DEL DEPARTAMENTO DE COCHABAMBA</t>
  </si>
  <si>
    <t>claudiaf_mon_ro@yahoo.com</t>
  </si>
  <si>
    <t>IND-686-2014</t>
  </si>
  <si>
    <t>Factibilidad, Productos nutracéuticos, Antioxidantes, Polvo Liofilizado, Néctar, Camu camu, Mango, Trópico, Cochabamba, Frutas exóticas.</t>
  </si>
  <si>
    <t>Primeramente se realizó una investigación de Mercado en el cono urbano del departamento de Cochabamba, estudiando al distribuidor, competidor y proveedor. Se determinó una demanda insatisfecha de productos nutracéuticos con propiedades antioxidantes, como también se determinó la proyección de demanda de néctar y polvo liofilizado a base de camu camu y mango en el departamento de Cochabamba. Posteriormente se definió el tamaño de planta considerando que la empresa busca abarcar un 5 % del mercado inicial de néctar y polvo liofilizado a base de camu camu y mango, produciendo el primer año 312 Kg/día de néctar de camu camu, 311 Kg/día de néctar de mango, 22 Kg/día de polvo liofilizado de camu camu y 51 Kg/día de polvo liofilizado de mango. Para el año 2025 la planta planificó aumentar su participación en el mercado al 6 %. Aumentando ya su producción para ese año en la misma relación.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Sacaba del departamento de Cochabamba. Se definió un tamaño de 414 m2 para la planta. El estudio organizacional fue realizado para la planta definiendo el diagrama organizacional, las funciones de cada trabajador y las planillas de sueldos y salarios.En la ingeniería del proyecto se explicó a detalle como es el proceso productivo, empezando desde la pulpa de frutas, que es la base para la elaboración de los productos terminados, es decir del néctar y del polvo liofilizado, cuyos procesos fueron descritos y se realizó el balance de masa de cada proceso tanto con el camu camu como con el mango, definiendo perdidas de masa e ingreso de insumos en cada etapa de la producción. Mediante estos datos se pudo definir la maquinaria requerida y sus correspondientes requisitos en servicios básicos para la producción.Posteriormente se preparó la información para poder realizar la evaluación financiera determinando un VAN de  385.769 $us, un TIR de 27,71 % y una relación B/C de 1,21. También se realizó un análisis de sensibilidad donde se consideró al precio de venta y el costo de la materia prima las variables más sensibles para la producción. Se definió una inversión total de 453.652 $us para todo el proyecto, definiendo un 30 % de aporte propio y un 70 % de financiamiento. 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</si>
  <si>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https://drive.google.com/file/d/1vaPxgcyiNn7hxMTfVi4iQNQnAJmbWvZ7/view?usp=sharing</t>
  </si>
  <si>
    <t>ALONSO HUERTA ROCABADO</t>
  </si>
  <si>
    <t>ESTUDIO TÉCNICO PARA UNA PLANTA PROCESADORA DE HARINAS LIBRES DE GLUTEN</t>
  </si>
  <si>
    <t>Alonso_huerta_rocabado@hotmail.com</t>
  </si>
  <si>
    <t>IND-687-2014</t>
  </si>
  <si>
    <t>Harina, Gluten, Estudio Técnico, Diseño Planta, Quínoa, Amaranto</t>
  </si>
  <si>
    <t>El Estudio Técnico para una Planta Procesadora de Harinas Libres de Gluten nace de la necesidad de cubrir un segmento del mercado que busca cuidar su nutrición, además aprovechando las cualidades que tienen  la quínoa, amaranto y arroz se dará una nueva alternativa a personas que necesitan de una dieta libre de gluten.Aprovechando que la Quínoa, Arroz y Amaranto son naturalmente libres de gluten se elaboran las harina en base a una mezcla de Quínoa-Arroz y Amaranto-Arroz, tomando en cuenta los insumos adicionales y procesos requeridos. La presentación del empaque son cajas de 500grs.Se comenzó el proyecto con una investigación de mercados, estudiando a los consumidores, proveedores y competidores. Por medio de esta investigación se llega a determinar que la existe un segmento del mercado que tiene una demanda de productos insatisfecha y se procede al pronóstico de la demanda del producto en Cercado – Cochabamba.El 2% de la población comprendida en  la provincia Cercado del Departamento de Cochabamba, dentro del área urbana, tiene intolerancia al gluten por lo que se considero como población objetivo para el mercado interno, siendo el exceso de producción destinado a exportación por medio de terceras empresas.El precio del producto al consumidor es de 25 Bs. Para la mezlca Quinoa-Arroz y 20 Bs. Para la mezcla Amaranto-Arroz, en sus presentaciones de 500grs. Se tiene un precio para las empresas exportadoras de 23 Bs. Y 18 Bs. Respectivamente.La planta producirá un total de 50000kgs el primer año, siendo 1000kgs para el mercado interno y 49000kgs destinados a exportación. En la Ingeniería del Proyecto se detalla el proceso de producción de las harinas, el tamaño de la planta, infraestructura, maquinaria y equipos a utilizar en este proceso. Se determina las líneas de producción para obtener harina de quínoa, amaranto y arroz.Se estimaron los costos para la implementación y ejecución de la planta. Con toda la información de los costos de procedió a preparar esta información para realizar el respectivo análisis financiero usando indicadores como TIR, VAN, PRC. Concluyendo que existe factibilidad técnica y financiera en la implementación del proyecto.En la evaluación financiera realizada, se pudo constatar que el proyecto es rentable reportando los siguientes resultados.TIR = 24.20%VAN = 245086.84PRC = 4 años</t>
  </si>
  <si>
    <t>https://drive.google.com/file/d/1ex3EVk0tq-6tt_yUkdjR3xe8rtirIuSK/view?usp=sharing</t>
  </si>
  <si>
    <t>https://drive.google.com/file/d/13oQxWnF_iT3tS-dx7lLtb9nkwUFEwSmc/view?usp=sharing</t>
  </si>
  <si>
    <t>https://drive.google.com/file/d/1gwUPMx-lImL0HfIFKU8xQyKmCwrwn9c6/view?usp=sharing</t>
  </si>
  <si>
    <t>PEDRO LUIS CAMPERO AGUILAR</t>
  </si>
  <si>
    <t>ING. JULIO MEDINA GAMBOA</t>
  </si>
  <si>
    <t>ESTUDIO DE FACTIBILIDAD PARA LA INSTALACIÓN DE UN TALLER DE CONVERSIÓN DE VEHÍCULOS A GAS NATURAL VEHICULAR</t>
  </si>
  <si>
    <t>pedroluisca2003@hotmail.com</t>
  </si>
  <si>
    <t>IND-688-2014</t>
  </si>
  <si>
    <t>Agencia Nacional de Hidrocarburos (ANH), Entidad Ejecutora de   Conversiones a GNV (EEC-GNV), Análisis de Sensibilidad.</t>
  </si>
  <si>
    <t>En el proyecto que se hizo para la ciudad de Cochabamba, se realizó un  análisis  de la demanda efectiva para el desarrollo del mismo, con el propósito de instalar un taller de conversión de vehículos a gas natural vehicular.Se realizó un estudio de mercado para determinar la oferta, la demanda y precios, utilizando  encuestas para obtener información del mercado, los datos se tabulación y se obtuvieron gráficos representativos, finalmente se interpretaron los resultados y se determinaron las  conclusiones respectivas.Se consideró que para la instalación del taller de conversiones a GNV debían cumplirse las condiciones impuestas por la Agencia Nacional de Hidrocarburos, seguir ciertos requisitos mecánicos y eléctricos, además de considerar el proceso productivo y la comodidad de los operarios. Según el análisis cualitativo por puntos, la Zona norte fue la más atractiva para instalar el taller de conversiones. La distribución de planta se la hizo considerando los principios de espacio para los operarios y las pruebas, la mínima distancia recorrida, la fácil integración tanto de los equipos y herramientas con el operario, como la del personal administrativo con el cliente. Se determinó que el personal del taller debía estar conformada por dos socios, los cuales serían parte operativa del taller, esto con el fin de reducir los costos de contrato de personal, esta estructura está en función al crecimiento de la demanda lo cual llevará a ampliar la capacidad instalada del taller, la contratación de nuevo personal y una mejora en la implementación de herramientas y equipos. En cuanto a los costos asociados del proyecto, se determinó que el costo total operativo debía estar conformado por el costo del servicio de conversión y por el costo administrativo, los ingresos obtenidos dependían del precio cobrado por el servicio y la demanda existente en el mercado. También se realizó un análisis de sensibilidad para observar cual era el efecto que causaban en el proyecto las variaciones del costo de los insumos utilizados y del precio cobrado por el servicio de conversión. De acuerdo a los resultados obtenidos es necesario implementarse el proyecto, con un esfuerzo en la búsqueda de recursos económicos para desarrollar las actividades operativas, buscar el terreno adecuado en la zona donde se realizó la investigación, ya que de ello depende el éxito del proyecto. Se recomendó que era necesario estandarizar el proceso de conversión para vehículos similares, esto para optimizar el tiempo en la conversión. Contar con un sistema de control para el mantenimiento preventivo de los vehículos, mediante un control ajustado con carpetas individuales por vehículo y un servicio post venta de atención al cliente, realizando el mismo control y mantenimiento. Además de mantener una estricta programación de los servicios de conversión, para cumplirlos en el plazo determinado, lo cual le brinda prestigio y seriedad al taller de conversiones.</t>
  </si>
  <si>
    <t>https://drive.google.com/file/d/1RaLOgHKOe2-dP3c1AswMZMButWegE3-M/view?usp=sharing</t>
  </si>
  <si>
    <t>https://drive.google.com/file/d/1X7BbFJ7jgU3sKbqhJS6tyenYZTJDQoM7/view?usp=sharing</t>
  </si>
  <si>
    <t>https://drive.google.com/file/d/19-Lo-I1yQ4MZ3MPmLSlKBT54dKYrCDuz/view?usp=sharing</t>
  </si>
  <si>
    <t>RAMIRO GONZALO QUIROGA LAY</t>
  </si>
  <si>
    <t>IMPLEMENTACIÓN DE UN SISTEMA DE GESTIÓN DE SEGURIDAD Y SALUD OCUPACIONAL SEGÚN LA NORMA OHSAS 18001:2007 PARA FABOCE</t>
  </si>
  <si>
    <t>ramiroquiroga_001@hotmail.com</t>
  </si>
  <si>
    <t>IND-689-2014</t>
  </si>
  <si>
    <t>Seguridad y Salud Ocupacional, Sistema de Gestión, OHSAS 18001:2007, Riesgos, Documentación, Mejora continua, FABOCE S.R.L.</t>
  </si>
  <si>
    <t>“NORMA OHSAS 18001:2007”, Es una norma internacional que establece un conjunto de requisitos relacionados con los sistemas de gestión de la Seguridad y Salud en el trabajo y que permite a una organización controlar sus riesgos laborales y mejorar su rendimiento en materia de Seguridad y Salud. Por otro lado, Es la herramienta que debe implementarse en una organización para poder controlar, minimizar y mejorar continuamente en la gestión de riesgos de Seguridad y Salud Ocupacional.En el análisis de la situación actual, se procedió a evaluar el cumplimiento de los requisitos exigidos por la Norma OHSAS 18001:2007, teniendo como resultado un cumplimiento del 24%. Tomando en cuenta el porcentaje de cumplimiento se pasó a desarrollar documentación propuesta para dar cumplimiento de los requisitos de dicha norma (no cumplidos), creando procedimientos (16), guías (4) y formularios (24). Por otra parte, para dar a conocer más sobre la situación de los riesgos que actualmente se encuentran en la organización se realizó un análisis a través de una metodología de Identificación de Peligros, Evaluación de Riesgos y Determinación de Controles en un subsector de la empresa (Decorado-Línea de Pisos). Para lo anterior se tuvo un resultado total de 29,65 % de Riesgos No Aceptables, resultado que refleja el grado de riesgo que corren los trabajadores. Y para dar solución a estos riesgos se construyo un plan de implementación con sus respectivos costos. Por otro lado, se realizó un análisis diagnóstico de cumplimiento legal de la Ley 16998 “Ley de Higiene Seguridad Ocupacional y Bienestar”, donde se obtuvo un cumplimiento del 19,79 % de todos los artículos que se identificaron aplicables a la organización. En el Análisis de Costos se comparó el costo por accidentes de la gestión 2013 con los costos de implementación y certificación de la OHSAS 18001, dando a conocer que la inversión para la implementación es justificada.Se propone a la organización la creación del puesto de “Jefe de Seguridad y Salud Ocupacional”, junto con la implementación de la documentación propuesta, el análisis riegos de todos los sectores de la empresa y el establecimiento del sistema de gestión de seguridad y salud ocupacional según la Norma OHSAS 18001:2007.</t>
  </si>
  <si>
    <t>https://drive.google.com/file/d/15GpzV3M51LcmXz27n8CQuwcqQpGafnm1/view?usp=sharing</t>
  </si>
  <si>
    <t>https://drive.google.com/file/d/1VKsCLPTAzSLJ-pOBCNUPtoYt7WD6nvfk/view?usp=sharing</t>
  </si>
  <si>
    <t>https://drive.google.com/file/d/1tab0gxWnWNSLRLD93b1Jlg8xfd_cIF8B/view?usp=sharing</t>
  </si>
  <si>
    <t>PAOLA ANDREA PRIETO PÉREZ</t>
  </si>
  <si>
    <t>DISEÑO DE UN PLAN DE MEJORA CONTINUA PARA EL WAREHOUSE DEL CENTRO NACIONAL DE DISTRIBUCIÓN DE UNILEVER ANDINA BOLIVIA S.A.</t>
  </si>
  <si>
    <t>paola.prieto.perez@gmail.com</t>
  </si>
  <si>
    <t>IND-690-2014</t>
  </si>
  <si>
    <t>UNILEVER ANDINA BOLIVIA S.A., Mejora Continua, Producto No Conforme, Distribución, Almacén, Reingeniería.</t>
  </si>
  <si>
    <t>El Centro Nacional de Distribución (CND) de Unilever Andina Bolivia S.A., está ubicado en el km. 10.4 ingresando a Cotapachi, en la ciudad de Cochabamba. La empresa en Bolivia se dedica a la producción de detergente, jabón y shampoo en sachets para el mercado local y exportación y, al mismo tiempo, a la comercialización, a nivel nacional, de aproximadamente 500 productos importados de la marca Unilever. El CND recibe y despacha los productos a los diferentes departamentos del país. La cartera de productos se divide en: cuidado personal, cuidado del hogar y alimentos.El presente proyecto tiene como propósito, elaborar propuestas para diseñar un Plan de Mejora Continua para el Warehouse del Centro Nacional de Distribución con el objetivo principal de disminuir los Productos No Conformes y los costos generados por los mismos.El proyecto inicia identificando los productos sobre los cuales se centrará el estudio, los defectos de mayor presencia mediante el análisis de datos históricos y las implicaciones económicas.Posteriormente, se lleva a cabo un análisis de causa raíz, con miembros del equipo y participantes del proceso, que permitió establecer las principales causas del problema, para evaluarlas posteriormente.Luego se realizan las propuestas de mejora y se establece un plan de implementación de las mismas que considera los recursos, el tiempo y responsables.Finalmente se implementaron algunas de las propuestas que la empresa consideró importantes, logrando una reducción de costos de más de Bs. 100.000.</t>
  </si>
  <si>
    <t>https://drive.google.com/file/d/1QdWgXmYH15Fj7I1rD3CgDfHAKn63JHGb/view?usp=sharing</t>
  </si>
  <si>
    <t>https://drive.google.com/file/d/1k4d5nMQJ8OsfhMEJfROFPla9hGNnJpWY/view?usp=sharing</t>
  </si>
  <si>
    <t>https://drive.google.com/file/d/1dAq-6IhuuID4e4JKV_3ewOp7AGIbaY1Q/view?usp=sharing</t>
  </si>
  <si>
    <t>CAROLINA SALAZAR CRESPO</t>
  </si>
  <si>
    <t>ESTUDIO DE FACTIBILIDAD PARA LA CREACIÓN DE UNA EMPRESA DE VINO DE NARANJA EN LA CIUDAD DE COCHABAMBA</t>
  </si>
  <si>
    <t>caroline_20_08@hotmail.com</t>
  </si>
  <si>
    <t>IND-691-2014</t>
  </si>
  <si>
    <t>Vino de naranja, Factibilidad, Estudio técnico.</t>
  </si>
  <si>
    <t>El estudio de Factibilidad para la creación de una empresa de vino de naranja nace ante la oportunidad de darle un mayor valor agregado a la naranja, ya que en la actualidad la mayor producción en el país de este fruto es tan solo para el consumo interno y se comercializa a bajo costo. Cochabamba es uno de los departamentos que tiene mayor producción de este cítrico, surgiendo de esta manera la idea de industrializar y aumentar su valor agregado.Se comenzó el proyecto con un análisis del mercado, ya que este producto es nuevo y no se encuentra en el mercado. Se determinó la demanda potencial que podría consumir vino de naranja, con esta información se determinó el comportamiento de precios y forma de comercializar el producto.La localización se obtuvo a través del método cualitativo, factores ponderados; donde se tomaron en cuenta 3 alternativas para el emplazamiento, siendo la localidad de Sacaba la que obtuvo el mayor puntaje con respecto a las otras alternativas.La ingeniería del proyecto se realizó adecuando la tecnología a nuestro medio, comprendiendo los procesos desde la recepción de las naranjas, el procesado, la fermentación hasta obtener un producto nuevo y con un sabor exquisito y diferente en el mercado de Cochabamba.   Se elaboró el organigrama del personal de acuerdo a la jerarquía y se realizó los manuales de funciones especificando las tareas que cada cargo tiene que llevar a cabo para el buen funcionamiento de la empresa. También se evaluó los aspectos legales que conlleva la apertura de dicha empresa.Posteriormente se realizó la planificación de para la implementación y ejecución del proyecto. Con toda la información de costos se procedió realizar el respectivo análisis financiero usando indicadores como el TIR, VAN, R B/C y Recuperación del Capital. Se sometió el flujo a un análisis de sensibilidad para  las variables más influyentes. Concluyendo que el proyecto es rentable.</t>
  </si>
  <si>
    <t>https://drive.google.com/file/d/1Ydi-GO0hZr1SAkN_wq4nKZQNfrEXSDP7/view?usp=sharing</t>
  </si>
  <si>
    <t>https://drive.google.com/file/d/1FvYLDxGZUY9n9GGxzbC2XuIS-Llt2R4H/view?usp=sharing</t>
  </si>
  <si>
    <t>https://drive.google.com/file/d/1lnVOOOr7_12hT1rKVAIUgIdommOwtXom/view?usp=sharing</t>
  </si>
  <si>
    <t>CARLA JIMENA GARCÉS VÁSQUEZ</t>
  </si>
  <si>
    <t>PLAN DE NEGOCIOS PARA LA CRIANZA INTENSIVA DE CONEJOS DE CASTILLA EN LA PROVINCIA DE PUNATA</t>
  </si>
  <si>
    <t>IND-691-2014-1</t>
  </si>
  <si>
    <t>Crianza conejos de castilla, PERT, layout.</t>
  </si>
  <si>
    <t>Primeramente se realizó una investigación de Mercados en los mercados del departamento de Cochabamba (cercado, Punata, Cliza y Araní) ; Para poder determinar y analizar las variables de la demanda y la oferta de conejos de castilla estos factores que están relacionados con las fuerzas que determinaran el comportamiento de los consumidores y de los criaderos ,Cuya acción permite fijar el precio unitario de conejos de castilla y la cantidad a criar.Posteriormente  la localización tiene por objeto proponer y analizar  los diferentes lugares donde es posible ubicar el criadero de conejos de castilla, con el fin de determinar la máxima ganancia, o minimizar los costos con un porcentaje de participación de un 50%, el segundo año con 75% y a partir del tercer año con un 100%, Donde se  definió la localización de la planta haciendo un análisis cualitativo de puntos, en el cual ganó ponderación la provincia de Punata del departamento de Cochabamba. Se definió un tamaño de 500 m2 para la planta. El estudio de viabilidad técnica se explicado a detalle, consistiendo la reproducción de  conejos de castilla y su respectiva alimentación para eso se a realizado la siembra de alfalfa en 3000m2 eso a fin que los conejos tengan una mejor reproducción y para evitar enfermedades que presentan los conejos.Posteriormente se preparó la información para poder realizar la evaluación financiera determinando un VAN de 17.407,06 (Bs), un TIR de 15% y una relación B/C de 1,0498 También se realizó un análisis de sensibilidad donde fue mostrado que el precio y el volumen de producción son las variables más sensibles para la reproducción de  conejos de castilla. Se definió una inversión total de 663.080,47 Bs Para todo el proyecto definiendo un 60% de aporte propio y un 40% de financiamiento. La recuperación del capital fue determinado en un periodo de 5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</si>
  <si>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https://drive.google.com/file/d/1Pg-XExsd2Vb7XsnXlsZWstlzN1K_qtH9/view?usp=sharing</t>
  </si>
  <si>
    <t>https://drive.google.com/file/d/16zSkxMifEASJRBoQp4mrptlJi4kQtMOn/view?usp=sharing</t>
  </si>
  <si>
    <t>LIMBERT S FLORES GÓMEZ</t>
  </si>
  <si>
    <t>GARY  REVOLLO RAMÍREZ</t>
  </si>
  <si>
    <t>ING. JAIME GASTÓN PÉREZ CORMINALES</t>
  </si>
  <si>
    <t>ESTUDIO DE FACTIBILIDAD PARA LA IMPLEMENTACIÓN DE UNA FÁBRICA DE MUEBLES MELAMINICOS EN LA CIUDAD DE COCHABAMBA</t>
  </si>
  <si>
    <t>sergio963_963@hotmail.com</t>
  </si>
  <si>
    <t>IND-692-2014</t>
  </si>
  <si>
    <t>Estudio de Factibilidad, Muebles de melamina, Estudio técnico y Organizacional, Análisis económico y Financiero</t>
  </si>
  <si>
    <t>En el mercado de Cochabamba se ha visto por conveniente la implementación de una Empresa de dicada a la fabricación de muebles de Aglomerado de Melamina, debido a la existencia en crecimiento de viviendas y edificaciones que requieren el amoblado con Muebles Melaminicos.El primer capítulo, parte del diagnóstico situacional, objetivos, determinación de variables  diagnósticos  e indicadores, metodología  de la investigación utilizada, técnicas de la recopilación de la información, determinación  del problema y justificación. Estos elementos sirven de base para la formulación de políticas, como también las conclusiones y recomendaciones, que se implementaran en el presente proyecto  de grado. La información obtenida para la realización del estudio  proviene de fuentes primarias, a través de encuestas y entrevistas. El capítulo II contiene  el marco  teórico, el mismo que formula corrientes y conceptos teóricos  que se toman en cuenta  en todo  el proceso de elaboración de la tesis En  el desarrollo del estudio y análisis del mercado se identificó el mercado consumidor, proveedor y competidor. Determinando que existe una demanda estima inicial  de 7322.2 m2/año de muebles melaminicos. El cuarto capítulo, se desarrolla un estudio de materia prima, insumos y materiales, analizando las variedades de materias prima, tipo de abastecimiento  y la capacidad de aprovisionamiento de los proveedoresEl tamaño de la planta fue definido en base al crecimiento esperado  de captación de mercado a nivel Cochabamba hasta el año 2022, iniciando con una capacidad de 5712 muebles/mes. La localización fue obtenida a través de una ponderación de puntos, analizando  3 micro-localización, determinando  que la alternativa optima de ubicación es Quillacollo provincia de IraquicilloLa ingeniería de proyecto, es decir, la infraestructura, distribución  delas áreas y espacios que se requieren para la realización de las actividades en los que emprenda el proyecto, como también procesos  de generación de los muebles y el costo que se desarrollan en el capítulo VI. Estos aspectos relevantes fueron considerados como elementos importantes para el diseño de la propuesta.La estructura organizacional, normas legales y todos los requerimientos administrativos de nuevo proyecto, se detallan en el séptimo y octavo capítulo. La inversión que se necesita  el proyecto  se especifica en el capítulo, estudio financiero detallados en los Estados Financieros  del proyecto, como: Estado de Resultados, Balance General y Flujo de Efectivo, este último sirviendo  de base para la evaluación  financiero correspondiente , ayudándonos  a DETERMINAR  LA Relación B/C de Bs 1.10, una  TIR de 19 %, muy superior al TERMA de 16 %, corroborando por el VAN Bs 10858, que es positivo  y mayor a cero y una recuperación de capital al sexto año del proyecto. Se sometió el flujo  a un análisis de sensibilidad para las variables más  influentes, concluyendo que el proyecto  es económica mente viable.Finalmente se identificaron, los posibles  impactos ambientales que tendrá la relación de este proyecto, concluyendo que es también viable de manera ambiental. Concluyendo la exposición del trabajo  de grado con las conclusiones  y recomendaciones que la investigación realizada, destacándose en lo fundamental la factibilidad y sustentabilidad a través  del tiempo  o vida útil establecida para el proyecto planteado.</t>
  </si>
  <si>
    <t>https://drive.google.com/file/d/1egCaCY8kfmJDVt_pCG66sylkHEm_ZZvl/view?usp=sharing</t>
  </si>
  <si>
    <t>https://drive.google.com/file/d/1H3sIqEV8paOIimQ-zovXh_9CqdrWTLHI/view?usp=sharing</t>
  </si>
  <si>
    <t>https://drive.google.com/file/d/1rjeblxyMIBkrjn_DL59T5UVcUQT723oo/view?usp=sharing</t>
  </si>
  <si>
    <t>ABIGAIL HIPATIA GUZMÁN JIMÉNEZ</t>
  </si>
  <si>
    <t>PLAN ESTRATÉGICO DE EXPORTACIÓN DE PRODUCTOS CERÁMICOS AL NORTE DE ARGENTINA PARA LA EMPRESA CERAMISUR S.A</t>
  </si>
  <si>
    <t>abi_hgj@hotmail.com</t>
  </si>
  <si>
    <t>IND-693-2014</t>
  </si>
  <si>
    <t>Importación, exportación, comercio exterior, cámara de comercio, corralones, cerámicos y estrategias.</t>
  </si>
  <si>
    <t>El presente proyecto tiene como objetivo central elaborar un plan estratégico de exportación de productos cerámicos al norte argentino para la empresa CERAMISUR S.A, con la finalidad de encontrar solución al problema planteado en el proyecto.Los factores internos permitieron  conocer la situación competitiva de la empresa frente a un entorno internacional, lo cual llevara a una evaluación a priori en cuanto a la posibilidad de éxito que tendrá la empresa al incursionar en el mercado del norte Argentino con productos cerámicos.El análisis de los  factores externos se realizaron mediante un estudio de mercado Internacional que tuvo como objetivo recopilar, seleccionar y analizar la información del país objeto de estudio, para ayudar a la empresa CERAMISUR S.A. a entender mejor el medio ambiente internacional.Al mismo tiempo se llevó a cabo un análisis económico, Social y cultural del mercado objetivo con el fin de conocer los indicadores macroeconómicos y microeconómicos, que son importantes conocer en cualquier proceso de exportación Al mismo tiempo se logró identificar los posibles productos a exportar y a que mercados, mediante un análisis de costos según la cadena de distribución física internacional, también se identificó los clientes potenciales para cada mercado.Es por esta razón  se definió el contexto estratégico que debe seguir la empresa en el proceso de exportación, justificados por las evaluaciones respectivas a todas las fases metodológicas y de investigación en el diseño del proyecto.Para ver la viabilidad del proyecto se realizó un análisis financiero, donde se concluye  que exportar genera mayores utilidades para la empresa.La industria de la construcción en la república de Argentina tiene una tendencia a seguir creciendo, consecuentemente la demanda de los productos relacionados incrementará en la misma proporción. De esa forma se da solución al problema planteado del proyectoFinalmente lo que teóricamente se dicen en los libros, que la posibilidad de éxito de exportación de una empresa es realizar un buen plan de exportación, es lo que se pudo verificar en la realización de este proyecto.</t>
  </si>
  <si>
    <t>https://drive.google.com/file/d/1c5EETDRiuGVxfivqXatq9e2ry-p-2gCn/view?usp=sharing</t>
  </si>
  <si>
    <t>https://drive.google.com/file/d/16uGgNZAXF-PE_iBVIs6W2SmKAZkFA4Vc/view?usp=sharing</t>
  </si>
  <si>
    <t>https://drive.google.com/file/d/1Lu7azCdLtIIALHCVWbz8LGmjY59X9u9L/view?usp=sharing</t>
  </si>
  <si>
    <t>NILO ABASTO VILLARROEL</t>
  </si>
  <si>
    <t>JOSÉ DAVID CADIMA RIVERA</t>
  </si>
  <si>
    <t>ING. PAOLA KAREN BELTRÁN MERCADO</t>
  </si>
  <si>
    <t>PLAN DE MEJORAMIENTO DE LOS PROCESOS DE CARGA Y ENCOMIENDA, VENTA DE PASAJES Y MANTENIMIENTO DE LOS BUSES DE LA EMPRESA “TRANS COPACABANA S.A.</t>
  </si>
  <si>
    <t>nilo_811@hotmail.com</t>
  </si>
  <si>
    <t>IND-694-2014</t>
  </si>
  <si>
    <t>Proyecto en la elaboración de un Plan de Mejora para los procesos de Carga y Encomienda, Venta de Pasajes y Mantenimiento de los Buses de la empresa “TRANS COPACABANA S.A.”, Servicios, PLAN DE MEJORA.</t>
  </si>
  <si>
    <t>El presente proyecto surge ante la necesidad del gerente propietario de la empresa Trans Copacabana S.A., de realizar un plan de mejoramiento para los procesos de carga y encomienda, venta de pasajes y mantenimiento de buses, que permita mejorar el manejo y control de los procesos en estudio.Por la cual se realizó una descripción de los procesos, donde se pudo describir el funcionamiento de los procesos en estudio, al igual que se pudo identificar el relacionamiento con el entorno mismo de los procesos que la empresa dispone, tomando para la descripción los recursos o elementos básicos para cada uno de los procesos en estudio las cuales son:·        Recursos Humanos ·        Recursos Materiales ·        Recursos Técnicos·        Recursos FinancierosCon el fin de identificar el funcionamiento y relacionamiento de los procesos en estudio con su entorno con los demás procesos con las que cuenta la empresa se tuvo que contar con la elaboración del mapa de proceso de la empresa.Una vez ya realizado el tema de descripción de los procesos en estudio;  se procedió a realizar un diagnóstico de la situación actual de los procesos; en el cual se recopilo, documento e interpreto la información disponible y necesaria acerca de la situación actual en que se encuentra los procesos en cuanto a su funcionamiento y organización de los procesos de carga y encomienda, venta de pasajes y mantenimiento de buses. Con el objetivo de identificar los puntos de mejoramiento para esos procesos en cuanto a la utilización de los recursos económicos, humanos y materiales.   Se utilizó herramientas de recopilación de información como ser; encuestas al personal, realización de una investigación de mercado y recolección de información histórica pertinente, con el fin de identificar los requerimientos, necesidades de la empresa en su conjunto al igual que de nuestros clientes. A través del diagnóstico de la situación actual de los procesos se podrá identificar los diferentes puntos de mejoramiento a solucionarse. Se utilizó herramientas de análisis, tanto de ambiente externo como interno, en la identificación de factores que afectan o ayudan en el crecimiento y o diversificación de los procesos en estudio, como ser; matrices PESTAL, matriz EFE (Evaluación de Factores Internos), matrices EFI (Evaluación de Factores Internos), matriz MPC (Matriz de Perfil Competitivo), matriz FODA. Para la obtención e identificación de puntos de mejoramiento, se tuvo que realizar un análisis de la información ya obtenida en el diagnóstico de la situación actual de  los procesos. Posteriormente con la ayuda y aplicación de la herramienta de análisis como lo es el FODA, se pudo identificar las estrategias a seguir, obtenidas según los factores de fortalezas, oportunidades, debilidades y amenazas de la empresa, las cuales propician la identificación de la estrategia pertinente en la realización del plan. Y por consiguiente el logro de nuestros objetivos trazados. La identificación de esas estrategias de mejora se convierte en propuestas de mejoramiento, que responde a resolver, solucionar un problema identificado que afecta a la empresa.Por consiguiente se procedió a elaborar los planes de mejoramiento de los procesos en estudio, las cuales tienen el objetivo de mitigar, disminuir el  disminuir aquellas debilidades, amenazas identificadas en el proyecto y con la ayuda de las propuestas de mejora obtenidas, se podrá aprovechar y capitalizar las fortalezas al igual que las  oportunidades de la empresa y del rubro.Para valorar sobra la implementación o no de los planes de mejora propuestos se realizó una evaluación económica, donde figura la inversión, el costo e ingresos esperados del plan de mejoramiento.</t>
  </si>
  <si>
    <t>https://drive.google.com/file/d/1u_IKUPERdM_KuZ1xL1pB7DXj5v8cbJMD/view?usp=sharing</t>
  </si>
  <si>
    <t>https://drive.google.com/file/d/1tl57lHSN-7cXg8kw9OfA_e9ikeBtixKB/view?usp=sharing</t>
  </si>
  <si>
    <t>https://drive.google.com/file/d/1xS15xath7Yrnc7gGwmzm1FguUY3dBuf2/view?usp=sharing</t>
  </si>
  <si>
    <t>PAOLA ADRIANA URIZAR ACARAPI</t>
  </si>
  <si>
    <t>ING. JUAN RUBÉN GARCIA MOLINA</t>
  </si>
  <si>
    <t>IMPLEMENTACIÓN DE LA METODOLOGÍA HAZARD RATING NUMBER HRN EN LA PLANTA DE DETERGENTES EN UNILEVER ANDINA BOLIVIA S.A.</t>
  </si>
  <si>
    <t>adriana_ua@hotmail.com</t>
  </si>
  <si>
    <t>IND-695-2014</t>
  </si>
  <si>
    <t>HRN, LOTO, SHE, EPP, LPP´s, evaluaciones de riesgos, planes de acción.</t>
  </si>
  <si>
    <t>La empresa brinda un ambiente de trabajo seguro y saludable para todos los trabajadores y al mismo tiempo debe estimular la prevención de accidentes dentro y fuera del área de trabajo. Si las causas de los accidentes que existirán pueden ser controladas, la repetición de éstos será reducida. La seguridad industrial se ha definido como el conjunto de normas y principios encaminados a prevenir la integridad física del trabajo, así como el buen uso y cuidado de las maquinas, equipos, herramientas y las actividades, tareas que realiza el operador.Día a día los operadores tienen funciones rutinarias, actividades y tareas que deben realizar y en toda esta actividad puede presentarse riesgos asociados en el área de trabajo en la forma de trabajar, en el ambiente lo cual el operador está expuesto a muchos peligros y riesgo si no toma conciencia de los posibles riesgo que existe si no tiene el cuidado, como también debe saber identificar los posibles peligros y riesgos.En toda planta productiva se cuenta con materiales para llegar a realizar el producto es decir las materias primas, pero a veces pasa desapercibido el conocer las propiedades de las materias primas si existiese algún compuesto que afecte a la salud de las personas que operan con estos materiales, es importante conocer el rombo de seguridad de los materiales y/o las composición de estos mismos y saber la importancia de los riesgo que existe en cada material que manejan y ser conscientes del riesgo y peligro que pueda existir si no existe el debido cuidado.La evaluación de riesgos laboral es tan importante  es el proceso dirigido a estimar la magnitud de aquellos riesgos que no hayan podido evitarse, obteniendo la información necesaria para que el gerente y jefes de área  puedan tomar una decisión apropiada sobre la necesidad de adoptar medidas preventivas y, en tal caso, sobre el tipo de medidas que deben adoptarse.Es importante brindar y dar las capacitaciones a todo el personal técnico, contratista, operadores y plantel administrativo de todas las áreas de planta pero con más enfoque al departamento de mantenimiento puesto que ellos son los que diariamente están en contacto con las maquinas y equipos.</t>
  </si>
  <si>
    <t>https://drive.google.com/file/d/1R4YMkLew9ClwT7WvbIbMRJDqOyH4aC5P/view?usp=sharing</t>
  </si>
  <si>
    <t>https://drive.google.com/file/d/1bjAzTL3lrCVTzT6QyvRn1C9hRn4VZGtA/view?usp=sharing</t>
  </si>
  <si>
    <t>https://drive.google.com/file/d/1beuMA90yzdsLvUqLFBA0tmf0qDAcKNoZ/view?usp=sharing</t>
  </si>
  <si>
    <t>FERNANDO ESPINOZA ARENAS</t>
  </si>
  <si>
    <t>VARINIA MURILLO</t>
  </si>
  <si>
    <t>ING. RUBÉN GARCÍA</t>
  </si>
  <si>
    <t>PLANIFICACIÓN ESTRATÉGICA DEL POSGRADO DE LA FACULTAD DE CIENCIAS Y TECNOLOGÍA  DE LA UNIVERSIDAD MAYOR DE SAN SIMÓN</t>
  </si>
  <si>
    <t>BIOYHEL@hotmail.com</t>
  </si>
  <si>
    <t>IND-696-2014</t>
  </si>
  <si>
    <t>Marco Estratégico, Planificación Estratégica, Productividad</t>
  </si>
  <si>
    <t>A iniciativa de la Dirección del  Posgrado de la Facultad de Ciencias y Tecnología perteneciente a la Universidad Mayor de San Simón, en su interés por el progreso de la Unidad, se introduce a un proceso de transición; realizando cambios importantes para el crecimiento y desarrollo del Posgrado.Por estas razones, se realizó la Planificación  Estratégica para la Unidad, dando como resultado un Plan Estratégico con un horizonte temporal de 5 años (2015-2019) y un Plan Operativo para el año 2015. Estos resultados fueron logrados mediante:Inserción a la Unidad, gracias al acceso que se nos brindó, se pudo determinar el objetivo general y la Matriz Metodológica para la obtención de una guía del presente estudio, como también los datos de interés.Profundización del estudio de la Unidad,  por medio de un ANÁLISIS INTERNO, estableciendo el Mapa de Procesos, Enfoque Sistémico, Diagnostico de la Productividad General con el uso de Sistemas de Control de cada proceso; dando como resultado Debilidades y Fortalezas presentes. Identificación de riesgos, vulnerabilidades y competencias nucleares. ESTUDIO EXTERNO; en primer lugar al interior de la UMSS, estudiando la relación con la Escuela Universitaria de Posgrado, Comité de Posgrado Facultativo y Direcciones de Carrera. Seguidamente al exterior de la UMSS; donde se identificó fuerzas clave que son: Social, Tecnológica y Competitiva, en este último punto se aplicó el Modelo de las 5 Fuerzas de Porter. Toda esta información se tradujo en Oportunidades y Amenazas  que enfrenta el Posgrado de la FCyT, así también se realizó un análisis en base al enfoque del Bussiness Management System (BMS).Establecimiento del Marco Estratégico, compuesto por la Misión, Visión y Cultura Organizacional definido en talleres con el personal. Establecimiento de: filosofía, estrategias básicas, finalidad, políticas y limitaciones de la Unidad. Alternativas Estratégicas, mediante la Matriz Productos /Mercados. Estrategias individuales asignadas a: fortalezas para su mantenimiento,  debilidades para su mejoramiento, oportunidad para su aprovechamiento y para poder enfrentar las amenazas.  Matriz FODA.Obtención de estrategias principales, realizando la combinación de las estrategias en base a factores comunes, dando como resultado  8 estrategias  que fueron sometidas a una evaluación, empleando la Matriz Cualitativa de la Planificación Estratégica. De la mencionada evaluación se obtuvo tres principales estrategias, las cuales son: implementar marketing agresivo, ampliación de ambientes y mejoramiento constante de programas, traducidos en Plan Marketing, Plan Crecer y Plan Programas. Elaboración del Plan Estratégico y Operativo, compuesto por los planes anteriormente citados, y siendo detallados en las fichas de despliegue respectivos.</t>
  </si>
  <si>
    <t>https://drive.google.com/file/d/1WiR3lfzcK0Fakry60oDby536xvKPJzQW/view?usp=sharing</t>
  </si>
  <si>
    <t>https://drive.google.com/file/d/1CE8QQ4b5jEPi92f3bPvK7nWuFYS6zgwt/view?usp=sharing</t>
  </si>
  <si>
    <t>https://drive.google.com/file/d/1nLrSU_g42yfau7sqlhRH96jI2BBZyfiJ/view?usp=sharing</t>
  </si>
  <si>
    <t>TANIA CRUZ ARIAS</t>
  </si>
  <si>
    <t>MGR. RUBÉN GARCÍA MOLINA</t>
  </si>
  <si>
    <t>ESTUDIO SOBRE LAS CONDICIONES EXISTENTES EN BOLIVIA PARA LA CONSTITUCIÓN DE CENTROS DE INVESTIGACIÓN CIENTÍFICA (CIC)</t>
  </si>
  <si>
    <t>hany_tu@hotmail.com</t>
  </si>
  <si>
    <t>IND-696-2014-1</t>
  </si>
  <si>
    <t>Investigación, ciencia, centros, industria</t>
  </si>
  <si>
    <t>El estudio sobre las condiciones existentes en Bolivia para la creación de Centros de Investigación Científica (CIC), se realizó con el fin de disminuir la incertidumbre que existe sobre el éxito de las actividades de investigación, especialmente en la industria manufacturera, es decir el sector industrial del país; Por ello para poder determinar las condiciones actuales se analizaron tanto datos secundarios como primarios.Se realizó un diagnóstico de la investigación científica en Bolivia, analizando variables como ser: Recursos humanos, inversión en Investigación, importancia de la investigación en el crecimiento económico. También se realizó un análisis de la industria manufacturera en Bolivia ya que es un potencial demandante de Ciencia Tecnología e Innovación, se analizaron datos como ser: Empleos generados, capacidad instalada, participación en el PIB, nivel tecnológico de las industrias, potencial de exportación; Todos las en la industria manufacturera fueron analizados por los distintos rubros en los que la industria está clasificado.Para verificar con datos primarios se procedió a realizar una encuesta a CIC con el fin de determinar las condiciones en las que están funcionando, para conocer sus principales problemas y obstáculos, para si excite una relación entre los CIC y el sector industrial.También se realizó una encuesta a a las empresas industriales en el departamento de Cochabamba, se tomó una muestra representativa de empresas las cuales fueron encuestadas para determinar cómo está la investigación científica en las empresas.Debido a que el 80% de las empresas industriales en el país son pequeñas, gran parte de estas no acceden a servicios de CIC porque no tiene los suficientes recursos y las empresa que si tiene recursos para realizar investigación no confían en las investigaciones nacionales y muchas veces prefieren hacer sus propias i9nvestigaciones dentro de la empresa, aunque ello no implique el éxito de sus investigación ya que los CIC están mejor equipados y tiene personal con experiencia y formación adecuada.Se evidencio la poca presencia de la investigación en el sector industrial, así como también en los CIC se verificó que muchas investigaciones no están relacionadas a problemas reales del sector industrial. Las condiciones actuales como ser recursos humanos, tecnología, políticas, estructura de las empresas industriales, relación entre empresa-gobierno-empresas, no son favorables para el éxito de las investigaciones.</t>
  </si>
  <si>
    <t>https://drive.google.com/file/d/1dzVfoOUOm8z-hRvhFz2EvJIuVzMHp2-f/view?usp=sharing</t>
  </si>
  <si>
    <t>https://drive.google.com/file/d/1Ua5_lHjI4vOgB4grjAaayXXppbZnvtWy/view?usp=sharing</t>
  </si>
  <si>
    <t>ONOFRE ROJAS JOSÉ CARLOS</t>
  </si>
  <si>
    <t>ING. LUIS FERNANDO LOPÉZ COCA</t>
  </si>
  <si>
    <t>ESTUDIO DE FACTIBILIDAD PARA LA IMPLEMENTACIÓN DE UNA CÁMARA DE MADURACIÓN DE PLÁTANO MUSA PARADISIACA PARA EL DEPARTAMENTO DE SANTA CRUZ</t>
  </si>
  <si>
    <t>I-2015</t>
  </si>
  <si>
    <t>josecarlosonofrerojas@gmail.com</t>
  </si>
  <si>
    <t>IND-697-2015</t>
  </si>
  <si>
    <t>Asociación de Productores y Comercializadores de “Fruta 3 DE ABRIL”, Mercado, Materia Prima, Localización, Ingeniería, Estudio Organizacional, Recursos Humanos, Planificación y Ejecución, Costos e Inversiones, Evaluación Financiera.</t>
  </si>
  <si>
    <t>La Asociación de Productores y Comercializadores de Fruta “3 DE ABRIL” constituida como tal el año 2009 en el mercado “ABASTO SUR” del Municipio de Santa Cruz de la Sierra con el fin de proveer de plátano maduro y verde a la población del departamento de Santa Cruz, actualmente cuenta con 31 socios.El objetivo del estudio  es determinar   la conveniencia o no de implementar  una cámara de maduración  de plátano  Musa paradisiaca para la asociación.Inicialmente  se realiza un estudio de mercado, en donde se analiza la situación pasada, actual y futura.Posteriormente se realiza un estudio de  materia prima que permite determinar el costo de los mismos y su disponibilidad. Una vez determinados la demanda y la disponibilidad de materias primas se procede a localizar  la ubicación y emplazamiento de la planta para  la cámara,  cuyos resultados mostraron a los predios del parque industrial Latinoamericana como alternativa más apropiada. Seguidamente se realiza el estudio de ingeniería en el que se diseñan los diagramas de procesos, la descripción del proceso de maduración, por otro lado se realiza el dimensionamiento y selección de los equipos en función de las características requeridas y su precio, así mismo se realiza el diseño de la planta, un modelo para el control de calidad, agregando un modelo de seguridad industrial pertinente para un óptimo funcionamiento.En el estudio siguiente se realiza un estudio organizacional en el que se elabora una estructura orgánica de la planta  y la descripción de funciones de cada cargo.  Seguidamente se determina  los recursos humanos necesarios para el funcionamiento de la planta y el costo que implicara esto. Seguidamente se determina las actividades que deben llevarse a cabo para la ejecución del proyecto, su duración y sus respectivos costos. Otro capítulo adicional que se realizara para el ordenamiento sistemático de la información desde la perspectiva privada, será clasificación los costos.En la  evaluación financiera se procede al análisis de la información financiera del proyecto desde la perspectiva privada.  La evaluación privada muestra resultados alentadores. Por lo que se concluye que el proyecto es factible y se recomienda su ejecución.</t>
  </si>
  <si>
    <t>https://drive.google.com/file/d/14YnpJWeorBUMPsfW6iKNcRGjg4OtTVNj/view?usp=sharing</t>
  </si>
  <si>
    <t>https://drive.google.com/file/d/1YIRIRGAukn4LYTwNOWU_FoXh4TAbzzvX/view?usp=sharing</t>
  </si>
  <si>
    <t>https://drive.google.com/file/d/1KLq9L4ZUDWMlAVpngW7Gpxf7QjGqIVJq/view?usp=sharing</t>
  </si>
  <si>
    <t>LUIS MIGUEL YARIGUAY CASTRO</t>
  </si>
  <si>
    <t>PLAN ESTRATÉGICO DE MARKETING PARA LA MUEBLERÍA SANABRIA</t>
  </si>
  <si>
    <t>luism_yc@hotmail.com</t>
  </si>
  <si>
    <t>IND-698-2015</t>
  </si>
  <si>
    <t>Mueblería Sanabria, Investigación de Mercados, Plan Estratégico de Marketing, Planeación Estratégica, Análisis Financiero.</t>
  </si>
  <si>
    <t>Primeramente se consultó toda la información bibliográfica al respecto, para poder realizar un análisis interno y externo de la empresa que pueda permitir extraer toda la información requerida para este estudio, la información que se obtuvo estuvo dividida en 2 partes: (análisis interno), la información actual de la empresa tanto económica y la estructura que presenta; que nos muestra el estado económico, número de empleados, producción actual, etc. La cual se obtuvo dicha información mediante una encuesta dentro la empresa y dirigida a los empleados.La información externa fue recabada mediante una investigación de mercados a través de una encuesta previamente elaborada y revisada, donde observamos los factores más importantes para los clientes en la elaboración de los muebles, pero el estudio estuvo dirigido tanto al consumidor final, como al análisis de nuestra competencia actual.De las encuestas se pudieron extraer los siguientes resultados: Que el gusto por los muebles de madera llega a un 91.6%, lo que más atrae al cliente en el momento de la compra es el Diseño con un 86.0%, el mayor competidor es la mueblería San Roque con un 45.7%, el medio de comunicación más usado es la Televisión, que el tipo de madera a usar en un mueble es muy importante 83.8% y que la melamina es un producto sustituto bastante fuerte. Facultad de Ciencias y Tecnología (UMSS)Cochabamba – BoliviaSe hizo el plan estratégico, realizando todo el planteamiento de la estructura de la empresa, la Misión, Visión, la Filosofía, Experiencia Vivida, Valores, Cultura Organizacional, etc. Con esta base se plantearon los objetivos que se tendrían bajo 4 perspectivas (Financiera, Clientes, Procesos, Aprendizaje y Crecimiento) armando el mapa estratégico para cumplir con todos estos objetivos planteados. Planteamos las posibles contingencias y problemas potenciales que podrían ocurrir en un escenario actual y como enfrentarlo con nuestras fortalezas, comparamos nuestro estado actual con el líder en el mercado y haciendo el análisis de nuestras Fortalezas, Debilidades, Oportunidades y Amenazas pudimos encontrar estrategias a desarrollar para el marketing. En base a las estrategias previamente mencionadas se plantearon las estrategias de marketing que están basadas en las 4ps (Producto, Precio, Plaza y Publicidad) donde se plantearon los 5 Productos a los cuales estará enfocado el plan de marketing (Cama, Ropero, Velador, Escritorio y Comoda), el Precio manejara un política de penetración en el mercado junto a la Publicidad y por último la plaza o distribución en base a un análisis de factores ponderados se pudo definir como lugar de apertura de la tienda inicial en la zona del estadio y posterior construcción de infraestructura en la zona del Hipódromo.El posterior análisis financiero se lo realizo en 2 ámbitos en caso de no aplicar el proyecto que se desarrolló y en caso de si aplicarlo, donde en caso de aplicarlo nos mostró que si se tiene solamente el 10% del mercado potencial las ventas se incrementarían en más del 50% de los actuales ingresos incluso no se tendrían perdidas económicas el primer año debido las inversiones establecidas.Por último se realizó un análisis de entidades financieras y el prestamos bancario que se realizaría para poder observar cuál de todas ellas ofrece un plan adecuado y más económico en cuanto a los pagos a realizar pero el estudio se realizó a entidades financieras que trabajan con planes de apoyo a  Pymes (Pequeñas y Medianas empresas) ya que los intereses son mas bajos para ayudarlos a su desarrollo, siendo el Banco Unión y Banco Nacional de Bolivia los mas adecuados.Facultad de Ciencias y Tecnología (UMSS)Cochabamba – Bolivia</t>
  </si>
  <si>
    <t>https://drive.google.com/file/d/18dy3r-p0zf8mfL8SFzW-JXD62NSBPL0Z/view?usp=sharing</t>
  </si>
  <si>
    <t>https://drive.google.com/file/d/1e7fR86eQfz1_gMIJcVSh0KF_FqPaH0r5/view?usp=sharing</t>
  </si>
  <si>
    <t>https://drive.google.com/file/d/1nXmNle2p312yehiM5LOmANeG5k23sOLI/view?usp=sharing</t>
  </si>
  <si>
    <t>DIEGO MAURICIO FLORES HERBAS</t>
  </si>
  <si>
    <t>ESTUDIO DE FACTIBILIDAD PARA LA PRODUCCIÓN DE PASTINA EN LA EMPRESA PLUS MIX</t>
  </si>
  <si>
    <t>signdigo@hotmail.com</t>
  </si>
  <si>
    <t>IND-699-2015</t>
  </si>
  <si>
    <t>Pastina, CABOCO, PLUS MIX, Factibilidad, Mortero, Cemento, Balance de Masa, Distribución de Planta, Rentabilidad, Impacto Ambiental, Sacaba.</t>
  </si>
  <si>
    <t>El presente proyecto de grado denominado “proyecto de factibilidad para la producción de pastina para la empresa Plus Mix”, consiste en analizar y evaluar la viabilidad técnica, económica, social y de sostenibilidad de la propuesta destinada a contribuir en la solución del que se identificó como problema central la necesidad de la población constructora de contar con materiales de alto tráfico (calidad) que fueran hechos en nuestra región como son morteros para la unión de juntas (pastina) para materiales cerámicos y porcelanatos.Con la implementación de “El Proyecto” se atenderá la demanda existente para beneficio de la población constructora, aspecto que conllevará directamente hacia un mayor crecimiento económico para la empresa. El proyecto está orientado a toda la población constructora (pasivos y activos) del departamento de Cochabamba para sus principales provincias y ciudades, para la obtención de datos que permitan conocer el comportamiento de los mismos, la localización de la planta se determinó en base de los requerimientos de factores críticos necesarios para una producción óptima.En cuanto a la materia prima y la elaboración de ingeniería de proyectos se propone un modelo en base a los requerimientos necesarios para la obtención de un producto de alto rendimiento. También se realizó la determinación de la estructura organización y la planificación de la ejecución del proyecto. Para finalizar, se procede a la respectiva evaluación financiera del proyecto bajo las alternativas de la nueva ley financiera que rige en el país.Bolivia durante los últimos años se encuentra atravesando una etapa de trasformación económica social y cultural, estos cambios resultan positivos desde una perspectiva por lo menos superficial y llegan a afectar de distinta forma a cada actividad económica hasta ahora presente en el país. Uno de los sectores que mayor aporte tiene al PIB durante los últimos 4 años es el de la construcción, dicho sector presenta un crecimiento sostenible y es directamente proporcional al de la economía de la nación y está compuesto por una diversidad de actividades que conforman la cadena productiva de la construcción. Con tal emprendimiento se satisface la creciente demanda de materiales para construcción, decorativos y duraderos como la pastina en la población constructora colectiva e individual.</t>
  </si>
  <si>
    <t>https://drive.google.com/file/d/1zncBrZ_RlwUjUKqVL37YQROtOkH9kAes/view?usp=sharing</t>
  </si>
  <si>
    <t>https://drive.google.com/file/d/1XRXGr2JB__Cqn1huN5hZehkWux2AwyMj/view?usp=sharing</t>
  </si>
  <si>
    <t>https://drive.google.com/file/d/1TzDHgRvHlu00OeSYKn4PA1XylRtHLtir/view?usp=sharing</t>
  </si>
  <si>
    <t>LIZBETH KARINA FERNÁNDEZ JIMÉNEZ</t>
  </si>
  <si>
    <t>MIGUEL ADOLFO REYNA BOLAÑOS</t>
  </si>
  <si>
    <t>ING. ADOLFO FÉLIX REYNA ZACONETA</t>
  </si>
  <si>
    <t>ESTUDIO DE FACTIBILIDAD PARA LA IMPLEMENTACIÓN DE UNA EMPRESA DE PAPEL ECOLÓGICO A BASE DE PINZOTE DE PLÁTANO</t>
  </si>
  <si>
    <t>karina_177@hotmail.com</t>
  </si>
  <si>
    <t>IND-700-2015</t>
  </si>
  <si>
    <t>Pinzote de Plátano, Bio-Blanqueo, Trichoderma Reesei,        Xilanasa, PAPELERA MONKEYS S.R.L., Papel Reciclado</t>
  </si>
  <si>
    <t>El objetivo del presente proyecto es realizar el estudio de factibilidad para la implementación de una empresa de Papel Ecológico a base de Pinzote de Plátano en el departamento de Cochabamba, para la población de clase media, media alta y alta, entre 15 y 60 años de edad, de la provincia Cercado del departamento de Cochabamba.En el estudio de mercado se realizó el análisis de la demanda, a partir de recolección de datos de los consumidores finales, y la oferta, determinando que existe una demanda potencial de una magnitud importante, adicionalmente se realizó un análisis de estrategias de distribución, comercialización y publicidad.Se  determinó  la  localización  de  la  planta  mediante  el método  ponderado  por puntos donde se eligió la opción más óptima, siendo esta el municipio de Sacaba.Se  realizó  un  análisis  de  la  materia  prima,  donde  se  pudo  evidenciar  que Cochabamba es uno de los principales productores de plátano a nivel nacional.Dentro  de  la  ingeniería  del  proyecto,  se  analizó  el  proceso  productivo,  se determinaron de manera precisa y clara la maquinaria y equipos requeridos para la elaboración de Papel Ecológico a base de Pinzote de Plátano, se identificaron los proveedores de materia prima e insumos, además se realizó una descripción de la distribución de planta.Se definió la estructura organizacional de la empresa mediante un organigrama por departamentos, además de definir las responsabilidades y competencias para los distintos puestos en la organización. La planificación y ejecución del proyecto tiene un tiempo de duración de 8 meses y 3 semanas, considerando un mes para imprevistos, la cual se determinó mediante el diagrama de Gantt.En cuanto a evaluación del impacto ambiental se determinó que el proyecto requiere de pocas medidas de mitigación lo que significa un costo bajo de implementación de dichas medidas.Se estimaron las inversiones totales y los costos en los que incurre el proyecto, en cuanto a la evaluación financiera, se determinó que el proyecto es FACTIBLE, dado por sus indicadores financieros el VAN, TIR, relación B/C, ROI, ROE, ROA y EVA.</t>
  </si>
  <si>
    <t>https://drive.google.com/file/d/16Z6UcnfIzx0sibXxfIlomVQQF41AFI5a/view?usp=sharing</t>
  </si>
  <si>
    <t>https://drive.google.com/file/d/1xWVJN7vZhuQ5ZMzjtJtQ19GngCYAZWbP/view?usp=sharing</t>
  </si>
  <si>
    <t>https://drive.google.com/file/d/1BgAMq5zQztqXaAcKGKns05crGpTa0quJ/view?usp=sharing</t>
  </si>
  <si>
    <t>JHENNY BÁRBARA APAZA SOLIZ</t>
  </si>
  <si>
    <t>MSC. ING. HERNÁN QUIRÓS ARCE</t>
  </si>
  <si>
    <t>MEJORA DE LA PRODUCCIÓN MEDIANTE INGENIERÍA DE MÉTODOS Y PROPUESTA PARA LA TRAZABILIDAD EN LA LÍNEA DE HIDROGELES (RIOMAX), DE LA EMPRESA MAXAM FANEXA S.A.M.</t>
  </si>
  <si>
    <t>jhenn91.bas@gmail.com</t>
  </si>
  <si>
    <t>IND-701-2015</t>
  </si>
  <si>
    <t>Planta de fabricación de explosivos encartuchados de MAXAM FANEXA S.A.M., Ingeniería de métodos, Estudio de tiempos, Balanceo de línea, Trazabilidad.</t>
  </si>
  <si>
    <t>Primero se realizó un diagnóstico de la situación actual de la sección de explosivos encartuchados, y se recabo la información disponible acerca de las actividades, procesos, la organización actual del sector, etc. Todo ello con el fin de establecer el modelo actual de la línea de fabricación, a través del diagrama de causas y efectos de la sección. En función a este análisis se podrá determinar las posibles soluciones al problema.También se realizó el proceso que sigue cada actividad en base a herramientas que muestren la secuencia de las operaciones y los problemas que se susciten: demoras, acumulación de trabajo, etc.; mediante el uso de cursogramas analíticos, cursogramas sinópticos y diagramas de recorrido.Se registró y se observó claramente como es el método actual de trabajo de la sección. Se segmentó el trabajo en elementos (elementos son agrupaciones de movimientos básicos).En el siguiente paso se procedió a la medición de la cantidad de trabajo que se requiere, para esta medición se usara la técnica del estudio de movimientos.Con los datos recabados se procedió a la determinación de tolerancias y suplementos para modificar tiempos de acuerdo a las distintas situaciones, se estableció el tiempo estándar de cada actividad y se definieron las condiciones sobre las cuales, se aplicó el tiempo estándar. Con el que se realizó el balanceo de línea.Mediante un análisis de todos los datos recabados se procedió a la eliminación de tiempos asocios, operaciones y recorridos innecesarios, logrando así una mejora en el proceso de las actividades así como también una nueva distribución en planta. Donde se incrementó el rendimiento en de 10 UP a 13 UP. Lo que representa 15 cajas adicionales por turno de trabajo.Para realizar las mejoras se propone invertir en maquinaria para tener un balance de línea adecuado. Se realizó la evaluación mediante el B/C, el cual dio como resultado: 1,14, que demuestra asimismo la factibilidad del proyecto.Se realizó para este producto un modelo de trazabilidad interno basado en llenado de registros en las secciones de fabricación. Para que en futuro se proceda a desarrollar un sistema de trazabilidad total.</t>
  </si>
  <si>
    <t>https://drive.google.com/file/d/1C_XGfrR9DvG718bdx6Fng38FuHCfo_G0/view?usp=sharing</t>
  </si>
  <si>
    <t>https://drive.google.com/file/d/1C9Fts8fM7S44X3GuZWrYxPCsUuZut4u-/view?usp=sharing</t>
  </si>
  <si>
    <t>https://drive.google.com/file/d/17xRnqrsBLqMShWfT3km6O_3w2N7xV4xM/view?usp=sharing</t>
  </si>
  <si>
    <t>PAOLA VANESSA MONTAÑO MONTAÑO</t>
  </si>
  <si>
    <t>ING. ALEX CHOQUE</t>
  </si>
  <si>
    <t>DISEÑO  DE  UN SISTEMA  DE  GESTIÓN  DE  LA CALIDAD BASADO EN LA NORMA ISO 9001 VERSIÓN 2008 PARA INDUSTRIAS LÁCTEAS DEL VALLE ALTO “ILVA S.R.L.”</t>
  </si>
  <si>
    <t>pao.mm.9@gmail.com</t>
  </si>
  <si>
    <t>IND-701-2015-1</t>
  </si>
  <si>
    <t>SGC, PHVA, SISTEMA, GESTION, ISO.</t>
  </si>
  <si>
    <t>La Gestión de la calidad se ha convertido en el mundo moderno de hoy, en una necesidad inevitable para que una organización pueda permanecer en el mercado. Por ello los sistemas de gestión de la calidad basados en las normas ISO 9000, que reflejan el consenso internacional en este tema, han cobrado una gran popularidad, y muchas organizaciones han decidido tomar el camino de implantarlo.La ISO 9001:2008 es la base del sistema de gestión de la calidad ya que es una norma internacional que se centra en todos los elementos de administración de calidad con los que una empresa debe contar para tener un sistema efectivo que le permita administrar y mejorar la calidad de sus productos.Primero se realizó un diagnóstico de la situación actual de la empresa con respecto a la Norma, con la finalidad de identificar las conformidades que existen en el cumplimiento de la misma, lo cual nos permitió identificar las falencias que existen dentro la empresa.También se desarrolló la planificación estratégica fijando los objetivos y la política de calidad, realizando un análisis interno y externo de la organización.Ese realizó el cuestionario de cumplimiento de requisitos basado en la Norma ISO 9001:2008, en el cual se estableció el grado de cumplimiento con cada punto de la norma, estableciendo punto débiles obteniendo como resultado los parámetros de Cumple, Cumple Parciamente, No Cumple.Se estableció el Sistema de Gestión de Calidad, identificando los procesos y la estructura documental basada en la norma ISO 9001:2008.Se realizó la siguiente documentación: Manual de Calidad, Enfoque Sistémico, Manual de Procedimientos, Manual de Funciones, Instructivos de Trabajo, que fueron elaborados bajo la Norma ISO 9001:2008, para obtener conformidad en cuanto al Sistema de Gestión de Calidad.Se desarrolló un Plan de Implementación para el Sistema diseñado, basado en el ciclo P-H-V-A de Deming para “Industrias Lácteas del Valle Alto ILVA S.R.L.”Finalmente se estimó los costos para el Diseño e Implementación del sistema de Gestión de Calidad.</t>
  </si>
  <si>
    <t>https://drive.google.com/file/d/135h4UtvOjlh6kmMw6qsLHLLX2oDkGSCW/view?usp=sharing</t>
  </si>
  <si>
    <t>https://drive.google.com/file/d/13dmz-tOBLuDqEBBEL0DJb8Iv05NjQCG7/view?usp=sharing</t>
  </si>
  <si>
    <t>ARIEL CALLE CHAVEZ</t>
  </si>
  <si>
    <t>ING. EMIR FELIX VARGAS PEREDO</t>
  </si>
  <si>
    <t>MEJORA EN EL PROCESO DE PRODUCCIÓN DE CÁPSULAS DETONANTES (RIOCAP) Y DETONADORES NO ELÉCTRICOS (DNE) EN LA EMPRESA MAXAM-FANEXA S.A.M</t>
  </si>
  <si>
    <t>arielito.88.92@gmail.com</t>
  </si>
  <si>
    <t>IND-702-2015</t>
  </si>
  <si>
    <t>Producción de cápsulas RIOCAP y carga de DNE, Producción, 5`S, Balance de línea, Ambiente controlado.</t>
  </si>
  <si>
    <t>El siguiente proyecto se basa en la mejora de la producción de RIOCAP y carga de DNE en la planta D-5 de MAXAM-FANEXA S.A.M  tomando en cuenta los indicadores de mejora en la producción  que inciden en tres grupos fundamentales que son herramientas para la mejora de la calidad, herramientas para la mejora de cotes-productividad y herramientas para la mejora de los plazos.Se analizó cada  herramienta para lo que se aplicó las 5 `S, generando un cuadro de valores y tablas para el diagnóstico del cumplimiento de las 5 ´S  y determinando observaciones y recomendaciones para cada proceso, en el estudio de tiempos se generó una tabla para el desplazamiento y toma de datos con cronometro mediante una tabla proporcionado por la General Electric Co. proporcionando el tamaño de muestra para el cronometraje y toma de datos en cada proceso, así logrando sacar valores promediados y calificados mediante la escala inglesa sacando como resultado  tiempos normales y posteriormente en el balance de línea, con las tolerancias referidas según la OIT  sacando así  tiempos estándares y la producción actual en la que trabaja la planta en la fabricación de RIOCAP y carga de DNE. Teniendo los tiempos estándares e identificando los cuellos de botellas se proporcionara los métodos mejorados con la implementación de maquinaria y contratación de personal nuevo con el fin de incrementar la producción.  Para el almacenamiento de detonadores no eléctricos se analizó los posibles ambientes controlados para el almacén o polvorín de carga de DNE, al igual que se recabo  la información de pérdidas de detonadores no eléctricos en base a registros de los productos desechados y llevados a destrucción, se evaluó la implementación del ambiente controlado  y las piezas que se podrían recuperar con la implementación.   Se realizó un análisis de beneficio costo en la mejoras por el método mejorado y la implementación de un ambiente controlado reflejando la viabilidad y ante todo el beneficio que este representa al igual que se hizo un plan operativo para su implementación de cada una de las mejoras ya observadas por las 5 `S y el análisis de tiempos por el método mejorado.</t>
  </si>
  <si>
    <t>https://drive.google.com/file/d/1USlQEWY95r3uJPLBw7ScsUqwJlx1oTtq/view?usp=sharing</t>
  </si>
  <si>
    <t>https://drive.google.com/file/d/1rkTNB7Jf-q5e4LAf-adbTXCdX-9cd0D4/view?usp=sharing</t>
  </si>
  <si>
    <t>ARÉVALO HEREDIA LILIAN</t>
  </si>
  <si>
    <t>RÍOS JIMÉNEZ HÉCTOR ÁNGEL</t>
  </si>
  <si>
    <t>ANÁLISIS DE LA DEMANDA DE ELECTRIFICACIÓN RURAL</t>
  </si>
  <si>
    <t>lilian.arevalo.heredia@gmail.com</t>
  </si>
  <si>
    <t>IND-703-2015</t>
  </si>
  <si>
    <t>Estudio de Factibilidad, Muebles Multifuncionales, Melamina</t>
  </si>
  <si>
    <t>A través de los antecedentes mencionados y la definición del problema, es que se vio por conveniente analizar el mercado de muebles multifuncionales para edificios de departamentos en propiedad horizontal. Es así que se llevó a cabo el estudio de mercado del proyecto, a fin de determinar la población objetivo y las cantidades en cuanto a oferta y demanda se suscitan.Se elaboraron encuestas a través de entrevistas personales a los jefes de familia que ocupan viviendas de departamentos en las comunas Adela Zamudio y Molle de la ciudad de Cochabamba. Corroborando la posibilidad de intervenir en el mercado, se planteó el objetivo principal de implementar una empresa de muebles multifuncionales a través de los estudios correspondientes a la metodología descrita para la Preparación y Evaluación de proyectos.A través de un estudio técnico se pudo estimar cuales eran los requerimientos operacionales de la empresa para poder elaborar el producto propuesto, además de las cantidades de producción y la localización de la planta.Se estudió la posibilidad de contratar personal de acuerdo al requerimiento operacional de la empresa, llegando a describir las habilidades necesarias de cada uno de los trabajadores y sus actividades.Mediante un estudio de planificación y ejecución se elaboró un cronograma óptimo actividades para inscribir la empresa legalmente ante la ley y poder operar de acuerdo a la normativa vigente.Se realizó la evaluación financiera del proyecto, de tal forma se llegó a concluir que el proyecto de implementación de una empresa de muebles multifuncionales para amoblar edificios de departamentos en propiedad horizontal, resulta ser financieramente factible alcanzando sin percance la tasa mínima atractiva de retorno obtenida para dicho proyecto.Por cuanto al estudio elaborado, la recomendación realizada fue Ejecutar el proyecto apoyado en un estudio a mayor detalle, principalmente del aspecto técnico y de planificación de la ejecución.</t>
  </si>
  <si>
    <t>https://drive.google.com/file/d/1Zh3sXKf31oyelckEeZ-hykDNUooQabXo/view?usp=sharing</t>
  </si>
  <si>
    <t>https://drive.google.com/file/d/18pYeYC1FQtOjkg7un6plITljRwOAMrKo/view?usp=sharing</t>
  </si>
  <si>
    <t>https://drive.google.com/file/d/10rXKz3O53D7EU_FGq7ZGR86E9rGdz51n/view?usp=sharing</t>
  </si>
  <si>
    <t>KARLA PAULA HINOJOSA LARA</t>
  </si>
  <si>
    <t>JOSÉ ROJAS MENESES</t>
  </si>
  <si>
    <t>ING. MARCELO HEREDIA PANIAGUA</t>
  </si>
  <si>
    <t>DISEÑO DE UN SISTEMA DE SEGURIDAD E HIGIENE INDUSTRIAL PARA LA EMPRESA IMARBA</t>
  </si>
  <si>
    <t>mauka_lara@hotmail.com</t>
  </si>
  <si>
    <t>IND-704-2015</t>
  </si>
  <si>
    <t>Diseño de un Sistema de Seguridad e Higiene Industrial para la empresa IMARBA</t>
  </si>
  <si>
    <t>Se realizó una descripción de todas las actividades y procesos que se realizan en la empresa, para determinar las condiciones de trabajo y otros aspectos existentes; de esta manera obtener una referencia del comportamiento respecto a la importancia que de la empresa a la seguridad y salud de su personal.El proyecto está basado en desarrollar el Diseño de un Sistema de Seguridad e Higiene Industrial para la Empresa IMARBA, con el fin de brindar al trabajador un ambiente seguro y motivador, evitando situaciones primordiales de riesgo y mejorando la productividad en el trabajo en base a normas internacionales de Seguridad e Higiene Industrial y leyes vigentes.La metodología propuesta para el diseño de un Sistema de Seguridad e Higiene Industrial para la empresa IMARBA se dividió en fases para un mejor análisis.Fase 1. Determinación de la magnitud y alcance del sistema de seguridad industrial: Se investigó las técnicas para la identificación de peligros, análisis y evaluación de los riesgos, como también las normas vigentes en el país.Fase 2. Diagnóstico de la empresa: Se recopilo toda de información, mediante observación y entrevistas a supervisores y jefes de área. Se determinó los riesgos potenciales a los que está expuesta la empresa dada su actividad.Fase 3. Preparación del Sistema de Seguridad Industrial: Se elaboró un Manual de normas y procedimientos internos de prevención y control de accidentes de acuerdo a la Ley General del Trabajo y normas vigentes en nuestro país. Se elaboró un programa de capacitación o adiestramiento de esta manera establecer condiciones de manejo adecuado de productos químicos y otros.</t>
  </si>
  <si>
    <t>https://drive.google.com/file/d/1H5A2rlUiQ2Des-OmhrBqvp-1F4LRr-3A/view?usp=sharing</t>
  </si>
  <si>
    <t>https://drive.google.com/file/d/1Cb7SOrz5Uww2Kd0k3CXYagOTfNvXikjy/view?usp=sharing</t>
  </si>
  <si>
    <t>https://drive.google.com/file/d/1Mc89xccjwJuljflHXy8jBlyQIw5MHd4f/view?usp=sharing</t>
  </si>
  <si>
    <t>MARÍA DEL CARMEN CATALÁN MÉNDEZ</t>
  </si>
  <si>
    <t>ING. VÍCTOR MOLINA LOAYZA</t>
  </si>
  <si>
    <t>ESTUDIO DE FACTIBILIDAD PARA LA IMPLEMENTACIÓN DE UN VIVERO DE PLANTAS FRUTÍCOLAS Y ORNAMENTALES</t>
  </si>
  <si>
    <t>carmen_mania88@hotmail.com</t>
  </si>
  <si>
    <t>IND-705-2015</t>
  </si>
  <si>
    <t>Plantas ornamentales y frutales, Viveros, trópico Cochabambino, Valle de Sacta.</t>
  </si>
  <si>
    <t>Este proyecto se lo ha establecido para determinar la factibilidad para la implementación de un vivero de plantas frutícolas y ornamentales, en el valle de Sacta del trópico cochabambino, el mismo que permitirá la producción y comercialización de plantas, que permita satisfacer el mercado tanto  interno  como  externo,  cuyo  proceso  de  cultivo y comercialización estará dado en base a nuevas técnicas de mejoramiento continuo con visión empresarial, empleando un plan de producción y mercadeo  que  permita  satisfacer  la  expectativa  de  la  demanda  del producto, mediante este objetivo se ha desarrollado el presente proyecto productivo descrito de la siguiente manera.De acuerdo a los capítulos tratados, se resume que en el estudio de mercado se realizó el análisis de la demanda y la oferta, encontrando la brecha en el mercado  sobreSe  determinó  la  localización  del vivero mediante  el método  ponderado  por puntos donde se eligió la opción más óptima, siendo esta el Valle de Sacta del trópico Cochabambino.Dentro  de  la  ingeniería  del  proyecto,  se  analizó  el  proceso  productivo,  se determinó en forma precisa y clara la maquinaria y equipos requeridos para la producción de plantas ornamentales y frutales, se identificó los proveedores de materia prima e insumos.Se definió la estructura organización de la empresa mediante un organigrama por funciones. Se estimaron las inversiones totales y los costos en los que incurre el proyecto, en cuanto a la evaluación financiera, se determinó que el proyecto es rentable, dado por sus indicadores financieros el VAN, TIR, relación B/C y el TRI.</t>
  </si>
  <si>
    <t>https://drive.google.com/file/d/14CE5bd1PAYmbeGnzKXBJ5NWcn7lPGrSj/view?usp=sharing</t>
  </si>
  <si>
    <t>https://drive.google.com/file/d/1l72LTHr6c3qiNw-NIMmKtiCT9EkSe24e/view?usp=sharing</t>
  </si>
  <si>
    <t>https://drive.google.com/file/d/11piWbzpEJn6CW0nI6nbVD1EGh5aI65lN/view?usp=sharing</t>
  </si>
  <si>
    <t>VICTOR HUGO CONDORI MENESES</t>
  </si>
  <si>
    <t>ING. JUAN VICTOR LOAYZA ANTEZANA</t>
  </si>
  <si>
    <t>IMPLEMENTACIÓN DEL SISTEMA DE PLANIFICACIÓN DE LOS RECURSOS EMPRESARIALES ERP-TEOWIN PARA LA EMPRESA NAHI INDUSTRIAS S.R.L</t>
  </si>
  <si>
    <t>cmvhvictor@gmail.com</t>
  </si>
  <si>
    <t>IND-706-2015</t>
  </si>
  <si>
    <t>planificación de los recursos empresariales ERP, sistemas modulares, planificación y control de la producción y metodología.</t>
  </si>
  <si>
    <t>Hoy en día la empresas buscan ser más competitivas  y ser competitivo implica tener un control en todas los Departamentos que conforman la empresa: Ventas, Finanza, almacén, Recursos Humanos y Producción, lo que lleva a las empresas en busca de sistemas de gestión empresarial así como son los ERP (Enterprise Resources Planning).Los sistemas de planificación de recursos empresariales están convirtiendo en una necesidad para algunas empresas como es el caso de la empresa NAHI Industrias S.R.L. debido al llamado boom de la construcción que se ha dado en los últimos años en Bolivia y la gran demanda que esto a generado a el  servicio que la empresa NAHI Industrias S.R.L  es (equipamiento de sistemas modulares y accesorios de cocina)Primeramente se realizó un diagnóstico de la situación actual de la empresa NAHI Industrias S.R.L., y se recabo la información disponible acerca de las actividades, procesos de los Departamentos que conforman la empresa y el flujo de información que debe existir entre estas etc. Todo ello con el fin de establecer el modelo actual del servicio que presta, a través del diagrama de causas y efectos de todo el sector de talleres. En función a este análisis se podrá determinar las posibles soluciones al problema.Se determinó una metodología lógica, qué se adapte al sistema ERP y las necesidades de la empresa.Se alimentó el sistema ERP-TEOWIN, con las necesidades de la empresa que cumplan con las condiciones a las cuales las empresas de producción a pedido se someten y llegue satisfacer las necesidades de los clientes. Se capacito a los usuarios encargados en áreas que el sistema de planificación de los recursos empresariales estaba influyendo.Se procedió a la implementación del sistema ERP-TEOWIN dentro la empresa, por supuesto solucionando antes las fallas, haciendo prototipos de productos acabados con el sistema, dando la rehabilitación a máquina obsoleta de la empresa, semi-automatizando la producción,Se realizó un análisis financiero de la empresa para ver la situación de la empresa con la ejecución del sistema ERP y su influencia en el cotidiano funcionamiento.</t>
  </si>
  <si>
    <t>https://drive.google.com/file/d/1oVhWsIkWWAojQ1vnGr2YusehZ7SI3Ys3/view?usp=sharing</t>
  </si>
  <si>
    <t>https://drive.google.com/file/d/1LIiaYXlczm5YWCuhPhupQHBhLXxS5VCv/view?usp=sharing</t>
  </si>
  <si>
    <t>https://drive.google.com/file/d/1PZAANLPs92EdFW-NNfl6979ha6eODuVB/view?usp=sharing</t>
  </si>
  <si>
    <t>KARINA CONTRERAS CAMACHO</t>
  </si>
  <si>
    <t>ESTUDIO DE FACTIBILIDAD PARA LA PRODUCCIÓN Y COMERCIALIZACIÓN DE JUGO DE NONI EN COCHABAMBA.</t>
  </si>
  <si>
    <t>kcontrerascamacho@gmail.com</t>
  </si>
  <si>
    <t>IND-707-2015</t>
  </si>
  <si>
    <t>Producción de Jugo de Noni, Morinda Citrifolia, Noni, Xeronina, Componentes del Noni.</t>
  </si>
  <si>
    <t>El estudio de factibilidad realizado para la producción y comercialización de Jugo de Noni, tuvo como objetivo principal realizar dicho estudio para potencializar el aprovechamiento de las propiedades del fruto, la factibilidad del mismo fue demostrada para una vida útil del proyecto de 10 años.El fruto de Noni posee una gran variedad de propiedades benéficas para la salud, tanto el prevención como en la curación de ciertos malestares, entre ellos están los alcaloides que tienen efecto anticancerígeno y la paralización de células tumorales entre otros, ácidos que funcionan como desintoxicantes, fungicidas y antimicótico posee también aminoácidos esenciales para el metabolismo de azúcares y ácidos, evita enfermedades metabólicas u orgánicas entre muchas otras, además contiene adaptógeno, la cual es una propiedad que indica que el Noni se puede consumir junto a medicamentos químicos, naturales o de cualquier origen  aumentando su rendimiento, aprovechamiento y aplicación.Se evidenció por medio de un estudio de mercado el desconocimiento de la población sobre las propiedades del fruto y la gran aceptación al consumo del producto “Jugo de Noni” a pesar de las propiedades organolépticas desfavorables que posee el mismo (olor y sabor), ésta aceptación está dada por las grandes y variadas propiedades curativas que posee el fruto, es así que se determinó que el aprovechamiento de las propiedades del fruto en relación a la población que desconocía las propiedades del mismo alcanza un 98,8%; se identificó también la gran preferencia del consumidor hacia la presentación de ½ litro, entre otros.Se establecieron las condiciones necesarias y parámetros requeridos para el procesamiento del Jugo de Noni (cantidad de fruto, agua e insumos necesarios por litro de jugo); además se determinó por medio de pruebas de preferencia que la muestra de mayor aceptación es la que contiene mora y stevia como edulcorante.Después de un análisis al sector industrial se determinó el ingreso al mercado con un grado de penetración inicial del 8% para el primer año de operación de la planta, siendo la principal ventaja competitiva para el ingreso al mismo el precio de venta del producto, con un margen de ganancia de los intermediarios superior al actual aceptado en el mercado durante los 3 primeros años, con un posterior incremento gradual en el precio de venta. Por lo mismo la capacidad de producción de la planta para el primer año de operación es de 269 Litros.La disponibilidad de materia prima en el trópico de Cochabamba fue comprobada, esto debido al creciente interés de productores por el fruto, los insumos, materiales, suministros y servicios también fueron identificados según requerimiento durante el horizonte del proyecto.En la etapa técnica del proyecto, se determinó la maquinaria y equipos requeridos durante el proceso, asegurando que la despulpadora requerida proteja la integridad de las pepas del fruto, debido al alto contenido de arsénico que éstas poseen, se identificó también la necesidad de un tratamiento de aguas, caldero, instrumentos y equipos de control entre otros que permitirán medir y controlar parámetros importantes (peso, temperatura y Ph) durante el proceso para garantizar la inocuidad del producto. El principal proveedor fue “Incovel” por la experiencia en el rubro y la accesibilidad en precios.La disposición de la planta fue propuesta en base al análisis de áreas requeridas tanto en producción como en la parte administrativa, tomando en cuenta el flujo del área limpia hacia el área sucia por normas de sanidad, espacios de circulación, tamaño de maquinaria en el área de producción, maniobras, etc.;  para el fin, se identificó la necesidad de un terreno de 465 m2.La micro-localización óptima de la planta encontrada fue el municipio de Chimoré, siendo el factor más crítico la disponibilidad de materia prima. Para el inicio de operaciones se tomó en cuenta la ayuda de personal externo en el área de Recursos Humanos, siendo 8 personas requeridas para la mano de obra directa y 7 personas para la mano de obra indirecta, entre los mismos se incluyeron a jefes, encargados, personal de producción, limpieza y cocina.Es importante considerar un estudio de factibilidad para la diversificación de productos, además de los estudios necesarios para la viabilidad y factibilidad de exportación del producto y la distribución del mismo al resto del país.</t>
  </si>
  <si>
    <t>https://drive.google.com/file/d/11eGkP8HUs6Xk3v0Yr-SSavMwAWR9wbrO/view?usp=sharing</t>
  </si>
  <si>
    <t>https://drive.google.com/file/d/1MmbjcnteHq9UUzE6Pfr6NdGVME3VLzFo/view?usp=sharing</t>
  </si>
  <si>
    <t>https://drive.google.com/file/d/1hs9YgXtZba0qYqbMYKfSwybHAxOacG10/view?usp=sharing</t>
  </si>
  <si>
    <t>CESAR DOUGLAS CAMACHO RAMÍREZ</t>
  </si>
  <si>
    <t>ESTUDIO DE FACTIBILIDAD PARA LA COMERCIALIZACIÓN DE BEEF JERKY EN COCHABAMBA</t>
  </si>
  <si>
    <t>IND-708-2015</t>
  </si>
  <si>
    <t>Beef Jerky bocadito</t>
  </si>
  <si>
    <t>El Beef Jerky es un tipo de carne deshidratada de res marinada en salsa soya que le agrega sabor, corresponde al mercado de los bocaditos o de también llamado snaks, es popular en el hemisferio norte del continente y en la mayoría de los países cercanos a Bolivia, este producto se asocia a un perfil de consumidor que valora los alimentos nutricionales, que cuenta con poco tiempo de descanso y lo aprovecha para consumir bocaditos.La metodología que se empleó fue la del estudio de factibilidad que comprende un estudio de mercado, estudio técnico, de localización, organizacional y financiero. Orientando el estudio para la creación de un empresa deshidratadora de carne de res que elabore los bocaditos de Beef Jerky. El estudio de mercado identificó el producto y sus usos, el perfil del consumidor y el producto final que este adquiere como una bolsa de bocaditos de ración personal a un precio de 5 Bs. Se diseñó el producto considerando el material del empaque, la porción para el consumo, el logotipo, la marca, la forma en que debe envasarse, también se definió el marketing mix, los canales de distribución, la estrategia de venta por pedidos de paquetes de una docena de bolsitas para los intermediarios, se realizó una investigación de mercado, se usó la técnica de la encuesta para la recolección de datos para entender el mercado de los bocaditos en la ciudad  de Cochabamba, finalmente se estimó la demanda de 60.000 paquetes al año de una docena y se pretende cubrir una porción del mercado comenzando con 7%  el primer año y llegando al 10% en los años posteriores, con estos valores se dimensionó la producción y se determinaron los costos en los que incurre el proyecto. El estudio técnico muestra los costos de los materiales, materia prima, insumos, servicios básicos y suministros de fábrica, explica el uso de cada uno de ellos y muestra una parte de los costos operativos, también desarrolla la ingeniería del proyecto donde se muestra el proceso de producción y la maquinaria, equipos, herramientas y mano de obra que se necesita para operar la planta, también la disposición de planta que muestra donde se ubicará el área de producción, los almacenes y oficinas respectivamente, también se realizó un plan de producción  basado en la estimación de la demanda del estudio de mercado de donde se calculó que la capacidad máxima de producción será de 250 paquetes de una docena diarios y se hicieron algunas recomendaciones de seguridad industrial respecto a los riesgos presentes en las áreas de trabajo.En el estudio de localización se determinó el mejor lugar para el emplazamiento, se consideró varias alternativas, incluso un terreno propio que se consiguió de parte de los representantes del proyecto situándose en la zona sur sobre la avenida panamericana, se evaluó este terreno frente a otras opciones de los puntos cardinales, las zonas norte de temporal, la zona este carretera a sacaba y la zona oeste la carretera a Quillacollo, de este análisis se concluyó que el terreno en la zona sur sería el más adecuado por los servicios básicos y el valor del terreno.Se planteó la organización elaborando un organigrama por funciones, se definieron los puestos, y el trabajo que realiza cada uno, mientras para la ejecución se determinó un tiempo de 7 meses para la construcción, la compra, entrega e instalación de las máquinas y equipos entre otras actividades importantes.Para el estudio financiero se tomaron todos los costos involucrados en el proyecto, se determinaron los activos fijos, diferidos y de capital de trabajo teniendo una inversión total de 1.079.806,46 Bs. el financiamiento por parte del banco con 847.336,46 Bs. y el aporte propio con el terreno con un valor de 232.470,00 Bs. se elaboraron los estados de resultados y el flujo de efectivo para el cálculo de los indicadores financieros como el VAN de 814.320,46 Bs.  La TIR de 23,78% y la relación Beneficio-Costo 1,28. Donde se demostró que el proyecto es factible, además se analizó escenarios alternativos con variaciones en variables críticas para el proyecto como la participación en el mercado, la reducción del precio de venta, el incremento del precio de la materia prima el pago de un segundo aguinaldo.</t>
  </si>
  <si>
    <t>https://drive.google.com/file/d/1qCO2_G9RN4q_1ihegn-EzgUidthhlx7N/view?usp=sharing</t>
  </si>
  <si>
    <t>https://drive.google.com/file/d/1GbvrNGMtLwSk8UpZufy_LwiBlua42Nd8/view?usp=sharing</t>
  </si>
  <si>
    <t>https://drive.google.com/file/d/1Agbqc51I7IXMUwkq7Kmx-CbvLz2eF9Mb/view?usp=sharing</t>
  </si>
  <si>
    <t>ISRRAEL FERNANDO ESCOBAR ZUBIETA</t>
  </si>
  <si>
    <t>ESTEBAN ULPANA PACCHI</t>
  </si>
  <si>
    <t>ING. ALEX D`ANGHELO CHOQUE FLORES</t>
  </si>
  <si>
    <t>PLANIFICACIÓN ESTRATÉGICA Y OPERATIVA PARA LA EMPRESA BEFRUT S.R.L</t>
  </si>
  <si>
    <t>fernando.escobarzubieta@hotmail.com</t>
  </si>
  <si>
    <t>IND-709-2015</t>
  </si>
  <si>
    <t>Empresa comercializadora de banano, análisis, diagnóstico, selección de estrategias, planificación estratégica, plan operativo anual 2015 (POA).</t>
  </si>
  <si>
    <t>A partir de la comercialización de productos alternativos del Trópico de Cochabamba, es que surgieron muchas empresas comercializadoras de banano  exportando su producto a su destino principal Argentina y en menor proporción Chile y Perú. La empresa BEFRUT S.R.L. es una de las muchas empresas que se dedican a esta labor, la cual exporta una importante cantidad de banano, siguiendo y cumpliendo altos estándares de calidad. Para mejorar la comercialización y definir objetivos específicos nació la necesidad de contar con una Planificación Estratégica que pueda definir  dichos objetivos en primera instancia y establecer las actividades para poder llegar a cumplir estos objetivos.Se elaboró la misión y visión de la empresa que nos permiten conocer la naturaleza de la empresa y por ende hacia dónde quiere llegar. El análisis interno fue determinante para poder determinar el diagnóstico de la empresa e identificar las fortalezas y debilidades. Se elaboró sistemas de control los cuales sirven para que la empresa pueda de alguna manera controlar sus procesos.La evaluación externa, nos sirvió para determinar el entorno donde la empresa se desarrolla, a través de esta evaluación se determinó las oportunidades y amenazas de la empresa.A partir de la evaluación externa e interna se pudo realizar un análisis que permitió determinar la Macro estrategia que la empresa debe seguir para poder alcanzar la visión.Se elaboró planes estratégicos con sus respectivas líneas donde se especifica claramente los recursos a tener en cuenta para su cumplimiento: responsables, tiempo de ejecución y recursos financieros.Cada plan estratégico tiene su correspondiente desarrollo, los objetivos a alcanzar. Posteriormente se realizó un estudio  financiero con proyecciones de ventas futuras y aplicación de los planes propuestos esto para demostrar que el plan es realizable en el tiempo acordado, con los recursos anteriormente mencionados.La Planificación Operativa  se la realizo para la presente gestión con su propio desarrollo definiendo de forma clara los responsables, el tiempo de ejecución y los recursos necesarios para su ejecución.De esta forma la empresa BEFRUT S.R.L. cuenta con una Planificación Estratégica y Operativa que le permitirá cumplir sus objetivos que le permitirá competir eficazmente en el actual mercado internacional.</t>
  </si>
  <si>
    <t>https://drive.google.com/file/d/1A4Tfee9rGWDAO0-a9wXYXzKCMkOqtxmW/view?usp=sharing</t>
  </si>
  <si>
    <t>https://drive.google.com/file/d/1UQPhhbcW7VWAzNC8TmfDxs-QGj7NcSnX/view?usp=sharing</t>
  </si>
  <si>
    <t>https://drive.google.com/file/d/1WQJ-JuK7oOdV2iH0FvYsdio8wCPUZFPM/view?usp=sharing</t>
  </si>
  <si>
    <t>CELIA MARITHZA TANCARA ICHUTA</t>
  </si>
  <si>
    <t>DESARROLLO DE UN MODELO DE GESTIÓN DE RESIDUOS SÓLIDOS PARA LA EMPRESA COBOCE HORMIGÓN.</t>
  </si>
  <si>
    <t>celina.jhstan@hotmail.com</t>
  </si>
  <si>
    <t>IND-710-2015</t>
  </si>
  <si>
    <t>Sistema de Gestión de residuos; RASIM (Reglamento Ambiental Para el Sector Industrial y Manufacturero); Blending; Estabilización.</t>
  </si>
  <si>
    <t>La empresa Coboce Hormigón a raíz de buscar mejoras dentro la misma, vio por conveniente realizar un estudio de gestión de residuos sólidos debido a que existe una acumulación excesiva de ciertos residuos y que es dificultoso su disposición.Para esto primeramente se realizó un diagnóstico de la situación actual en la que esta trabajando la empresa Coboce Hormigón respecto a los residuos generados dentro de todas sus áreas. De la misma manera se obtuvo información del proceso productivo como de todas las actividades de todas las áreas. Todo ello con el fin de conocer a detalle los tipos de residuos que genera la empresa. Y a través del diagrama de causas y efectos se planteó el problema, para el cual se buscaran soluciones prácticas y adecuadas, haciendo uso del sistema de gestión de residuos. Seguidamente se procedió a la identificación de residuos en todas las áreas, para la misma fue necesario conocer todos los procedimientos y actividades que desarrolla las áreas de: Administración, Producción, Mantenimiento, Laboratorio, Almacén y Común (Comedor, mingitorios y patios) todo esto con el fin de verificar los residuos sólidos que generan dichas áreas, para esta identificación fue necesario realizar visitas continuas, y para verificar se obtuvo fotografías del residuo encontrado. Posterior a la identificación se procedió a caracterizar haciendo uso de la clasificación de residuos sólidos de la Norma Boliviana 758 y de la Clasificación de Residuos Industriales Sólidos propuesto por el Proyecto DRSI. Los residuos que se generan en las distintas áreas son: Residuos Asimilables a Urbanos, Residuos Inertes y Residuos Peligrosos.Continuando a la caracterización se realizó la cuantificación de los residuos generados en todas las áreas de la empresa, para el cual se procedió a calcular la generación total en un mes de los distintos residuos hallados.Mediante la identificación, caracterización y cuantificación, se procedió a dar soluciones a cada residuo según las características que presente el mismo a través de la Reducción, Reutilización, Reciclaje, Recuperación de energía y por último su disposición final adecuada, dentro del Reciclaje se propuso un sistema de reciclaje de recuperación de áridos, el cual reciclará el residuo generado por el área de producción específicamente en la etapa del lavado de Mixer. Además se identifico posibles gestores externos para el tratamiento de residuos, también se planteó un plan de ejecución y  seguimiento que coadyuve al manejo adecuado de los residuos sólidos dentro la empresa Coboce Hormigón.Para el análisis financiero se procedió a calcular la inversión total que requiere el proyecto, seguidamente los costos de operación y por ultimo los ingresos que tendrá el proyecto a través de la venta de residuos y recuperación en el reciclaje de áridos. Con todos estos se procedió a calcular el flujo de caja y evaluar los parámetros de VAN, TIR Y B/C mismos que dieron resultados positivos.</t>
  </si>
  <si>
    <t>https://drive.google.com/file/d/1V3MWRav-SxoegQFcf3D9CdMT2-560Tn4/view?usp=sharing</t>
  </si>
  <si>
    <t>https://drive.google.com/file/d/1mgDx19hHT1zdr8Lce5pEBsxIqb00h8Ub/view?usp=sharing</t>
  </si>
  <si>
    <t>https://drive.google.com/file/d/18wpyfz_j2Hvxi7C1EyBxbBAiBttgSTaX/view?usp=sharing</t>
  </si>
  <si>
    <t>CLAUDIA ALEJANDRA LIZARAZU RÍOS</t>
  </si>
  <si>
    <t>ING. ALEX D´ANCHGELO CHOQUE FLORES</t>
  </si>
  <si>
    <t>ESTUDIO DE FACTIBILIDAD PARA LA IMPLEMENTACIÓN DE UNA LÍNEA PRODUCTIVA DE SUCEDÁNEO DE JUGO DE LIMÓN PARA LA EMPRESA CORDILL S.A.</t>
  </si>
  <si>
    <t>claudializarazu4@gmail.com</t>
  </si>
  <si>
    <t>IND-711-2015</t>
  </si>
  <si>
    <t>Sucedáneo de jugo de Limón, Cordill S.A., Estudio de Factibilidad, Implementación de línea productiva, Ingeniería del proyecto, Evaluación financiera.</t>
  </si>
  <si>
    <t>Inicialmente se realizó un estudio de mercado, para el área urbana de Cercado Cochabamba, que mediante el análisis de la demanda y la oferta de sucedáneo de jugo de limón, se determinó que existen grandes posibilidades de ingresar en el mercado. Además, se estableció el perfil del consumidor y las estrategias de comercialización. La localización del proyecto será en las instalaciones de Cordill S.A. ubicado en la provincia Quillacollo, Zona Piñami. El tamaño del proyecto fue estimado del pronóstico de la demanda, que cubrirá hasta el 33%, en los 10 periodos de proyección del proyecto,  teniendo un crecimiento gradual a partir del 15%, porcentaje determinado por la empresa para la introducción de nuevos productos e incrementará el 2% cada año.En la ingeniería de proyecto se desarrolló el proceso productivo del producto, determinando un control exhaustivo en cada uno de los proceso, para la obtención de un producto de calidad, controlando principalmente la acidez, la concentración y la densidad. También se seleccionaron las maquinarias y equipos considerando su rapidez y el desarrollo inocuo del proceso. Asimismo, se ilustró el organigrama de la empresa, expresando la ubicación jerárquica  del personal a contratar y las funciones a realizar. Posteriormente se planifico la puesta en marcha del proyecto en base a las principales actividades, las cuales siguen una secuencia ordenada, programadas en 28 semanas.Finalmente  se realizó el análisis financiero mediante el cual se determinaron las inversiones, la estructura de costos y los ingresos que generará la línea productiva. Las inversiones totales requeridas para la puesta en marcha del proyecto son de Bs 485.299,7 de los cuales, Bs 267.219,0 corresponden a activos fijos, Bs 31.400 a activos diferidos y Bs 186.680,7 constituye a la inversión en capital de trabajo.  Se presentaron los  indicadores financieros como el  VAN de Bs 304.022,9, el TIR  de 29% y la relación beneficio costo de 1,5. Por último se sometió a un análisis de sensibilidad a las variables más influyentes como: el precio de venta y el doble aguinaldo, siendo variable sensible al proyecto solo la primera.</t>
  </si>
  <si>
    <t>https://drive.google.com/file/d/1Ignj2OljIPMxiIgFHxyo-d7FlFdzC1W7/view?usp=sharing</t>
  </si>
  <si>
    <t>https://drive.google.com/file/d/1BgHzB2Tmt1DKfP3QN4YnKp1EvyT2Rw-7/view?usp=sharing</t>
  </si>
  <si>
    <t>https://drive.google.com/file/d/18T1b9yp_h_Sd1mScQrZqMOw-BEtRKz6n/view?usp=sharing</t>
  </si>
  <si>
    <t>VANIA ZUBIETA FERNÁNDEZ</t>
  </si>
  <si>
    <t>ING. TITO LIMA VACAFLOR</t>
  </si>
  <si>
    <t>ESTUDIO DE FACTIBILIDAD PARA LA PRODUCCIÓN DE BIODIESEL A PARTIR DE ACEITE VEGETAL USADO</t>
  </si>
  <si>
    <t>vaniazub@hotmail.com</t>
  </si>
  <si>
    <t>IND-712-2015</t>
  </si>
  <si>
    <t>Estudio de factibilidad, producción biodiesel, aceite vegetal usado, disolvente biodegradable.</t>
  </si>
  <si>
    <t>El desecho del aceite vegetal usado al entorno ocasiona un impacto no solo al medio ambiente sino a la salud humana, un litro de aceite puede contaminar hasta mil litros de agua. En el departamento de Cochabamba se llega a desechar 3.360 L/semana, existen varias formas de recuperarlos y revalorarlos, una de ellas es transformándolo en biodiesel para utilizarlo como un disolvente orgánico biodegradable, el presente proyecto evaluó esta alternativa.Para el estudio de factibilidad de este producto se empezó con un estudio de mercado, el cual  ayudó a determinar la demanda y los aspectos de la comercialización, posteriormente se determinó las materias y los insumos que se utilizaron en el proceso y el costo de su adquisición, para los distintos años en los que se desarrolla el proyecto.  Para la localización de la planta se utilizó el método cualitativo por puntos, dando como resultado el municipio de Colcapirhua.El proyecto determinó el proceso para la obtención de biodiesel, haciendo un pretratamiento al aceite vegetal usado para retirar las impurezas, luego la transesterificación para la obtención de biodiesel y su posterior refinación para lograr un producto libre de impurezas. Se hizo una breve descripción de los equipos y máquinas a utilizar. El impacto ambiental del proyecto se evaluó en sus distintas etapas: fase de construcción y fase de operación, durante la fase de operación un impacto positivo fue el acopio del aceite vegetal usado recuperando aproximadamente 6.300L/mes de los aceites desechados, se realizó un plan de aplicación y seguimiento a las medidas de mitigación y prevención adoptadas.Los indicadores que se utilizaron para la evaluación financiera son: el punto de equilibrio, el valor actual neto (VAN), la tasa interna de retorno (TIR) y la relación costo beneficio, tanto para el proyecto con financiamiento y sin financiamiento, los cuales indican que el proyecto es rentable financieramente en ambas situaciones, haciendo una comparación se concluyó que el proyecto es más conveniente si se lo realiza con financiamiento ya que presenta un VAN y una TIR mayor.</t>
  </si>
  <si>
    <t>https://drive.google.com/file/d/1MbfOzcKKwRoN7jHI6eB5T9rAFlWsCk5I/view?usp=sharing</t>
  </si>
  <si>
    <t>https://drive.google.com/file/d/14z5-4A30_54x9yN0lXE9_pB3UgXlE3fU/view?usp=sharing</t>
  </si>
  <si>
    <t>https://drive.google.com/file/d/1wyhM1WLROhjKxHTBPWrnI0Ena_dI-u0D/view?usp=sharing</t>
  </si>
  <si>
    <t>PAMELA GORENA GUEVARA</t>
  </si>
  <si>
    <t>ING. FERNANDO HOLLWEG ARTEAGA</t>
  </si>
  <si>
    <t>PLAN DE SEGURIDAD E HIGIENE INDUSTRIAL PARA EL ASERRADERO SISAM S.R.L.</t>
  </si>
  <si>
    <t>jp_pame@hotmail.com</t>
  </si>
  <si>
    <t>IND-713-2015</t>
  </si>
  <si>
    <t>Aserradero SISAM S.R.L., Seguridad e Higiene Industrial, Identificación y evaluación de riesgos, medidas de control, Disminución de accidentes, Disminución de costos por accidentes.</t>
  </si>
  <si>
    <t>Se desarrolló un Plan de Seguridad e Higiene Industrial en el Aserradero SISAM S.R.L., con el fin de minimizar los riesgos a los que se exponían día a día los empleados, contribuir con el bienestar de ellos y evitando tiempos perdidos por incidentes.En su primera parte se estableció los objetivos, metodología y estructura del proyecto. En seguida se revisaron todos los fundamentos teóricos necesarios a considerar para la elaboración del Plan de Seguridad e Higiene Industrial, como definiciones básicas de Seguridad e Higiene Industrial, leyes correspondientes a seguridad en nuestro país y a nivel mundial.Luego se describió a la empresa y sus características. Posteriormente se realizó la evaluación por el método de identificación y evaluación general de riesgos en todos los procesos, lo cual dio como resultado el escaso control de la Seguridad e Higiene en la empresa, para lo cual se propusieron medidas de control.Posteriormente se diseñó el Plan de Seguridad e Higiene Industrial, establecido en base a los resultados obtenidos anteriormente.Se realizó un presupuesto del plan en base a cotizaciones de equipos, acciones y mejoras a tomar, que indique el monto de la inversión para la implementación del plan.Se realizó un análisis de costo/ beneficio para la implementación del Plan de Seguridad e Higiene Industrial en el Aserradero SISAM S.R.L.Finalmente el resultado del Proyecto de Grado es un documento acorde a los requerimientos del Aserradero SISAM S.R.L. Obteniendo así las conclusiones y recomendaciones de dicho proyecto.</t>
  </si>
  <si>
    <t>https://drive.google.com/file/d/1A_9eHQVfZiDdMsbGidJRom5VV50bEQwi/view?usp=sharing</t>
  </si>
  <si>
    <t>https://drive.google.com/file/d/1pzHsKisxWwiDGQ2-9Q01flKdlXJ7U0b_/view?usp=sharing</t>
  </si>
  <si>
    <t>https://drive.google.com/file/d/17GI5Gn0VZMp7bTi0uMlrS1lXkL5jSzwQ/view?usp=sharing</t>
  </si>
  <si>
    <t>CLAUDIA ALEXANDRA ARIAS SANTA CRUZ</t>
  </si>
  <si>
    <t>DISEÑO DE UN PLAN ESTRATÉGICO PARA LA EMPRESA DE CALZADOS PARA NIÑOS “JEMOS-PIPER”</t>
  </si>
  <si>
    <t>clovis_06@hotmail.com</t>
  </si>
  <si>
    <t>IND-714-2015</t>
  </si>
  <si>
    <t>Planificación Estratégica, Calzado de cuero para niños, Productividad, Crecimiento, Penetración del mercado.</t>
  </si>
  <si>
    <t>Como antecedentes se consideró lo siguiente: la producción de calzado en Bolivia se ha estancado en los últimos años, principalmente en el ámbito artesanal debido, en gran medida, a la gran competencia del calzado de origen asiático y a que la demanda de calzado se ha disparado debido al aumento de la clase media-alta y la adopción de tendencias occidentales relativas al sector de la moda.Como primer paso se entrevistó al personal administrativo y operativo de la empresa, se realizaron trabajos de observación y de esta manera se identificaron los principales problemas y se extrajo el diagnóstico inicial de la situación actual. La información recolectada dio como resultado un árbol de causa efecto que resume las deficiencias de cada proceso. Para dar solución a los actuales problemas y para mitigar causas se propuso el diseño de un plan estratégico.En base a la información obtenida se definió la metodología de trabajo para la elaboración del plan. Se analizó el estado financiero y la cadena de valor, se evaluó la productividad de cada proceso, el macroentorno (incluido un estudio de mercado) y el microentorno. De esta manera se identificaron las oportunidades, amenazas, fortalezas y debilidades de la empresa. El análisis financiero realizado mostro una empresa rentable y con un considerable patrimonio acumulado capaz de realizar una inversión para lograr el crecimiento de la misma.Del análisis interno realizado se consideraron los puntos más relevantes:La empresa no realiza ningún tipo de publicidad.El recurso humano de la empresa requiere capacitación y actualización para ofrecer un  mejor producto terminado en un tiempo efectivo. Por otro lado se evidencio una alta satisfacción del personal.El análisis externo reveló las siguientes oportunidades y amenazas:El desarrollo  constante de tecnología  debería ser aprovechado por la empresa.El apoyo a las PYMES y MYPES es una gran ventaja para acceder a programas de capacitación además de la participación en ferias que garantizan la publicidad del producto.La fidelización de actuales y futuros clientes es urgente ya que la competencia crece constantemente, existe variedad de marcas ofertadas a precios menores o iguales además de los productos sustitutos.Se procedió a definir el marco estratégico de la empresa, que hizo posible la identificación de la Misión y Visión de la misma, además de los valores, política, filosofía, etc. De esta forma se definen los objetivos que la empresa desea alcanzar en un estimado de 5 años. Con ayuda de herramientas como la Matriz del perfil competitivo, el ciclo de vida del producto, el análisis de mercados y producto, la matriz BCG, etc. se obtuvieron la Matriz FODA, MOE y MPC, entre otras.Se obtuvieron las estrategias adecuadas para la elaboración del plan estratégico: Establecer sistema de gestión de calidad, Penetración del mercado, Fidelización del cliente, Implementar un sistema de marketing -Investigación de mercados. Las mismas  encaminaran el proyecto de maneara de que se logre alcanzar los objetivos. Con las estrategias definidas se procedió a la elaboración de 2 planes para los siguientes 5 años. Ambos planes contienen líneas estratégicas que aseguran la mejora continua, el crecimiento de la empresa e incremento de la participación en el mercado.Con los planes definidos se realizó el análisis costo beneficio del proyecto y la proyección financiera que permitió cuantificar el impacto de la planificación estratégica de la empresa.Al finalizar los 5 años que alcanza el proyecto, se espera que la empresa se a una empresa enfocada en la mejora continua de sus procesos, logrando reducir sus costos operativos. Además se espera un incremento en las ventas de un 100%, incremento de la participación en el mercado en un 11% y que su producción incremente en un 100%.</t>
  </si>
  <si>
    <t>https://drive.google.com/file/d/1xtCc1VnyRH2To48lFyM2g0g74lCqgdju/view?usp=sharing</t>
  </si>
  <si>
    <t>https://drive.google.com/file/d/1lzLb0HuN7ZX_Dknwe7ZoacopB3cKDfeu/view?usp=sharing</t>
  </si>
  <si>
    <t>CAROL ESTRELLA CANAVIRI ROCHA</t>
  </si>
  <si>
    <t>JOSÉ LUIS GUAYGUA LOAYZA</t>
  </si>
  <si>
    <t>MSC. MARÍA MERCEDEZ ÁLVAREZ CAERO</t>
  </si>
  <si>
    <t>MODELACIÓN MATEMÁTICA DEL PROCESO DE TRANSPORTE DEL PLAGUICIDA ATRAZINA EN SUELO AGRÍCOLA</t>
  </si>
  <si>
    <t>carol_darkstar@hotmail.com</t>
  </si>
  <si>
    <t>IND-715-2015</t>
  </si>
  <si>
    <t>Atrazina, Hydrus 1D, Modelación Matemática, Columnas de Suelo, Parotani, Capilla, Caracterización de suelos, Propiedades hidrodinámicas del suelo.</t>
  </si>
  <si>
    <t>Atrazina es el plaguicida más utilizado en el mundo, tiene potencial cancerígeno en humanos. En varias partes del mundo esta sustancia se ha detectado en aguas superficiales y subterráneas a niveles que rebasan las concentraciones máximas permisibles para agua potable. En el presente proyecto se realizó la investigación para estudiar el proceso del movimiento y obtener los parámetros de transporte, los cuales permiten simular el desplazamiento del plaguicida atrazina en suelos agrícolas seleccionados del departamento de Cochabamba. Se describen los principios del movimiento de los contaminantes en el suelo, incluyendo el enfoque matemático que rige el transporte de solutos y sus condiciones de entorno. En condiciones de laboratorio, se emplearon columnas empacadas homogéneas de suelos que fueron tomadas cada 50 cm de profundidad, de los sitios de muestreo: La Capilla (Cercado) y Parotani (Quillacollo), ubicadas en el departamento de Cochabamba. Con la finalidad de evaluar el efecto de adsorción del suelo hacia la atrazina, se realizaron pruebas batch para la determinación del coeficiente de distribución (Kd) en cada suelo agrícola seleccionado. Se realizaron pruebas de migración de un trazador conservativo cloruro (Cl-), con el objetivo de generar las curvas de rupturas (BTCs) en condiciones de saturación bajo régimen permanente y utilizando el programa de cómputo CDE-Model para la estimación de los parámetros de transporte como ser: Dispersión (D) y la velocidad de flujo (ν) de las columnas de suelos estudiadas. Posteriormente se aplicó atrazina en solución en una dosis definida para observar la lixiviación en las columnas bajo las mismas condiciones anteriores. Con los parámetros de transporte estimados se procedió al ajuste de los datos en el paquete Hydrus-1D, que es un software que permite simular flujos transitorios en profundidad. Los resultados de la simulación con el Hydrus-1D se ajustaron aceptablemente a los valores encontrados en las columnas de suelos durante los estudios del movimiento de atrazina. Los resultados señalan que la atrazina es un plaguicida lixiviable en ambos suelos, al ser un compuesto persistente en el suelo, el riesgo de contaminación de acuíferos es alto.</t>
  </si>
  <si>
    <t>https://drive.google.com/file/d/1IWvgm1HLVOTUpBsUq9btj0ewk76_Z8-D/view?usp=sharing</t>
  </si>
  <si>
    <t>https://drive.google.com/file/d/1hahneeVopC8iaJZ_5wphRm6S-GwpfKGi/view?usp=sharing</t>
  </si>
  <si>
    <t>https://drive.google.com/file/d/1Psl23j2YZBVq-d0t6hsSuUOcyMwuAv_k/view?usp=sharing</t>
  </si>
  <si>
    <t>GABRIEL GUALBERTO CAMACHO ZAPATA</t>
  </si>
  <si>
    <t>ING. MIGUEL FERNÁNDEZ FUENTES</t>
  </si>
  <si>
    <t>DISEÑO CONCEPTUAL DE UNA BATERÍA DE LITIO PARA VEHÍCULOS SOLARES</t>
  </si>
  <si>
    <t>II-2015</t>
  </si>
  <si>
    <t>gabo_gcz@hotmail.com</t>
  </si>
  <si>
    <t>IND-716-2015</t>
  </si>
  <si>
    <t>Vehículos solares, Batería de Polímero de Litio, Electrodos, Diseño Conceptual, Temperatura, Celdas Electrolíticas, Salar de Uyuni.</t>
  </si>
  <si>
    <t>Se realizó un trabajo de investigación, con el fin de obtener información general sobre baterías para vehículos eléctricos. Inicialmente se estudiaron los parámetros más importantes con respecto al funcionamiento de las baterías.A continuación se estudiaron los diferentes tipos de baterías recargables existentes más desarrollados y difundidos hasta la fecha. Los parámetros anteriores sirvieron para comparar los diferentes tipos de baterías entre sí y poder elegir la más adecuada para el propósito del proyecto presentado.Las características que cumple la batería seleccionada son: Alta densidad de energía y alta energía específica para conseguir sistemas de dimensiones más reducidas y de menor peso.Alta eficiencia energética.Baja razón de auto- descarga, para minimizar las pérdidas.Larga vida útil, para compensar los costos iniciales.Independencia de las condiciones ambientales, que posibiliten un buen comportamiento ante variaciones climáticas extremas.Diseño robusto y preparado para resistir sobrecargas eléctricas, vibraciones, golpes, etc.Diseño respetuoso con el medio ambiente.Tras este análisis y con los criterios estudiados en el punto 4.1.1 y las comparaciones realizadas en 4.1.2 para su selección,  se concluyó  que el tipo de batería que mejor se ajusta a las necesidades del vehículo solar/eléctrico es la batería de polímero de litio, el cual posteriormente se procedió a realizar el estudio y diseño de la batería como se observa en 4.4.No obstante, se dieron a conocer los diferentes procesos para la construcción y armado de la batería en 4.3, quedando especificados los pasos necesarios para su terminado.Se revisaron parámetros que pueden producir problemas de calentamiento que llegan a ser inflamables e incluso producir explosión. Para ello se realizó un estudio como se muestra en el punto 4.4.1, ya sea para el incremento de láminas generadoras de calor o por el contrario la inclusión de disipadores de calor.Posteriormente se realizó un análisis económico de la construcción teórica de la batería propuesta en el proyecto en el capítulo 5, donde se concluye un costo total de 1201,36 [$] para el diseño y construcción de una batería cuya capacidad es de 1500 [Wh], un voltaje de 48 [V], peso de 19,72 [Kg] y dimensiones de 51,2 [cm] de largo, 38,7[cm] de base y un espesor de17,46[cm].Finalmente se verificó la situación tecnológica con la que se encuentra operando la planta de producción de baterías de litio en la localidad de Uyuni, así como el impacto ambiental que genera la planta, a pesar de conocerse las normativas que regulan en el departamento de Potosí para la explotación de litio.</t>
  </si>
  <si>
    <t>https://drive.google.com/file/d/1cI1QWGc6qTazCo-kCP9sQTrH4mOKlTms/view?usp=sharing</t>
  </si>
  <si>
    <t>https://drive.google.com/file/d/17-dbKR_g9njpwPqRZDVHxhxT8tIWum1V/view?usp=sharing</t>
  </si>
  <si>
    <t>https://drive.google.com/file/d/1oOp6bsAqIiOmlGZWq4Bb5WQsPyUvpO7q/view?usp=sharing</t>
  </si>
  <si>
    <t>LISBETH MIRTHA LIRA SORIA</t>
  </si>
  <si>
    <t>MODELO DE PLANIFICACIÓN Y CONTROL DE LA PRODUCCIÓN PARA INDUSTRIAS LUJAN S.R.L.</t>
  </si>
  <si>
    <t>lisbeth_mirtha23@hotmail.com</t>
  </si>
  <si>
    <t>IND-717-2015</t>
  </si>
  <si>
    <t>Modelo, Planificación, Métodos de Pronósticos, Gestión de Inventarios, Indicadores de Control.</t>
  </si>
  <si>
    <t>El presente proyecto surgió a partir de la identificación de las dificultades en las operaciones de producción en Industrias Lujan S. R. L. puesto que las áreas involucradas a producción estaban operando de manera deficiente. Entonces para ello se plantearon soluciones en cuanto se refiere al aprovisionamiento de MP, previsión de la demanda, gestión de inventarios y la panificación y control de la producción.El desarrollo del proyecto empezó con la descripción general de la empresa, se  analizó su capacidad instalada, su rendimiento, etc. Luego se realizó el diagnostico haciendo uso de las técnicas más comunes como es el análisis FODA y un análisis de factores internos y externos mediante una matriz cuantitativa de planificación  estratégica y así todo el área de producción.En base a los datos históricos de demanda que se tiene en la empresa, de cada uno de los productos y analizando el comportamiento que presentaron a lo largo del tiempo, se realizaron los respectivos pronósticos de la demanda mediante métodos conocidos y sus respectivos errores.También se realizó la gestión de inventarios de MP y PT, la cual consistió en clasificar los productos según la técnica usada ABC y análisis de Pareto, con la cual se categorizaron según su importancia económica. De acuerdo a esta clasificación priorizar los productos y, someterlos a estudio según el método de inventario que corresponda; EOQ, EPQ, Heurísticos, etc.Se realizó también la planificación de la producción para la cual se probaron distintos planes, de donde el mejor plan según requerimientos y disponibilidades de la empresa fue un plan de Inventario Cero, ya que económicamente también fue el de menor costo. De igual manera, para dicho plan de producción se elaboró una  propuesta de plan de requerimientos de materiales y capacidad.Para el estudio se realizó también el respectivo sistema de control que consistió en controlar las entradas y salidas de MP y PT, la producción de cada uno de los productos para obtener productos que satisfagan las necesidades de los clientes como también que se disminuyan los niveles de desperdicios y reprocesos de material. Para completar este control se propusieron indicadores de control de la producción que ayudaran a controlar el cumplimiento de los planes de producción y tareas involucradas al mismo.Una vez cumplida con los objetivos de planificación y control de la producción para Industrias Lujan S.R.L. y, para complementar este estudio, también se realizó un análisis de los beneficios  del proyecto asimismo los costos involucrados con la puesta en marcha.Para finalizar se mencionaron algunas recomendaciones, donde lo más importante fue la inmediata implantación proyecto, así también indicar que se revise más sobre modelos de planificación como es el modelo JIT.</t>
  </si>
  <si>
    <t>https://drive.google.com/file/d/1QOZMy2AEE8TdlC2QjM0DvmR6-s6qE20O/view?usp=sharing</t>
  </si>
  <si>
    <t>https://drive.google.com/file/d/1PAuaGu5fyALPkAEFQJ9VqQ3pZ2t2GutK/view?usp=sharing</t>
  </si>
  <si>
    <t>https://drive.google.com/file/d/1V1GhNCRB3hOyf0eQf7AUSxG32MBIiWIF/view?usp=sharing</t>
  </si>
  <si>
    <t>PADY FLORA ELENA PALACIOS MONTAÑO</t>
  </si>
  <si>
    <t>JERSY VALVERDE LÓPEZ</t>
  </si>
  <si>
    <t>DESARROLLO DE UN PLAN ESTRATÉGICO DE MARKETING PARA LA NUEVA LÍNEA DE ACEITE SAE 10W30 API SN DE LA MARCA YPFB LUBRICANTES</t>
  </si>
  <si>
    <t>dyserpa@gmail.com</t>
  </si>
  <si>
    <t>IND-718-2015</t>
  </si>
  <si>
    <t>Estrategia de Marketing, Estudio de Mercado, Marketing Mix, Instituto Americano del Petróleo (API), Sociedad de Ingenieros Automotrices (SAE), YPFB Lubricantes.</t>
  </si>
  <si>
    <t>YPFB Refinación SA. a través de su unidad de negocios YPFB Lubricantes decidió lanzar al mercado una nueva línea lubricante SAE 10W30 API SN, dirigido al automóviles con último modelo con motor a gasolina, debido al incremento en la importación de estos autos suscitado durante los últimos años; sin embargo se han detectado un conjunto de factores negativos que no van a permitir garantizar el éxito del mismo, por lo que se requirió realizar un estudio de mercado que permita cuantificar la demanda potencial, conocer los gustos y preferencias del consumidor y cuantificar la oferta existente.Se realizó un análisis interno de YPFB Lubricantes, y se encontraron entre sus principales fortalezas el liderazgo en el mercado y el knowhow en fabricación de lubricantes, así mismo sus principales debilidades son la poca diferenciación de sus productos con respecto a la competencia y la baja percepción de calidad de los consumidores, concluyéndose que YPFB Lubricantes tiene una posición fuerte ya que actualmente tiene más fortalezas que debilidades.En cuanto al macroentorno se logró concluir que es predominantemente positivo, donde destacan la dimensión económica con un crecimiento del PIB y un menor grado de desempleo, la dimensión política con estabilidad y un mayor incentivo la inversión en las empresas públicas. La dimensión tecnológica se considera negativa al existir un mayor nivel de desarrollo en tecnología de lubricantes, y por lo tanto mayor competencia.Se realizó un estudio de mercado en donde se encontró que existe una demanda insatisfecha caracterizada por dueños de vehículos que buscan lubricante SAE 10W30 a precio accesible, con una magnitud de 273.673 (L/año), con lo cual se ve que existe una demanda que YPFB puede cubrir y por lo tanto la viabilidad del proyecto. Se fijó como cuota de mercado meta el 100% de la demanda insatisfecha. Posteriormente, a través del análisis interno y externo de la empresa, se planteó las estrategias más importantes que la UEN debe seguir, las que son: el ingreso en nuevos segmentos del parque automotor con nuevas soluciones lubricantes, tanto minerales como semisintéticos y sintéticos, aprovechar el incentivo del gobierno para desarrollar mayor tecnología en lubricantes y aplicar técnicas de marketing más agresivo, que lleguen al consumidor con mayor información y un mejor servicio.Se formularon las estrategias de posicionamiento y marketing mix para la nueva línea, a la cual se denominó EXTREM G12, cuyo posicionamiento planteado es la diferenciación en cuanto a rendimiento y precio accesible, se formularon los planes operativos respectivos, un cronograma de actividades y el sistema de control a los indicadores del plan.Finalmente se realizó el análisis financiero del proyecto, determinando las inversiones necesarias, el presupuesto de marketing y generando el estado de resultados y el flujo de caja del proyecto, donde los indicadores son: TIR = 17,8%, VAN = 19.442 y R B/C = 1,11 con lo cual se demuestra que el proyecto es rentable y por lo tanto recomendable invertir.</t>
  </si>
  <si>
    <t>https://drive.google.com/file/d/18COGrehO4p3FpwJ298gemfbhmpiaY7QI/view?usp=sharing</t>
  </si>
  <si>
    <t>https://drive.google.com/file/d/1Cn9t5pLykX2QkaoWeNB63VT3YOT9FgV9/view?usp=sharing</t>
  </si>
  <si>
    <t>https://drive.google.com/file/d/1EzVL2yHg1otr3Kmz3JuJboWMDn0063ZV/view?usp=sharing</t>
  </si>
  <si>
    <t>ELÍAS VILLEGAS VELASCO</t>
  </si>
  <si>
    <t>ING. NATALY SÁNCHEZ COCA</t>
  </si>
  <si>
    <t>DESARROLLO DE UN SISTEMA DE GESTIÓN DE SEGURIDAD Y SALUD OCUPACIONAL BASADO EN LA NORMA NB/OHSAS 18001:2008 PARA “TRANSPORTES AEROCOMERCIALES BOLIVIANOS – TACOB</t>
  </si>
  <si>
    <t>evillegasvelasco@gmail.com</t>
  </si>
  <si>
    <t>IND-719-2015</t>
  </si>
  <si>
    <t>Transportes Aerocomerciales, TACOB, Sistema de Gestión de Seguridad y Salud Ocupacional, SGSySO, OHSAS, Identificación de Peligros, IPER.</t>
  </si>
  <si>
    <t>Como primer paso, fue necesario describir la organización para tener una mejor perspectiva de sus procesos. Con este fin se ha descrito la estructura organizacional para definir adecuadamente el alcance del Sistema de Gestión, continuando con la descripción de los procesos y programas de mantenimiento mediante diagramas de flujo.Antes de desarrollar el Sistema de Gestión de Seguridad y Salud Ocupacional, se realizó un diagnóstico inicial, con el fin de determinar el porcentaje de cumplimiento de los requisitos de Norma Boliviana NB/OHSAS 18001:2008. La metodología empleada para llevar a cabo el diagnóstico fue el siguiente: a) Revisión de la NB/OHSAS para identificar los componentes o estructura a aplicar b) Elaboración de una lista de chequeo teniendo en cuenta el ciclo PHVA (planificar, hacer, verificar, actuar).Posteriormente se realizó el diagnóstico de Seguridad y Salud Ocupacional mediante un análisis FODA (fortalezas, oportunidades, debilidades, amenazas), considerando los deberes del empleador mediante la Ley 16998 y los Equipos de Protección Personal dotados actualmente.Empleando la información resultante de la descripción de la organización y del diagnóstico inicial se procedió a diseñar una propuesta de política de Seguridad y Salud Ocupacional conforme OHSAS, a fin de atacar las debilidades y amenazas detectadas.Dentro del alcance del Sistema de Gestión (Gerencia de Mantenimiento TACOB), se procedió con la planificación, mismo que incluyó la Identificación de Peligros, Evaluación de Riesgos y Determinación de Controles, la Identificación de Requisitos Legales y Otros aplicables a la empresa, además de la definición de Objetivos y Programas para minimizar los peligros y cumplir con la legislación. Adicionalmente se han realizado mediciones ambientales, como son: la medición del ruido ocupacional y detección de gases en el ambiente.Posteriormente, se han elaborado todos los procedimientos exigidos por OHSAS en las etapas de Planificación, Implementación y Operación, Verificación y Revisión por la Dirección.Dentro los documentos diseñados y en el marco del control operacional, se han elaborado propuestas de control operacional, que incluyen manuales, procedimientos, instructivos y guías que coadyuvan a la minimización de la probabilidad de ocurrencia de los riesgos evaluados.Como último paso, se realizó una evaluación económica de la propuesta de Sistema de Gestión diseñado. Esta evaluación comprendió los costos de inversión tangibles e intangibles necesarios, como también los costos necesarios para la operación del Sistema de Gestión.Para la evaluación económica del sistema se han empleado técnicas de evaluación de proyectos, como son: la Tasa Mínima Atractiva, el Valor Actual Neto, la Tasa Interna de Retorno, el Tiempo de Recuperación de la Inversión, la Relación Beneficio Costo y el Valor Actual Neto Social, obteniéndose como resultado la factibilidad del proyecto.Se puede concluir que la Gerencia de Mantenimiento de TACOB tiene un bajo nivel de cumplimiento de los requisitos OHSAS (14%), además que los requisitos legales alcanzan un nivel de cumplimiento de 58,14 %.El Sistema de Gestión ha de trabajar bajo la mejora continua, y se recomienda la realización de dos auditorías internas anuales hasta alcanzar un nivel de madurez. Posteriormente bastará una auditoria anual.</t>
  </si>
  <si>
    <t>https://drive.google.com/file/d/1w-XQkaO4yX5Y2tJX52TZkXj3fgq7dVYA/view?usp=sharing</t>
  </si>
  <si>
    <t>https://drive.google.com/file/d/1HXg5gN40S5upJbeHTS3Y2nB5XjA1DqEv/view?usp=sharing</t>
  </si>
  <si>
    <t>https://drive.google.com/file/d/14Y9sT1hnOkQSnsbsS1O13D7zt_wHXfDX/view?usp=sharing</t>
  </si>
  <si>
    <t>ALEJANDRO CAMILO VILLALPANDO SÁNCHEZ</t>
  </si>
  <si>
    <t>ESTUDIO DE FACTIBILIDAD PARA LA IMPLEMENTACIÓN DE UNA PLANTA DE CERVEZA ARTESANAL ENVASADA EN BARRILES EN COCHABAMBA</t>
  </si>
  <si>
    <t>ing.villapando.s@gmail.com</t>
  </si>
  <si>
    <t>IND-720-2015</t>
  </si>
  <si>
    <t>Producción de cerveza, Tamaño de planta, Evaluación Financiera, Análisis sensibilidad, Evaluación Impacto Ambiental.</t>
  </si>
  <si>
    <t>El presente proyecto de grado contiene la información documentada de la evaluación y estudio de factibilidad para el montaje de un microempresa dedicada a la fabricación de una cerveza artesanal envasada en barriles. La primera etapa del proyecto está compuesta por el estudio de mercado y tiene como resultado el establecimiento de un mercado objetivo  o grupo de consumidores para la comercialización de la cerveza  además que  identifico una cantidad estimada en litros que pudieran adquirir de nuestro producto también pudimos determinar la cantidad mensual de venta de cerveza en sus diversas presentaciones. Y el  tipo de cerveza que más agrada a la gente pudimos observar que la marca Huari es la cerveza más comercializada con un 48.07% del total. A este tipo de cerveza dirigiremos  nuestra recetaSe continuó realizando la evaluación de la planeación  y la capacidad de producción  de 20.000 litros al mes, maquinaria adecuada para el proceso de fabricación, la mejor ubicación de la planta, descripción del proceso productivo y materia prima para la receta a utilizarse además aspectos relacionados a la producción. La siguiente etapa del proyecto la cual comprendió e aspecto organizacional del micro empresa con un organigrama adecuado y moderno. Los perfiles de la persona con experiencia profesional que permitan la obtención de un producto de calidad con capacidad de competir con las normas más exigentes de la industria de la cerveza El estudio financiero evidenciamos que si los clientes compran el barril de 50 litros les sale mucho más barato que el de las otras dos presentaciones además que tenemos en cuenta que un barril es un costo que se incurrirá en la inversión inicia al comenzar el negocio Se incurrió en un costo bajo en publicidad con respecto a otras empresas dedicada en el rubro ya que nos principal estrategia de marketing será vía internet La evaluación financiera muestra un VAN promedio de  256.728$, una TIR de 27.4$ y una relación costo-beneficio de 1.41 por el cual se puede concluir que el proyecto es viable ya que el Van es mayor a cero una TIR que es mayor a nuestra tasa de oportunidad haciendo que sea, Más rentable invertir en nuestro proyecto y por último el costo-beneficio es mayor a 1</t>
  </si>
  <si>
    <t>https://drive.google.com/file/d/1rl3UgM8Yer43TzYtkWtkecZIzvSflbgi/view?usp=sharing</t>
  </si>
  <si>
    <t>https://drive.google.com/file/d/1qBA5Y3NpJSMc9q3tORUYhBCbGuzBtEoJ/view?usp=sharing</t>
  </si>
  <si>
    <t>https://drive.google.com/file/d/1Ii0F6wcACpdxG4tgaC0QI17eHnn8KcPS/view?usp=sharing</t>
  </si>
  <si>
    <t>ARIEL MAURICIO GRAJEDA MUÑOZ</t>
  </si>
  <si>
    <t>ING.MSC. CARLOS JAVIER ALFREDO COSIO PAPADÓPOLIS</t>
  </si>
  <si>
    <t>ESTUDIO DE FACTIBILIDAD PARA LA IMPLEMENTACIÓN DE UN PROCESO DE ELABORACIÓN DE MAYONESA PARA LA EMPRESA CORDILL S.A.</t>
  </si>
  <si>
    <t>arielmgm01@gmail.com</t>
  </si>
  <si>
    <t>IND-721-2015</t>
  </si>
  <si>
    <t>Línea de producción de mayonesa Dillmann, salsa de mayonesa, Estudio de factibilidad, Evaluación financiera.</t>
  </si>
  <si>
    <t>Inicialmente se realizó el estudio de mercado a todos los consumidores de mayonesa dentro la zona urbana de Cercado- Cochabamba, correspondiente a dos clases definidas que son: las familias y los puestos de expendio de comida. Además se determinó la demanda para los 10 años del proyecto, características de la oferta y las estrategias de comercialización.Posteriormente se determinó todas las materias primas e insumos necesarios para la elaboración de mayonesa, los cuales se encuentran en su totalidad en el mercado nacional.Se definió la localización del proceso productivo dentro la planta de frutas y legumbres de la empresa CORDILL S.A., considerando que la empresa busca abarcar un 30 % del mercado inicial de mayonesa, produciendo 86 TM/año de mayonesa, asimismo se calculó un porcentaje de uso del 53% de la capacidad instalada con vista para un crecimiento a nivel nacional.En la ingeniería del proyecto determinó el tamaño de la demanda objetivo, la capacidad de la maquinaria requerida, el proceso productivo, se analizó la tecnología necesaria y los factores más determinantes en la elaboración de mayonesa, El estudio organizacional fue realizado según los requerimientos de producción y distribución de mayonesa, definiendo su jerarquización organizacional, sus funciones y planillas de sueldos y salarios. El estudio de materia prima e insumos determinó todos los elementos necesarios para la elaboración de mayonesa, sus requisitos fisicoquímicos y microbiológicos, también se determinó los elementos para el envasado y los costos que representa.Posteriormente se realizó la planificación de la ejecución del proyecto, donde se determinó por medio de la ruta crítica y el diagrama de Gannt, la cronología y secuencia de las actividades necesarias para la ejecución del proyecto. Finalmente se preparó la información para poder realizar la evaluación financiera determinando un VAN de 335.311 Bs, un TIR de 25% y una relación B/C de 1.43. También se realizó un análisis de sensibilidad donde se determinó que el proyecto es sensible al aumento de un 10% en los costos de materia prima ya que el proyecto no sería rentable, también se determinó que el proyecto no sensible a la elevación en 20% de los costo de materiales de envasado. Se definió una inversión total de 673.083 Bs. Para todo el proyecto definiendo un 100 % de aporte de los accionistas de la empresa.Gracias a los resultados obtenidos de los componentes del proyecto, se concluyó que es factible la implementación de una línea de mayonesa en la empresa CORDILL S.A. considerando que en todos los estudios realizados en el proyecto se determinó la factibilidad en cada una de sus áreas.</t>
  </si>
  <si>
    <t>https://drive.google.com/file/d/1cRN9SPf6g0Dim_SpAZoPiup2uLsRFJUj/view?usp=sharing</t>
  </si>
  <si>
    <t>https://drive.google.com/file/d/1hn7LOxs1nkLqX5T0nOIYWcaisG-Wjths/view?usp=sharing</t>
  </si>
  <si>
    <t>https://drive.google.com/file/d/1obkEQj6c9pkvCXmytiDwukLrlkjA69SU/view?usp=sharing</t>
  </si>
  <si>
    <t>ANGEL ARIEL COLQUE CANO</t>
  </si>
  <si>
    <t>GEYZA LORENA MARIACA ORELLANA</t>
  </si>
  <si>
    <t>DISEÑO DE UN PLAN ESTRATÉGICO DE MARKETING PARA LA LÍNEA DE PRODUCTOS NAVIDEÑOS BIMBO Y LANZAMIENTO DE UN NUEVO PRODUCTO (BUDÍN) EN CORDILL S. A.</t>
  </si>
  <si>
    <t>angelariel1983@gmail.com</t>
  </si>
  <si>
    <t>IND-722-2015</t>
  </si>
  <si>
    <t>Auditoría interna y externa, Análisis FODA, Análisis EFI y EFE, Análisis PORTER, Análisis MPC, Análisis BCG, Enfoque sistémico, Merchandising, VAN, TIR, Relación B/C.</t>
  </si>
  <si>
    <t>El proyecto que se desarrolló surgió por la necesidad de recabar información del mercado debido al reto competitivo al que tienen que enfrentarse las empresas en los últimos tiempos, y más aún La Corporación Industrial Dillmann S. A. (CORDILL S. A.) que se ha visto afectada por el ingreso de competencia informal y marcas importadas.A partir del análisis de la situación actual y los procedimientos que se aplican en la organización, se pudo identificar como principal problema que el plan de marketing existente no está acorde a la necesidades de la empresa y al mercado navideño, sostenido en dos falencias relevantes; insuficiente información de las características del mercado navideño y planificación deficiente para la campaña navideña en la línea BIMBO.La metodología que se aplicó para el proyecto, se basó en el Modelo Estratégico de Marketing propuesto por Jaques Lambin. Según el modelo se realizaron los siguientes análisis: auditoría interna donde se identificaron las fortalezas y debilidades de la marca, auditoría externa donde se identificaron las oportunidades y amenazas del mercado, adecuación de la información y selección de las estrategias adecuadas, y el establecimiento de planes para cada uno de las variables del marketing mix.Para realizar el diagnóstico de la situación actual de la empresa, se utilizaron herramientas como ser; Matriz de Evaluación de Factores Internos (EFI), Matriz de Factores Externos (EFE), Matriz BCG, Matriz de Perfil Competitivo (MCP), Análisis de las 5 Fuerzas de Porter, entre otras, así como también se recurrió a un estudio de mercado el cual nos permitió identificar las necesidades y características relevantes en cuanto a producto, precio, plaza y promoción.Los resultados obtenidos del diagnóstico y la evaluación de las alternativas estratégicas, nos permitieron identificar dos estrategias; Estrategia de crecimiento intensivo y Estrategia de crecimiento por diversificación, como las más acertadas para el proyecto. Dando curso a la estrategia de diversificación y en base a un análisis de productos alternativos existentes en el mercado, se optó por introducir en la línea navideña Bimbo al producto Budín. Para la introducción del nuevo producto se planteó la marca Bimbo por su reconocida trayectoria y reconocimiento en el mercado nacional, lo cual ayudará y facilitará la introducción del mismo. Al ser la época navideña, un periodo corto, se propuso como estrategia la estabilidad de precios, con el fin de poder competir con los productos importados como también con los productos nacionales (formales e informales).Desde el punto de vista financiero, tomando en cuenta todos los lineamientos y actividades propuestas, se pudo identificar a través de los principales indicadores (TIR, VAN, B/C) que el proyecto es viable. Sin embargo, se recomienda que para lograr los resultados esperados es importante la implementación del proyecto según el cronograma de actividades propuesto y la actualización de la información de forma periódica, con el fin de poder identificar variaciones y tomar medidas de forma oportuna.</t>
  </si>
  <si>
    <t>https://drive.google.com/file/d/1zPbifvLUu3wmf7SMWedaAdlr_xd45cEq/view?usp=sharing</t>
  </si>
  <si>
    <t>https://drive.google.com/file/d/17E1qWWfF-QZHNlYB37hGY4TPhgI53f1V/view?usp=sharing</t>
  </si>
  <si>
    <t>CHRISTIAN FERNANDO GAMBOA VOCAL</t>
  </si>
  <si>
    <t>DISEÑO DE UN MODELO DE GESTIÓN EMPRESARIAL PARA LA IMPRENTA GRÁFICA VOCAL SRL.</t>
  </si>
  <si>
    <t>gamboa_2123@hotmail.com</t>
  </si>
  <si>
    <t>IND-723-2015</t>
  </si>
  <si>
    <t>Imprenta Gráfica Vocal, Gestión Empresarial, Planificación Estratégica, Manual de Funciones y Procedimientos, Modelo de Gestión, Mejora Continua, Cuadro de Mando Integral, Estrategias de Marketing.</t>
  </si>
  <si>
    <t>La actual era de la información ha traído consigo gran variedad de nuevas exigencias para las organizaciones y para la ciencia administrativa. Las empresas ya no pueden depender de la constante mejora en la eficiencia operativa, especialización de funciones o economías de escala para lograr ventajas competitivas. Los cambios en el entorno competitivo han puesto bajo fuerte presión a los sistemas tradicionales de planeamiento, control y evaluación de desempeño empresarial basados en indicadores económicos financieros.La Gestión Empresarial es una respuesta a la necesidad de crear un marco de gestión estratégica compatible con la velocidad y las exigencias del mundo competitivo actual. Es un sistema que ofrece una metodología práctica y estructurada para dirigir el proceso operativo de una empresa hacia un objetivo global definido en la visión y traducido en un conjunto de indicadores estratégicamente desplegados por toda la organización.A lo largo del presente trabajo se realiza una exhaustiva investigación de aspectos tanto teóricos como prácticos del Cuadro de Mando Integral (Balanced Scorecard) como sistema de Gestión Empresarial. A continuación se introduce el concepto del Balanced Scorecard como la solución al problema de gestión estratégica estructurada definido por la pregunta ¿cómo ejecutar con éxito una estrategia para alcanzar la visión de la organización?Después de explicar los aspectos teóricos del sistema de gestión, estos se ponen en práctica mediante una implementación del sistema en la Imprenta Grafica Vocal. La implementación se concluye con la integración del sistema de gestión dentro de los procesos administrativos existentes en la empresa. El Sistema de Control de gestión, se planteó como una respuesta directa a la estrategia corporativa y su aplicación en toda la organización, para esto se confeccionó el plan estratégico, mediante objetivos estratégicos para finalmente llegar a obtener indicadores por perspectiva. Todo esto fue consolidado en una plataforma de gestión, especialmente estructurado para soportar el sistema diseñado.En el último capítulo, se exponen las conclusiones integradoras referidas tanto a aspectos teóricos del Balanced Scorecard como a la aplicación práctica y se proponen temas de investigación complementaria a la presente tesis.</t>
  </si>
  <si>
    <t>https://drive.google.com/file/d/1ZiAChd4Y_lYo7iS_j_sp50fkwFuzjR-j/view?usp=sharing</t>
  </si>
  <si>
    <t>https://drive.google.com/file/d/1JYNNhpc990PnXFMRYfkX5cwC3TTIwGHI/view?usp=sharing</t>
  </si>
  <si>
    <t>https://drive.google.com/file/d/1F92hAdNWtm74iZGkvuIyfSAbDPjc7w9U/view?usp=sharing</t>
  </si>
  <si>
    <t>NATALY LÓPEZ SOLIZ</t>
  </si>
  <si>
    <t>IMPLEMENTACIÓN DE UN SISTEMA DE GESTIÓN DE CALIDAD Y BUENAS PRÁCTICAS DE ALMACENAMIENTO EN BASE A LOS ESTÁNDARES DE CALIDAD DE UNILEVER ANDINA BOLIVIA S.A. Y LA NORMA ISO 9001:2008 EN EL ALMACÉN 3D</t>
  </si>
  <si>
    <t>natticita10@gmail.com</t>
  </si>
  <si>
    <t>IND-724-2015</t>
  </si>
  <si>
    <t>Sistema de Gestión de Calidad, Buenas Prácticas de Almacenamiento, Auditoria Interna, Master Plan, Unilever Andina Bolivia S.A.</t>
  </si>
  <si>
    <t>El  presente trabajo dirigido se enmarca en requerimientos de la empresa Unilever Andina Bolivia S.A., y su objetivo se define como la Implementación de un Sistema de Gestión de Calidad  (SGC) y Buenas Prácticas de Almacenamiento (BPA)  en base a los estándares de calidad de  Unilever Andina Bolivia S.A. y la norma ISO 9001:2008, en el Almacén 3D.Para tal efecto, en primera instancia se realizó un diagnóstico de la situación actual del grado de implementación del SGC y BPA dentro de la organización, para tal efecto se realizó una auditoría interna al sistema en función a los requerimientos de la NB 19011:2011 para verificar el cumplimiento de los requisitos de la ISO 9001 y el Quality Verification Program (QVP) de Unilever. Se revisó la documentación existente en lo referente a procedimientos, registros, estructura y responsabilidad definidos dentro del sistema, entrenamientos realizados al personal operativo, condiciones de trabajo en almacén. Esto permitió identificar las No Conformidades en el cumplimiento de los requisitos de la norma. Se procedió a una reestructuración del SGC y BPA a través de un Máster Plan para que el sistema cumpla todos los requisitos de la NB ISO 9001: 2008 y el QVP, esta herramienta tiene el fin de servir de guía para que el trabajo y desarrollo de actividades de la organización se encuentren en un ciclo de mejora continua y pueda considerar postular a una certificación de su sistema de gestión dentro del almacén. Los resultados obtenidos fueron satisfactorios y de acuerdo a las expectativas de la empresa.Como resultado de la implementación del Máster Plan, seguimiento de acciones y actividades se cumplieron los requisitos del SGC y BPA, entre los que destacamos el desarrollo de procedimientos para el sistema, registros para control y monitoreo de actividades, 223 horas de entrenamiento para el personal del almacén,  5 LPP’s de entrenamiento, actividades en conjunto con personal contratista tercero. Es importante mencionar la estructuración del esquema de trazabilidad de la organización en este periodo. El Máster Plan fue desarrollado de tal forma que pudiera cumplir los requisitos de la norma como del QVP, es importante mencionar que al final del ciclo de trabajo se cerró la implementación del QVP con un 99% de los requisitos necesarios.Se concluyó el periodo de implementación, cumpliendo con el principal objetivo: lograr que el sistema de gestión de la organización entre en un ciclo de mejora continua.</t>
  </si>
  <si>
    <t>https://drive.google.com/file/d/18z_w900zoao2SvH1buqibnHw9lqEm5U_/view?usp=sharing</t>
  </si>
  <si>
    <t>https://drive.google.com/file/d/1vdvMS8Q2FmkM5lSfxEnVVMXg6BJAJXas/view?usp=sharing</t>
  </si>
  <si>
    <t>https://drive.google.com/file/d/1dLPmJAoRKgAwT1PA9HEski0cIWaRPu6q/view?usp=sharing</t>
  </si>
  <si>
    <t>CHARLES SOLIZ CHOQUE</t>
  </si>
  <si>
    <t>ING. CELSO GRUSBER FILIGRANA AGREDA</t>
  </si>
  <si>
    <t>ESTUDIO DE FACTIBILIDAD PARA IMPLANTAR UNA EMPRESA DE INSTALACIÓN DE REDES DE GAS DOMICILIARIO EN COCHABAMBA</t>
  </si>
  <si>
    <t>csoliz1@gmail.com</t>
  </si>
  <si>
    <t>IND-725-2015</t>
  </si>
  <si>
    <t>Gas domiciliario, Gas Natural (GN), YPFB redes de gas, Categoría comercial, Estudio de Factibilidad.</t>
  </si>
  <si>
    <t>Inicialmente se realizó una revisión documental de las empresas que actualmente operan en el sector de estudio del proyecto (Municipio de Cochabamba), donde básicamente se podía verificar que existía falencia de empresas que podían cubrir con toda la demanda. Se solicitó a la estatal YPFB redes de gas a través de una entrevista datos sobre la demanda oferta y precio, de donde solamente se pudo obtener el precio y la oferta. Para completar la información se realiza un estudio de cobertura mediante la técnica de la encuesta a través de un muestreo polietapico, el cual nos arrojó una demanda acumulada de 49920 instalaciones y se pronosticó un crecimiento de 2000 instalaciones año, con todo lo anterior se estimó que la demanda anual es de 12.000 instalaciones año, y la oferta es de 10.000 instalaciones estando cubierta el 90% de la demanda, el proyecto contribuirá con el 2,5% de la demanda inicialmente y al final con un 3%.El precio ya quedo determinada en 105 Bs el metro, también por otro lado se identificó que la promoción y distribución estará a cargo de YPFB redes de gas. Posteriormente se realizó el estudio de ingeniería donde de determino que la capacidad de producción será de 52 instalaciones por ciclo que equivale a 26 instalaciones mes teniendo un crecimiento anual estimado de 5% a ritmo de nuestras instalaciones. Para cumplir con lo anterior se determinó que será necesario dos grupos de instalación como personal operativo que estarán conformadas por un técnico Instalador y un ayudante cada uno. Como personal administrativo se tiene a un representante legal y gerente general (estos dos conformaran una sociedad tipo S.R.L. con la totalidad de aportes de capital) una secretaria y un Técnico proyectista.El tiempo de duración del proyecto está para cinco años siendo la ejecución en un lapso de seis meses como tiempo mínimo. El proyecto operara con todas los requerimientos legales, además se verifico que la Agencia Nacional de Hidrocarburos (ANH) trabaja de esta manera.Por último se hizo un análisis económico donde de determino resultados muy positivos ya que la rentabilidad esperada es de un 22,21% de retorno de la inversión comparado con la tasa de mínima de oportunidad  que es del 12%. El VAN esperado es de 68.027 Bs y un beneficio costo del 1,29. Con estos indicadores financieros se puede concluir que el proyecto es  rentable y factible.Como principales recomendaciones se estableció que en la implementación se aplique las mejoras propuestas en los procesos de pintado por inmersión, y el uso de herramientas eléctricas. El mercado nicho estudiado está ya en recesión esto quiere decir que de aquí a cinco años habrá la necesidad de cambiar nuestro nicho si es que el inversionista quiere continuar el proyecto, que a nivel general todo el oriente del país y provincias del departamento no superan el 40% de cobertura.</t>
  </si>
  <si>
    <t>https://drive.google.com/file/d/1Q2GYwhMNtqZ_bfl6n1ydRfTdpxA-a50q/view?usp=sharing</t>
  </si>
  <si>
    <t>https://drive.google.com/file/d/1EnkkrIrMFl3ALoY6ZsjRoZ1dApOKujMe/view?usp=sharing</t>
  </si>
  <si>
    <t>https://drive.google.com/file/d/1e8SFPCRlJd9RXM5AJ_HelBGSify9iH1c/view?usp=sharing</t>
  </si>
  <si>
    <t>AGUIRRE ANTEZANA  MARION</t>
  </si>
  <si>
    <t>DISEÑO DE UN MODELO DE CULTURA ORGANIZACIONAL PARA MEJORAR LAS RELACIONES HUMANAS EN LA UNIDAD DE COBOCE CONSTRUCCIONES</t>
  </si>
  <si>
    <t>@hotmail.com</t>
  </si>
  <si>
    <t>IND-726-2015</t>
  </si>
  <si>
    <t>CULTURA ORGANIZACIONAL, RECURSOS HUMANOS</t>
  </si>
  <si>
    <t>COBOCE Construcciones es una empresa con más de 15 años en el rubro de la construcción contribuyendo al desarrollo de la región a través de la ejecución de diferentes proyectos habitacionales, edificios, urbanizaciones, condominios, viviendas, construcciones para fábricas. El equipo de trabajo se encuentra conformado por 15 personas bajo una estructura organizacional funcional de tres niveles: estratégico, táctico y operativo.Se ha podido observar que al interior de esta estructura existe un evidente deterioro de las relaciones humanas entre los trabajadores, así como una cultura organizacional incipiente, es por ello que se ha procedido en una primera etapa a recabar mayor información de los mencionados problemas a través del diseño y tabulación de encuestas y cuyo resultado refleja los siguientes aspectos: existe una comunicación deficiente entre mandos altos medios y bajos, ausencia de un liderazgo eficiente, clima laboral inarmónico, escaso trabajo en equipo, elevada tasa de desmotivación.El presente proyecto plantea el “Diseño de un Modelo de Cultura Organizacional para mejorar las Relaciones Humanas en la unidad de COBOCE Construcciones” con una propuesta concerniente en la elaboración, ejecución y control de doce talleres de capacitación impartidos durante un año y que tengan como objetivo principal; mejorar la comunicación al interior del grupo de trabajo, lograr mayores niveles motivacionales, generar un liderazgo eficiente, crear un clima laboral armónico, generar los valores, normas, comportamientos que sean el cimiento de una cultura organizacional solida al interior de la unidad.    Para la correcta implementación del modelo se han definido indicadores de gestión con sus respectivos inductores de acción que permitirán la evaluación y mejora continua de la propuesta.Se han desarrollado también políticas motivacionales para lograr integrar de una mejor manera al personal, reconocer su esfuerzo y aporte a la unidad, mejorar su entorno de trabajo. El presupuesto para la ejecución del modelo es de BOB 60.000,16 y deberá ser desembolsado de acuerdo al cronograma de actividades.</t>
  </si>
  <si>
    <t>https://drive.google.com/file/d/1YLIrz64_B_EqrywSNbI0jwJQ66sY7L8S/view?usp=sharing</t>
  </si>
  <si>
    <t>https://drive.google.com/file/d/1o4J-57ylNd9KEKCEp5Ey5sH7hcq8v_dd/view?usp=sharing</t>
  </si>
  <si>
    <t>https://drive.google.com/file/d/12UxAODoxvSsH5X14PiQ8etSimwxs8sFx/view?usp=sharing</t>
  </si>
  <si>
    <t>DENNIS ADAN TORREZ JAIMEZ</t>
  </si>
  <si>
    <t>ING. JOSE ROBERTO SOTO SOLIZ</t>
  </si>
  <si>
    <t>PROPUESTA DE UN SISTEMA DE GESTION AMBIENTAL PARA EL DEPARTAMENTO DE QUIMICA DE LA FACULTAD DE CIENCIAS Y TECNOLOGÍA DE LA U.M.S.S.</t>
  </si>
  <si>
    <t>adantj@hotmail.es</t>
  </si>
  <si>
    <t>IND-727-2015</t>
  </si>
  <si>
    <t>Política Ambiental, Sistema de Gestión Ambiental, Monitoreo y Mediciones Ambientales, Programa de Gestión Ambienta.</t>
  </si>
  <si>
    <t>Se realizo la descripcion del departamento de quimica, donde se hace mencion la historia, caracteristicas y ubicación del departamento de quimica,  tambien se hace mención a los valores y pricipios que inculca dicho departamento, tales como responsabilidad, equidad, autonomia, liderazgo y otros, y analizando la estructura organica y el recurso humano que lo compone, esplicando los elementos que intervienen en el procesos de enseñanza y aprendizaje, sin olvidar de mencionar que el Departamento de Química se constituye como una unidad de referencia tanto a nivel regional, nacional, e internacional.En un diagnostico inicia ambiental del departamento de quimica, se analizaron requisitos de la norma ISO 14001, dandonos como resultado que el Departamento de Química no cuenta con un Sistema de Gestión Ambiental y no se vislumbra en el corto plazo que se trate este tema, no cuenta con una Política Ambiental lo cual se refleja en las respuestas emitidas por las autoridades a la interrogante planteada en la lista de verificación, al igual de lo que ocurre en los dos puntos anteriores, no desarrolla actividades de planificación acerca de aspectos ambientales, Si bien el Departamento de Química cuenta con su manual de funciones, donde se establece las funciones, responsabilidades y sus autoridades, no cuenta con mecanismos que permitan el mejoramiento de este, el Departamento de Química no establece ni mantiene procedimientos para monitorear y medir periódicamente las operaciones y actividades que pueden tener impacto significativo en el medio ambiente.El diseño de Sistema de Gestión Ambiental se desarrolló cumpliendo la metodología de Deming, que se basa fundamentalmente en las etapas de planificación, implementación, verificación y control, Tomando en cuenta las actividades y características propias del Departamento de Química y los requisitos de la norma ISO 14001 se elaboró la propuesta de política ambiental. Se realizo el plan ambiental donde se establecen y planifican distintos objetivos y metas ambientales a partir de la política ambiental y de la jerarquización de los aspectos ambientales, se conformo un comité de gesion ambiental, con la estructura organica del departamento de quimica.Es necesario realizar inversion para la implementacion del sistema de gestion ambiental, sin dejar de lado el ahorro que generara y los gastos que que vinculara la sostenibilidad del sistema de gestion ambiental, haciendo evaluacion financiera dandonos como resultado Inversión inicial de $ 16.167, Egresos anuales de $ 2.094, Ingresos anuales de  $ 4.872 y una TIR de 23.2%, por tanto se concluya que este proyecto es viable.</t>
  </si>
  <si>
    <t>https://drive.google.com/file/d/18ma4oDfj1Ck4O1vqQGLnYSFcah14Ws-y/view?usp=sharing</t>
  </si>
  <si>
    <t>https://drive.google.com/file/d/1Fg2AahnBxf5EbfcLD3r_Gl-eJvRCwEo1/view?usp=sharing</t>
  </si>
  <si>
    <t>https://drive.google.com/file/d/1up-gGUvwvSI_eTyZO4EUB-rY-XYxEBm0/view?usp=sharing</t>
  </si>
  <si>
    <t>JUAN PABLO ARANDIA GARCIA</t>
  </si>
  <si>
    <t>CUELLAR ARCE LUIS GUSTAVO</t>
  </si>
  <si>
    <t>ING. CARLOS G. ACEVEDO PEÑA</t>
  </si>
  <si>
    <t>PLAN DE APOYO PARA LA CERTIFICACIÓN DE INOCUIDAD ALIMENTARIA AL SENASAG Y SEDES PARA LAS PYMES DEL CLÚSTER DE ALIMENTOS COCHABAMBA</t>
  </si>
  <si>
    <t>cosasimposibles@live.com</t>
  </si>
  <si>
    <t>IND-728-2015</t>
  </si>
  <si>
    <t>Certificación de Inocuidad Alimentaria, Certificación Senasag y Sedes.</t>
  </si>
  <si>
    <t>En el ambiente empresarial en el sector de los alimentos, es indispensable hablar de la inocuidad, siendo esta la característica  primordial que se debe  cumplir, ya que un producto inocuo dice al cliente que este no es dañino para su salud y cumple con las normas de salubridad establecidas por entes reguladores y certificadores.Hoy en día los clientes son más conocedores y exigentes con lo que consumen, es por esta razón que es primordial el tener un producto inocuo, ante esta situación el Clúster de Alimentos Cochabamba realiza sinergias, proporcionando un enlace entre las empresas, gobierno y la universidad, creando puentes de información, generando y aplicando conocimiento técnico- científico de innovación, desarrollo, procesos productivos, marketing y muchos otros temas relacionados, que son de importante relevancia para las empresas vinculadas al Clúster.El diseño del plan de apoyo para la certificación de la inocuidad alimentaria en las PyMEs del Clúster de Alimentos Cochabamba, se constituirá en una herramienta útil para las empresas que desean optar por el certificado de inocuidad alimentaria, otorgado por dos entes certificadores los cuales son: SEDES Y SENASAG.Para realizar este proyecto inicialmente se trabajó con 2 empresas: Yo Plus (lácteos) y Andes Trópico (cereales) convirtiéndose en nuestros casos de estudio. En función a los diagnósticos se dio solución a las no conformidades, de corto y mediano plazo, en los aspectos de las buenas prácticas de manufactura, observados en ambas empresas por el ente certificador. Se elaboró los manuales para obtener la certificación de Inocuidad Alimentaria del Senasag y Sedes para las PyMEs del Clúster de Alimentos Cochabamba.Con este plan de apoyo para las PyMEs del Clúster de Alimentos Cochabamba, permitirá  minimizar de manera considerable los costos para  calificar y acceder a la certificación de inocuidad alimentaria, maximizando los beneficios al empresario en cuestión de competitividad y participación en el mercado local y nacional.</t>
  </si>
  <si>
    <t>https://drive.google.com/file/d/1p1u2Frmjy6mLvtiG26tV90GGHrrFlztp/view?usp=sharing</t>
  </si>
  <si>
    <t>https://drive.google.com/file/d/1VxonN8FuKtAZvm08Na8t4A6hNtjdYDrD/view?usp=sharing</t>
  </si>
  <si>
    <t>https://drive.google.com/file/d/1ols_uXjXqaIprY2mAO04bftbIgVc0MrN/view?usp=sharing</t>
  </si>
  <si>
    <t>SERGIO LUIS ROJAS PAREDES</t>
  </si>
  <si>
    <t>ING. MIRTHA FABIOLA LUJAN LIZARAZU</t>
  </si>
  <si>
    <t>DISEÑO DE UN PLANA SEGURIDAD E HIGIENE OCUPACIONAL PARA LA INDUSTRIA PANIFICADORA INPASA</t>
  </si>
  <si>
    <t>IND-729-2015</t>
  </si>
  <si>
    <t>EPPs, SyHO</t>
  </si>
  <si>
    <t>El objetivo del proyecto fue de realizar el Diseño de un Plan de Seguridad e Higiene Ocupacional para la INDUSTRIA PANIFICADORA INPASASe realizó un diagnostico preliminar a la INDUSTRIA PANIFICADORA INPASA donde se pudo recabar toda la información necesaria acerca de las actividades, proceso productivo, estructura orgánica, instalaciones, etc. Toda esta información recabada nos permitió conocer las condiciones actuales de la INDUSTRIA PANIFICADORA INPASA en cuanto a seguridad e higiene ocupacional.Con toda la información recabada se procedió a la identificación de riesgos, la cual se la llevó adelante mediante un análisis de cada área de la empresa, considerando todos los riesgos, durante el proceso productivo. Una vez ya habiendo identificado todos y cada uno de los riesgos existentes en la industria, se realizó la evaluación de los mismos, mediante el método general de evaluación de riesgos, donde se creó matrices de evaluación de probabilidad vs consecuencia  matrices que nos sirven para darle un valor al riesgo y así proponer soluciones y acciones correctivas que puedan minimizar los riesgos anteriormente identificados.Después de haber realizado tanto la identificación como la evaluación de los riesgos se elaboró el diseño del plan de seguridad industrial, con el desarrollo de este plan se pretende minimizar los riesgos de la empresa, mejorar el rendimiento del área de producción de la empresa, todo esto con la propuesta de la organización de la Seguridad e higiene Ocupacional para la empresa, un plan de capacitaciones, un registro de accidentes y enfermedades ocupacionales, un mapa de rutas de evacuación, una propuesta de equipos de protección individual completos para todo el personal de Producción, señalización para todas las aéreas.Por último se estimó el costo total que representaría la aplicación del Diseño del Plan de seguridad e higiene Ocupacional.</t>
  </si>
  <si>
    <t>https://drive.google.com/file/d/12pXBr78ztuIChXMp_bp_jUOfVNevPP3a/view?usp=sharing</t>
  </si>
  <si>
    <t>https://drive.google.com/file/d/1NIJcHoeWBe28WBsXbG5ViF6LrtFTtTnv/view?usp=sharing</t>
  </si>
  <si>
    <t>https://drive.google.com/file/d/1cMFJohMyjGrBGoaNiN1xiQItuba7grAc/view?usp=sharing</t>
  </si>
  <si>
    <t>CARLOS EDUARDO GUTIÉRREZ SÁNCHEZ</t>
  </si>
  <si>
    <t>DAE MCA ING. RAFAEL TERRAZAS PASTOR</t>
  </si>
  <si>
    <t>PROYECTO DE FACTIBILIDAD PARA LA IMPLEMENTACIÓN DE UNA PLANTA DE ELABORACIÓN DE QUESO MADURADO</t>
  </si>
  <si>
    <t>ce_gs@hotmail.com</t>
  </si>
  <si>
    <t>IND-730-2016</t>
  </si>
  <si>
    <t>Queso madurado, Camembert, Gruyere, Queso Azul, Edam, Penicillium Candidum, Penicillium Roqueforti, Maduración, Evaluación financiera, Análisis de sensibilidad.</t>
  </si>
  <si>
    <t>El estudio comenzó con la caracterización y análisis del sector a través de los análisis FODA y de 5 Fuerzas de Porter; durante la investigación de mercado se definieron los quesos madurados a producir por el proyecto por medio de un grupo focal; cuyo resultado arrojó cuatro quesos: Camembert, Edam, Queso Azul y Gruyere. En el análisis de la demanda se definió a la población como: “Familias que viven en el municipio de Cercado en Cochabamba en el año 2014” analizando luego una muestra de 580 de la misma. Después de la recolección de datos a través de una encuesta, se ha determinado que el consumo anual per cápita de queso madurado para Cochabamba es de 2.21 kg/año, proyectando luego la demanda. También se analizó el mercado competidor, proveedor y distribuidor. Se determinó también el precio de los quesos.Posteriormente se definió el tamaño del proyecto sea de 1,000 L/día, también se definió la localización del mismo en Apote, Tiquipaya en el departamento de Cochabamba; con éstas variables definidas se definió la tecnología del proyecto, analizando los procesos, realizando los balances de masa y energía, determinando la maquinaria y equipos a utilizar. También se definió la distribución espacial e interna del proyecto y el programa de producción.A continuación se delimitaron los puestos de trabajo, sus principales funciones y responsabilidades, obteniendo el organigrama y los sueldos. También se definieron los aspectos legales del proyecto y la planificación del mismo.Por último, se determinó el presupuesto de inversiones teniendo una inversión total de 2,044,796.05 Bs, se determinó también la estructura de financiamiento siendo la inversión cubierta en un 27.84% por el aporte propio y en 72.16% por un préstamo. Se realizó la evaluación financiera obteniendo una TIR del 24.59% y un VAN de 73,973.74 USD, se determinó que la relación Beneficio/Costo es de 1.07 y que el periodo de recuperación de capital es de 6 años.  A lo largo del presente se ha demostrado que el proyecto es factible financiera y técnicamente.</t>
  </si>
  <si>
    <t>https://drive.google.com/file/d/1UEtq-SYnb_kO3NOQJ5SgyPJzIYxtD79_/view?usp=sharing</t>
  </si>
  <si>
    <t>https://drive.google.com/file/d/1SEGkJB8YmjJU2ZIPBvwlaVBrjwJBYX4Z/view?usp=sharing</t>
  </si>
  <si>
    <t>https://drive.google.com/file/d/14IabwsIfcn74_--Vrn1ARqKQaa7np7l_/view?usp=sharing</t>
  </si>
  <si>
    <t>CARLOS ALBERTO CABERO ANTEZANA</t>
  </si>
  <si>
    <t>MODELO DE PLANIFICACIÓN Y CONTROL DE PRODUCCIÓN PARA LA EMPRESA MOPAR S.A.</t>
  </si>
  <si>
    <t>carlos.cabero.a@gmail.com</t>
  </si>
  <si>
    <t>IND-731-2015</t>
  </si>
  <si>
    <t>Empresa metal mecánica, MOPAR, Producción a pedido, Secuenciación, Planificación y control de la producción, Planificación y programación detallada de la producción, Gestión de inventarios.</t>
  </si>
  <si>
    <t>La empresa MOPAR S.A., ha visto por conveniente realizar un modelo de planificación y control de la producción, debido a un creciente mercado de la industria automotriz de transporte de pasajeros y servicios.Primeramente se realizó la una descripción y diagnóstico de la empresa MOPAR S.A., posteriormente se realizó una estimación de ventas, por métodos cuantitativos y cualitativos, tomando en cuenta el entorno interno y externo donde se desenvuelve la planificación y control de la producción. Una vez obtenida la estimación de ventas se planteó una posible configuración de pedidos, iniciándose la simulación del modelo, permitiendo desarrollar el plan agregado de producción considerando los recursos disponibles (horas extras, subcontrataciones, mano de obra polivalente, etc.)A partir del plan agregado de producción se obtiene el plan maestro de producción, que determina las fechas de entrega de cada producto, el cual sirve de insumo para el plan de requerimiento de materiales.Para finalizar con la simulación del modelo se desarrolla la gestión de inventarios, donde en una primera etapa se realiza la clasificación de los materiales de los productos de acuerdo al criterio de Paretto, en una segunda etapa se emplea, de acuerdo al análisis de la demanda (Regla de Peterson-Silver) la gestión determinística o no de los inventarios.En el siguiente paso se procedió a realizar los costos, beneficios y la determinación del modelo.Por último se plantea un cronograma de implementación del Modelo de Planificación y Control de la producción, el cual permite mejorar los niveles de productividad y competitividad de la empresa MOPAR S.A.</t>
  </si>
  <si>
    <t>https://drive.google.com/file/d/18RVxjGlYBge1oZ8ZsTHKm7IpGY_x9iY6/view?usp=sharing</t>
  </si>
  <si>
    <t>https://drive.google.com/file/d/112VuDMScerZy-iMP_57c5F4owhg28prl/view?usp=sharing</t>
  </si>
  <si>
    <t>https://drive.google.com/file/d/1iLfqW0r6buNFvU4rrFG66-RMjOXsca6b/view?usp=sharing</t>
  </si>
  <si>
    <t>MILTON TRIGO CHAVEZ</t>
  </si>
  <si>
    <t>MGR. ING. ALEX D’ANCHGELO CHOQUE FLORES</t>
  </si>
  <si>
    <t>PLAN DE SEGURIDAD Y SALUD OCUPACIONAL PARA LA EMPRESA “EL SOL” BASADO EN LA NORMA OHSAS 18001:2008</t>
  </si>
  <si>
    <t>milton717@hotmail.com</t>
  </si>
  <si>
    <t>IND-732-2015</t>
  </si>
  <si>
    <t>Seguridad Industrial, Salud Ocupacional, WILLIAM FINE, IPER, OHSAS 18001, Señalización, Evacuación, Taller de sombrillas “EL SOL”.</t>
  </si>
  <si>
    <t>Se vio por conveniente la aplicación de un plan de seguridad y salud ocupacional a La empresa manufacturera de sombrillas y toldos “EL SOL”, debido al surgimiento de accidentes laborales en los últimos años y al continuo crecimiento de la empresa. Inicialmente se realizó un estudio y un diagnóstico de la situación actual en que la empresa se encuentra, y se obtuvo la información disponible y necesaria acerca de las actividades, procesos de producción,  organización, infraestructura, ambientes laborales, condiciones de trabajo, etc. Todo ello con el fin de conocer a mayor profundidad las características y particularidades que la empresa presenta en temas de seguridad industrial y salud ocupacional. Y posteriormente se cumplieron con los requisitos legales nacionales como la Ley General de Higiene, Seguridad Ocupacional y Bienestar e internacionales como la norma OHSAS 18001:2008.Posteriormente se realizó la Identificación de Peligros y Evaluación de Riesgos de todas las áreas de la empresa, interviniendo directamente en los peligros encontrados como manipulación de cargas pesadas por parte del personal, trabajos en altura, niveles de ruido elevados, iluminación baja en puestos de trabajo, etc. Que posteriormente fueron eliminados o minimizados mediante controles de ingeniería, controles administrativos y dotación de Equipo de Protección Personal. Se calculó la cantidad exacta de extintores de fuego de clase ABC necesarios para la empresa, según el tipo de combustible y carga de fuego de cada área de trabajo.Una vez conocido, estudiado y mejorado las condiciones deficientes de seguridad en la empresa se realizó un conjunto de manuales, éstos detallan los procedimientos seguros a llevarse en todas las actividades productivas que presentaban ciertos riesgos a sufrir accidentes. Con la ayuda de documentos informativos como ser el uso correcto de extintores, señalización adecuada, plano general de la empresa, plano de señalización y evacuación, mapa de riesgos, planes de evacuación, etc. Se logró implantar un formato general del uso y aplicación del plan de seguridad y salud ocupacional con el fin de disminuir o eliminar todos los riesgos presentes en la empresa, además de culturizar a todo el personal a cerca de conciencia de cuidados personales y realización de trabajos seguros.</t>
  </si>
  <si>
    <t>https://drive.google.com/file/d/12kgtEkYOSp2e09AqIysMJXsV6epfpB_l/view?usp=sharing</t>
  </si>
  <si>
    <t>https://drive.google.com/file/d/14ddQgqdVa7Ma2zJsDKXwIFbKgwOZeW0H/view?usp=sharing</t>
  </si>
  <si>
    <t>https://drive.google.com/file/d/17xvMCx-vhvSOYz-23UtX8hWU_6D3wVEa/view?usp=sharing</t>
  </si>
  <si>
    <t>AGUILAR PACAJES NAPOLEÓN</t>
  </si>
  <si>
    <t>HURTADO PACHECO ADRIAN</t>
  </si>
  <si>
    <t>ING. GROVER PEREIRA</t>
  </si>
  <si>
    <t>ESTUDIO DE FACTIBILIDAD PARA LA IMPLEMENTACIÓN DE UNA PLANTA EXTRACTORA DE ACEITE EXTRA VIRGEN DE SACHA INCHI EN IVIRGARZAMA</t>
  </si>
  <si>
    <t>adrsit_33@hotmail.com</t>
  </si>
  <si>
    <t>IND-733-2015</t>
  </si>
  <si>
    <t>Producción de aceite de Sacha Inchi, Distribución de planta, Evaluación Financiera, Análisis sensibilidad, Evaluación Impacto Ambiental.</t>
  </si>
  <si>
    <t>Primeramente se realizó un diagnostico situación actual del Sacha Inchi, determinando las causas del problema estudiado y su justificación, luego se procede a una investigación de mercado en Cercado de Cochabamba, debido a la inexistencia de datos históricos de la demanda y oferta se procede a realizar el estudio mediante encuestas, teniendo como resultados un 86% de aceptación  para la producción de aceite extra virgen de Sacha Inchi, de la misma manera se determina la proyección de demanda efectiva. Así mismo se planteó la disponibilidad de materia prima que se tendrá durante la vida del proyecto, materiales necesarios y gastos, que incurren para el óptimo funcionamiento del proceso de la planta, respecto a los materiales se aprecia que existen una buena cantidad de proveedores por lo que no representa un problema para nuestro proyecto.Posteriormente se definió el tamaño y localización del proyecto haciendo un análisis cualitativo de puntos, en el cual ganó por ponderación el municipio de Ivirgarzama del departamento de Cochabamba requiriendo una superficie de 900 m2 para la instalación de planta.Considerando que la proyecto pretende ingresar al mercado con el 12,8% el primer año, con una demanda efectiva de 74.345 L/año, de esta manera lograr el conocimiento de la marca y competir con las pequeñas empresas, incrementando el quinto año su producción en un 24% teniendo una demanda efectiva de 149.779 L/Año.Para el tamaño y crecimiento del proyecto, se dimensionó los ambientes para la planta y el requerimiento de maquinaria y equipos, materia prima, materiales e insumos necesarios para tales volúmenes de producción.Se hizo el estudio organizacional, definiendo el diagrama organizacional de la planta, las funciones de cada trabajador y su respectiva estimación de salarial.Posteriormente se determinó evaluación financiera, para un proyecto puro y con financiamiento respectivamente, utilizando una tasa de descuento de 12,18%. El VAN para el proyecto puro es 608.070 Bs., considerando para una TMAR de 12,18%, se tiene un TIR de 17,76%, una relación B/C de 0,24 Bs. y con TRI de 2,31 años.El VAN para el proyecto con financiamiento es 1.016.608 Bs., considerando para una TMAR de 12,18%, se tiene un TIR de 26,06%, una relación B/C de 1,03 Bs. y con TRI de 3,24 años. También se realizó un análisis de sensibilidad para demonstrar hasta qué punto el proyecto puede mantener su rentabilidad, en nuestro estudio se tomó las variables que más influyen: la cantidad vendida disminuyendo en 17%, precio de venta del producto reduciendo en 15%, precio de compra de la materia prima aumentando en 8% y duplicando la tasa de interés de financiamiento en 12.66% para todo el proyecto aun así presenta una rentabilidad aceptable.Finalmente se concluyó con una Evaluación de Impacto Ambiental de acuerdo a Ley 1333, donde el proyecto se ubica en la categoría III, el estudio en sus etapas de ejecución y operación, muestra  que los impactos negativos que el proyecto puede causar no son tan altos y pueden ser minimizados inclusive eliminados con medidas simples, en cambio los impactos positivos muestras efectos ambientales menores.Por tanto se concluye que el proyecto es factible financieramente, considerando los estudios realizados en el área de mercado, localización de la planta, ingeniería de proyecto, organización de la planta, la planificación de ejecución del proyecto y de ser viable desde un punto de vista ambiental.</t>
  </si>
  <si>
    <t>https://drive.google.com/file/d/1CPgDiHaodTVb82LFaHXxhITsefVw1eAs/view?usp=sharing</t>
  </si>
  <si>
    <t>https://drive.google.com/file/d/1dc4LuhGPQGuGgjAdx5dMLwj3dO2JBAMC/view?usp=sharing</t>
  </si>
  <si>
    <t>https://drive.google.com/file/d/15sLzzrKlEHYhAerAlXaxgVcCmP80xkiV/view?usp=sharing</t>
  </si>
  <si>
    <t>GUDNAR NUÑEZ VELIZ</t>
  </si>
  <si>
    <t>DISEÑO DE UN PLAN ESTRATÉGICO PARA UN CENTRO DE INNOVACIÓN EN BASE A LA UTT DE LA FACULTAD DE CIENCIAS Y TECNOLOGÍA.</t>
  </si>
  <si>
    <t>gudnarnv@hotmail.com</t>
  </si>
  <si>
    <t>IND-734-2015</t>
  </si>
  <si>
    <t>Innovación, Vinculación, Emprendimiento, Economía Del Conocimiento, Modelo De La Triple Hélice.</t>
  </si>
  <si>
    <t>En primer lugar, para poder cumplir con los objetivos propuestos en el proceso de investigación se realizó el diseño metodológico, considerando herramientas relacionados con procesos de planificación estratégica y procesos de innovación, vinculación y transferencia de tecnología desde la Universidad además se interpretó la situación actual de la Unidad de Transferencia de Tecnología [UTT] y las capacidades de los centros de investigación de la Facultad Ciencias y Tecnología, además, se describen algunos aspectos sobre la innovación universitaria, continuando con una síntesis referente a la situación del contexto de la innovación en Bolivia y en la Universidad Mayor de San Simón [UMSS], especificando los aspectos y factores más relevantes para la investigación.Posteriormente se realizó la formulación del perfil estratégico para el funcionamiento de un Centro de Innovación adecuado a la FCyT de la UMSS, para lo cual se consideró aspectos relacionados a la innovación, vinculación, emprendimiento y transferencia de tecnología desde la universidad. Asimismo para apoyar el proceso de control y evaluaciones de actividades, servicios, funciones, etc., planteadas dentro del perfil estratégico, se procedió a diseñar un sistema de control y seguimiento utilizando el mapa estratégico y el cuadro de mando integral. Se procedió a elaborar la estructura organizativa de tipo matricial con aspectos específicos para apoyar procesos de innovación, vinculación y emprendimiento, con áreas establecidas para cada función de la cadena de valor y con un sistema de control para cada área planteada.Dentro del proceso estratégico se desarrolló el diagnóstico interno para lo cual se hizo una evaluación a las capacidades, recursos y características adecuadas para procesos de investigación, interacción e innovación en la FCyT, logrando de esta manera identificar diversas capacidades y potencialidades que permitirían soportar la creación de un Centro de Innovación plasmados dentro de una Matriz de Evaluación de Factores Internos. Para el diagnóstico externo de desarrolló una encuesta al sector empresarial cochabambino sobre las actividades de innovación, vinculación y transferencia de tecnología, además se analizó información de páginas oficiales del gobierno y libros especializados, logrando extraer una serie de características y factores relevantes referentes a políticas, estructuras, recursos e intereses de actores inmersos en procesos de innovación y desarrollo de regionales y nacionales. Para este análisis se aplicó herramientas de análisis estratégico como ser: Análisis Porter, Matriz de Perfil Competitivo y Matriz de Evaluación de Factores Externos para apoyar el proceso de análisis, evidenciando que existen muchas oportunidades y pocas amenazas para el desenvolvimiento de una estructura desde el sector universitario con características del Centro de Innovación.Una vez realizado el análisis del contexto interno y externo, se formularon un total de 15 estrategias para el funcionamiento del Centro de Innovación en la FCyT, a través de un proceso de selección y priorización de estrategias, empleando las matrices BCG, PEYEA, FODA, la Matriz de la Gran Estrategia. Se empleó la Matriz Cuantitativa de la Planificación Estratégica, obteniendo un total de 7 estrategias para el funcionamiento del Centro de Innovación.Por ultimo atendiendo las exigencias de cada objetivo, y en base a las estrategias planteadas se desarrolló 3 planes de acción, los cuales están orientados a la dinamización de la innovación, la vinculación y el emprendimiento en diferentes ámbitos internos y externos, además de incrementar el impacto y el reconocimiento de las capacidades tanto del centro como de las capacidades de investigación y desarrollo de la Facultad.A partir del funcionamiento del Centro de innovación, se hace primordial que la Facultad y la Universidad asuman el reto de cumplir con la tercera misión que se basa principalmente en transferir sus conocimientos a los agentes sociales para contribuir al desarrollo social y de esta manera consolidar un proceso iniciado cuya finalidad es contar con una Estructura idónea que se constituya como foco de difusión, interacción y vinculación de las capacidades científicas y tecnológicas apropiado para incidir en el entorno regional, haciendo tangible el aporte de la Facultad y la Universidad, a través de la aplicación de conocimiento e innovación, al desarrollo tecnológico y productivo permitiendo además constituirse como parte fundamental dentro de los procesos y sistemas de innovación en la región y el país.</t>
  </si>
  <si>
    <t>https://drive.google.com/file/d/1pJSVfdFHyOgkcAsOFqqHVpM9yqW9vmxE/view?usp=sharing</t>
  </si>
  <si>
    <t>https://drive.google.com/file/d/1eSddolInrbiSs_Ud8kWBU9tbNRYXOfv1/view?usp=sharing</t>
  </si>
  <si>
    <t>https://drive.google.com/file/d/1kZ9WwFpskT-y_0aPH-z7nn2bUBKl0JOF/view?usp=sharing</t>
  </si>
  <si>
    <t>ARIEL GONZALES VELASCO</t>
  </si>
  <si>
    <t>DISEÑO DE UN SISTEMA DE PLANIFICACIÓN Y CONTROL DE LA PRODUCCIÓN DE LA EMPRESA CALRO</t>
  </si>
  <si>
    <t>arielgonzalesvelasco@gmail.com</t>
  </si>
  <si>
    <t>IND-735-2015</t>
  </si>
  <si>
    <t>Procesamiento, proceso productivo, matriz foda, tendencia, suavizamiento exponencial doble, pronósticos, inventario, clasificación abc, indicadores de gestión, indicadores económicos</t>
  </si>
  <si>
    <t>“CALRO” es una empresa familiar que empieza a funcionar el año 1983 por iniciativa del señor Gavino Romero, ubicando sus instalaciones en la provincia de Quillacollo km 16. De la ciudad de Cochabamba. La empresa se dedica al procesamiento de piedra caliza para sector pecuario debido al elevado porcentaje de calcio que tiene su materia prima  Primeramente se hizo una descripción y diagnostico específicamente del área de producción donde se describió los distintos productos, maquinarias y equipos, proceso productivo, almacenamiento del producto terminado y materia prima, condiciones de trabajo actual, planeación y control de la producción actual, aprovechando como entradas para el diagnóstico, donde se realizó la matriz FODAPosteriormente se analizó las ventas históricas de septiembre de 2012 a agosto de 2014 con la finalidad de estudiar el comportamiento y ser graficadas posteriormente, seguidamente por el proceso de tendencia que tienen los datos históricos se realizó pronósticos para los productos, con el método de suavizamiento exponencial doble. También se estudió la capacidad productiva máxima de los puestos de trabajo y la capacidad de producción actual donde se evidencio que la demanda es mayor a la capacidad actual en los productos granulado (1/8”) con 35% y arrocillo (1/16”) con 5% estimado  También se realizó el diseño de un modelo de inventarios que será utilizado para gestionar la materia prima y productos terminados, donde primeramente se analizó la materia prima y se propuso el modelo EOQ, seguidamente se analizó los productos terminados y se clásico por el método ABC que clásica según el ingreso económico de cada producto que posteriormente se propuso el modelo EOQ para los productos terminados.Seguidamente se realizó la planificación de la producción donde primeramente se realizó un plan productivo que se aprovecho la capacidad máxima de los puestos de trabajo con el propósito de aumentar la producción y de esta manera utilizar la nueva tasa de producción  para poder realizar el plan agregado.Además se realizó el control de la producción utilizando indicadores de gestión, controlando de esta manera la planificación, todos los indicadores sugeridos tienen como finalidad hacer cumplir lo planificado, también para un mejor control se diseñó registros de control para la producción y para almacén. Finalmente se realizó el análisis económico que mediante indicadores económicos se hizo la comparación entre ambas situaciones, con proyecto y sin proyecto, donde se concluye que el proyecto propuesto de planificación y control de la producción es válido, generando mayores beneficios económicos a la empresa “CALRO”</t>
  </si>
  <si>
    <t>https://drive.google.com/file/d/1IwidP5JyA2bBWy92C5kxMfJOz5Abyw8T/view?usp=sharing</t>
  </si>
  <si>
    <t>https://drive.google.com/file/d/1uE-uc7hTfTT5C1E1HJ7hSA9P4DU1lmlt/view?usp=sharing</t>
  </si>
  <si>
    <t>https://drive.google.com/file/d/1K-6LFoTc8JqiHCihZYvN_WJMbaqcA644/view?usp=sharing</t>
  </si>
  <si>
    <t>JULIO CESAR URQUIDI BARBOZA</t>
  </si>
  <si>
    <t>ING. FERNANDO ANZALDO ALVARADO</t>
  </si>
  <si>
    <t>ELABORACIÓN DE UN PLAN DE SEGURIDAD INDUSTRIAL E HIGIENE  OCUPACIONAL PARA LA INDUSTRIA MARTINEZ ULTRA TECH DOORS LTD.</t>
  </si>
  <si>
    <t>jcub.urquidi@gmail.com</t>
  </si>
  <si>
    <t>IND-736-2015</t>
  </si>
  <si>
    <t>Plan de Seguridad Industrial, Ley general de higiene y seguridad ocupacional y bienestar N° 16998, Resolución Administrativa N° 38/01, Metodología William Fine.</t>
  </si>
  <si>
    <t>El principal objetivo del presente proyecto de grado fue el de desarrollar un plan de seguridad industrial e higiene ocupacional basado en la resolución administrativa N°38/01. Este  se desarrolló en la empresa “Martinez Ultra Tech Doors Ltd.” una empresa que se dedica a la fabricación y exportación de productos forestales ubicada en la ciudad de Quillacollo en el departamento de Cochabamba – Bolivia.Los objetivos específicos fueron:·       Evaluar la situación actual de la empresa según la Ley General de Higiene y Seguridad Ocupacional y Bienestar N° 16998.  ·       Realizar la identificación de peligros en los diferentes puestos de trabajo, mediante inspecciones visuales y charlas con los trabajadores, registros pasados de accidentes. ·       Evaluar los riesgos asociados a los peligros identificados, jerarquizando aquellos que tengan una mayor incidencia sobre los trabajadores. Esta evaluación se la realizara mediante el método de William Fine. ·       Proponer medidas de control que disminuyan o eliminen el nivel de riesgo, permitiendo la mejora de las condiciones de trabajo del personal. ·       Dar cumplimiento con la normativa legal Boliviana.Para dar cumplimiento con los objetivos planteados se propuso una metodología que consta de 6 fases:  1.     Diagnostico2.     Recopilación de información3.     Análisis de la información4.     Identificación y evaluación de Peligros5.     Desarrollo del Plan de seguridad y salud ocupacional6.     Conclusiones y recomendacionesPrimeramente se observó todas las áreas de la empresa así como todo el proceso productivo, se realizaron entrevistas con el personal de gerencia de producción y financiera, debido a que la empresa en ese momento no contaba con un departamento de seguridad e higiene ocupacional, también se realizó entrevistas con el personal de planta y por último se revisó a los registros de denuncia de accidentes de trabajo.En la segunda fase se procedió a recopilar toda la información relacionada con temas de seguridad industrial (normas, leyes, resoluciones administrativas, resoluciones ministeriales), tanto a nivel nacional como internacional.   En la tercera fase, con en base a toda la información recolectada primeramente se elaboró un registro de cumplimiento de requisitos legales con la ayuda del representante legal de la empresa. En dicho registro se identificaron todos los artículos relacionados con la actividad que desarrolla la empresa y se analizó su cumplimento o no. Seguidamente se observó los resultados obtenidos de las mediciones de Ruido, Iluminación y de Material Particulado (todas estas mediciones fueron realizadas por un ente competente). Posteriormente se realizó un análisis y descripción de todas las áreas de la empresa logrando determinar las suficiencias y deficiencias que poseen dichas áreas, tomando en cuenta 4 puntos principales: Protección contra incendios, Higiene y Salud Ocupacional, Señalización y Condiciones ambientales; además de proponer medidas de control. Finalmente se examinaron los registros de denuncia de accidentes de los últimos 9 años, determinando cuales son las áreas más propensas a sufrirlos, así como el tipo de accidente más recurrente.En la cuarta fase se elaboró una matriz de identificación de peligros y evaluación de riesgos (IPER) utilizando el método de William Fine; se propuso medidas de control más concretas en función al nivel de riesgo que presenta cada peligro, tomando en cuenta la jerarquización para la reducción de los riesgos propuesta en la norma NB/OHSAS 18001. En la quinta fase con todos los resultados obtenidos se procedió a elaborar el plan de seguridad basado en la Resolución Administrativa N° 038/01. En este se describieron cada uno de los puntos mencionados en dicha resolución detallando todo lo que la empresa ejecuta en temas de seguridad industrial e higiene ocupacional y planteando obligaciones que la empresa debe realizar para cumplir a cabalidad con lo expresado en la ley.Como conclusión se cumplió con todos los objetivos trazados en el presente proyecto, brindando un documento en el cual se expresa todo lo realizado por la empresa en temas de seguridad conforme a lo dispuesto por ley, así como sus obligaciones para un total cumplimento de esta; conllevando al mejoramiento del ambiente laboral, protegiendo la integridad física de todos sus trabajadores. No obstante es obligación de todo el personal desde los mandos más altos hasta los inferiores cumplir con todas las recomendaciones planteadas, además de actualizarlo periódicamente según se implementen nuevos procesos productivos, compra de maquinaria, ampliaciones de la infraestructura, etc.</t>
  </si>
  <si>
    <t>https://drive.google.com/file/d/1gjCZJCB9vGWuA22VOjH37DO0BBiWOLiF/view?usp=sharing</t>
  </si>
  <si>
    <t>https://drive.google.com/file/d/19tx5OdhQdIHo_m8QqiNUPmOuB5emEfyH/view?usp=sharing</t>
  </si>
  <si>
    <t>https://drive.google.com/file/d/1jgqPrKrhny-oB42ogZ1I3RQ_wFrmQbQL/view?usp=sharing</t>
  </si>
  <si>
    <t>LUIS MIGUEL VELASCO CORDOVA</t>
  </si>
  <si>
    <t>LIC. LUIS VELASCO NOGUER</t>
  </si>
  <si>
    <t>IMPLEMENTACIÓN DE UNA PLANTA ELABORADORA DE HARINA DE SOYA INTEGRAL COMO INSUMO PARA LA ELABORACIÓN DE ALIMENTO BALANCEADO PARA AVES EN EL SECTOR DEL VALLE BAJO DE COCHABAMBA</t>
  </si>
  <si>
    <t>luis.velasco@nuevatel.com</t>
  </si>
  <si>
    <t>IND-737-2015</t>
  </si>
  <si>
    <t>Producción harina de soya integral, valle bajo de Cochabamba, Evaluación Financiera, Análisis sensibilidad, Evaluación Impacto Ambiental</t>
  </si>
  <si>
    <t>Primeramente se realizó un análisis de la situación de la producción avícola y producción de granos de soya en el país, más profundamente en el departamento de Cochabamba; donde se logró observar que existe una tendencia creciente en cuanto a la producción de aves y granos de soya, produciéndose este último en su totalidad en el oriente del país, más concretamente Santa Cruz. Posteriormente se realizó una investigación de Mercado a las zonas de mayor concentración de granjas, el valle bajo del departamento de Cochabamba, estudiando también los mercados de la competencia. Se pudo determinar que existe una demanda insatisfecha de harina de soya integral, como también se determinó la proyección de demanda de harina de soya integral para todo el horizonte de vida del proyecto.Considerando que el proyecto busca abarcar un 10 % del mercado local y cubrir la demanda efectiva para el proyecto se determinó que la capacidad de producción de la planta elaboradora de harina de soya integral debe producir Se definió la localización de la planta haciendo un análisis cualitativo de puntos, entre dos propuestas: Vinto y Montenegro (Sipe Sipe) en el cual la mejor ponderación fue la zona de Montenegro del municipio de Sipe Sipe y se definió un tamaño de terreno no menor a 1.000 mt2 para el emplazamiento de la planta. Se realizó también el estudio organizacional para la planta, definiendo el diagrama organizacional, las funciones y manual de funciones para cada trabajador, así también se definió  las planillas de salarios y gastos administrativos.En cuanto se refiere ya a la producción de harina de soya integral, se realizó la descripción detallada de cada etapa del proceso productivo, definiendo tres etapas importantes: Almacenamiento de materia prima, Procesamiento de Granos y Almacenamiento de producto terminado. La primera etapa comprende dos sub etapas la de control de calidad del grano de soya y su posterior registro; la segunda etapa comprende las sub etapas de zarandeado, cocción del grano, enfriado, molido y por ultimo embolsado, y la tercera etapa solo comprende el almacenaje y registro de producto terminado. En base a la información obtenida se preparó el escenario para poder realizar la evaluación financiera determinando un VAN de  $us 152.518,78; un TIR de 28,96%, una relación B/C de 2,27 y un punto de equilibrio de 10.560 unidades de producto.Posteriormente se realizó un análisis de sensibilidad donde fue mostrado que el costo de adquisición de materia prima y el descenso del precio de venta del producto son las variables más sensibles para la producción de harina de soya integral. Se definió una inversión total de $us 330.069. Para todo el proyecto con un 60% de financiamiento y un 40% de aporte propio.Finalmente se realizó con una Evaluación de Impacto Ambiental, donde se estudió al proyecto en sus etapas de ejecución y operación. Se encontró dos factores que podrían considerarse negativos, el ruido y reducción de la calidad de aire, sin embargo, se concluyó que no son factores de riesgo negativo considerables y se estableció medidas de mitigación para dichos factores.</t>
  </si>
  <si>
    <t>https://drive.google.com/file/d/1e5MyYR4xYEzUi9Iz-EVxRpz_r852T8S_/view?usp=sharing</t>
  </si>
  <si>
    <t>https://drive.google.com/file/d/1n-bzjru7KoQprgaH_nyiIMaf9WY0vWbn/view?usp=sharing</t>
  </si>
  <si>
    <t>https://drive.google.com/file/d/1owiGlD6qeeZcSLBxQZzkGBmROCMYmmTL/view?usp=sharing</t>
  </si>
  <si>
    <t>ROSMERY QUISPE ABASTO</t>
  </si>
  <si>
    <t>ELABORACIÓN DE UN DISEÑO DE MANTENIMIENTO PRODUCTIVO TOTAL (TPM) PARA LA EMPRESA PAPELERA VINTO SRL</t>
  </si>
  <si>
    <t>IND-738-2015</t>
  </si>
  <si>
    <t>TPM (Mantenimiento Productivo Total), Papelera Vinto SRL.</t>
  </si>
  <si>
    <t>El acelerado crecimiento que han desarrollado las industrias y negocios se debe a la admisión y aplicación de nuevos métodos y procedimientos que mejoren su productividad, los cuales han sido utilizados para lograr mejores resultados en cada uno de sus procesos. Dichos procedimientos, que antes eran adaptados únicamente por empresas grandes y tecnificadas, ahora se han trasformado en técnicas rutinarias que impulsan el progreso y la mejora de la productividad de cada empresa. Todo lo antes expuesto debe considerar situaciones actuales que permitan una optimización de las líneas productivas, que son la esencia misma en las plantas industriales, que proveen un resultado eficiente, haciendo prosperar la economía del proceso y en sí de la empresa. El TPM es una metodología, constituida por una sucesión de acciones sistematizadas que cuando son establecidas influyen para desarrollar la competitividad de una empresa de bienes y/o servicios. El TPM facilita distinguir una empresa respecto a sus competidores debido al efecto en la disminución de costos, reducción de tiempos de trabajo, alargamiento de ciclo de vida de las maquinarias y equipos.Con este proyecto se pretende eliminar los tiempos perdidos más representativos en producción en función a los equipos que generan más perdidas económicas en producción, para poder mejorar la productividad de la empresa.Es así, que se ha elaborado este diseño en situación de los análisis actuales de la disponibilidad de equipos en función a la criticidad, que conforman prioridad 1 de los equipos del proceso productivo dentro la empresa Papelera Vinto S.R.L. Con el propósito de facilitar la implementación del Mantenimiento Productivo total para los equipos de prioridad 1, y de esta manera se pretende estandarizar una metodología práctica que permita futuros estudios o proyectos a realizarse para la implementación total de la empresa.</t>
  </si>
  <si>
    <t>https://drive.google.com/file/d/1dPazI3FzoMOihxiSiLbZ0QhSSUk7iOZd/view?usp=sharing</t>
  </si>
  <si>
    <t>https://drive.google.com/file/d/1duzZI3X4NyphwW8Xr8KWZRNgZte3HTLE/view?usp=sharing</t>
  </si>
  <si>
    <t>https://drive.google.com/file/d/188B_uxZyVFVJ0d903MiEQ5Dr9iIQKurb/view?usp=sharing</t>
  </si>
  <si>
    <t>OLIVIA NATHALY LOPEZ ROCHA</t>
  </si>
  <si>
    <t>ING. OMAR DAVID PEREZ FUENTES</t>
  </si>
  <si>
    <t>PROYECTO DE FACTIBILIDAD PARA LA INSTALACIÓN DE UNA PLANTA INDUSTRIALIZADORA DE ARVEJA EN LA CIUDAD DE COCHABAMBA</t>
  </si>
  <si>
    <t>naholy2_fly@hotmail.com</t>
  </si>
  <si>
    <t>IND-739-2015</t>
  </si>
  <si>
    <t>Planta industrializadora de arveja en la ciudad de Cochabamba, arvejas rehidratadas, Proceso de enlatado</t>
  </si>
  <si>
    <t>Primeramente se realizó una investigación de Mercados para poder determinar y analizar la oferta y la demanda de arveja enlatada estos  están relacionados con las fuerzas que determinaran el comportamiento de los consumidores permite fijar el precio unitario. Para la localización de Planta se tomó en cuenta diferentes factores como la disponibilidad de mano de obra, costos de transporte y la disponibilidad de materia prima  con el fin de maximizar la ganancia y minimizar los costos, donde se definió la localización de planta por el método de análisis cualitativo localizar en la provincia Ayopaya ,2da sección de Morochata en la comunidad de Tuini, en un terreno de 1000 m2 aproximadamente.Según el estudio técnico se determinó tomar en cuenta 2 variables importantes para determinar la capacidad instalada de la planta industrializadora de arveja, la capacidad de  producción de arveja que entregaría la comunidad a la empresa, además la maquina principal que es la maquina enlatadora tiene una capacidad de enlatar 8 latas/min. Por lo que según la cantidad que nos entregara la comunidad se determinó enlatar 3 latas por minuto aumentando cada ano la capacidad instalada de un 80 %  al 100 %.Se tomó en cuenta los datos realizados en la simulación del proceso para poder determinar el proceso de producción de enlatado de arveja y el balance de masa, y según el diagrama de proceso de producción se quiere empezar con 13 empleados.Posteriormente se preparó la información para poder realizar la evaluación financiera determinando un VAN de 338.446,41 (Bs), un TIR de 28,37% y una relación B/C de 2,37 También se realizó un análisis de sensibilidad donde fue mostrado que el aumento del precio en la materia prima y el incremento de salarios son las variables más sensibles para determinar que el proyecto es afectado en forma muy próxima a un escenario pesimista. Se definió una inversión total de 1.018.038,15 Bs Para todo el proyecto definiendo un 30% de aporte propio y un 70% de financiamiento. La recuperación del capital fue determinado en un periodo de 8 años y 8 meses.Se concluyó con una Evaluación de Impacto Ambiental de acuerdo a ley 1333 y  el RAI que el proyecto pertenece a la categoría IV  por lo que no existe  en las etapas de ejecución y operación factores de riesgo negativo considerables.</t>
  </si>
  <si>
    <t>https://drive.google.com/file/d/1T49m6M_RLWIK8S2bBkpVnmWXBKbgv6mJ/view?usp=sharing</t>
  </si>
  <si>
    <t>https://drive.google.com/file/d/17YnbhGpNf3pPGUKW_j_L5bqM8j7yU8Z0/view?usp=sharing</t>
  </si>
  <si>
    <t>https://drive.google.com/file/d/1LidKi-IXQTi_5f75N2AvfY1p45dcBhhz/view?usp=sharing</t>
  </si>
  <si>
    <t>SÁNCHEZ SOLÍS MARY CRUZ</t>
  </si>
  <si>
    <t>DESARROLLO DE LOS REQUISITOS PARA LA CERTIFICACIÓN DE  LA CALIDAD DE PRODUCTO SEGÚN LA NORMA NB ISO 13006:2005 (PISOS Y REVESTIMIENTOS CERÁMICOS) PARA COBOCE CERÁMICA</t>
  </si>
  <si>
    <t>IND-739-2015-1</t>
  </si>
  <si>
    <t>Certificación de Producto. Norma Técnica NB ISO 13006:2005. Ley Validar los métodos de ensayo. Sello de Calidad.</t>
  </si>
  <si>
    <t>La empresa COBOCE Cerámica, a raíz de buscar mejoras dentro la misma, vio por conveniente desarrollar los requisitos para la certificación de la calidad de producto según la norma NB ISO 13006:2005 debido a que existe la oportunidad de incursionar y posicionarse en nuevos mercados internacionales, siendo un mercado interesante el de Ecuador que importa pisos y revestimientos cerámicos con Certificación de Calidad de Producto.Para esto primeramente se realizó un diagnóstico de la situación actual en la que está trabajando la empresa COBOCE Cerámica respecto a los métodos de ensayo según la norma NB ISO 13006:2005. De la misma manera se obtuvo información del proceso productivo en cuanto a la materia prima, insumos, equipos e instrumentos. Con todo ello analizar los requisitos para el Sello de Producto, de esta forma identificar los requisitos de seguimiento y medición de las características del producto terminado.Seguidamente se procedió a elaborar la estructura documental y ensayos técnicos según la norma NB ISO 13006:2005, con el diseño de los formatos para los instructivos de Características Técnicas de Producto Terminado se permitirá verificar el cumplimiento de los requisitos según el referencial del producto NB ISO 10545.Posteriormente a la estructura documental se desarrollará la propuesta para la certificación de la calidad de producto haciendo énfasis en los requisitos de seguimiento y medición del producto que permita garantizar los métodos de ensayo y validar según Norma Técnica NB ISO 13006:2005.Los métodos de ensayo de COBOCE Cerámica establecidos para la liberación de producto terminado serán validados por el SENAI, laboratorio con acreditación para verificar el producto de acuerdo a los requisitos del referencial de certificación. Así también la validación de los métodos de ensayos se realizará comprobando la linealidad, repetitividad y robustez de los datos a través de cuadros y gráficas, para la correspondiente validación se tomó un lote de producción de los formatos 32x32, 30x45, 41x41 y 50x50.Para el análisis de costos del proyecto se realizará bajo el concepto de margen de contribución es decir la diferencia que significa el proyecto con la exportación al mercado de Ecuador. Se procedió a calcular el margen de contribución, seguidamente costos operativos, por último la utilidad del proyecto a través de exportación al mercado del Ecuador. Con todos estos se procedió a calcular el flujo de caja, tomando en cuenta la inversión del proyecto y evaluar los parámetros de VAN, TIR Y B/C mismos que dieron resultados positivos.</t>
  </si>
  <si>
    <t>https://drive.google.com/file/d/1iioeCGsBsESgZHm_GNJZGCXwfXCKjBfM/view?usp=sharing</t>
  </si>
  <si>
    <t>https://drive.google.com/file/d/1gxQuxiFLMt_sJ-oIh3C7XaU8Ep11D99z/view?usp=sharing</t>
  </si>
  <si>
    <t>ERLYN VLADIMIR AYMA AYROJA</t>
  </si>
  <si>
    <t>MOISES ALEJANDRO MARQUINA CONDORI</t>
  </si>
  <si>
    <t>ESTUDIO DE FACTIBILIDAD PARA LA IMPLEMENTACIÓN DE UNA FABRICA TEXTIL DE PANTALONES JEANS EN LA ZONA OESTE DE LA CIUDAD DE COCHABAMBA</t>
  </si>
  <si>
    <t>magicwollv@gmail.com</t>
  </si>
  <si>
    <t>IND-740-2015</t>
  </si>
  <si>
    <t>Actividad, Información, análisis del  valor presente neto (VPN), Análisis de la tasa interna de retorno (TIR), Factibilidad.</t>
  </si>
  <si>
    <t>A partir de la industria textil referente  a la fabricación de pantalones jeans en el departamento de Cochabamba con los datos obtenidos  a través de la encuesta se realizó el análisis que determina la demanda insatisfecha por lo cual el proyecto toma en cuenta solo el 20% debido a que la marca es nueva en el mercado. También se determina el lugar de comercialización de los pantalones jeans a los minoristas se encuentra en el mercado la cancha.Identificados los lugares en el cual se comercializa el producto del proyecto en estudio se logra evidenciar que existe una concentración del bien consumo.Después de recolectar toda la información en de la investigación de mercado se procede a hallar el proceso de elaboración del producto, los materiales del cual está compuesto y el personal que se requiere para el funcionamiento de la fábrica. Se conoce los costos necesarios, como ser la inversión, costo de operación.El estudio financiero que implica todos los costos que se necesitan para la elaboración del producto. En base al valor actual neto y a la TIR el cual nos permitió determinar que el proyecto es rentable. También se realiza el análisis de sensibilidad que permite determinar las variables críticas que pueden afectar al proyecto.</t>
  </si>
  <si>
    <t>https://drive.google.com/file/d/1DW24WaAVVdeMUyyMryPkv5LhM1ZsXgck/view?usp=sharing</t>
  </si>
  <si>
    <t>https://drive.google.com/file/d/1n82Q7ABRYD733g033Bq4HTaDvTR5Mehy/view?usp=sharing</t>
  </si>
  <si>
    <t>https://drive.google.com/file/d/1jIk3GaoAP_uKXLxg1u3UaXekLEWF_VAG/view?usp=sharing</t>
  </si>
  <si>
    <t>MILTON ORELLANA BALDERRAMA</t>
  </si>
  <si>
    <t>ING. ARIEL ROBY ANCALLE FERNÁNDEZ</t>
  </si>
  <si>
    <t>OPTIMIZACIÓN DEL PROCESO PRODUCTIVO DE FABRICACIÓN DE MUEBLES MODULARES DE LA EMPRESA NAHI INDUSTRIAS S.R.L.</t>
  </si>
  <si>
    <t>miltonmob@hotmail.com</t>
  </si>
  <si>
    <t>IND-741-2015</t>
  </si>
  <si>
    <t>Implementación de una nueva máquina de Control Numérico por  Computadora (CNC).</t>
  </si>
  <si>
    <t>El Sector Fabricación de NAHI INDUSTRIAS S.R.L. ha visto por conveniente realizar un estudio de reingeniería debido a la existencia de reclamos permanentes de los clientes externos, como también la capacidad de fabricación y por tanto, los ambientes y las condiciones de trabajo.Primeramente se realizó un diagnóstico de la situación actual de la Sector de Fabricación, y se recabo la información disponible acerca de las actividades, procesos de las actividades, la organización actual del sector, etc. Todo ello con el fin de establecer el modelo actual del servicio que presta, a través del diagrama de causas y efectos de todo el sector de producción. En función a este análisis se podrá determinar las posibles soluciones al problema.También se realizó el proceso que sigue cada actividad en base a herramientas que muestren la secuencia de las operaciones y los problemas que se susciten: demoras, acumulación de trabajo, etc.; mediante el uso de cursogramas analíticos, cursogramas sinópticos y diagramas de recorrido.Se registró y se observó tecnología y metodología actual claramente como es el proceso de fabricación de muebles de cocinas modulares de la empresa. En el siguiente paso se procedió a la medición de la cantidad de trabajo que se requiere, para esta medición se usara la técnica del estudio de movimientos.Con los datos recabados se procedió a la determinación de tolerancias y suplementos para modificar tiempos de acuerdo a las distintas situaciones, se estableció el tiempo estándar de cada actividad y se definieron las condiciones sobre las cuales, se aplicó el tiempo estándar. Mediante un análisis de todos los datos recabados se procedió a la eliminación de tiempos asocios, operaciones y recorridos innecesarios, logrando así una mejora en el proceso de las actividades así como también una nueva distribución en planta e implementación de una nueva maquinaria.Con la elaboración del manual de funciones y procedimientos el personal sabrá que funciones debe de cumplir, que actividades debe de seguir y que apoyo deben de recibir en su sector.Se calculó el costo de fabricación del pedido tipo y se compararon estos costos con el actual, observándose una reducción en los costos el cual indica que a la empresa va tener un periodo de recuperación aceptable de su inversión.Las conclusiones son:Ø  Situación de la empresa en la cual debe progresar para perdurar.Ø  Registro de tiempos normales y estándares.Ø  Establecimiento de la secuencia de operaciones apropiada para el proceso de fabricación.Ø  Distribución de planta adecuada para el nuevo proceso de fabricación.Ø  Reducción de tiempos normales y estándares, con el nuevo proceso de fabricación más eficiente que el anterior.Ø  Alta de orden de fabricación con tiempo record en el rubro.Ø  Reducción de costo de fabricación mayor del 8 %.</t>
  </si>
  <si>
    <t>https://drive.google.com/file/d/1Vw5eBQCTW4Kh8ihN5tU-MVDA51cktrT6/view?usp=sharing</t>
  </si>
  <si>
    <t>https://drive.google.com/file/d/1SZRJM5Qmarsg6mEweFqZyeRX2SOWM2_u/view?usp=sharing</t>
  </si>
  <si>
    <t>https://drive.google.com/file/d/1vMk3OmyRnfe4vC-_J12oVOTTStZf0WZm/view?usp=sharing</t>
  </si>
  <si>
    <t>GILMAR LEAÑO IBARRA</t>
  </si>
  <si>
    <t>ING. ERNESTO VARGAS TAQUICHIRI</t>
  </si>
  <si>
    <t>PLAN DE SEGURIDAD NDUSTRIAL E HIGIENE OCUPACIONAL PARA LA EMPRESA “COMEL”</t>
  </si>
  <si>
    <t>jim_leal100@hotmail.com</t>
  </si>
  <si>
    <t>IND-742-2015</t>
  </si>
  <si>
    <t>COMEL (Construcciones Metálicas), seguridad industrial, riesgos,  incendios, plan de mejoras, planes de acción, presupuestos.</t>
  </si>
  <si>
    <t>Para realizar el PLAN DE SEGURIDAD INDUSTRIAL E HIGIENE OCUPACIONAL PARA LA EMPRESA “COMEL” (Construcciones Metálicas) se ha dividido en 3 fases:FASE I: Recopilación de Información.Se realizara un estudio de las actuales condiciones en las que se encuentra la empresa “COMEL” tanto en equipos de protección personal, como también la información que tiene el personal en materia de Seguridad Industrial.a)     Recopilar información sobre los accidentes que hubiesen ocurrido dentro de las actividades que la empresa ha desarrollado.b)     Por medio de una encuesta se recabaran datos acerca del grado de conocimiento de la Seguridad Industrial, por parte de todos los miembros de la empresa.c)     Identificar cuáles son las acciones y condiciones inseguras en las que se incurre dentro el proceso productivo de la empresa.d)     Identificar los riesgos existentes en la empresa.e)     Clasificar y evaluar los riesgos que se puedan presentar en cada uno de los trabajos a desarrollar.f)       Realizar un mapa de los principales riesgos existentes.FASE II: Elaboración de un Plan de Seguridad Industrial.Luego de haber identificado, clasificado y evaluado los riesgos, se procederá a plantear ideas y soluciones para el desarrollo de un Plan de Seguridad Industrial e Higiene Ocupacional, en esta etapa se especificara cada una de las soluciones y la manera en que se debe llevar a cabo.Se determinara el equipo adecuado de protección individual para el proceso productivo, se determinaran medidas de prevención y protección contra incendios, se propondrá una debida señalización de cada una de las áreas productivas, su ubicación y las características de las mismas. En el control de limpieza y orden utilizaremos las 9 S. La elaboración de un manual de primeros auxilios en caso de ocurrir un accidente o incendio.FASE III: Estimación de Presupuestos.En esta fase se estimaran los presupuestos que representaría la implementación del plan propuesto, teniendo en cuenta la adquisición, mejoramiento y adecuación de todos los elementos necesarios para poder lograr el Plan de Seguridad Industrial e Higiene Ocupacional.</t>
  </si>
  <si>
    <t>https://drive.google.com/file/d/1VK4ur19qcW_9PUif7n0iaDNc3nt-khxU/view?usp=sharing</t>
  </si>
  <si>
    <t>https://drive.google.com/file/d/1VUwryTAqKF1TO-IJvQTbclocFISRfPeW/view?usp=sharing</t>
  </si>
  <si>
    <t>https://drive.google.com/file/d/18oceLIY2aeOZGyJ9Xeq1_kXOElPUKJdS/view?usp=sharing</t>
  </si>
  <si>
    <t>EDSON ALVAREZ ARANCIBIA</t>
  </si>
  <si>
    <t>ING. NELSON EDDY HINOJOSA SALAZAR</t>
  </si>
  <si>
    <t>ESTUDIO DE FACTIBILIDAD PARA LA IMPLEMENTACIÓN DE UNA FÁBRICA DE TAPAS METÁLICAS PARA ENVASES DE VIDRIO BOCA ANCHA</t>
  </si>
  <si>
    <t>edson666_6@hotmail.com</t>
  </si>
  <si>
    <t>IND-743-2015</t>
  </si>
  <si>
    <t>Fábrica de tapas metálicas (Twist Off), Matriz de Perfil Competitivo, El material utilizado es la Hojalata Electrolitica según Norma ASTM2280-14, Análisis de sensibilidad, Impacto Ambiental, Ubicación de la Fabrica en la zona Ticti sud Avenida Petrolera Km. 3 .</t>
  </si>
  <si>
    <t>Primeramente se realizó un Estudio de Mercado a los principales centro comerciales en el departamento de Cochabamba, estudiando también los mercados distribuidor, competidor y proveedor. Se determinó una demanda insatisfecha de las tapas metálicas (twist off), como también se determinó por medio de los datos del INE (Instituto Nacional de Estadísticas) la demanda proyectada para el año 2017 en el departamento de Cochabamba. Posteriormente se definió el tamaño de la planta considerando que la capacidad productiva teórica de la empresa para la fabricación de las tapas es óptima con respecto a la proyección estimada para el primer año de puesta en marcha del proyecto siendo la capacidad inicial a fabricar de 12.689.066 tapas anual para el 2017 teniendo un incremento favorable del 8% anual para los siguientes años de vida útil del proyecto. Se definió la localización de la planta realizando un análisis por el método de la Matriz del Perfil Competitivo, teniendo variables con los parámetros requeridos para una mayor optimización de la distribución y la obtención de los materiales a utilizar teniendo localizado la empresa en la zona de Ticti sud sobre la altura de la avenida Petrolera el Km 3. Se definió un tamaño de 640 mt2 para la empresa. El estudio organizacional fue realizado para la empresa, definiendo la estructura organizacional, las funciones de cada trabajador.Se definió a la empresa Peruana Rat Sac como proveedor de la maquinaria requerida para la línea de producción de las tapas metálicas Twist Off. Posteriormente se realizó la evaluación financiera donde se determinando un VAN de  7.332.506,65 Bs., un TIR de 9,51% y una relación B/C de 1,13. También se realizó un análisis de sensibilidad en el cual al tener que los costos se incrementaran en 8% se tiene que el proyecto sigue siendo viable con un VAN del 3437.360,13 Bs., un TIR de 4,60% y una relación B/C de 1.02, en el análisis también se contempla la disminución de ingresos en un 8% demostrando que el proyecto llega a ser viable con un VAN de 2.943.985,05 Bs., con un TIR de 3,94% y una relación B/C de 1,02. Al tener una combinación de ambos casos se tiene un resultado no factible. Finalmente se concluyó con una Evaluación de Impacto Ambiental de acuerdo a ley 1333, donde se estudió los requisitos que se necesitan para la obtención de la licencia ambiental.</t>
  </si>
  <si>
    <t>https://drive.google.com/file/d/1wPitVo2HirP4T74Mfq7ca0qgkIOux8AG/view?usp=sharing</t>
  </si>
  <si>
    <t>https://drive.google.com/file/d/11FaISDTKYUTngH_yR65DQ7NuarBE12j-/view?usp=sharing</t>
  </si>
  <si>
    <t>https://drive.google.com/file/d/12PDnv3eAiIC2OM8F3fABq85Dk90H612R/view?usp=sharing</t>
  </si>
  <si>
    <t>ERIKA TORRICO ACHÁ</t>
  </si>
  <si>
    <t>ING. CINTHIA PAOLA LEVY GUZMÁN</t>
  </si>
  <si>
    <t>DESARROLLO DE UNA PROPUESTA PARA LA IMPLEMENTACIÓN DEL CICLO DE MEJORA CONTINUA (PDCA) PARA DISMINUIR LOS COMPORTAMIENTOS INSEGUROS EN LA MINI PLANTA DE OPERACIONES PLANTA – TAQUIÑA</t>
  </si>
  <si>
    <t>erika.torrico.acha@gmail.com</t>
  </si>
  <si>
    <t>IND-744-2015</t>
  </si>
  <si>
    <t>EPP’S, Comportamientos inseguros, PDCA, VPO, Seguridad Industrial.</t>
  </si>
  <si>
    <t>El  trabajo es una de las actividades sobre las que se organizan las sociedades y por ello en los Estados modernos se incluye entre las responsabilidades de los empleadores el velar por la salud, seguridad e higiene en el trabajo. Sin embargo, las estadísticas muestran que, incluso en las sociedades más avanzadas, ese derecho dista de estar garantizado. Las cifras que reflejan los accidentes laborales, las bajas por enfermedad laboral, y las incapacidades laborales indican que existen situaciones y condiciones en que la seguridad en el trabajo y la promoción de la salud es más una aspiración que una realidad.La principal preocupación de la seguridad industrial es la conservación de la salud de los trabajadores y, por tanto, este asunto requiere básicamente de un programa de protección de salud, prevención de accidentes y enfermedades ocupacionales, que sea integral y que incluya además aspectos de la personalidad del trabajador, dentro de la cual el más importante es el de la motivación. Así pues el presente trabajo tiene como finalidad el desarrollar un plan de mejora continua que permita disminuir la cantidad de comportamientos inseguros en la Mini planta de Operaciones de la Planta – Taquiña.El estudio realizado tuvo una metodología, que se resume a continuación:Se hizo una toma de datos de 3 meses logrando así un histórico de comportamientos inseguros, con este histórico se proyecto la disminución de comportamientos para lograr el objetivo en el tiempo requerido, luego se realizó un análisis a los resultados obtenidos, verificando el cumplimiento o no del objetivo planteado. Para concluir con las conclusiones y recomendaciones pertinentes.Como resultado del trabajo realizado se emitió la siguiente conclusion.El ciclo de mejora continua PDCA que se realizó para disminuir los comportamientos inseguros dentro la Mini planta de Operaciones en la Planta Taquiña, fue realizado con éxito, debido a que, se obtuvo los resultados esperados, logrando así, disminuir de un promedio de 67 comportamientos inseguros al mes, a solo 11.</t>
  </si>
  <si>
    <t>https://drive.google.com/file/d/1YPooBwdqnchCOsz312aqnQ-koErlrmUJ/view?usp=sharing</t>
  </si>
  <si>
    <t>https://drive.google.com/file/d/13FA4YfT9uJEhJXfJTQmdbSYurVuF5lpN/view?usp=sharing</t>
  </si>
  <si>
    <t>https://drive.google.com/file/d/1IPaNN66-_nTzUbIKU23AFAbC_7OslmTt/view?usp=sharing</t>
  </si>
  <si>
    <t>ROLANDO MANUEL CUSSI ESPEJO</t>
  </si>
  <si>
    <t>GONZALO GUIZADA VEIZAGA</t>
  </si>
  <si>
    <t>ING. ISRAEL ERICK COSSIO PORCEL</t>
  </si>
  <si>
    <t>rolando_mce@hotmail.com</t>
  </si>
  <si>
    <t>IND-745-2015</t>
  </si>
  <si>
    <t>Estudio de factibilidad  de cuy, Estudio de Mercado de Cuy, Manejo                Tecnificado de Cuy, faeneado.</t>
  </si>
  <si>
    <t>El estudio del proyecto se desarrolló para la comunidad de Vinto - Quillacollo, donde la crianza del cuy puede generar una gran producción de carne de cuy favorable a los fines del proyecto; por lo tanto el estudio se estructuró a partir de unos antecedentes que se ubicó el problema, objetivos y justificación del mismo, partiendo de una explicación pormenorizada sobre la cuyicultura.El estudio de mercado proporciono toda la información necesaria para saber la viabilidad del proyecto, teniendo en cuenta el análisis del entorno, localización, demanda, oferta, precio, canales de distribución y competencia. El estudio técnico se desarrolló para  localizar y determinar el tamaño de la infraestructura de la granja y la planta de faeneado de cuy de lo cual se determinó que el proyecto se localiza en la zona de Vinto. En la ingeniería de proyectos se realizó el estudio del manejo de crianza y los procesos de faeneado del cuy junto con la maquinaria y equipos requeridos para el funcionamiento óptimo del proyecto.En el estudio organizacional se indicó los gastos que va a tener la empresa por las normativas exigidas para el normal funcionamiento y su organización en lo referente al manejo de personal, junto con los aspectos legales.Luego se realizó el análisis financiero del proyecto considerando dos fuentes de financiamiento: el aporte propio y el crédito de institución financiera. Se determinó el capital de explotación y se obtuvo la depreciación de los activos fijos y la amortización de activos diferido. De igual manera se definió la estructura de la inversión, el financiamiento y el programa de amortización del capital. Para determinar la parte de costos se describe el detalle de los impuestos.Realizando el estado de resultados del proyecto se obtiene el flujo neto de caja y con estos resultados se determinaron los indicadores propuestos con una tasa mínima atractiva de 12%:-        TIR    (Con financiamiento):   25 %-        R B/C (Con financiamiento): 1,31(Bs.)-        VAN   (Con financiamiento):  637.770,43 (Bs.)-        Recuperación de la inversión: 4 años, 5 meses y 27 días,El análisis de sensibilidad se realizó para todas las variables del proyecto, concluyendo que las variables influyentes son: costo, precio e ingresos, considerando las demás de menor importancia.Después de realizar la evaluación ambiental se pudo concluir que el proyecto se clasifica según el Banco Interamericano de desarrollo como de Efectos Ambientales Menores, es decir, que no ocasiona severas consecuencias al medio ambiente, por lo que también se considera ambientalmente rentable. También se tuvo un valor de 0,085, pertenece a la categoría III y requiere la preparación de un Plan de Aplicación y Seguimiento Ambiental (PASA).</t>
  </si>
  <si>
    <t>https://drive.google.com/file/d/1K1LI6aA4LZmTBh8znSOaiu_ZN4q_Dqbp/view?usp=sharing</t>
  </si>
  <si>
    <t>https://drive.google.com/file/d/1Bo7zkFaXyvRD1CYGHMmY4y0h6-2x0nXx/view?usp=sharing</t>
  </si>
  <si>
    <t>https://drive.google.com/file/d/1gh-a9Tbd_PfhM5iGyUWN4h4oQybijmy1/view?usp=sharing</t>
  </si>
  <si>
    <t>PATRICIA ERICKA ESPINOZA GARCIA</t>
  </si>
  <si>
    <t>ING. ALBERTO RUDY CRESPO GARCIA</t>
  </si>
  <si>
    <t>DISEÑO DEL SISTEMA DE GESTIÓN DE CALIDAD PARA LA ASOCIACIÓN BOLIVIANA DE SOLDADURA ENSAYOS NO DESTRUCTIVOS INSPECCIÓN Y CORROSIÓN - ASBOSENDIC</t>
  </si>
  <si>
    <t>p.espinoza.garcia@hotmail.com</t>
  </si>
  <si>
    <t>IND-746-2015</t>
  </si>
  <si>
    <t>ASBOSENDIC, Mejora continua, Procesos, Satisfacción del cliente, Gestión de Calidad, ISO 9001:2008.</t>
  </si>
  <si>
    <t>El diseño del Sistema de Gestión de Calidad que se elaboró, tomó como base la NB/ISO 9001:2008 y la NB/ISO 9000:2005, tomando en cuenta los requisitos, fundamentos, teorías y vocabulario.En primer lugar se realizó una interiorización en la asociación, se vio y apoyó en las actividades que realizan, se participó en eventos que realizó ASBOSENDIC, todo con el objetivo de percibir la situación real de la organización.En segundo lugar se efectuó un diagnóstico de la entidad mediante una evaluación, tomando como referente el cumplimiento con la NB/ISO 9001:2008, se encontró que el porcentaje de cumplimiento con respecto a la norma citada era menos del 50%.Se prosiguió con en análisis situacional de la organización, realizando entrevistas a toda la asociación, incluyendo a los clientes, en este capítulo para identificar los requisitos del cliente se utilizó el método de Lluvia de ideas con el personal y directivos de ASBOSENDIC, también se empleó el método de Grupos focales, seleccionando a cinco miembros de la asociación y cinco clientes casuales, estas reuniones aportaron bastante para enriquecer el conocimiento sobre lo que quieren los clientes, y aportó de manera importante en el diseño del SGC de la asociación. Posteriormente se realizó la identificación y clasificación de procesos, separándolos en procesos estratégicos, operativos y de apoyo, esta actividad y muchas otras se efectuaron junto con los directivos y personal de la asociación, porque su participación fue fundamental en el diseño. Se ejecutó el análisis de cada proceso, definiendo responsables, misión, elementos de entrada, actividades primordiales, elementos de salida, indicadores, documentación relacionada, y definiendo que recursos son necesarios. Asimismo se efectuó el análisis de cada elemento de los indicadores, definiendo rangos aceptables, limitantes y no aceptables, y las acciones que se deberían realizar en caso de que el indicador este entre la parte limitante o no aceptable. Sobre los procedimientos, se enfocó en aquellos exigidos por la NB/ISO 9001:2008, a la vez también se priorizó aquellos que son importantes para la asociación, se definió el formato de toda la documentación a elaborar, se estableció una codificación adecuada y fácil de comprender, se especificó responsables, elementos de entrada y salida.Se concluyó que los sistemas de gestión de calidad son una herramienta que proporciona beneficios para el control y seguimiento de los procesos en una organización, también que la sensibilización y formación del personal involucrado en el desarrollo de los procesos es un elemento importante para la futura implementación del sistema de gestión de calidad, puesto que el personal será parte activa para el seguimiento y mantenimiento del sistema a implementar.Se recomendó realizar una auditoría interna para poder observar la conformidad del sistema de gestión en base a lo que se vaya a planificar.</t>
  </si>
  <si>
    <t>https://drive.google.com/file/d/1XUZfQJUz27ltFxu0O13UnoAyp7PxNsID/view?usp=sharing</t>
  </si>
  <si>
    <t>https://drive.google.com/file/d/1AdccatRSh_OLv7A5cu5A3R6B1AZWNiox/view?usp=sharing</t>
  </si>
  <si>
    <t>https://drive.google.com/file/d/1LonqNGMFnl5gz-WFNRaQxWrJLxIkQfn2/view?usp=sharing</t>
  </si>
  <si>
    <t>PABLO F. FIGUEROA MONTOYA</t>
  </si>
  <si>
    <t>ING. DELGADILLO COSSÍO DAVID ALFREDO</t>
  </si>
  <si>
    <t>ESTUDIO DE FACTIBILIDAD PARA UNA FÁBRICA DE VIGUETAS PRE TENSADAS</t>
  </si>
  <si>
    <t>pablo_figueroa21@hotmail.com</t>
  </si>
  <si>
    <t>IND-747-2015</t>
  </si>
  <si>
    <t>El estudio de Factibilidad para la Implementación de una planta productora de viguetas pre-tensadas nace con la necesidad de disminuir tiempos de ejecución y la creciente ola de construcciones. La falta de estudios e información hacen preguntarse sobre si es un momento adecuado para la introducción de este producto a Cochabamba.Se comenzó el proyecto con una intensiva investigación de mercado, estudiando el mercado consumidor, proveedor, distribuidor y competidor. Determinando que existe una demanda insatisfecha para las viguetas pre-tensadas y moldeados, determinando el perfil del consumidor, la estrategia comercial entre otros objetivos. Con la investigación de mercado se procedió al pronóstico de la demanda del producto a nivel Cochabamba.El tamaño de la planta fue calculado por medio del pronóstico y al crecimiento esperado de captación de mercado a nivel Cochabamba para el año 2015. Con la información obtenida en este apartado se determinó también todos los materiales e insumos necesarios para la planta. La localización fue obtenida a través de una evaluación cualitativa de puntos, donde se analizaron 4 micros - localizaciones, escogiendo el puntaje mayor correspondiente a Colcapirhua. La Ingeniería del proyecto se la realizó adecuando a la tecnología de la empresa PRENSOLAND adaptada a nuestro medio, comprendiendo los procesos Se ilustró en un organigrama el personal y las funciones del equipo trabajador de la planta.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B/C. Se sometió el flujo a un análisis de sensibilidad para  las variables más influyentes. Concluyendo que el proyecto es rentable. 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realizó una categorización del proyecto, atreves de la matriz de Leopold, donde se analizaron factores ambientales en cada etapa del proyecto, dándoles calificaciones de impactos negativos y positivos, y se determinó que tiene un efecto ambiental menor.</t>
  </si>
  <si>
    <t>https://drive.google.com/file/d/1SaooXYDQy1N4ccNTxxws_6BGh3-MU_Gd/view?usp=sharing</t>
  </si>
  <si>
    <t>https://drive.google.com/file/d/1ipNmUao84zmwU5Y90n3z65sa41GcR0HN/view?usp=sharing</t>
  </si>
  <si>
    <t>https://drive.google.com/file/d/1PvyyQPwAECSJOvjpohkUdOr_KNskPTNu/view?usp=sharing</t>
  </si>
  <si>
    <t>DAVID VILLCA AYAVIRI</t>
  </si>
  <si>
    <t>DISEÑO DEL PLAN DE SEGURIDAD INDUSTRIAL Y MEDIO AMBIENTE DE LA EMPRESA CALRO EN LA CIUDAD DE COCHABAMBA.</t>
  </si>
  <si>
    <t>antesde40@gmail.com</t>
  </si>
  <si>
    <t>IND-748-2015</t>
  </si>
  <si>
    <t>Diagnostico Empresarial, Gestión de Riesgos Laborales, Gestión Ambiental, Planificación, Presupuesto.</t>
  </si>
  <si>
    <t>El plan de Seguridad Industrial y Medio Ambiente permitirá que el grupo empresarial CALRO, pueda tener oportunidades de mejora en sus ambientes internos y externos, procurando siempre salvaguardar la salud y seguridad de su personal; además cuidando el entorno que los rodea.El estudio de la situación actual de la empresa se llevó a cabo por un mes, describiendo el interior de la empresa y entorno en el que realiza sus actividades diarias, conociendo y analizando las condiciones actuales en las que opera, considerando puntos de vista del personal operativo y administrativo.El diagnóstico de la situación actual se realizó en base a la descripción anteriormente realizada, que nos permita identificar las carencias, deficiencias en seguridad industrial, y las condiciones medio ambientales, que influyan en el entorno de la empresa. Recabando la información necesaria, acerca de las actividades, procesos y la organización, todo ello se realizó para poder identificar los peligros de seguridad industrial y los aspectos ambientales.Tomando en cuenta la información obtenida, acerca de las actividades, procesos y la organización, pudimos identificar los factores a tomar en cuenta en ambos temas.Mediante la identificación de peligros se analizó y realizo la evaluación de riesgos por puesto de trabajo, en los sectores de producción, almacén y mantenimiento.  La metodología utilizada fue el de Análisis de Riesgo Ocupacional in situ.En base al diagnóstico e identificación de aspectos ambientales, se llevó a cabo la determinación de impactos y su eventual evaluación, siguiendo  la metodología que proporciona el Reglamento Ambiental del Sector Industrial Manufacturero  y la ley 1333 del medio ambiente.El plan de Seguridad Industrial consta de seis módulos, organizados de manera que puedan aplicarse en el orden recomendado, los módulos contienen, diversos planes, acciones correctivas y preventivas, también incluyendo  la capacitación del personal. Siendo el personal el principal recurso que poseen las empresas, por eso es muy importante aprender a escuchar otros puntos de vista, dado que es la única manera de saber cómo piensan otras personas, y es el único paso que nos permitirá poder discernir lo positivo y lo importante, que realmente se requiere para el propósito de la empresa, sea cual fuese éste.El plan de Gestión Ambiental, posee el objetivo de mejorar la calidad ambiental de la zona en compromiso, dando la posibilidad de mejorar los controles en sus procesos, logrando una producción eficiente, conservando y manejando adecuadamente los recursos naturales.Enfatizando que la capacitación es la mejor vía de para comunicar y mejorar el capital humano, que es el recurso principal para mejorar las condiciones de seguridad industrial y medio ambienteEstableciendo la necesidad de adoptar una  política de seguridad industrial y de medio ambiente, que muestre la visión de la empresa, en el presente y el futuro a largo plazo.Podemos mencionar que el plan ostenta promover la cultura de prevención, orden y limpieza para mejorar las condiciones de trabajo, y creando un ambiente sano para los operadores, y velando y protegiendo el medio ambiente; como parte primordial de responsabilidad de la empresa.</t>
  </si>
  <si>
    <t>https://drive.google.com/file/d/1QcPFoj96ebmG8w7gAUstS494nLizY_Ue/view?usp=sharing</t>
  </si>
  <si>
    <t>https://drive.google.com/file/d/1JgxFQL8R-I_7hpKHM-VibNQVy6ig2Ipj/view?usp=sharing</t>
  </si>
  <si>
    <t>https://drive.google.com/file/d/1ZxZhRBZsTSB6BdQFCvuMMEVbZojOpXrB/view?usp=sharing</t>
  </si>
  <si>
    <t>FERNANDO HEREDIA SEJAS</t>
  </si>
  <si>
    <t>JUAN REYNALDO LEDEZMA ROMERO</t>
  </si>
  <si>
    <t>OPTIMIZACIÓN EN EL ÁREA DE METALMECÁNICA DE LOS PROCESOS DE FABRICACIÓN DE LA LÍNEA CRAZY EN LA EMPRESA MOPAR S.A.</t>
  </si>
  <si>
    <t>ferna_heredia91@hotmail.com</t>
  </si>
  <si>
    <t>IND-749-2015</t>
  </si>
  <si>
    <t>Métodos, Tiempos, Optimización, Cursograma, Diagrama.</t>
  </si>
  <si>
    <t>Al hacer el estudio de las empresas de metalmecánica del país se observa que dos de los problemas más frecuentes que ellas muestran son la falta de planificación así también la de la Ingeniería de Métodos. Esta circunstancia hace que los productos que ellos fabrican no sean competitivos entre otros motivos por su costo elevado. La solución de estos problemas se constituye en la razón de este trabajoEl sector de metalmecánica de la Empresa MOPAR S.A. ha visto por conveniente realizar la optimización en el área de metalmecánica de los procesos de fabricación de la línea Crazy en la Empresa MOPAR S.A. mediante un estudio de métodos y un estudio de tiempos para determinar el tiempo en cada proceso y optimizar y acortar operaciones y movimientos innecesarios.Primeramente se realizó un diagnostico tanto externo como interno de la situación actual de la empresa. Se realiza la identificación y formulación del problema, justificación del proyecto realizado, Metodología para la recolección de datos.Se realizó la identificación de los procesos, operaciones y actividades en base a herramientas de diagnóstico de estudio de métodos que muestran la secuencia de las operaciones y los problemas que se identifiquen como ser: demoras, acumulación de tareas para un operario, transporte y tiempos muertos; mediante cursograma sinópticos, cursograma analíticos, disposición de planta, diagrama de recorrido.El estudio realizado nos permitió determinar el tiempo estándar actual de los procesos de fabricación del bus crazy en el sector de metalmecánica de la empresa MOPAR S.A.También se realizó una nueva propuesta de fabricación para el bus crazy reduciendo los tiempos muertos y demoras principalmente en dicho sector,  se estableció tres procesos principales como ser la sección de corte y conformado de material, otra sección de soldado y armado de material y un sector de montado y ensamblado de material. Que ayudaran a agilizar el trabajo en el bus, se propuso un nuevo  LAYOUT para el sector de metalmecánica un diagrama de recorrido propuesto y un nuevo cursograma analítico de la propuesta realizada.Se realizó un análisis de costos de la propuesta de mejora y las inversiones realizadas, además se realizó un análisis de rentabilidad de la propuesta, la eficiencia de la mejora realizada y análisis de productividad concluyendo que existe un incremento en la utilidad de la propuesta con relación a la fabricación actual.</t>
  </si>
  <si>
    <t>https://drive.google.com/file/d/1L-JsVG8angUIK7GUAlEz0EMn_ZiTjM5z/view?usp=sharing</t>
  </si>
  <si>
    <t>https://drive.google.com/file/d/1KnOmUAncKtY0MMDNQHzCfqq2H0b0RccK/view?usp=sharing</t>
  </si>
  <si>
    <t>https://drive.google.com/file/d/1IOZTF09LCIvabglyaFLME6hTAZ7GjzID/view?usp=sharing</t>
  </si>
  <si>
    <t>RENATO FABIO OTÁLORA MURIEL</t>
  </si>
  <si>
    <t>ING. IVANA LINA FLORES CRUZ</t>
  </si>
  <si>
    <t>DISEÑO DE UN PLAN DE SEGURIDAD E HIGIENE OCUPACIONAL PARA LA CONSTRUCTORA METALMECÁNICA CONSVIVAR</t>
  </si>
  <si>
    <t>famuriel2208@gmail.com</t>
  </si>
  <si>
    <t>IND-750-2015</t>
  </si>
  <si>
    <t>FASE I: Recopilación de Información Se realizara un estudio de las actuales condiciones en las que se encuentra la constructora “Consvivar” tanto en equipos de protección personal, como también la información que tiene el personal en materia de Seguridad e higiene ocupacional.a)  Recopilar información sobre los accidentes que hubiesen ocurrido dentro de las actividades que la empresa ha desarrollado.b)  Por medio de una encuesta se recabaran datos acerca del grado de conocimiento de la Seguridad e higiene ocupacional, por parte de todos los miembros de la constructora.c)  Identificar cuáles son las acciones y condiciones inseguras en las que se incurre dentro el proceso productivo de la constructora.d)  Clasificar y evaluar los riesgos que se puedan presentar en cada uno de los trabajos a desarrollar.FASE II: Elaboración de un Plan de Seguridad IndustrialLuego de haber identificado, clasificado y evaluado los riesgos, se procederá a plantear ideas y soluciones para el desarrollo de un Plan de Seguridad  e Higiene Ocupacional.Se determinara el equipo adecuado de protección individual para el proceso productivo, se determinaran medidas de prevención y protección contra incendios, se propondrá una debida señalización de cada una de las áreas productivas, su ubicación y las características de las mismas. En el control de limpieza y orden utilizaremos las 5 S. La elaboración de un manual de primeros auxilios en caso de ocurrir un accidente o incendio.FASE III: Presupuesto  de  La ImplementaciónEn esta fase se estimaran los presupuestos que representaría la implementación del plan propuesto, teniendo en cuenta la adquisición, mejoramiento y adecuación de todos los elementos necesarios para poder lograr el Plan de Seguridad  e Higiene Ocupacional.</t>
  </si>
  <si>
    <t>https://drive.google.com/file/d/1wBIDLJX5Yy_rheumZsHpn2GKnAEOztun/view?usp=sharing</t>
  </si>
  <si>
    <t>https://drive.google.com/file/d/1O3g_rQ4S_e1-K68Vz9p-iwenwMBxat5k/view?usp=sharing</t>
  </si>
  <si>
    <t>https://drive.google.com/file/d/13z_8KO8s4mnMBLiT48fXOVuG4z-CxUP6/view?usp=sharing</t>
  </si>
  <si>
    <t>CLAROS VARGAS JAHEL ALEJANDRA</t>
  </si>
  <si>
    <t>LIC. MILKA TORRICO TROCHE</t>
  </si>
  <si>
    <t>PROYECTO DE FACTIBILIDAD PARA LA IMPLEMENTACIÓN DE UNA PLANTA PROCESADORA DE CAFÉ PARA LA TCO YUQUI-CIRI</t>
  </si>
  <si>
    <t>IND-751-2015</t>
  </si>
  <si>
    <t>Planta Procesadora de café, Productividad, Control de calidad, Materia prima, descripción de los procesos, Programa de marketing publicitario.</t>
  </si>
  <si>
    <t>El presente proyecto de estudio de factibilidad, tiene como objetivo general el generar información teórica y financiera que permita obtener los suficientes elementos para determinar la conveniencia de efectuar la inversión para la instalación de una planta procesadora de café en la TCO YUQUI-CIRI.Donde los objetivos específicos que busca este estudio, resaltan los siguientes: 1. Realizar un estudio de mercado para identificar clientes potenciales del producto, 2. Determinar la capacidad de producción a partir de la demanda estimada, 3. Determinar los requerimientos técnicos y de procesamiento a emplearse en la fabricación del café, 4. Realizar un análisis del entorno social para determinar la localización de la planta piloto, 5. Realizar la evaluación económica del proyecto, 6. Realizar un análisis ambiental, para poder alcanzar estos objetivos planteados la metodología empleada fue la siguiente: 1. Identificación del problema, 2. Recolección de la información, 3. Análisis de la información, 4. Resultados obtenidos, 5. Interpretación de resultados. Los resultados de la metodología empleada son: diagnostico de los productores, cuantificación de la demanda y oferta del café, y todas las etapas del proceso que comprenden desde la recepción de materia prima hasta el envasado del producto, determinando la factibilidad de este proyecto con la proyección a 10 años.Con todo lo mencionado anteriormente se desarrollo un estudio de mercado enfocado en los comercializadores y consumidores, donde se identifico lo siguiente: la demanda histórica del café  desde 2012 hasta 2025 con un promedio de 15.856 Tn/año, planteando el  ingreso al mercado como un producto nuevo, con una diversificación de envasado para la presentación del café. Una vez realizado el estudio de localización de la planta se sugiere localizar en el municipio de Puerto Villarroel, considerando una inversión de 207.568 $u$, de los cuales la inversión de activos fijos es de 121.061 $u$, la inversión de activos diferidos es de 3.500 $u$, y por último el capital de trabajo asciende al monto de 83.007 $u$, utilizando la metodología se llega a una conclusión financiera de que el proyecto es factible, cuyo respaldo se basa en los indicadores financieros del TIR = 29%, VAN = 536 $u$ y B/C = 0.43, cuyos indicadores están basados en un financiamiento, siendo esta opción  la más atractiva y rentable para Proyecto.</t>
  </si>
  <si>
    <t>https://drive.google.com/file/d/1y3MRYwvB4flHykFJsnLmP9X76rjH59qL/view?usp=sharing</t>
  </si>
  <si>
    <t>https://drive.google.com/file/d/1FLe4RAswoUpgnfujDLVjqfhmhzjQ-O-Q/view?usp=sharing</t>
  </si>
  <si>
    <t>https://drive.google.com/file/d/1K5XAlJDpQofmxjJ28fXlAL5k1tiXS21y/view?usp=sharing</t>
  </si>
  <si>
    <t>PAOLA ANDREA MÉRIDA ESPINOZA</t>
  </si>
  <si>
    <t>ESTRUCTURACIÓN DEL PILAR DE MANTENIMIENTO AUTÓNOMO DE LA METODOLOGÍA TPM E IMPLEMENTACIÓN DEL PASO 1 DEL PILAR PARA EL ALMACÉN 3D DE UNILEVER ANDINA BOLIVIA. S.A.</t>
  </si>
  <si>
    <t>paola04a@gmail.com</t>
  </si>
  <si>
    <t>IND-752-2015</t>
  </si>
  <si>
    <t>TPM (mantenimiento productivo total), mantenimiento autónomo, Almacén 3D Unilever Andina Bolivia S.A., mejora continua</t>
  </si>
  <si>
    <t>Primeramente se  se llevó a cabo un diagnóstico de la situación actual en la que Almacén 3D se encontraba utilizando como herramienta para dicho diagnóstico el diagrama de Ishikawa, a partir de ese diagnóstico se pudieron determinar las causa de las pérdidas que existían en la operación del Almacén 3D; en el que se puedo observar que muchas de estas pérdidas son debidas al factor humano por la falta de procedimiento y capacitaciones. Cabe resaltar que para Unilever el recurso humano es la herramienta más importante y valiosa que tiene.Posteriormente a eso, se elaboró un master plan para la implementación de TPM en los centros de distribución de Unilever Andina Bolivia S.A. El master plan muestra claramente la intención de los centros de distribución de Unilever Andina Bolivia S.A. para alcanzar los objetivos planteados y proseguir con el desarrollo de TPM en la línea piloto.Se elaboró un plan de mantenimiento preventivo para equipos e infraestructura, evitando las paradas imprevistas y retrasos en la cadena productiva del Almacén 3D.Se procedió a estructurar el pilar de mantenimiento autónomo el  cual cuenta con 5 pasos para su total implementación.  Una vez estructurado el pilar de mantenimiento autónomo se implementó el paso 1 del pilar de mantenimiento autónomo en el  Almacén 3D de Unilever Andina Bolivia S.A. con gran éxito y cumpliendo con los objetivos propuestos para el pilar.Con la implementación de este paso, también se pudo obtener una mayor cobertura de la metodología TPM, puesto que este paso es la base de la metodología y en el que se puede encontrar mayor dificultad de implementación, debido a la forma de pensar de los trabajadores.Y finalizando se efectuó un análisis beneficio/costo para la implementación del pilar de mantenimiento autónomo del TPM en el Almacén 3D de Unilever Andina Bolivia S.A., con el que se obtuvo una estimación de los costos incurridos y los beneficios tangibles e intangibles que llevan a una viabilidad del proyecto.</t>
  </si>
  <si>
    <t>https://drive.google.com/file/d/10kruFYudrbz9NXYM4OumJGSEpDkVKBDP/view?usp=sharing</t>
  </si>
  <si>
    <t>https://drive.google.com/file/d/1xGKZhNDa65Y44VHJ94C0G2aKmbgVaXaX/view?usp=sharing</t>
  </si>
  <si>
    <t>https://drive.google.com/file/d/1YCkSjGPmb5FBWrxKgg8i7Oo0_EuvKb06/view?usp=sharing</t>
  </si>
  <si>
    <t>LOZANO DÍAZ  ANA ROSA</t>
  </si>
  <si>
    <t>VILLARROEL CARBALLO ALEX</t>
  </si>
  <si>
    <t>ING. OSCAR SACA</t>
  </si>
  <si>
    <t>DISEÑO DE UN SISTEMA DE GESTIÓN DE CALIDAD E IMPLENTACION DOCUMENTAL PARCIAL BASADO EN LA NORMA ISO 9001 VERSIÓN 2008 PARA LA DIRECCION DEL POSGRADO DE LA FACULTAD DE CIENCIAS Y TECNOLOGIA</t>
  </si>
  <si>
    <t>IND-753-2015</t>
  </si>
  <si>
    <t>Calidad, Registros, Procedimientos, Registros, Mapa de Procesos, Mejora continua, Enfoque basado en procesos.</t>
  </si>
  <si>
    <t>El presente proyecto tiene como objetivo el diseño del Sistema de Gestión de Calidad basado en la norma ISO 9001:2008 para el posgrado de la facultad de ciencias y tecnológica de la Universidad Mayor de San Simón quien busca de mejorar la calidad de los procesos académicos e incrementar la satisfacción de los posgraduantes.El proyecto grado se realizó considerando la siguiente metodología: Se realizó la interiorización del Posgrado, través de una entrevista a todos los trabajadores esto con el fin de ver que realizan, su estructura y los procesos académicos. Posteriormente se elaboró el cuestionario en base a la norma ISO 9001:2008, el cual sirvió de herramienta fundamental para el diagnóstico del sistema de la organización, este cuestionario permitió determinar el grado de cumplimiento de la empresa con los requisitos exigidos por la norma.  Una vez determinada la situación actual de la empresa con respecto a la norma ISO 9001:2008 se inició con el diseño del sistema de gestión de calidad, para lo cual se vio el tema de la documentación con los siguientes puntos: Ø  Identificación de los procesos y la interacción de los mismos, Política de Calidad, Objetivos de Calidad, Manual de la calidad, Procedimientos exigidos por la norma, Procedimientos necesarios para el cumplimiento de la norma y RegistrosUna vez desarrollado el soporte documental del Sistema de Gestión de Calidad del Posgrado se realizó un Plan de Implementación que concreta una propuesta de ejecución para una futura implementación del Sistema de Gestión de Calidad, acorde a la documentación diseñada y donde se determinan las actividades y tareas a seguir, responsables involucrados, periodos de ejecución, recursos necesarios para dicha implementación.</t>
  </si>
  <si>
    <t>https://drive.google.com/file/d/1MrgtMlbS6U9V1IaySJxODanATNHgFTZL/view?usp=sharing</t>
  </si>
  <si>
    <t>https://drive.google.com/file/d/1cOEIgC7NsbAkxAgCSyj8VIajZsunnKEf/view?usp=sharing</t>
  </si>
  <si>
    <t>https://drive.google.com/file/d/1Ghyr_hK9BZNTPftnFIpCobgTyASg43bF/view?usp=sharing</t>
  </si>
  <si>
    <t>ERICK DAIGORO FLORES AÑEZ</t>
  </si>
  <si>
    <t>GARY KLISMAN QUISBERT APAZA</t>
  </si>
  <si>
    <t>ING. RUBÉN GUZMÁN QUISBERT</t>
  </si>
  <si>
    <t>ESTUDIO DE FACTIBILIDAD PARA LA IMPLEMENTACIÓN DE UN CENTRO DE RECALIFICACIÓN DE CILINDROS DE GNV PARA LAS CIUDADES DE LA PAZ Y EL ALTO</t>
  </si>
  <si>
    <t>daigoro_00_@hotmail.com</t>
  </si>
  <si>
    <t>IND-754-2015</t>
  </si>
  <si>
    <t>Impacto Ambiental (IA), Proceso de recalificación de cilindros de GNV</t>
  </si>
  <si>
    <t>El presente proyecto tiene como finalidad la realización de un estudio de factibilidad para la implementación de un Centro de recalificación de cilindros de GNV para las ciudades de La Paz y El Alto, que pretende contribuir en la seguridad de los beneficiarios que utilizan GNV mediante un proceso de revisión periódica.El Proyecto será financiado en su fase de inversión por los recursos provenientes de préstamos bancarios. Y en su fase operativa será auto sostenible.El Centro de recalificación de cilindros de GNV para poder ser auto sostenible tiene previsto la firma de un contrato de  préstamo del servicio de recalificación de cilindros de GNV  a la EEC- GNV, la cual cubre los costos de recalificación de cilindros de GNV en la ciudades de La Paz y El Alto.El estudio del presente Proyecto se estructuro de la siguiente manera. Primeramente se hizo un diagnostico general seguido de un estudio del mercado donde,  se define que el principal tratante es la EEC-GNV.Después se desarrolló un estudio legal donde se analizó los requisitos y las normas para establecer un proceso de recalificación de cilindros de GNV certificado por IBNORCA.Luego se procedió al análisis de localización, tamaño y la ingeniería del proyecto donde se estructuraron los elementos del Centro de recalificación de cilindros de GNV.En el análisis de la organización del Centro se determinó los niveles jerárquicos, los requerimientos de mano de obra y los sueldos y salarios de los mismos.Después con toda la información  recabada se realizó la evaluación financiera donde se identificó la rentabilidad del proyecto. En este miso capítulo se realizó un análisis de sensibilidad que permitió construir el escenario que garantiza la auto sostenibilidad del Proyecto como negocio.Y por último se concluye que debe llevarse adelante la instalación del Centro de recalificaciones de cilindros de GNV, porque brinda seguridad y sostenibilidad al cambio de la matriz energética Vehicular.</t>
  </si>
  <si>
    <t>https://drive.google.com/file/d/16ZtJ5nwEaoeHDG0HBUhSz_-UumOT8BvM/view?usp=sharing</t>
  </si>
  <si>
    <t>https://drive.google.com/file/d/1ceg3bKNB6pNxifyq5KEMRu5c6B2mWnFY/view?usp=sharing</t>
  </si>
  <si>
    <t>https://drive.google.com/file/d/1jNIC-xbvNfuB7BTB8tyhKsnVN6lhDI-H/view?usp=sharing</t>
  </si>
  <si>
    <t>ANA ISABEL GARCÍA COLQUE</t>
  </si>
  <si>
    <t>TIFFANY VARGAS INOCHEA</t>
  </si>
  <si>
    <t>PROYECTO DE FACTIBILIDAD PARA LA INSTALACIÓN DE UNA PLANTA ELABORADORA DE SHAMPOO A BASE DE ROMERO EN EL ÁREA METROPOLITANA DE COCHABAMBA</t>
  </si>
  <si>
    <t>ana.isabel.g.c@hotmail.com</t>
  </si>
  <si>
    <t>IND-755-2015</t>
  </si>
  <si>
    <t>Factibilidad, Hidrolato de romero, Flujograma, VAN, TIR, B/C, ROI, ROE</t>
  </si>
  <si>
    <t>Se realizó el proyecto por la falta de productos ecológicos para el cuidado del cabello teniendo por objetivo realizar un estudio de factibilidad para la implementación de una planta elaboradora de shampoo a base de Romero  para la población que vive en el área metropolitana de Cochabamba.Se eligió como materia prima el hidrolato de romero por las propiedades beneficiosas para el cabello ya que contiene principios bacterianos, antivíricos y sobre todo propiedades antioxidantes. Se  eligió cuidadosamente la materia prima, insumos y materiales a utilizarse en la elaboración del producto, para obtener un producto ecológico y de calidad.Se hizo un estudio de mercado en el área metropolitana de Cochabamba, que permitió establecer el nivel de demanda del producto, la población objetivo, características deseables en el producto, además de los lugares de compra y la aceptación del producto.La localización de planta se realizó a través de un análisis cualitativo de puntos, el cual con ponderación máxima, resulto ganador el área de Quillacollo siendo la más óptima, con una tamaño de 489 m2 , la distribución de áreas se especificó en el Ley out de la planta con el espacios requerido para realizar las actividades adecuadamente y finalmente se detalló el proceso productivo en los flujogramas y diagrama, teniendo una capacidad productiva de 166 L diarios equivalente a 415 frascos de 400 mL diarios.Se elaboró un organigrama para estructurar la mano de obra, se los clasifico por niveles, se especificó las tareas de todos los trabajadores en los manuales de funciones y se definió la planilla de sueldos y salarios. Se describió todo el proceso de formación para la apertura de la empresa obtenida del ministerio de trabajo para cumplir con todo lo que establece la ley.Posteriormente al haber obtenido los datos más importantes de varios capítulos se concluye que el estado de resultados y balance general  obtienen ganancias en el proyecto y los indicadores financieros obtenidos son un TMAR del 20 %,  un VAN de  820.353 Bs., un TIR  de 35%, relación de beneficio costo de 1,43, demostrado con estos resultados que el proyecto es factible, los indicadores de rentabilidad también dan ROI y ROE muestran que la empresa gana un 29,78 % sobre su inversión y el un 24,65 % sobre su patrimonio mostrando que el proyecto es muy rentable, Al realizar el análisis de sensibilidad se obtuvo que el proyecto es rentable hasta que el precio de venta baje un 13,5 %, se incremente el costo de producción un 65 % y cuando ocurra ambas situaciones soporte un 5 % en la disminución del precio y un 40 % en el incremento del costo de producción.Finalmente se concluyó con una Evaluación de Impacto Ambiental de acuerdo a ley 1333, donde se estudió al proyecto en sus etapas de ejecución y operación mediante la ficha ambientas, concluyendo que no existen factores de riesgo negativo considerables y se estableció medidas de mitigación para dichos factores.</t>
  </si>
  <si>
    <t>https://drive.google.com/file/d/1LNyqZQMWMRzIhSz0WFf6UJAblThm6Nbo/view?usp=sharing</t>
  </si>
  <si>
    <t>https://drive.google.com/file/d/1BbE5duSp8Jb1dK88ZWR69DjyO29dOQzd/view?usp=sharing</t>
  </si>
  <si>
    <t>https://drive.google.com/file/d/1D6-CtWx8vBmLd2oTDRQZp5CRxje9AORj/view?usp=sharing</t>
  </si>
  <si>
    <t>JOSE LUIS NOE AGREDA ALVAREZ</t>
  </si>
  <si>
    <t>JHONNY SARABIA ANZALDO</t>
  </si>
  <si>
    <t>ING. RONALD CANTARRANVILLAROEL</t>
  </si>
  <si>
    <t>PROYECTO DE FACTIBILIDAD TÉCNICA ECONÓMICA PARA LA INSTALACIÓN DE UNA PLANTA PROCESADORA DE MERMELADA DE TOMATE EN LA LOCALIDAD DE TIPA TIPA.</t>
  </si>
  <si>
    <t>agreda_2007@hotmail.com</t>
  </si>
  <si>
    <t>IND-756-2015</t>
  </si>
  <si>
    <t>Planta procesadora de mermelada de tomate, método de Planificación Sistemático de Distribución en planta (S.L.P), CPM, PERT y diagrama de GAND, Reglamento Ambiental para el Sector Industrial Manufacturero (RASIM).</t>
  </si>
  <si>
    <t>El presente proyecto tiene por objetivo la evaluación: técnica, económica y financiera para la implementación de una Planta procesadora de mermelada de tomate, con emplazamiento en la localidad de Tipa Tipa provincia Mizque del departamento de Cochabamba.En los siguientes párrafos se despliega en sumario lo tratado en cada apartado o capítulo.El  capítulo I; Antecedentes, se dio inicio con la exposición de los valores nutricionales del tomate, su tiempo y condiciones climatológicas del cultivo de tomate en Bolivia, luego se dio con la identificación del problema central donde se analizaron las causas y efectos del bajo aprovechamiento de los derivados del tomate.Además se hizo una descripción breve de las herramientas de ingeniería industrial que han de ser usadas en el proyecto; se fijaron objetivos, se describieron la justificación, alcance y metodología a través de la matríz de diseño metodológico.En el capítulo II denominado marco teórico, se describió los conceptos y las  fórmulas usados en el presente proyecto.El estudio de mercado es el capítulo III, donde primeramente se realizó el estudio del nivel de consumo de mermelada en la sección capital del departamento de Cochabamba; luego se realizó el análisis de la demanda/oferta donde se encuentra a tres productos en competencia: Arcor, del Valle y Hogar; además se determinó el grado de participación en el mercado a partir de la demanda potencial de la mermelada.En lo referido a la distribución se puso en consideración los lugares más concurridos para la comprar de productos de esta naturaleza; la parte comercial comprende el uso de estrategias de marketing mix, a través del cual se dio a conocer la existencia del producto.Seguidamente en lo que se refiere a la Materia Prima, Materiales e Insumos, visto en al capítulo IV, en este capítulo se detalló las características que deberá tener la materia prima (Tomate) además de mostrar la importancia de consumirlo por su aporte nutritivo que provee al organismo y el mismo será abastecido por agricultores de la zona.Los materiales e insumos se muestran a detalle así como lo necesario en ropa de trabajo para el personal de planta como  el consumo de servicios básicos.En el capítulo V tamaño y localización, se realizó el estudio de macro y micro localización y de acuerdo a ello se determinó el emplazamiento de la planta procesadora de mermelada de tomate, en cuanto al tamaño de plata se dimensionó de acuerdo a la demanda del proyecto, disponibilidad de materia prima, tecnología y disponibilidad de capital; siendo así que se procesará 115.017 Kg de mermelada por día para el primer año de su vida útil del proyecto llegando así a los 218.468 Kg por día el año de cierre del mismo.En la ingeniería del proyecto visto en el capítulo VI, se definió el proceso de producción de la elaboración de la mermelada de tomate, en dicha tarea se hizo también la selecciona la maquinaria y equipos a ser usadas con una inversión total de $us. 30.766 y una inversión de $us. 28,000 en vehículo para la distribución; se realizó también la distribución en planta en un área geográfica de 826 m2 y su costo de construcción de obras civiles en la misma área con un costo total de Bs. 393.771.34.El capítulo VII denominado estructura organizacional, mano de obra y aspectos legales; donde se definió la estructura organizativa del proyecto del tipo Line &amp;Staff, se describió la cantidad de mano de obra requerida siendo ellos un total de 19 para el año 1-2, 21 para los años 3-6 y 23 para los años 7-10, también se describieron los pasos para obtener el número de identificación tributaria NIT, como también los requisitos para la obtención de la licencia de funcionamiento en el gobierno autónomo municipal; el presente estudio comprende la inscripción de los empleados en la caja nacional de salud para dar cumplimiento a las normas sociales, etc.Para lo más importante: toda empresa procesadora de alimentos debe contar o estar registrado en el SENASAG.En la planificación y ejecución del proyecto detallado en el capítulo VIII, se determinó las actividades principales hasta la puesta en marcha del proyecto, por tanto se estimó un total de 48 semanas para ejecución de dichas actividades.La inversión requerida se muestra en el estudio financiero del proyecto esto en el capítulo IX, el mismo que comprende: balance de apertura, detalle de los costos totales de inversión que ascendieron a Bs. 1.159.352 en activos fijos, Bs. 22.399 en activos diferidos; Bs. 18.880 en capital de trabajo.El financiamiento del proyecto consta de un 35% de capital propio y un 65% con préstamo bancario con una tasa de interés del 6,40 % pagadero en 10 cuotas, los costó operativos del proyecto constan de los costos de producción, de administración, de comercialización y costos financieros, se calculó también el precio de venta, con los datos anteriores se procedió a encontrar el punto de equilibrio que sirve para saber cuál es el volumen de producción a la cual no existe ganancias ni perdidas.Para comenzar el estudio financiero se realizó primeramente el estado de resultados seguidamente el  flujo de caja y la evaluación financiera, después se procedió a calcular los indicadores financieros que dieron como resultado un TMAR de 9.87%, valor con el que se encuentra el VAN igual al 1.130.304 Bs. &gt; 0, igualando a cero el VAN se encuentra la TIR con un valor igual a 42,75%&gt;9.87% (TIR&gt;TMAR) lo que demuestra que el proyecto es factible, la relación beneficio-costo supera considerablemente la unidad esto es de Bs. 2.69 de ingreso por unidad de costo, por su parte el tiempo de recuperación de capital TRC es de próximo a 3 años dicho de otra manera: el tiempo de recuperación de la inversión del proyecto será en 36 meses de su vida útil.A lo largo de del estudio financiero del proyecto se procedió también a la realización del análisis de sensibilidad, en la cual se concluye que: el proyecto es altamente sensible a las variaciones  del precio del producto, las variables como el costo de materia prima e insumos y el costo de  mano de obra directa no son de gran influencia en la variación en dicho análisis.Se concluyó que los impactos ambientales negativos que el proyecto podría provocar, no son muy altos, lo que quiere decir, que no genera efectos adversos al medio ambiente; entonces estos impactos negativos pueden ser mitigados y controlados a través de medidas correctivas de fácil implementación.El presente estudio de factibilidad culminó con el capítulo XI denominado conclusiones y recomendaciones, en la cual se destaca lo más relevante del estudio de factibilidad de proyecto.</t>
  </si>
  <si>
    <t>https://drive.google.com/file/d/1qG8BApOPgeAE512fM7phsxbTmMKePnt1/view?usp=sharing</t>
  </si>
  <si>
    <t>https://drive.google.com/file/d/1DHmNqxi4JijfZgSPhdD0PGxm8x1Gr-he/view?usp=sharing</t>
  </si>
  <si>
    <t>https://drive.google.com/file/d/1Jr60VzAD8X9GjmvUKh7hPcFnX0_DLepE/view?usp=sharing</t>
  </si>
  <si>
    <t>HUGO EDDY SOTO CÉSPEDES</t>
  </si>
  <si>
    <t>ING. JOSÉ OSCAR ROJAS VILLARROEL</t>
  </si>
  <si>
    <t>LINEAMIENTO BASE PARA LA PLANIFICACIÓN Y DISEÑO DE UN SISTEMA DE TRANSPORTE PÚBLICO MASIVO BRT (BUS DE TRANSITO RÁPIDO), PARA EL ÁREA METROPOLITANA DE COCHABAMBA</t>
  </si>
  <si>
    <t>eddysoto17@gmail.com</t>
  </si>
  <si>
    <t>IND-757-2015</t>
  </si>
  <si>
    <t>Bus de Transito Rápido (BRT), Transporte Público Masivo, Sistema Integrado de Transporte Publico (SITP), Movilidad Urbana.</t>
  </si>
  <si>
    <t>El proyecto comenzó con la recopilación de información acerca de los diferentes tipos de sistemas de transporte público masivo más importantes en el mundo, observando las diversas características benéficas que tiene cada uno al aportar eficiencia en la movilidad urbana de las ciudades. Se pudo evidenciar que existe una gran diversidad de sistemas y, además, la variación de los costos que implica cada tipo.En base a la información obtenida previamente, se decidió realizar el estudio de lineamiento base para la planificación y diseño de un sistema de transporte público masivo, en base al sistema BRT (bus de transito rápido), cuya característica de costo de inversión más competitiva y ofreciendo similar servicio a los sistemas sobre rieles, motivó efectuar el proyecto presentado.Entonces, se determinó realizar como objetivo principal, el lineamiento base para la planificación y diseño de un sistema de transporte público masivo en general, proponiendo al sistema BRT como el más adecuado para el Área Metropolitana de Cochabamba.Para lograr dicho lineamiento, en primer lugar se realizó un estudio de demanda de transporte urbano a  través de encuestas personales, efectuadas en los hogares del Municipio de Cochabamba (ya que es el municipio con mayor problemática en cuanto a congestión y contaminación por gases vehiculares). Del comportamiento obtenido, se procedió a realizar los cálculos de estimación de la demanda actual (2015), a corto plazo (Los primeros 15 años), a mediano plazo (Los próximos 20 años) y a largo plazo (los próximos 20 años).A partir del estudio de demanda de transporte urbano, se procedió a identificar los posibles corredores troncales del sistema y de estos las posibles estaciones. Se pudo identificar que actualmente (año 2015), es necesario la implementación de dos líneas troncales (línea 1 roja y línea 2 amarilla), de manera que conecte los diferentes municipios conformantes del área metropolitana de Cochabamba.Ya teniendo la identificada la estimación de corredores y estaciones de servicio troncal, se procedió a realizar un análisis sobre los criterios de diseño operacional del sistema. Partiendo primeramente con el diseño de redes y servicios, donde se determinó que el corredor troncal debe implementarse con un sistema cerrado (solo circulan buses de servicio troncal); que el sistema debe ser de tipo tronco alimentado (el sistema troncal debe tener un subsistema de apoyo, denominado servicio de alimentadores-distribuidores), el cual realiza paradas a distancias de entre 200 a 250 metros y la distancia entre líneas de este tipo es de entre 400 a 500 metros; el sistema debe ofrecer un servicio exprés (servicio troncal con paradas estratégicas). Como segundo aspecto, se determinaron ciertos criterios sobre cómo debe ser el servicio al cliente, para con ello atraer a más clientes y mantener a los existentes.Pues bien, un sistema de transporte público no debe diseñarse e implementarse de manera aislada, este debe integrarse a su entorno tanto de forma modal, como de gestión y demanda del suelo. Por lo cual, se determinaron ciertos criterios de integración modal del sistema (integración con los corredores, con los peatones, con las bicicletas y otros tipos de transporte público) y, además de algunas políticas de integración al uso de suelo.Por último, para realizar el estudio técnico básico del proyecto, se recopilo información de las características técnicas y económicas de los diferentes buses e infraestructuras necesarias para implementar un sistema BRT tronco alimentado.  Estas características sirvieron para calcular la capacidad y frecuencia de servicio del sistema, para con esto estimar el costo de inversión en capital fijo necesario para implementar un sistema de este tipo en el Área Metropolitana de Cochabamba.Se llegó a la conclusión que, el área metropolitana demanda alrededor de 3.020.272 viajes diarios en transporte público. De esta cantidad, en la hora punta se demanda una capacidad promedio de viajes de alrededor de 6.074 viajes por hora por dirección. Y, para satisfacer esta necesidad, es necesario invertir alrededor de 281.139.448 dólares en servicio troncal. Para finalizar, se propuso en primer lugar realizar un estudio de factibilidad a nivel TESA y; que la inversión en servicio troncal más la construcción de paraderos de servicio troncal, sea cubierta por el gobierno metropolitano; que la inversión en infraestructuras y vehículos necesarios para el servicio de alimentadores-distribuidores, sea cubierto mediante la creación de sociedades publico privadas.</t>
  </si>
  <si>
    <t>https://drive.google.com/file/d/16cCwbqeDbkcOtb3QqiMdadxoZsGEDkeH/view?usp=sharing</t>
  </si>
  <si>
    <t>https://drive.google.com/file/d/17fRhLk3uP79Y2aQ6fa_mul-NgySSsYZt/view?usp=sharing</t>
  </si>
  <si>
    <t>https://drive.google.com/file/d/1DB_YTjIGIlv8s5ubeT4J6MguyHJ3ei3s/view?usp=sharing</t>
  </si>
  <si>
    <t>ANA PAULA VARGAS</t>
  </si>
  <si>
    <t>ING. FERNANDO ARTURO LEDEZMA PERIZZA</t>
  </si>
  <si>
    <t>DISEÑO E IMPLEMENTACIÓN DE UN SISTEMA DE GESTIÓN DE LA CALIDAD BASADO EN LA NORMA BOLIVIANA NB/ISO 9001:2008 PARA LA EMPRESA MOBLEFINO.</t>
  </si>
  <si>
    <t>anapaula_vargasmg@hotmail.com</t>
  </si>
  <si>
    <t>IND-758-2015</t>
  </si>
  <si>
    <t>Diseño e implementación de Sistemas de Gestión de Calidad, Mejora continua, Gestión de Calidad, Norma NB/ISO 9001:2008.</t>
  </si>
  <si>
    <t>Considerando lo difícil que hoy en día resulta permanecer en el mercado, la empresa Moblefino decidió implementar un Sistema de Gestión de la Calidad basado en la NB/ISO 9001:2008, el cual permitió orientar a la organización en el ciclo de la mejora continua.Como primera instancia se desarrolló el diagnóstico para conocer el estado inicial de la empresa, éste diagnóstico constó de una serie de preguntas que permitieron identificar qué requisitos son cumplidos y cuáles no dentro del Sistema de Gestión de Calidad.Sobre la base de la información obtenida en la fase de diagnóstico se asignaron los roles y responsabilidades y se desarrolló un plan detallado de actividades para personal encargado del diseño e implementación del Sistema de Gestión de la Calidad.Seguidamente se procedió a la elaboración de la documentación correspondiente al sistema, se elaboraron los documentos exigidos por la NB/ISO 9001:2008, así como también los que la organización creyó necesarios para el buen funcionamiento de la empresa.Paralelamente a la elaboración de la estructura documental, se desarrolló la implementación del sistema, se realizaron talleres de capacitación, reuniones comunicativas y actividades recreativas. Una vez elaborada toda la documentación necesaria para el buen funcionamiento del Sistema de Gestión de la Calidad, se hizo posible la implementación total del mismo, se implementaron los registros, manuales, procedimientos y demás documentación, los cuales permitieron mejorar considerablemente la metodología de trabajo.Para concluir se realizó una evaluación final para conocer el porcentaje de mejora en cuanto a cumplimiento de requisitos de la Norma NB/ISO 9001:2008, se pudo observar una satisfactoria mejoría.</t>
  </si>
  <si>
    <t>https://drive.google.com/file/d/1QLd6HDwacIxb4zc88lzCr3-htI_2pZpj/view?usp=sharing</t>
  </si>
  <si>
    <t>https://drive.google.com/file/d/15Z0r1oeMeiVsQLoLnnv1sw3FGcv9LwGh/view?usp=sharing</t>
  </si>
  <si>
    <t>ROXANA OLIVIA ALCON GORAYEP</t>
  </si>
  <si>
    <t>SHARON MADEYVA ZABALAGA MERCADO</t>
  </si>
  <si>
    <t>ESTUDIO DE FACTIBILIDAD PARA LA ELABORACION DE ZUMOS EN LA PLANTA PILOTO DE LA CARRERA DE INGENIERIA INDUSTRIAL DESTINADO AL COMEDOR DE LA UMSS</t>
  </si>
  <si>
    <t>olirox_1990@hotmail.com</t>
  </si>
  <si>
    <t>IND-759-2015</t>
  </si>
  <si>
    <t>BCAA, TIR, VAN, B/C.</t>
  </si>
  <si>
    <t>En el presente proyecto (Estudio de Factibilidad para la Elaboración de Zumos en la Planta Piloto de la Carrera de Ingeniería Industrial destinado al comedor de la UMSS) se desarrolló una propuesta técnica para la elaboración de zumos (guayaba, maracuyá y pomelo) en la planta piloto de la carrera de Ingeniería Industrial, en sus usos y aprovechamiento y ofrecer a la población estudiantil del comedor una alternativa en bebidas a base de frutas tropicales, se determinó la viabilidad técnica y financiera para la elaboración y comercialización de zumos de frutas tropicales de guayaba, maracuyá y pomelo en el comedor de la UMSS.Las operaciones unitarias de procesamiento para los diferentes productos son básicamente las mismas, diferenciándose en la presentación final de la etiqueta. Posteriormente, se realizó el análisis de preferencia para determinar la variedad elegida por los comensales, a través del diseño experimental factorial de Bloques Completos Al Azar (BCAA).Se realizó el estudio de mercado en el campus de la UMSS para los tres productos, determinando la demanda de los zumos. Seguidamente se  determinó la capacidad de planta tomando en cuenta la inversión requerida y la disponibilidad de materia prima.Por último se realizó la evaluación financiera para el requerimiento de activo fijo y activo diferido. Demostrando la viabilidad para su ejecución, obteniendo como resultado los indicadores financieros: VAN (10%) es 96.549,45; TIR de 159,80% y una relación de B/C de 1,37 haciendo que el proyecto sea sostenible económicamente.</t>
  </si>
  <si>
    <t>https://drive.google.com/file/d/1UML2voWDveg34fzZbWxoVKrnI-X_RfOY/view?usp=sharing</t>
  </si>
  <si>
    <t>https://drive.google.com/file/d/173jlbTTq9VrD7QNm_EMtJk7uH5KhrU0h/view?usp=sharing</t>
  </si>
  <si>
    <t>https://drive.google.com/file/d/1qwXlE65jERG4cyDjTgwqsjL3nKL4oBnI/view?usp=sharing</t>
  </si>
  <si>
    <t>JOSÉ MARCELO TERRAZAS CORO</t>
  </si>
  <si>
    <t>REDISEÑOS DE PROCESOS OPERATIVOS PARA LA ADAPTACIÓN DE UN SISTEMA ERP DE INDUSTRIAS NAHÍ CORPORACIÓN S.R.L.</t>
  </si>
  <si>
    <t>jmarcelo.terrazas@gmail.com</t>
  </si>
  <si>
    <t>IND-760-2015</t>
  </si>
  <si>
    <t>ERP, Proceso Productivo. Flujo de Información, CRM, Procesos Operativos.</t>
  </si>
  <si>
    <t>Una forma de contribuir a la mejora del proceso productivo es a través del desarrollo de un sistema de control que permita la continua medición y evaluación del cumplimiento de los planes operativos que conllevan al logro de sus objetivos, ya que aunque la empresa cuente con magníficos planes, una estructura organizacional adecuada y una dirección eficiente, siempre se hace importante cerciorarse de que los hechos van de acuerdo con los objetivos.El ERP (planificación de recursos empresariales) es un sistema que permite administrar todos los procesos operativos de una empresa, integrando varias funciones de gestión en un único sistema; en otras palabras, representa la “columna vertebral” de una empresa.Primeramente se consultó toda la información bibliográfica referente a estos sistemas y su uso en empresas de diferentes rubros y de esta manera nos sirva de antecedentes en este estudio.Posteriormente se realizó un levantamiento muy detallado de cada proceso actual de la compañía (diagnóstico) donde se pudo evidenciar las principales dificultades a consecuencia de un flujo de información deficiente. Luego según las mejores prácticas y según el objetivo que se quiera alcanzar, determinar la mejor solución, eliminando, combinando y/o agregando tareas para alcanzar la implementación de un sistema ERP para la integración de los procesos y el manejo de la información. Después se estableció un procedimiento de catalogación de materiales que son usados a lo largo del proceso productivo de la empresa.Se pudo determinar que los beneficios para Industrias Nahí de implementar un sistema ERP son en su mayoría una reducción de costos y menos tiempo de respuesta en procesos como aprobaciones y la generación de documentos que el con el ERP, se haría de forma automática.Se pudo concluir que es indispensable que los proveedores tengan acceso a la información de la compañía para poder tener los productos que esta necesita en menor tiempo, esto lograría que el ciclo productivo de Nahí se redujera gracias a la colaboración de sus proveedores que por medio del ERP pueden tener un pronóstico de las materias primas que Nahí necesitara en el corto, mediano y largo plazo de acuerdo al sistema de inventarios y niveles de stock que se maneje.Como también para el manejo de los clientes, es necesario explotar aún más las funciones y beneficios que traen los CRM (Gestión de relaciones con los clientes), se debe montar en línea toda la información de los productos junto con sus precios, para que el cliente pueda conocerlos y realizar compras on line, simplemente llenando un formulario interactivo el cual pasaría de forma automática al área de producción y planeación para realizar las compras necesarias de material si se presenta el caso de no haber disponibilidad y empezar el proceso productivo.</t>
  </si>
  <si>
    <t>https://drive.google.com/file/d/1obiNLHaR4RWamHuk3iygKIjdCvSqqcLz/view?usp=sharing</t>
  </si>
  <si>
    <t>https://drive.google.com/file/d/1zoxDNRYTSKLkPzea9HvkRpEQoVkvtX8d/view?usp=sharing</t>
  </si>
  <si>
    <t>https://drive.google.com/file/d/1sQo7K7OaCqd9gX-_wNL00lXYQiUCkoD3/view?usp=sharing</t>
  </si>
  <si>
    <t>CHOQUE PÉREZ KAREN</t>
  </si>
  <si>
    <t>COPA CHOQUETOPA OTILIA NORMA</t>
  </si>
  <si>
    <t>DOC. ING. FERRUFINO GUARDIA ERICK VLADIMIR</t>
  </si>
  <si>
    <t>ESTUDIO DE FACTIBILIDAD PARA LA IMPLEMENTACIÓN DE UNA INDUSTRIA PROCESADORA DE VÍSCERAS PRE-COCIDAS Y CONGELADAS</t>
  </si>
  <si>
    <t>karenaren_210@hotmail.com</t>
  </si>
  <si>
    <t>IND-761-2015</t>
  </si>
  <si>
    <t>Materias primas (MP), Producto terminado (PT), Recursos Humanos (RRHH), Higiene, seguridad y medio ambiente (HSMA).</t>
  </si>
  <si>
    <t>La concepción del proyecto es realizar un estudio que permita conocer la viabilidad de una oportunidad de inversión. El mercado objetivo son personas de las zonas: sud, norte y oeste del cercado de Cochabamba.Un  73,00% de las personas encuestadas aceptan el producto por las características organolépticas, por ser un producto inocuo, además de estar pre-cocidas y congeladas; así como también la composición del mercado meta corresponde al 35,70 % por mujeres y el 27,97 % por varones, con rangos de edad entre 15 a 29 años y un 55,70 % tienen un ingreso mensual menor a 3.000 Bs, siendo estos estudiantes y comerciantes del Cercado de Cochabamba.Se determinó el punto óptimo de condimentación para lo cual se realizaron tres muestras (PE1MC1, PE2MC2 y PE3MC3), Seguidamente se realizaron degustaciones a través de 2 métodos:La primera: Se determinó que la muestra PE1MC1, es la más aceptada seguida por la PE2MC2, a través de pruebas hedónicas de orden de preferencia física.En el segundo método se enfocó a las características organolépticas de las vísceras, en el cual se empleó las pruebas hedónicas con validez temporal (pruebas momentáneas) a las dos muestras más votadas (prueba de orden de preferencia), dicha prueba momentánea determinó que la muestra PE1MC1, es la que mejor características organolépticas presenta, en cuanto a: sabor, color, textura y aspecto.Para determinar la aceptación de las vísceras pre-cocidas y congeladas se realizaron pruebas objetivas descriptivas enfocadas a la comparación de dos productos (muestra A y muestra B), con lo cual se concluyó que: el 75,00% de los catadores aceptan las vísceras pre-cocidas y congeladas (muestra B), porque les agrada el sabor, olor, presentación y envase.La materia prima principal para la elaboración de vísceras pre-cocidas y congeladas son: tripa, panza y omaso, los cuales serán adquiridos de los menudencieros afiliados al matadero Municipal Empresa Beneficiaria De Carne EMBECA S.R.L, los cuales deben estar regidos según la Norma Boliviana NB/NA 0091 Carne y menudencias o vísceras comestibles de animales de abasto-requisitos.Entre los principales insumos se tiene: Aceite fino semihidrogenado de soya y girasol para fritura y Bolsas de Polietileno de Baja Densidad. Los aditivos utilizados son: Cloruro de sodio, Sorbato de potasio, ascorbato de sodio y Ácido acético.La alternativa óptima de ubicación es en la provincia de Capinota específicamente en el Parque Industrial de Santivañez, según el método cualitativo de métodos ponderados.El proceso productivo para la elaboración de vísceras pre-cocidas y congeladas consta de 13 procesos, cuya línea de producción será semiautomática y continúa; la distribución de planta se encuentra sobre 1001 m2, en el que se contemplan las áreas de producción, servicios y administración. Para cuya construcción de obras civiles, compra de maquinaria, equipos y otros.se requerirá una inversión de Bs. 1.728.476,12.La estructura organizacional será del tipo “lineo–funcional”, permitiendo de esta manera la autoridad y responsabilidad transmitida a través de un solo jefe para cada función específica.La responsabilidad jurídica que tendrá la empresa será de carácter de responsabilidad limitada S.R.L. De este modo, contará con el aporte de tres socios.Los socios de la empresa aportarán un porcentaje de capital del 60% y contará con la financiación de una entidad bancaria la cual otorgará los recursos financieros restantes como préstamo. El aporte de los socios representa aproximadamente Bs 1.161.605,43 y la financiación representa alrededor de Bs. 774.403,62.Para el funcionamiento del proyecto se requiere una inversión en activos fijos, activo diferido y capital de trabajo con un monto total de Bs. 1.936.009,05, donde el 60% de este monto será cubierta por los socios de la empresa, el restante 40% será cubierto por una entidad bancaria Banco Ganadero por su bajo interés para Pymes.De la evaluación financiera se obtuvo los siguientes resultados: La Tasa Interna de Retorno (TIR) de 31,08 %, Valor Actual Neto (VAN) de 2.720.421,27 Bs, relación B/C de Bs 1.56 y con un periodo de recuperación de 3,02 equivalente a 36 meses con 3 días.Según el reglamento ambiental para el  sector industrial manufacturero (RASIM), el proyecto pertenece a la categoría con el código CAEBSUB clase 15119 para la elaboración de subproductos cárnicos.</t>
  </si>
  <si>
    <t>https://drive.google.com/file/d/1lYmthzDJrvT0LEdU49sAaK13n3R4P0sC/view?usp=sharing</t>
  </si>
  <si>
    <t>https://drive.google.com/file/d/1Z3xX1NRGXwFiKb3ufYWpAttmZfbpAu1W/view?usp=sharing</t>
  </si>
  <si>
    <t>https://drive.google.com/file/d/1zd2DPbuFB_iDCj7DJbWoBLg3Q8unz-4l/view?usp=sharing</t>
  </si>
  <si>
    <t>ELIANA MAGNE AJATA</t>
  </si>
  <si>
    <t>SHEYLA LEANNY SAIQUE QUISPE</t>
  </si>
  <si>
    <t>ING. RAMIRO FUENTES GÓMEZ</t>
  </si>
  <si>
    <t>ESTUDIO DE FACTIBILIDAD PARA LA PRODUCCIÓN DE BENTONITA ACTIVADA DE USO INDUSTRIAL EN LA DECOLORACIÓN DE ACEITES PARA LA EMPRESA “SAN ONOFRE LTDA.”</t>
  </si>
  <si>
    <t>eliana.magne@gmail.com</t>
  </si>
  <si>
    <t>IND-762-2015</t>
  </si>
  <si>
    <t>Producción de Bentonita, Bentonita Activada, Decoloración de Aceites, Termo Activación</t>
  </si>
  <si>
    <t>De acuerdo a la realización de estudio de mercado el producto será enfocado a las 5 empresas que elaboran aceite en Bolivia ya que la bentonita activada tiene un uso específico como insumo dentro del proceso de decoloración de aceite vegetal, con una demanda proyectada para el 2016 de 1.755 TN de bentonita activada.La máxima demanda posible que se podría dar para nuestro producto es decir la demanda potencial para el 2016 es de 1.755 TN de bentonita activada, Los precios que existen en el mercado varían de acuerdo a su presentación estando en un promedio de 237 Bs. por 25 Kg. de bentonita activada.Es de conocimiento de todos que Bolivia es un  país rico en minerales metálicos, en nuestro estudio podemos observar que también contamos con minerales no metálicos con diversas aplicaciones industriales como es la arcilla de la bentonita.Tomando en cuenta 301 días laborables, 1 turnos de 8 horas, la capacidad instalada será de 1.050 (TN/año) de bentonita natural, esto significa una producción al 52% de 913 (TN/año) de bentonita activada o 3.033 TN/díaLuego de varias activaciones con distintos tipos de ácidos; se puede observar  que ambas bentonitas tanto Pura Escamas y Fácil de Romper  activadas con ácido Clorhídrico (HCl) 5N son las más óptimas para el proceso de decoloración en aceites Vegetales, siendo que estas dos muestras dan buenos resultados cualitativos y en análisis de laboratorio..Posteriormente se preparó la información para poder realizar la evaluación financiera determinando un VAN de 7.898.096, un TIR de 50% y una relación B/C de 7,09 lo cual indica que el proyecto es viable.Finalmente se concluyó con una Evaluación de Impacto Ambiental de acuerdo a ley 1333, donde se estudió al proyecto en sus etapas de ejecución y operación, el proyecto se categoriza en la categoría 3 concluyendo que no existen factores de riesgo negativo considerables y se estableció medidas de mitigación para dichos factores.</t>
  </si>
  <si>
    <t>https://drive.google.com/file/d/1de0HAtPham_nuPwzWWU7a-NkV5G7TN3T/view?usp=sharing</t>
  </si>
  <si>
    <t>https://drive.google.com/file/d/1JOFmFhDLH8tbTWH041JQXSoFto9TkQeM/view?usp=sharing</t>
  </si>
  <si>
    <t>PAMELA GRACE  CARDOZO ECHEVERRIA</t>
  </si>
  <si>
    <t>MARCOS MAMANI OTALORA</t>
  </si>
  <si>
    <t>ESTUDIO DE FACTIBILIDAD PARA LA OBTENCIÓN DE HARINA DE ZAPALLO ENRIQUECIDA CON QUINUA EN EL MUNICIPIO DE CERCADO.</t>
  </si>
  <si>
    <t>pam_ceg@hotmail.com</t>
  </si>
  <si>
    <t>IND-763-2015</t>
  </si>
  <si>
    <t>Factibilidad, Harinas sin gluten, Zapallo, Colomi, Quinua, Sopa deshidratada.</t>
  </si>
  <si>
    <t>La necesidad de haber realizado el estudio fue de ver la posibilidad de introducir al mercado Cochabambino un producto alternativo. La harina de zapallo enriquecida con quinua pueda ofrecer al consumidor una buena alternativa para su dieta alimentaria y favorecer al organismo, de manera tal, que su obtención repercuta  desde los proveedores de materia prima, así también los que transforman en el producto final, dando lugar a un incremento de fuentes de empleo, desarrollo de la región y ganancia de recursos económicos de ambos sectores.Primeramente se realizó un estudio de mercado en donde fue determinada la demanda del producto, ya que el producto no es comercializado en el país fue necesario realizar la encuesta desde el punto de vista  de un producto que necesita como materia prima la harina de zapallo enriquecida con quinua.Se determinó la disponibilidad de materia prima del municipio de Colomi debido a que es el lugar de mayor producción en el Departamento.También se determinó el tamaño que será condicionado por la demanda insatisfecha del mercado de un 30 %  a su vez se  estableció que la localización de la planta será en el municipio de Colomi debido a la gran cantidad de materia prima.El tipo de organización planteado  fue una sociedad de responsabilidad limitada. El proyecto tendrá una duración de 36 semanas, contemplando las etapas de Gestión del Proyecto, Ejecución del Proyecto y Puesta en Marcha. En cuanto a la organización planta contará con 23 operarios. En ingeniera del proyecto se estableció el proceso productivo de la harina de zapallo enriquecida con quinua, se determinó la tecnología necesaria para la elaboración de dicho producto y la distribución de la planta.La empresa producirá 260 toneladas de harina en el primer año y finalizando el proyecto con un total de 522 toneladas. La planta de harina comercializará en tres presentaciones de 1 kilogramo, 5 kilogramos y 50 kilogramos con un precio de 21,30 Bs, 106,50 Bs. y 1026,50 Bs respectivamente.Mediante el estudio financiero se llegó a la conclusión de que el proyecto es factible, ya que presenta lo siguientes indicadores financieros: VAN=2.257.811,91 Bs., TIR= 84,52% y B/C= 1,35 Bs. La inversión total del proyecto es de 1.066.908,11 Bs, contando con un aporte propio del 63% y un financiamiento de un 37%.Mediante el análisis de sensibilidad se encontró 3 escenarios riesgosos para el proyecto, siendo estos la disminución del precio final del producto en 5%, un incremento en el precio de la materia prima del 20 % y un incremento en el costo de maquinarias y equipos debido al aumento de tipo de cambio de dólar a bolivianos en un 5%, tras analizar los tres escenarios se pudo verificar que el proyecto seguiría siendo factible.La evaluación de impacto ambiental social concluye que el proyecto es ecológicamente compatible, por lo que tiene impactos negativos en una escala baja.</t>
  </si>
  <si>
    <t>https://drive.google.com/file/d/1tpfJVOyhZLB_lg1ovkh2Ej2PCLkB6P8L/view?usp=sharing</t>
  </si>
  <si>
    <t>https://drive.google.com/file/d/1hPH6nhpvBjhAbyt95YOp61KL5UHUSiGR/view?usp=sharing</t>
  </si>
  <si>
    <t>BRAÑEZ  LEAÑOS WALDO ARIEL</t>
  </si>
  <si>
    <t>ING. GARY LUIS BRAÑEZ LEAÑOS</t>
  </si>
  <si>
    <t>ESTUDIO DE FACTIBILIDAD PARA LA COMERCIALIZACION DE ACEITES DE MOTOR SINTETICO PARA LA EMPRESA "BRALE</t>
  </si>
  <si>
    <t>IND-764-2015</t>
  </si>
  <si>
    <t>Invenstigacion de mercado (IM)  Recursos Humanos (RRHH), YPFB(yacimientos petrolíferos fiscales Boliviano), Agencia Nacional de Hidrocarburos (ANH)</t>
  </si>
  <si>
    <t>El Sector de comercialización de la empresa BRALE ha visto por conveniente realizar un estudio de comercialización debido a la existencia de la demanda insatisfecha, como la comercialización de un aceite que ayuda a mantener la vida útil de un motor de automóvil con productos certificados y de calidad.Seguido de la investigación de mercado, un proceso sistemático para obtener información y tomar decisiones, trazar objetivos y planificar el futuro comercial de los productos.Un estudio detallado sobre el mercado consumidor de los productos en análisis, consiste en realizar un diagnóstico de los hábitos de consumo de los productos en cuestión cantidades demandadas, oferta, etc. Por otro lado un registro de los principales puntos de distribución en el área urbana de la ciudad de Cochabambase realizara la ingeniería del proyecto con la  descripción minuciosa de la secuencia de operaciones para obtenerlo, selección de tecnología a usar, identificación de personal que necesita la empresa, diseño de la distribución física en el almacén.Una vez realizado el contrato de compra – venta, el exportador le emite la factura comercial. Posteriormente, el importador se dirigirá a la transportadora que empleará para traer la mercadería. Esta transportadora es la encargada de emitir el MIC/DTA (cuando es vía carretera), el TIF/DTA (cuando es por vía Férrea) o la Guía Aérea (cuando es por avión), según sea el modo de transporte que utilizará.Se recomienda Implementar, ejecutar y poner en marcha el proyecto, se recomienda aprovechar la demanda insatisfecha que existe de este lubricante.Realizar por lo menos dos veces por año un análisis económico financiero para ver la evolución  del proyecto.</t>
  </si>
  <si>
    <t>https://drive.google.com/file/d/1F5-LEDXsbuJChly1wk8QBV8c1T4KEUMt/view?usp=sharing</t>
  </si>
  <si>
    <t>https://drive.google.com/file/d/1Q-SUiRKGnPYxCBS4knnG35NaBO2lDHut/view?usp=sharing</t>
  </si>
  <si>
    <t>https://drive.google.com/file/d/1jakyQkoBBDSDheqS0-miVO975oizhAUW/view?usp=sharing</t>
  </si>
  <si>
    <t>VIRGINIA BURGOA SANCHEZ</t>
  </si>
  <si>
    <t>GESTIÓN ESTRATÉGICA PARA LA EMPRESA RECICLADORA DE CARTÓN CERPA S.R.L.</t>
  </si>
  <si>
    <t>virginia.burgoa12@gmail.com</t>
  </si>
  <si>
    <t>IND-765-2015</t>
  </si>
  <si>
    <t>Gestión estratégica, Estrategias competitivas, Competitividad, Productividad, Cuadro de mando integral.</t>
  </si>
  <si>
    <t>En Bolivia hace varios años se ha iniciado la industria del reciclaje, hoy en día las empresas compran plásticos, vidrio, metal, papel, cartón, etc. En desuso para utilizar como materia prima en su producción. El movimiento económico es generado por los servicios vinculados a la gestión de residuos solidos en los gobiernos municipales, por las instituciones que trabajan en el rubro y por la actividad de la cadena de valor que incluye reciclaje, transporte, acopio y transformación.Con la materia solida recuperable, el negocio del reciclaje ha sido consolidándose en los últimos 10 años, motivando emprendimientos formales y generando empleo para la recolección. El movimiento económica que genera el reciclaje esta en aumento. También por otro lado la evolución del mundo empresarial hace una competencia cada vez más agresiva; obliga a las empresas a no conformarse y mantenerse en el tiempo; obliga a estar permanentemente alerta y con el deseo de progresar, crecer, ser mas rentable, eficaces y competitivos. La Empresa Recicladora CERPA S.R.L. para poder sobrevivir en la evolución empresarial tiene que desarrollar la gestión estratégica y así tener la habilidad de anticipar, identificar los puntos fuertes y débiles de si misma y de la competencia. Con el desarrollo de la gestión estratégica la empresa podrá definir con claridad, cual es el momento presente que vive y como ha llegado allí, y cual es el objetivo que ha marcado como empresa  y a donde quiere llegar. Entonces, la gestión estratégica permitirá que la empresa pueda realizar acciones correctivas. También crear y mantener ventajas competitivas a  lo largo del tiempo y superar de esta manera el problema central, las causas y efectos que llevan a la empresa a no ser productiva, competitiva y proactiva.Se desarrollo el diagnóstico de la situación actual de la empresa en su entorno externo e interno, y se determinaron los factores que afectan a su competitividad y productividad. Oportunidades, amenaza, fortalezas y debilidades. Estos factores son evaluados para así poder determinar las estrategias más competitivas las cuales se convierten en acciones y  cumplen con los objetivos estratégicos de la empresa.Las estratégicas se convierten en acciones, se desarrolla el Plan de acción COCHABAMBA dirigido a incrementar la participación en el mercado de Cochabamba  con productos competitivos que satisfagan todas las necesidades y requerimientos de los clientes potenciales.Con el cumplimiento efectivo del plan la empresa se encontrara en la posición deseada a nivel regional y nacional.</t>
  </si>
  <si>
    <t>https://drive.google.com/file/d/17gHppwh4BtCTFWiC0J_3E6SroL6_nIIC/view?usp=sharing</t>
  </si>
  <si>
    <t>https://drive.google.com/file/d/1YuFtsQ2GFgHQugdaGy_ss9_fPTF079Gs/view?usp=sharing</t>
  </si>
  <si>
    <t>https://drive.google.com/file/d/1rdrk6JCvQohbZJUMqwUuog0MBIP9SHBm/view?usp=sharing</t>
  </si>
  <si>
    <t>ROLANDO JESÚS TERCEROS MOYA</t>
  </si>
  <si>
    <t>ING. JOSE OSCAR ROJAS VILLARROEL</t>
  </si>
  <si>
    <t>DISEÑO DE UN SISTEMA DE GESTIÓN AMBIENTAL BASADO EN LA NORMA ISO 14001:2004 PARA IMPABOL S.R.L.</t>
  </si>
  <si>
    <t>I-2016</t>
  </si>
  <si>
    <t>dinho2654@gmail.com</t>
  </si>
  <si>
    <t>IND-766-2016-1</t>
  </si>
  <si>
    <t>Empresa IMPABOL S.R.L., Gestión Ambiental, NB ISO 14001:2004, Medio Ambiente.</t>
  </si>
  <si>
    <t>El presente proyecto de grado consta de elaborar una propuesta de diseño de un sistema de gestión ambiental que sea aplicable y capaz de lograr una certificación ISO 14001 para reducir el impacto ambiental que genera una cadena de eco refugios en el área de influencia que El sistema de gestión ambiental establece un proceso estructurado para el logro del mejoramiento continuo, cuya proporción y alcance podrán ser determinados por la empresa a la luz de circunstancias económicas y de otro tipo. La propuesta del SGA es un avance para la empresa ya que les permitirá planificar, controlar y dirigir de mejor manera sus actividades.Inicialmente se realizó un análisis detallado de la empresa con el objeto de tener una imagen clara del área de estudio, lo cual permitió determinar algunos componentes necesarios para las siguientes etapas. Posteriormente se elaboró un modelo estratégico, con el fin definir el diseño del proceso de implementación de las norma ISO 14001. Para poder determinar el estado actual de la empresa respecto a las norma ISO 14001, se realizó un diagnóstico de la gestión de las prácticas actuales que se llevan a cabo en medio ambiente con respecto a la norma, además se identificaron los aspectos ambientales significativos. Una vez definida la situación actual de la empresa con respecto al medio ambiente se realizó la descripción de la metodología que conlleva al planteamiento de la propuesta para la Implementación de un Sistemas de Gestión Ambiental basado en la Norma ISO 14001, además se elaboró la Propuesta que contempla la asignación de responsabilidades, equipos, y materiales. Finalmente se concluye y recomienda.</t>
  </si>
  <si>
    <t>https://drive.google.com/file/d/1H2KrT3SRR-4bevFzNk0ndK58sqxLAqhG/view?usp=sharing</t>
  </si>
  <si>
    <t>https://drive.google.com/file/d/1xYjac8UieKfw2-vZArrgadHcy7bMWX-b/view?usp=sharing</t>
  </si>
  <si>
    <t>SARELA VALERIE VILLARROEL HERRERA</t>
  </si>
  <si>
    <t>ESTUDIO TÉCNICO-FINANCIERO PARA LA PRODUCCIÓN DE JUGO DE TOMATE BEBIBLE A PARTIR DEL TOMATE DE ÁRBOL (CYPHOMANDRA BETACEA) EN COCHABAMBA-BOLIVIA</t>
  </si>
  <si>
    <t>vale17villa@gmail.com</t>
  </si>
  <si>
    <t>IND-766-2016</t>
  </si>
  <si>
    <t>Planta Productora de jugo de tomate bebible, tomate de árbol (Cyphomandra betacea).</t>
  </si>
  <si>
    <t>Actualmente existe un incremento en la demanda de frutas procesadas orientadas al consumo directo que proporcionen beneficios para la salud y tengan un sabor distinto, el jugo de tomate bebible se convertiría en una opción de oferta muy atractiva en el mercado al poseer propiedades atrayentes sin competencia a nivel nacional.Primeramente se realizó una investigación de mercado donde el público objetivo considerado fue el total de la población residente en el Cercado del departamento de Cochabamba, para efectos de la investigación se realizó encuestas a personas de 15 hasta los 64 años de edad, porque tienen un criterio propio según sus gustos y necesidades al momento de realizar la compra. Determinándose que la demanda potencial de jugos envasados en la ciudad es de 19.199 (m3/año), el proyecto solo podrá cubrir un 1% de esta demanda por la disponibilidad de materia prima que hay actualmente. El Programa de Producción basado en la disponibilidad de materia prima, considera que la capacidad máxima significaría la fabricación de 225 (m3/año) de jugo. Conviene que la planta funcione al menos durante los primeros cuatro años con un porcentaje inferior al previsto como capacidad máxima, con la expectativa que durante este tiempo el producto tenga éxito e incentive a los agricultores a cultivar más hectáreas del fruto.No se encuentra información acerca de la elaboración de jugos utilizando el tomate de árbol, por esta razón, se realizó la experimentación en la planta piloto de la Facultad de Ciencia Agrícolas, Pecuarias y Forestales “Martín Cardenas”, mediante evaluaciones sensoriales se definió parámetros que influyen en la producción del jugo logrando seleccionar un proceso de producción óptimo que debería seguirse en la elaboración, verificando de esta manera la viabilidad técnica de producción del producto.A nivel macro, la empresa debe ubicarse en Cochabamba y por el método cualitativo por puntos se determinó que la micro localización es Pacata, definiéndose que la superficie requerida debe ser de 700(m2). En el estudio organizacional se definió la estructura orgánica, las funciones de cada trabajador y el costo incurrido en personal.El Costo de inversión estimado total es de: $us 369.687, que corresponde a terreno $us 45.500, maquinaria y equipo de producción $us 37.317, equipo auxiliar             $us 9.118, equipo de oficina $us 8.011, obras de ingeniería civil $us 196.677, vehículo $us 12.500, acción telefónica $us 1.500, inversión diferida $us 17.744 y capital de trabajo $us 41.320.Aplicando indicadores financieros, se determinó la viabilidad financiera del proyecto empleando un TMAR=11%. El VAN generado por el proyecto es de $us 250.023, con una TIR=47%, Relación (B/C)= 1,86, recuperando la inversión el año 3 y con capacidad de pago para la deuda que se contraería con el Banco del 70% a causa del préstamo para el costo total de las inversiones, concluyéndose con la viabilidad del proyecto. También se realizó un análisis de sensibilidad donde se identificó que la variable más sensible es el precio. Finalmente se concluyó con una Evaluación de Impacto Ambiental de acuerdo a ley 1333, donde se determinó que el proyecto clasificaría dentro la categoría 3, no existiendo factores de riesgo negativo considerables y estableciéndose medidas de mitigación para dichos factores.</t>
  </si>
  <si>
    <t>https://drive.google.com/file/d/1fXLpKdnh2QZirwt8qmMbOJVWTKvLcf-x/view?usp=sharing</t>
  </si>
  <si>
    <t>https://drive.google.com/file/d/1cNJtOwdf2S5ivyu0qcb3Vzrc9TAJW6dY/view?usp=sharing</t>
  </si>
  <si>
    <t>https://drive.google.com/file/d/1c2Vx923a8a716IexgLo6mWrmmvcCXUhu/view?usp=sharing</t>
  </si>
  <si>
    <t>LUIS MIGUEL CHURQUI CHURQUI</t>
  </si>
  <si>
    <t>PROYECTO DE FACTIBILIDAD PARA LA INSTALACIÓN DE UNA LAVANDERÍA INDUSTRIAL DE JEANS PARA LA EMPRESA BREY JEANS</t>
  </si>
  <si>
    <t>ofis_luis_m@hotmail.com</t>
  </si>
  <si>
    <t>IND-767-2016</t>
  </si>
  <si>
    <t>Lavandería de jeans, Factibilidad de una lavandería de jeans, Instalación de una lavandería, jeans.</t>
  </si>
  <si>
    <t>En  primera instancia se realizó el análisis de causa y efecto por lo cual se determinó el problema central, por lo cual se planteó la descripción del proyecto de la siguiente manera, “PROYECTO DE FACTIBILIDAD PARA LA INSTALACION DE UNA LAVANDERIA INDUSTRIAL DE JEANS PARA LA EMPRESA BREY JEANS”.De la misma forma se realizó el análisis del entorno por lo cual  dio como resultado a favor del proyecto ya sea en el presente y futuro.Se recolecto toda la información necesaria para poder elaborar una encuesta delimitando la población objetivo, estableciendo que la encuesta se la realiza en el distrito 6 y 7 de la ciudad de Cochabamba,  a empresas confeccionan y comercializan prendas de vestir en material jeans,  y por consiguiente se obtuvieron datos de primera mano, entre los datos obtenidos más importantes se encuentra que; la media de  producción por semana de las diferentes empresas es de 623 unidades/semana, el medio por el cual se enteran  la aparición de nuevas empresas que se dedican al servicio de lavados industriales en jeans  son; compañeros que trabajan en el mismo rubro.  Posteriormente se identificó todos los insumos requeridos y materias, materiales, que intervienen en todo el proceso productivo. También se determinó todas las maquinarias equipos y tamaño de planta necesario para el proyecto.Como uno de los últimos puntos de investigación se realizó el respectivo análisis financiero; por lo cual la mejor forma de invertir es con un préstamo bancario del 60% del capital, con un VAN 28.130,59; TIR 17,61%; B/C 1,396.Se concluyen que es factible el proyecto bajo las condiciones mencionados el mercado establecido, tamaño de planta, localización, estrategias de penetración en el mercado y análisis financiero.</t>
  </si>
  <si>
    <t>https://drive.google.com/file/d/1alKJIhOVYCBAtp6eTmIqRR9ZSzCMBWE6/view?usp=sharing</t>
  </si>
  <si>
    <t>https://drive.google.com/file/d/1QuHoHKF76eKTkJR-WvgjyZ8bp-jm_noY/view?usp=sharing</t>
  </si>
  <si>
    <t>https://drive.google.com/file/d/14GIKatx4W-JtUAavkJNJjY3V0G_3FmFV/view?usp=sharing</t>
  </si>
  <si>
    <t>CRUZ MIRANDA ARMANDO PASTOR</t>
  </si>
  <si>
    <t>ROMERO GUTIÉRREZ JULIANA</t>
  </si>
  <si>
    <t>ESTUDIO DE FACTIBILIDAD PARA LA IMPLEMENTACIÓN DE UNA PLANTA INDUSTRIAL DE LECHE DE QUINUA.</t>
  </si>
  <si>
    <t>triple_a300@hotmail.com</t>
  </si>
  <si>
    <t>IND-768-2016</t>
  </si>
  <si>
    <t>Factibilidad, Gluten, Quinua.</t>
  </si>
  <si>
    <t>La finalidad de este trabajo de grado es diseñar un producto para la creación futura de una empresa productora de bebidas saludables a base de quinua para el mercado de la ciudad de Cochabamba. El objetivo principal del mismo es demostrar técnica, económica, financiera y ambientalmente la implementación de la planta, establecer el alcance del proyecto así como determinar los procesos tecnológicos a utilizarse para la fabricación.El trabajo abordo inicialmente la realización de un análisis de mercado, destinada a identificar demanda potencial, mercado objetivo y sus características, competencia y la definición de una estrategia de comercialización para el producto entre otros componentes.Se realizaron pruebas a la leche de quinua de tipo microbiológica y fisicoquímica, con las que se establecieron los porcentajes correspondientes de valor nutricional y la inocuidad en la elaboración de la leche de quinua.Posteriormente se procedió a realizar el análisis técnico, dentro del cual se construyeron todos los aspectos relevantes a la producción del producto y sus características a nivel industrial, materia prima, proceso de producción, los recursos necesarios para su elaboración como ser maquinaria y mano de obra, aspectos de la planta como ser la distribución de la maquinas e instalación, planes de producción y compras.Se establecieron las estructuras administrativas y legales necesarias para la creación de la empresa, incluyendo elementos de planeación estratégica, permisos, trámites y licencias exigidos por el Estado Plurinacional de Bolivia para la producción y comercialización de este tipo de alimento y el impacto social y ambiental que podría generar la futura empresa puesta en marcha.Finalmente se estableció la viabilidad de la instalación de una planta industrial de leche de quinua en la ciudad de Cochabamba, la cual fue determinada mediante la construcción de una estructura financiera elaborando presupuestos, estados financieros, precisando posibles fuentes de financiación, ingresos y otras herramientas que evidenciaran si existía o no generación de valor para los accionistas.</t>
  </si>
  <si>
    <t>https://drive.google.com/file/d/1qmXki8cCxMGjEIqtM2K9ncuADIh07LqA/view?usp=sharing</t>
  </si>
  <si>
    <t>https://drive.google.com/file/d/1O3HVHgD4xvVBt6OpnQUUgyqw23UjT1cP/view?usp=sharing</t>
  </si>
  <si>
    <t>https://drive.google.com/file/d/1cQencVJ2vVSCVop288ESviAeVRCGXjON/view?usp=sharing</t>
  </si>
  <si>
    <t>MIJAÍL MARTÍNEZ TERCEROS</t>
  </si>
  <si>
    <t>ING. ERNESTO LOBO CLAVIJO</t>
  </si>
  <si>
    <t>DISEÑO DE UN PLAN ESTRATÉGICO DE MARKETING PARA LA FÁBRICA DE FIDEOS BONABELLI</t>
  </si>
  <si>
    <t>mijail_martinez_terceros@hotmail.com</t>
  </si>
  <si>
    <t>IND-769-2016</t>
  </si>
  <si>
    <t>Plan Estratégico De Marketing, FODA estratégico, Matriz de Perfil Competitivo, Auditoria PCE, Cristal Ball Versión 7.2.2</t>
  </si>
  <si>
    <t>Primero se realizó una investigación de Mercado a las zonas norte y centro de la provincia cercado del departamento de Cochabamba, estudiando también los mercados distribuidor, competidor y proveedor. Se determinó una demanda de pastas de fideo alimenticia, como también se determinó la proyección de demanda pastas alimenticias para las zonas norte y centro del departamento de Cochabamba. Seguidamente se identificación de factores críticos de éxito a través de un análisis y diagnóstico de factores externos y un análisis del desenvolvimiento interno de la empresa, estos factores se traducieron en oportunidades que todavía no son aprovechadas por la empresa, amenazas que pueden afectar a la estabilidad del sistema, fortalezas forjadas durante 35 años de funcionamiento y debilidades que deben ser subsanadas para comenzar a enfrentar cambios en el ámbito industrial boliviano. Uno de los factores críticos de éxito de mayor relevancia es el aumento de los precios de la materia prima, la harina de trigo durante los últimos años se ha convertido en un bien de alta demanda, pues se ha abierto un nuevo mercado, el de los biocombustibles que por la característica de ser un bien energético tiene una alta demanda generando presión sobre los sectores agrícolas dedicados a la producción de trigo y generando desabastecimiento a los molinos productores de harina, por otro lado Bolivia es un país que no ha podido generar una fuerte industria dedicada a la producción de granos y cereales (exceptuando a la soja), generando una situación por demás inestable para el abastecimiento de trigo y harina de trigo.Después se elaboró un del plan de marketing ha sido basada en objetivos de posicionamiento de marca  (cambio de imagen corporativa) y objetivos de crecimiento en ventas mediante un incremento del tamaño del mercado (ampliación de la red de distribución), y una penetración en intermediarios de la zona de mercados populares de la ciudad de Cochabamba, el plan plantea una reforma en la estructura organizacional utilizando al modelo del sistema viable como punto de partida para la implementación de un sistema de gestión de calidad ISO 9001:2008, tanto el modelo como el sistema de gestión permitirán estandarizar procesos productivos y administrativos, esta estandarización lograra descentralizar y facilitar la toma de decisiones que actualmente es de exclusiva responsabilidad del gerente general.Finalmente al formular el plan estratégico, el mismo ha pasado por un proceso de análisis de su viabilidad financiera, con este fin se utilizó el software Cristal Ball versión 7.2.2 académica, que analiza posibles fluctuación en los objetivos del plan y determina la probabilidad de alcanzar una rentabilidad del plan de marketing.</t>
  </si>
  <si>
    <t>https://drive.google.com/file/d/1dETvMB1KtvW0DrUBkjxC4rSosy-ZfeK0/view?usp=sharing</t>
  </si>
  <si>
    <t>https://drive.google.com/file/d/1go3s95a6gr__ZjZqJebhZkicoxXLRij2/view?usp=sharing</t>
  </si>
  <si>
    <t>https://drive.google.com/file/d/1KDqWcY6aaimYHbOs5aCo7N8ANmOKQ-kJ/view?usp=sharing</t>
  </si>
  <si>
    <t>GUIDO DIEGO AGREDA BUSTAMANTE</t>
  </si>
  <si>
    <t>PH. D. GUIDO AGREDA MONTAÑO</t>
  </si>
  <si>
    <t>VALORACIÓN ECONÓMICA Y FINANCIERA DE EMPRESAS CORPORACIÓN COMTECO</t>
  </si>
  <si>
    <t>die_n2o@hotmail.com</t>
  </si>
  <si>
    <t>IND-770-2016</t>
  </si>
  <si>
    <t>Gestión Estratégica, Macroeconomía, Análisis Económico y Financiero, Valoración</t>
  </si>
  <si>
    <t>La industria de las telecomunicaciones a nivel mundial se constituye en uno de los sectores que más ha revolucionado en los últimos años, principalmente por el avance en el desarrollo tecnológico realizado en la presente década, induciendo a las empresas a la necesidad de incorporarse permanentemente hacia nuevas reglas de juego. Las telecomunicaciones se constituyen en una herramienta estratégica sobre las que se basa el desarrollo del resto de los sectores de una economía.La globalización e incertidumbre que viven las empresas y los nuevos paradigmas, obligan a las mismas empresas a re direccionar sus estrategias y revisar sus estados financieros constantemente. Asimismo se enfatiza en la necesidad que tiene la Empresa COMTECO Ltda. de contar con una estrategia de valoración económica y financiera de empresas,  donde se deberá analizar el proceso de análisis e interpretación y valoración de sus Estados financieros, con el objetivo de determinar durante el examen y diagnóstico cuáles son sus debilidades, deficiencias y compararlo con los resultados del esquema propuesto.El trabajo contiene un análisis global de la industria de telecomunicaciones en Latinoamérica y de la importancia que tienen las operaciones estratégicas dentro de este sector. Asimismo se enfatiza en la necesidad que tiene nuestra empresa objeto de la investigación, de contar con un método de valoración que ayude a determinar el valor agregado sobre su patrimonio neto actual y de tener un instrumento de apoyo para la toma de decisiones.El objeto del trabajo es determinar el valor de la empresa de telecomunicaciones Cochabamba limitada según los distintos métodos de valoración existentes. Para ello se realizó un análisis fundamental, que va de loa general a lo especifico, es decir por un estudio del contexto externo; las perspectivas de la economía nacional; un análisis de la industria de las telecomunicaciones y finalmente un estudio de nuestra empresa objeto de estudio.Asimismo se efectuó un análisis económico y financiero de nuestra empresa objeto de estudio, constituidos por un análisis patrimonial de tendencias, los ratios de liquidez, actividad económica, rentabilidad y apalancamiento financiero y un análisis del flujo de caja.Finalmente en base al análisis fundamental y el análisis económico financiero, se calculó el valor económico de la empresa de telecomunicaciones Cochabamba limitada a través de sus distintos métodos de valoración de empresas, que son: Descuento del Free Cash Flow de caja; Valor patrimonial; valor de Liquidación; Valor de los dividendos y otros.Como conclusiones, se resumen los resultados de los análisis económicos y financieros y se realiza una comparación de los métodos de valoración de empresas aplicados, llegándose a establecer el valor económico de la empresa de telecomunicaciones Cochabamba limitada.</t>
  </si>
  <si>
    <t>https://drive.google.com/file/d/1u1CiDT2shiWbbf4osGMUxJgTuQTq69CG/view?usp=sharing</t>
  </si>
  <si>
    <t>https://drive.google.com/file/d/1DWEpPN75KfXL_L6lZCgNHHUI8EfTQxvd/view?usp=sharing</t>
  </si>
  <si>
    <t>https://drive.google.com/file/d/1F9ooww4c9DO5Kz-iMQfeOZ8m5ouYiWsS/view?usp=sharing</t>
  </si>
  <si>
    <t>ROMERO TAPIA ERNEST GABRIEL</t>
  </si>
  <si>
    <t>DISEÑO DE UN PLAN DE REINGENIERÍA DEL PROCESO PRODUCTIVO PARA LA EMPRESA CALRO EN LA CIUDAD DE COCHABAMBA</t>
  </si>
  <si>
    <t>IND-771-2016</t>
  </si>
  <si>
    <t>CALRO, Carbonato de Calcio, Reingeniería, Productividad, Estudio de tiempos, Ishikawa</t>
  </si>
  <si>
    <t>https://drive.google.com/file/d/1Dt4kVKNKIrOn9-W0XIAT5DO7y64betA-/view?usp=sharing</t>
  </si>
  <si>
    <t>https://drive.google.com/file/d/1t0kW9VHKBpXT-yq8u9qZiRg3uv7K5SAt/view?usp=sharing</t>
  </si>
  <si>
    <t>https://drive.google.com/file/d/1pWfkpSvB-Jqnd6dRkFLNSKnU_8LaZF5Y/view?usp=sharing</t>
  </si>
  <si>
    <t>EDSON MARCELO VARGAS CÁRDENAS</t>
  </si>
  <si>
    <t>ING. JOSÉ LUIS RENDÓN ARANIBAR</t>
  </si>
  <si>
    <t>DISEÑO DE UN SISTEMA DE GESTIÓN DE CALIDAD EN BASE A LA NORMA ISO 9001:2008 PARA COBOCE HORMIGÓN</t>
  </si>
  <si>
    <t>edsonvargasc7@gmail.com</t>
  </si>
  <si>
    <t>IND-772-2016</t>
  </si>
  <si>
    <t>Sistema de Gestión de Calidad ISO 9001:2008, Calidad, Procesos, Procedimientos, Instructivos, Indicadores de control, Programa de objetivos y metas, Análisis costo beneficio.</t>
  </si>
  <si>
    <t>Primeramente se realizó una descripción de la empresa para conocer y entender sus procesos, interacciones, métodos de trabajo, entre otros, para pensar en el alcance y la planificación posterior para empezar con el inicio del proyecto. Posteriormente se realizó un diagnóstico de cumplimiento de los requisitos de la norma ISO 9001:2008, para tener un claro dato cuantitativo del grado de cumplimiento, teniendo como resultado global aproximadamente 40% de cumplimiento de la empresa con la norma ISO 9001:2008. Posteriormente se realizó el análisis FODA para la empresa con el fin de identificar aspectos funcionales internos y externos que la empresa deba conocer para encararlos y actuar en las causas, con la ayuda de este sistema de gestión de calidad.Se definió la política, objetivos, además del alcance del sistema de gestión, todo ello para iniciar con el proyecto, con el fin de que sea lo más beneficioso posible para la empresa. Se realizó el Manual de la calidad, procedimiento e instructivos, cumpliendo en su totalidad con los requisitos exigidos por la norma ISO 9001:2008, además se elaboró documentación referente al sistema de gestión de calidad, que no solo ayudaran a Coboce Hormigón a satisfacer los requisitos de la norma ISO 9001:2008, sino también a aumentar su control, eficacia y aumentar su productividad, de los cuales podemos mencionar los cuadros de entradas y salidas de los procesos de la empresa, indicadores de control para cada una de las metas establecidas por Coboce Hormigón, entre otros.Posteriormente se preparó la información para poder realizar la evaluación financiera determinando un VAN de 92.887,01 Bs., un TIR de 20% y una relación B/C de 18%, teniendo como margen de tiempo 5 años, concluyendo la factibilidad y rentabilidad de la implementación de este proyecto para Coboce Hormigón.</t>
  </si>
  <si>
    <t>https://drive.google.com/file/d/1sfaeKlTgxds8fdDUlP0PL6OfJeNVs5Zr/view?usp=sharing</t>
  </si>
  <si>
    <t>https://drive.google.com/file/d/1k81tczlfhecAW6lENeQDYsDX1HZJasGd/view?usp=sharing</t>
  </si>
  <si>
    <t>https://drive.google.com/file/d/1fYGsaKRKISP9LRnJNlaqD3E2tX0WxI3-/view?usp=sharing</t>
  </si>
  <si>
    <t>DIEGO GOYTIA ALVAREZ</t>
  </si>
  <si>
    <t>ING. DANIEL LAZCANO OCAMPO</t>
  </si>
  <si>
    <t>ESTUDIO DE FACTIBILIDAD PARA LA CREACIÓN DE UNA EMPRESA DE SERIGRAFÍA TEXTIL DIGITAL.</t>
  </si>
  <si>
    <t>goytiadiego@gmail.com</t>
  </si>
  <si>
    <t>IND-773-2016</t>
  </si>
  <si>
    <t>Serigrafía textil, Estratificación, Fuerzas de Porter , Capacidad Productiva, Evaluación Financiera, Análisis sensibilidad,</t>
  </si>
  <si>
    <t>Para la elaboración del presente proyecto se analizó la problemática que atraviesa el rubro de serigrafía textil, se realizó una investigación de Mercado dirigida hacia el consumidor final de poleras serigrafiadas como también al comerciante dedicado a la venta de este tipo de poleras. Se determinó una demanda insatisfecha de poleras serigrafiadas y los diferentes datos cualitativos del producto (poleras serigrafiadas), como también se determinó la proyección de demanda de poleras serigrafiadas para el cercado. Se realizó un análisis de Porter para verificar si existen barreras que nos impidan ingresar al mercado.Posteriormente se definió la localización y el tamaño del proyecto, se hizo un análisis de macro y micro entorno definiendo diferentes factores y criterios para las siguientes zonas de estudio (zona Pacata- zona central- zona Quillacollo), mediante una matriz de ponderaciones se determinó que la empresa estaría ubicada en Pacata En la ingeniería de proyecto se definieron las diferentes maquinas que se necesitaran para el proyecto, se realizó un estudio de tiempos para determinar una producción, produciendo 30 poleras/día. Para el segundo año de operación la empresa planificó incrementar su producción un 50%, aumentando ya su producción para ese año a 12960 poleras/año. Con el tamaño y crecimiento definido se dimensionó los ambientes para la planta, se calculó de igual manera los equipos, maquinaria, materiales e insumos necesarios para tales volúmenes de producción.Se analizó 3 posibilidades de inversión de acuerdo a las exigencias planteadas por parte de los socios, la más importante el trabajo con un solo operario en cada área (confección y serigrafiado). Posteriormente se hizo un análisis económico y financiero para poder determinar que alternativa de inversión sería la más factible, siendo esta la alternativa “A”. ,con un TIR del 60% .Una vez conocida la mejor alternativa de inversión se realizó un análisis de sensibilidad haciendo variaciones en materia prima y precio de venta para poder determinar si un 10% de variación podría afectar de manera considerable al proyecto.Se concluyó que el Proyecto es factible, con un TIR mayor al esperado. Un VAN y una relación B/C aceptables. Y se recomienda a los socios buscar nuevos mercados por ejemplo colegios, mercado publicitario para las diferentes empresas en el medio (Entel, Viva Tigo, monopol, etc.), y también examinar formas de pago al operario encargado de la serigrafía</t>
  </si>
  <si>
    <t>https://drive.google.com/file/d/1InR8yNoGA2BrGhvxZ0lvPIgHq5rMiDtR/view?usp=sharing</t>
  </si>
  <si>
    <t>https://drive.google.com/file/d/1nMKocXNf1WZYOUb6byzOqy3phP34kZIu/view?usp=sharing</t>
  </si>
  <si>
    <t>https://drive.google.com/file/d/1PWpP2ZIbfN_tgVd_jCp7gCZk9dve9pA1/view?usp=sharing</t>
  </si>
  <si>
    <t>RAMÓN ANTONIO QUIROZ CLAURE</t>
  </si>
  <si>
    <t>ING. VLADIMIR IVAN VEIZAGA OTALORA</t>
  </si>
  <si>
    <t>DISEÑO DE UN SISTEMA DE GESTIÓN DE INOCUIDAD ALIMENTARIA SEGÚN LA NORMA BOLIVIANA NB/ISO 22000:2005 PARA LA EMPRESA DE ALIMENTOS Y BEBIDAS “AGUANT”</t>
  </si>
  <si>
    <t>antonio_rqc@hotmail.com</t>
  </si>
  <si>
    <t>IND-774-2016</t>
  </si>
  <si>
    <t>NB/ISO22000, Inocuidad alimentaria, HACCP empresa de jugos.</t>
  </si>
  <si>
    <t>Antes de realizar el sistema de gestión, se realizó un análisis inicial de la organización, a fin de conocer la situación en la que se encuentra y recopilar información necesaria para las fases siguientes. A través de este análisis, además de valorar la idoneidad de implantar este sistema de gestión y determinar el alcance que va a tener, se analizaron todos los procesos que se llevan a cabo y se determinó con que requisitos exigidos por la norma se cuenta, para tener una visión global y real de su posición.Tras el análisis inicial se diseñaron y planificaron las estrategias que se van a llevar a cabo. Esta fase tuvo como objeto el analizar los posibles peligros y determinar aquellos que se necesitan controlar y las medidas de control más apropiadas para este fin. Para esta estrategia se conformó un equipo de trabajo, que se encargó tanto del diseño como de la planificación del sistema de gestión. Este equipo fue creado por responsables de diferentes áreas y coordinado por un líder.Una vez realizada la planificación y el diagnostico se procedió a realizar los programas prerrequisitos generales que son todas aquellas condiciones necesarias para mantener la inocuidad alimentaria a lo largo de todo el proceso. Dentro de estos prerrequisitos se incluyeron los aspectos como la desinfección y limpieza de las herramientas o las prácticas de manipulación de  los alimentos, entre otros. Para determinar estos prerrequisitos fue necesario conocer la normativa  vigente en materia de seguridad alimentaria y los requerimientos del cliente, además de tener presente diferentes aspectos que puedan influenciar, como las características de las instalaciones y equipos o el uso de determinados productos, entre otros. Con el fin de elaborar el plan APPCC, también conocido como HACCP por sus siglas en inglés, se recopilo y documento toda la información necesaria para analizar los posibles peligros que afecten a la inocuidad de los alimentos dentro la empresa. El equipo de inocuidad alimentaria fue el encargado de la elaboración de este estudio previo, a través este se analizaron los recursos y procesos que intervienen para, posteriormente, poder identificar los riesgos, determinar su nivel y seleccionar las medidas de controlA través de este análisis se detectaron  los procesos en los cuales existen puntos críticos de control dentro todo el ciclo productivo los cuales son el proceso de envasado, pasteurizado y filtrado, sus respectivos procedimientos de control y sus límites críticos.Finalmente se analizó los costos financieros del proyecto dentro de los cuales están el costo de mantenimiento del sistema ($16,002.20) y el costo de inversión inicial ($33,782.07). Para determinar la evaluación financiera mediante un análisis de Beneficio/costo el cual fue de 1.39 lo que significa que el proyecto es factible.</t>
  </si>
  <si>
    <t>https://drive.google.com/file/d/1Xf64OW-Z7znEkABvNQUU0FaTWS1SQV7w/view?usp=sharing</t>
  </si>
  <si>
    <t>https://drive.google.com/file/d/1RyPWAOx_k4xIXEn3-0_Umk9YOz0E01DI/view?usp=sharing</t>
  </si>
  <si>
    <t>https://drive.google.com/file/d/1Px8r6Tl_dwr4rrCpQlJjXmOguDmGq4D6/view?usp=sharing</t>
  </si>
  <si>
    <t>WILIAN HIDALGO ARNEZ</t>
  </si>
  <si>
    <t>PROYECTO DE FACTIBILIDAD PARA LA IMPLEMENTACIÓN DE UNA PLANTA DE PRODUCCIÓN DE BARRAS DE ACERO CORRUGADO, A PARTIR DE CHATARRA.</t>
  </si>
  <si>
    <t>wilianhidalgoarnez@yahoo.com</t>
  </si>
  <si>
    <t>IND-775-2016</t>
  </si>
  <si>
    <t>Barras de acero corrugado, chatarra de acero, estudio de mercado, fusión, colada continua, laminación, evaluación financiera.</t>
  </si>
  <si>
    <t>El estudio de factibilidad para la producción de barras de acero corrugado, a partir de chatarra, se realizó debido a que la chatarra existente en Bolivia es vendida a las siderúrgicas de países vecinos, donde es transformado en manufacturas que luego son importadas por el país.Primeramente se realizó un estudio de mercado en Cochabamba donde se conoció a los consumidores del producto y la oferta que existe. Se determinó la demanda del producto y se realizó la proyección de la demanda. Se realizó la descripción del producto y se estableció una política y estrategia de precio, así como el canal de comercialización óptimo para suministrar el producto hasta el consumidor final.Luego se realizó el estudio de localización donde se consideraron 8 variables de localización, y se determinó por el método de promedios ponderados que el departamento de Cochabamba presenta las mejores condiciones para la instalación de la planta, así mismo se determinó que la microlocalización óptima es el sector de la avenida Blanco Galindo que cuenta con todos los requerimientos necesarios para la instalación de una planta de acero.Mediante el estudio de ingeniería del proyecto se describió el proceso de producción, donde se tienen 8 procesos con 21 operaciones y 9 inspecciones, se describió el control de calidad realizado durante el proceso de producción donde se tienen 5 ensayos de control de calidad: Ensayo de composición química, tracción, ductilidad y doblado. Se realizó también el balance de masa y de energía del proceso. Se determinó la capacidad de producción anual de 14400 toneladas de barras de acero corrugado mediante el balanceo de línea. Posteriormente se determinó los requerimientos en obras físicas, maquinaria y equipos, materia prima e insumos y mano de obra. También se diseñó la distribución de planta.Las medidas del producto que se fabricarán en mayor cantidad son las de diámetro: 6, 8, 9.5 y 12.7 milímetros, porque son las que tienen mayor demanda según el estudio de mercado.En el estudio organizacional se diseñó el organigrama de la empresa y se determinó que se requiere de un total de 33 personas para el óptimo funcionamiento de la planta.El estudio financiero mostró que el proyecto requiere de una inversión total de 38 859 276 bolivianos, que corresponde a inversión en activos fijos, diferidos y capital de trabajo.Se realizó los estados financieros proyectados: Estado de resultados, flujo de caja y balance general inicial. Posteriormente se efectuó la evaluación financiera, demostrando que el proyecto es rentable generando los siguientes indicadores: TIR = 55.96%, VAN = 57 959 060.52 Bs., y RBC = 1.39.Mediante el análisis de sensibilidad se pudo verificar que el proyecto tiene mayor susceptibilidad en la disminución del precio de venta que en el incremento del costo de materia prima.La evaluación de impacto ambiental mostró que el proyecto tiene impactos negativos en una escala baja, donde se establecieron medidas de mitigación para dichos impactos, por tanto el proyecto es ambientalmente factible.Con el proyecto se pretendió ofrecer una alternativa para el mejor aprovechamiento de la chatarra de acero existente en Bolivia, evitando la fuga de recursos económicos y contribuir al desarrollo económico y social del país.</t>
  </si>
  <si>
    <t>https://drive.google.com/file/d/1n2OhfcXFenzj1K_kLglEhIw3BIZktrh5/view?usp=sharing</t>
  </si>
  <si>
    <t>https://drive.google.com/file/d/1UXZ2n6NvSJALr5z1dNO460WdMo6DU7-i/view?usp=sharing</t>
  </si>
  <si>
    <t>https://drive.google.com/file/d/1dsxh-uxiB6fDLHWCefVs1gB8x57ZvG8-/view?usp=sharing</t>
  </si>
  <si>
    <t>JHOBANA UREÑA CASILLAS</t>
  </si>
  <si>
    <t>DISEÑO DEL SISTEMA DE GESTIÓN DE CALIDAD BASADO EN LOS REQUISITOS DE LA NORMA ISO 9001:2008 PARA EL TALLER DE MANTENIMIENTO AERONÁUTICO DE ECOJET S.A. (TAME)</t>
  </si>
  <si>
    <t>jhobana-uren@hotmail.com</t>
  </si>
  <si>
    <t>IND-776-2016</t>
  </si>
  <si>
    <t>Sistema de gestión de calidad, NB-ISO 9001:2008, enfoque basado en procesos, manual de calidad, mantenimiento aeronáutico.</t>
  </si>
  <si>
    <t>Este proyecto se llevó a cabo a través de cuatro etapas, inicialmente se realizó el diagnóstico de la situación actual, con el fin de determinar la situación actual de la organización en relación a los lineamientos de la norma ISO 9001:2008 y se evidenció que TAME requiere implementar un sistema de gestión de calidad para orientar sus operaciones a la calidad en la prestación de servicios de mantenimiento aeronáutico. Posteriormente se establecieron los lineamientos estratégicos que orientarán al sistema de gestión de calidad de TAME. Se definió la misión, visión, política de calidad y los objetivos de calidad, estos dos últimos son los puntos a alcanzar una vez implementado el sistema de gestión de calidad de manera que aporten al logro de la visión de la organización.Se realizó la identificación y caracterización de los procesos que forman parte del sistema de gestión de calidad de TAME, definiendo las responsabilidades, la interacción entre los procesos, los recursos y la documentación asociada a cada proceso. En función a la necesidad de documentar actividades en cada proceso se elaboraron los procedimientos, formularios para registros, instructivos, manual de calidad y planes de calidad; los cuales permitirán a la organización la estandarización y un mejor control de las diversas actividades que en ella se desarrollan.Se establecieron mecanismos de seguimiento y medición de la satisfacción del cliente, de la prestación del servicio, de los procesos y de los objetivos de calidad, planteando herramientas de medición e ítems de control para la medición de las actividades más influyentes en la calidad del mantenimiento aeronáutico, desarrolladas en cada proceso. Estos mecanismos permitirán determinar el estado del sistema de gestión de calidad en la organización y serán la base para determinar en qué medida se cumplen los resultados deseados y por donde se deben orientar las mejoras en el sistema de gestión de calidad.Del análisis beneficio – costo realizado, se determinó que el proyecto es rentable por cuanto la relación beneficio/costo (B/C = 2,81) es mayor a 1 y se garantiza la recuperación del capital invertido y ganancias adiciónales durante la vida del proyecto.</t>
  </si>
  <si>
    <t>https://drive.google.com/file/d/1abbkzDwPPmORVzxBwyFX4bMZAP2VKxFG/view?usp=sharing</t>
  </si>
  <si>
    <t>https://drive.google.com/file/d/1HcNQ4YjcEiOGKf79L-5CLX-2TV9tjvhH/view?usp=sharing</t>
  </si>
  <si>
    <t>https://drive.google.com/file/d/1_Skvaypt1w4IDjxALYmXSB_Oz_NvPD2_/view?usp=sharing</t>
  </si>
  <si>
    <t>LENNY ALVARADO PONCE</t>
  </si>
  <si>
    <t>IMPLEMENTACIÓN DEL SISTEMA DE GESTIÓN DE CALIDAD ADECUADO AL NUEVO ALCANCE Y ESTRUCTURA ORGANIZACIONAL DE LA FUNDACIÓN VALLES SEGÚN NORMA ISO 9001:2008</t>
  </si>
  <si>
    <t>lennyalpo@gmail.com</t>
  </si>
  <si>
    <t>IND-777-2016</t>
  </si>
  <si>
    <t>Sistema de Gestión de Calidad, Norma ISO, Mejora Continua, Reingeniería.</t>
  </si>
  <si>
    <t>La Fundación Valles se ha visto en la necesidad de adecuar su Sistema de Gestión de Calidad, dando cumplimiento a su estrategia empresarial, ya que si bien cuenta con un sistema certificado, requiere la reingeniería de los documentos y registros, correspondientes al sistema, para lograr la recertificación de su Sistema de Gestión de Calidad, bajo el nuevo alcance estratégico.Primeramente se realizó un análisis de la situación actual del sistema y el nivel de cumplimiento con los requisitos que exige la Norma ISO 9001:2008, en la cual se detectó que incumplía con estas exigencias. Posteriormente se procedió a la adecuación del Sistema de Gestión de Calidad, proceso que se llevó a cabo a través de la actualización de los procedimientos y registros correspondientes. En este proceso se detectó la necesidad de la creación de nuevos procedimientos, así como la eliminación de algunos existentes. Se realizó la implementación del sistema, siguiendo las metodologías de implementación en las cuales constaron en la capacitación del personal, en la aplicación y mantenimiento del sistema así como en la adopción de la cultura de mejora continua, posteriormente la realización de la auditoria interna, y el seguimiento de los resultados de los mismos.Como siguiente paso, se condujo el proceso de auditoria externa, con la participación de la TUV Rheinland, como entidad certificadora. Los resultados obtenidos fueron altamente positivos, puesto que, no se generó ninguna no conformidad, garantizando de esta manera el cumplimiento absoluto de los requisitos de la Norma ISO 9001: 2008.  De esta manera Fundación Valles obtuvo la certificación  de sus Sistema de gestión de Calidad con una vigencia de tres gestiones.Finalmente se realizaron actividades de seguimiento sistema, en la cual se pudo comprobar la funcionalidad del sistema y el compromiso de la organización en la aplicación y mantenimiento de su sistema, así como la adopción de la cultura de mejora continua que se complementó con un análisis de los beneficios/costo que aporta contar con un Sistema de Gestión de Calidad.</t>
  </si>
  <si>
    <t>https://drive.google.com/file/d/11naCxg5XGorguAA9v3LiyiUb69BRFefS/view?usp=sharing</t>
  </si>
  <si>
    <t>https://drive.google.com/file/d/1tINzQFlCbiGIaqm2htYPFsnsNeloLbR1/view?usp=sharing</t>
  </si>
  <si>
    <t>https://drive.google.com/file/d/1O9e41Fza6hmR2MLifN6P_aNXh_tKmdUE/view?usp=sharing</t>
  </si>
  <si>
    <t>RONALD GONZALO MUÑOZ VILLARROEL</t>
  </si>
  <si>
    <t>ING TERESA MABEL MAGARIÑOS VILLARROEL</t>
  </si>
  <si>
    <t>ESTUDIO DE FACTIBILIDAD PARA LA IMPLEMENTACIÓN DE UNA LÍNEA PRODUCTIVA DE PICADILLO DE CARNE CORDILL S.A.</t>
  </si>
  <si>
    <t>mconald18@hotmail.com</t>
  </si>
  <si>
    <t>IND-778-2016</t>
  </si>
  <si>
    <t>Picadillo de Carne, Cordill S.A., Estudio de Factibilidad, Implementación de línea productiva, Ingeniería del proyecto, Evaluación financiera.</t>
  </si>
  <si>
    <t>Inicialmente se realizó un estudio de mercado, para el área urbana de Cercado Cochabamba, que mediante el análisis de la demanda y la oferta de picadillo de carne, se determinó que existen grandes posibilidades de ingresar en el mercado. Además, se estableció el perfil del consumidor y las estrategias de comercialización. La localización del proyecto será en las instalaciones de Cordill S.A. ubicado en la provincia Quillacollo, Zona Piñami. El tamaño del proyecto fue estimado del pronóstico de la demanda, que cubrirá hasta el 61.43%, en los 10 periodos de proyección del proyecto,  teniendo un crecimiento gradual a partir del 2.39%.Asimismo, se ilustró el organigrama de la empresa, expresando la ubicación jerárquica  del personal a contratar y las funciones a realizar. Posteriormente se planifico la puesta en marcha del proyecto en base a las principales actividades, las cuales siguen una secuencia ordenada, programadas en 28 semanas.Finalmente  se realizó el análisis financiero mediante el cual se determinaron las inversiones, la estructura de costos y los ingresos que generará la línea productiva, además se presentaron los  indicadores financieros como el  VAN de $us 17.938,46, el TIR  de 24% y la relación beneficio costo de 1.22, concluyendo que el proyecto es factible. Por último se sometió a un análisis de sensibilidad, a las variables más influyentes como: el precio de venta, siendo variable sensible al proyecto.</t>
  </si>
  <si>
    <t>https://drive.google.com/file/d/10HPmEP2AZKBc79O19LeyXWQUW_fYZfyC/view?usp=sharing</t>
  </si>
  <si>
    <t>https://drive.google.com/file/d/1kuMOrrjZSglmDHyjb78xay_8HCTyMyEK/view?usp=sharing</t>
  </si>
  <si>
    <t>https://drive.google.com/file/d/1tvp1hKGlWbM5_D2WIOLU9Y2c465GYvVK/view?usp=sharing</t>
  </si>
  <si>
    <t>PATRICIA GARCIA CASTRO</t>
  </si>
  <si>
    <t>HUMBERTO GUIDO SANCHEZ AVENDAÑO</t>
  </si>
  <si>
    <t>ING. GUSTAVO ADOLFO CARDOZO AGUILAR.</t>
  </si>
  <si>
    <t>DISEÑO DE UN SISTEMA INTEGRADO DE GESTIÓN PARA LA EMPRESA METALMECÁNICA MOPAR    S.A. BASADO EN LAS NORMAS ISO 14001:2004 – OHSAS 18001:2007</t>
  </si>
  <si>
    <t>patty.gc@hotmail.com</t>
  </si>
  <si>
    <t>IND-779-2016</t>
  </si>
  <si>
    <t>Sistema de Gestión de Calidad (SGC), Sistema de Gestión Medioambiental (SGM), Sistema de Gestión de Seguridad y Salud Ocupacional (SySO), Sistema Integrado de Gestión (SIG).</t>
  </si>
  <si>
    <t>Metalmecánica de Omnibuses y Partes es una Empresa con 35 años de experiencia en la fabricación de carrocerías para transporte de pasajeros; Empresa que se encuentra legalmente establecida.Para realizar este trabajo se realizó la integración de los Sistemas de Gestión de Medioambiente y Seguridad y Salud Ocupacional los cuales se basaron en las normas ISO 14001:2004 y OHSAS 18001:2007. Se realizó un diagnóstico integral en medioambiente y seguridad y salud ocupacional, en base a una lista de verificación y observaciones directas en las diferentes áreas, para determinar prácticas, procesos, condiciones de trabajo y otros aspectos existentes; así mismo se realizó una identificación y evaluación de aspectos ambientales y de riesgos de manera inicial, que permitió conocer los riesgos más significativos inherentes a las actividades de la empresa y los de origen externo.Una vez obtenido el diagnóstico Inicial de MOPAR S.A. se procedió a la elaboración del manual del Sistema Integrado de Gestión el cual se convirtió en una pieza fundamental del diseño, así mismo se realizó la elaboración de procedimientos, registros, instructivos y otros documentos necesarios para poder tener un control durante el proceso productivo de las carrocerías.Se realizaron cursos de capacitación para dar a conocer el Diseño del SIG y la interacción que tiene con cada proceso, de la misma manera se realizó un taller de capacitación para dar a conocer la política planteada por la Empresa en relación al Sistema de Gestión.Se realizaron capacitaciones en los diferentes talleres y áreas de MOPAR S.A. sobre temas de medioambiente y el cuidado que debe tener cada trabajador al realizar su trabajo.Se logró realizar la clasificación de residuos sólidos en las diferentes áreas de MOPAR S.A., se pudo concientizar al personal obrero sobre la importancia que tiene clasificar los residuos sólidos.Se realizó la documentación correspondiente al Sistema Integrado de Gestión, así como también el diseño de los registros e instructivos que se deben seguir para poder mejorar el trabajo realizado en algunas áreas de trabajo de MOPAR S.A.El compromiso de la dirección es seguir con el mismo entusiasmó con el que se fue trabajando durante este tiempo de diseño, en la etapa de implementación del Sistema Integrado de Gestión de Medio Ambiente, Seguridad y Salud Ocupacional, para luego conseguir una integración completa con el Sistema de Gestión de Calidad.</t>
  </si>
  <si>
    <t>https://drive.google.com/file/d/1W3-FAoGek0spO1HouM5Kr0w7gSVok3Gr/view?usp=sharing</t>
  </si>
  <si>
    <t>https://drive.google.com/file/d/1J6QTQlwQeFHgD_OZsA2xaC7pmvJ6DMeJ/view?usp=sharing</t>
  </si>
  <si>
    <t>https://drive.google.com/file/d/1HUCatDTWfCbsBFD8bTVPyNaJDYlE4598/view?usp=sharing</t>
  </si>
  <si>
    <t>NORHA ALVAREZ ZENTENO</t>
  </si>
  <si>
    <t>NATALY VALLEJOS MARTINEZ</t>
  </si>
  <si>
    <t>ING. OMAR PEREZ FUENTES.</t>
  </si>
  <si>
    <t>PLAN DE HIGIENE, SEGURIDAD OCUPACIONAL, BIENESTAR E IMPACTO AMBIENTAL DE LA PLANTA DE TRATAMIENTO DE AGUAS RESIDUALES ALBA RANCHO - SEMAPA.</t>
  </si>
  <si>
    <t>nataly.vallejos.martinez@gmail.com</t>
  </si>
  <si>
    <t>IND-780-2016</t>
  </si>
  <si>
    <t>Servicio Municipal de Agua Potable y Alcantarillado (SEMAPA), Hazard Rating Number (HRN), Norma Boliviana (NB), Evaluación de Impacto Ambiental (EIA), Planta de Tratamiento de Aguas Residuales (PTAR).</t>
  </si>
  <si>
    <t>El Servicio Municipal de Agua Potable y Alcantarillado SEMAPA como parte de su servicio de alcantarillado Sanitario tiene una planta de tratamiento de Aguas Residuales Ubicada en la Zona de Alba Rancho al sud oeste de la ciudad de Cochabamba.  La planta se dedica al proceso de tratamiento de aguas residuales por medio de lagunas de estabilización facultativa, las aguas son provenientes de la red de alcantarillado doméstico e industrias del sector (lavanderías, curtiembres, mataderos, alimenticias) de todo el sector del cercado Cochabamba.Uno de los principales problemas que tiene la PTAR Alba Rancho es el elevado nivel de riesgos existentes.Para esto se realizó un diagnóstico de la situación actual de la Planta, para lo cual se utilizó técnicas de observación, encuestas y mediciones de ruido, iluminación, ventilación, para obtener la información necesaria, dentro de este proceso se realizara la localización de los agentes generadores de riesgos a través de inspecciones de las instalaciones de la planta en las lagunas de tratamiento, estación elevadora, laboratorios y oficinas.Para la Identificación peligros y evaluación de riesgos se empleó la metodología Hazard Rating Number para todas las áreas de trabajo. Esta información será útil para eliminar o minimizar las fuentes de riesgo mediante una Gestión de riesgos, que permitirá eliminar, sustituir, controles de ingeniería, controles administrativos y Equipos de Protección Personal (EPP).Para la evaluación de riesgos de incendio se realizó el cálculo de carga de fuego, mediante el cual se determinó el número, tipo y ubicación de los extintores portátiles.La propuesta del plan de Higiene, Seguridad Ocupacional, Bienestar e Impacto ambiental se basa en estratégicas útiles y necesarias, los cuales serán desarrollados en diez Módulos, donde se estipularan los procedimientos y normas a seguir, por lo que se pretende controlar y/o mitigar los riesgos presentes en los lugares de trabajo.Para concluir se determinó el presupuesto del Plan en los cuales incurrirá la empresa para la implementación y operación del presente Plan propuesto.</t>
  </si>
  <si>
    <t>https://drive.google.com/file/d/14ZsBccuh4aJ8xs_jLokDGRX65UeFLvl9/view?usp=sharing</t>
  </si>
  <si>
    <t>https://drive.google.com/file/d/1Wo__JNHy1Dwlefcy_FoCuMdp8F7lozV4/view?usp=sharing</t>
  </si>
  <si>
    <t>https://drive.google.com/file/d/1or0Qml8TWh5uwoPnBuaO6ZN7MZDCai0C/view?usp=sharing</t>
  </si>
  <si>
    <t>SANJINÉS BALLADARES MARÍA ROSA</t>
  </si>
  <si>
    <t>UREÑA MONTENEGRO ARIEL LINDER</t>
  </si>
  <si>
    <t>ING. LUIS ALBERTO AIREYU MOSQUERA</t>
  </si>
  <si>
    <t>ESTUDIO DE FACTIBILIDAD PARA LA IMPLEMENTACIÓN DE UN PROCESO DE</t>
  </si>
  <si>
    <t>IND-781-2016</t>
  </si>
  <si>
    <t>Arcilla, Incerpaz, Ladrillo 6 huecos Económico Rayado (6HER) Automatismo de Carga, Torre de Carga.</t>
  </si>
  <si>
    <t>El presente trabajo establece operaciones y procedimientos para la implementación de un proceso de automatización de carga de ladrillos en el módulo de la empresa INCERPAZ Ltda.; garantizando la carga de ladrillos hacia el siguiente proceso en el que se encuentran los hornos cumpliendo de esta manera la provisión de ladrillo extrusado húmedo al posterior proceso. Por lo tanto, el presente estudio determina parámetros de factibilidad y optima rentabilidad que permitirá la toma de decisión para la inversión de recursos económicos y técnicos en la empresa.El estudio ha sido estructurado en diez capítulos como sigue:En el Primer Capítulo Generalidades, se estableció la estructura del trabajo, identificándose el problema a través del árbol de problemas y planteándose el mismo, luego formular los objetivos que permitirán seguir secuencialmente una lógica, buscando solucionar el problema planteado y el objetivo de solución.En el Segundo Capítulo Diagnóstico, se analizó la situación actual a partir estado actual de la planta del módulo de moldeo en la que se encuentra la empresa INCERPAZ Ltda. particularmente el módulo de carga de ladrillos extrusados al estante de 8 niveles con 22 % de humedad y su paso siguiente del proceso de secado, verificando que este proceso  de carga se realiza manualmente identificando los problemas, variedad de productos, deficiencias y necesidades de optimizar este proceso.En el Tercer Capítulo Fundamentación Teórica, se estableció la estructura de un marco teórico base del estudio, donde se identificaron los rasgos, teorías, modelos y otras tendencias referentes a la automatización industrial y los términos que permitieron comprender de manera más clara los términos que se aplican en el estudio.En el Cuarto Capítulo Análisis del Mercado, se analizó el producto ladrillos HER y su mercado potencial en el rubro de la construcción, considerando este como un mercado dinámico, constatando que las ventas de cemento y cerámica se incrementaron en 7,21%, con un comportamiento positivo e importante en el crecimiento del PIB, además; del análisis de los precios y calidad de productos de la competencia en el mercado nacional.En el Quinto Capítulo Marco Situacional, se analizó la materia prima para la producción de ladrillos, es decir la arcilla, el lugar de donde se extrae; comprobándose que por sus características químicas y físicas, es una excelente materia prima para la elaboración de ladrillos y otro tipos de cerámica que fabrica la empresa INCERPAZ Ltda.En el Sexto Capítulo Ingeniería del Proyecto, se estableció el diseño de los equipamientos, instrumentos de campo, actuadores neumáticos y eléctricos de un proceso de automatización para la carga de ladrillos 6HER de manera que optimice la producción, ubicación y la distribución de la maquinaria y equipos. También se comprobó que la empresa cuenta con el espacio físico que soportaría la infraestructura que se requiere. Asimismo se establecieron las bases estructurales y organizacionales de la empresa con la carga de ladrillos 6HER en forma automática, determinado la planificación y ejecución del proyecto, bajo alternativas técnicas de la empresa INCERPAZ Ltda., identificando sus posibilidades y necesidades más significativas para el desarrollo eficiente del proyecto. En el Séptimo Capítulo Planificación para la Ejecución del Proyecto, se efectuaron actividades referentes a la planificación de todas las acciones, desde la decisión previa de invertir hasta el inicio de la gestión productiva en forma detallada y cronológica para implementar el proyecto, también, muestra las alternativas técnicas de la empresa INCERPAZ Ltda., sus posibilidades y necesidades para el desarrollo eficiente del proyecto.En el Octavo Capítulo Evaluación Financiera del Proyecto, se analizó el financiamiento del proyecto determinando la alternativa más viable para la automatización de carga de ladrillos 6HER en el módulo INCERPAZ de la empresa, identificándose que la Tasa Interna de Retorno (TIR) es de 29.80%, la cual representa la rentabilidad del proyecto; el Valor Actual Neto (VAN) es de 811.633 [$US], el cual es la diferencia entre entradas y salidas de efectivos que suceden durante la vida del proyecto y la relación de beneficio/costo es de 1,97.En el Noveno Capítulo Evaluación del Impacto Ambiental, se analizaron los efectos ambientales de la automatización de carga de ladrillos 6 HER en el módulo INCERPAZ, comprobándose que no tiene efectos ambientales negativos; ya que durante el proceso no se tiene residuos, porque estos son reutilizados.En el Décimo Capítulo Conclusiones y Recomendaciones, se establecieron los aspectos concluyentes del proyecto y las recomendaciones que constituyen criterios que se deberían considerar para la ejecución eficiente del proyecto.</t>
  </si>
  <si>
    <t>https://drive.google.com/file/d/1K0UwTkURJNNRHZsqzhUUGUl3iPMQiIjS/view?usp=sharing</t>
  </si>
  <si>
    <t>https://drive.google.com/file/d/1k7zOwi4um1k8Lw1Ss3iJ_aj8DK_1JUrs/view?usp=sharing</t>
  </si>
  <si>
    <t>https://drive.google.com/file/d/1BN6XnrnRo4KRnS5zPzPrYOkN06sYPoDl/view?usp=sharing</t>
  </si>
  <si>
    <t>MIGUEL ANGEL VELASQUEZ OLARTE</t>
  </si>
  <si>
    <t>AUTOMATIZACIÓN DE CARGA DE LADRILLOS EN EL MÓDULO DE LA EMPRESA</t>
  </si>
  <si>
    <t>mikev_17@hotmail.com</t>
  </si>
  <si>
    <t>IND-782-2016</t>
  </si>
  <si>
    <t>JOYAS CARVER, Marketing Estratégico, Mercado, Encuesta, Marketing Mix, PORTER, Joyas, Matriz BCG.</t>
  </si>
  <si>
    <t>La microempresa “Joyas Carver”, vio reducido sus ingresos con el pasar de los años, por tal motivo el presente proyecto elaboró un plan estratégico de marketing, que ayudó a identificar un nuevo nicho de mercado.Primeramente, se realizó un diagnóstico general de la empresa, donde se hizo un análisis interno, mediante una investigación cualitativa, análisis de la cadena de valor, donde se determinó la situación actual de la empresa. También se realizó el análisis externo, a través del análisis PESTAL, las 5 fuerzas de Porter y la matriz del perfil competitivo, con lo que se determinó la situación en que se encuentra la industria de la joyería en el macro entorno.A continuación, se procedió a realizar el estudio de mercado, mediante la investigación descriptiva a través del muestreo probabilístico estratificado, usando como herramienta la encuesta. Mediante este estudio, se logró conocer variables como preferencias del cliente respecto al material de las joyas, tipo de joyas que compran, el canal de venta preferido, etc. Se pudo calcular la demanda potencial del mercado de la joyería.Se elaboró el plan de marketing estratégico, mediante el cual se pudo identificar el mercado objetivo, al igual que las estrategias y tácticas a seguir para atender a este nicho de mercado, también se realizó el mix de marketing.Se realizó el análisis financiero, donde se desarrolló el flujo de pérdidas y ganancias, el flujo de fondos y una comparación de la situación con y sin proyecto, determinando la rentabilidad del proyecto.</t>
  </si>
  <si>
    <t>https://drive.google.com/file/d/1p5WtZjG_IP-94cAl57RW3tHmHrSO41LL/view?usp=sharing</t>
  </si>
  <si>
    <t>https://drive.google.com/file/d/1fK4I6EW_9Tx7BTXWzvHiu6FTUcTAVSxL/view?usp=sharing</t>
  </si>
  <si>
    <t>https://drive.google.com/file/d/1m5o0juiGutV3m6YK5xWpBKL_rDNmZGqm/view?usp=sharing</t>
  </si>
  <si>
    <t>OSCAR ANDRES CASTRO MERUVIA</t>
  </si>
  <si>
    <t>ING. ADRIÁN MORÓN CARMONA</t>
  </si>
  <si>
    <t>INCERPAZ LTDA</t>
  </si>
  <si>
    <t>oandres.castro@gmail.com</t>
  </si>
  <si>
    <t>IND-783-2016</t>
  </si>
  <si>
    <t>Factibilidad, Proyecto, Recauchutado, Llanta, Vulcanizado, Autoclave, Tecnología</t>
  </si>
  <si>
    <t>Para determinar la factibilidad del reemplazo de la tecnología en el proceso de vulcanizado, inicialmente se realizó una investigación de mercado en  las principales vías de comunicación, carreteras y caminos que conectan a la ciudad de Cochabamba con los departamentos vecinos. Realizando la encuesta se pudo observar que existe una gran población de vehículos pesados que demandan el servicio de recauchutado en la Ciudad de Cochabamba. Se observó que la empresa RECA-TEC tiene una participación del mercado de un 22% ocupando una amplia porción del mercado, especialmente en la categoría de los tracto-camiones. Además, la encuesta demostró que existe una predisposición por parte del mercado a la implementación de nueva tecnología en las empresas recauchutadoras lo que asegura la implementación de estrategias comerciales para el aumento de producción y de ventas que en el presente trabajo se determinó con un crecimiento de un 11% anual. De esta forma se planteó un programa alternativo de producción y ventas.Posteriormente se estudiaron los insumos y servicios básicos que la empresa utilizaba previa la realización del proyecto, especialmente en el uso del autoclave. Se definió un alto consumo de electricidad y también un alto costo de insumos como los ponchillos, cámaras y envelopes. Es así que se sugirió el uso de recursos energéticos alternativos para el calentamiento del autoclave siendo la mejor opción la utilización de gas natural. Se sugirió reemplazar con innerlopes los ponchillos y cámaras.Se analizaron las diferentes empresas que ofrecen las maquinarias necesarias, siguiendo los parámetros de la utilización de gas natural como fuente alternativa a la electricidad. Se definió a la empresa GALGO como proveedora de las maquinarias especializadas de recauchutado y a la empresa CORMAQ como proveedora del caldero necesario y complementario para el reemplazo del actual autoclave. Se analizaron tanto la tecnología con el autoclave antiguo como la tecnología con la nueva maquinaria mediante un cuadro de calificación ponderada donde claramente la tecnología alternativa supera a la antigua principalmente por el ahorro en la utilización de servicios básicos e insumos. Además se expusieron todos los cambios que representa el reemplazo de la tecnología, tanto en la distribución de la empresa, en el diagrama de flujo, etc.Posteriormente se determinaron los cambios organizacionales, que surgirían en la empresa a partir de la implementación, de tal forma que se sugirió la creación de un nuevo cargo (Jefe de comercialización) y la contratación de técnicos de ventas y operarios para apoyar los programas alternativos de producción y ventas. Se definió la contratación de una empresa (IMES) que se encargue de importar la maquinaria especializada de recauchutado, y la contratación de la empresa CORMAQ para la compra e importación del caldero. Se estableció la necesidad de contar con una certificación de Cilindros sometidos a presión provista por IBMETRO para el autoclave y el caldero.Finalmente se determinó la factibilidad económica del proyecto, evaluándolo a partir de la diferencia de la situación de la empresa después de implementar el proyecto menos la situación de la empresa sin la implementación del proyecto. Se estableció que el proyecto es más factible con financiamiento del 30%; obteniendo un TIR = 27% y una relación Beneficio Costo de 1,32.</t>
  </si>
  <si>
    <t>https://drive.google.com/file/d/1Bw7IBSPOzTVYlmAFhROICXFW2mabEN8G/view?usp=sharing</t>
  </si>
  <si>
    <t>https://drive.google.com/file/d/1ikF_qyoDmS80x7t2LvrZH1MzHqxleP0T/view?usp=sharing</t>
  </si>
  <si>
    <t>https://drive.google.com/file/d/1umGTYQZtmvrVsaWm8HgxP2LUHI5FLQvp/view?usp=sharing</t>
  </si>
  <si>
    <t>MICAELA IZQUIERDO ROJAS</t>
  </si>
  <si>
    <t>ING. ANASTASIS IZQUIERDO ROJAS</t>
  </si>
  <si>
    <t>DISEÑO DE UN SISTEMA DE GESTIÓN DE SEGURIDAD Y SALUD OCUPACIONAL PARA EL CENTRO DE INSTRUCCIÓN DE AERONÁUTICA CIVIL “TRAINING &amp; AVIATION SERVICES” SEGÚN LA NB/OHSAS 18001:2008</t>
  </si>
  <si>
    <t>mica.iz.ro@gmail.com</t>
  </si>
  <si>
    <t>IND-784-2016</t>
  </si>
  <si>
    <t>Sistema de Gestión, Seguridad y Salud Ocupacional, diseño, NB/OHSAS 18001:2008.</t>
  </si>
  <si>
    <t>El Centro de Instrucción de Aeronáutica Civil “Training &amp; Aviation Services” ha visto por conveniente realizar un Sistema de Gestión de Seguridad y Salud Ocupacional debido a las practicas que realizan los instructores y estudiantes en el taller.Primeramente se realizó un diagnóstico de la situación actual del CIAC TAS en materia de SySO, y se recabó la información disponible acerca de las actividades, la organización actual, identificación de peligros, evaluación de riesgos e identificación de los requisitos legales aplicables, etc. Todo ello con el fin de diseñar el SG SySO a través del manual de SySO, procedimientos e instructivos de trabajo.En cuanto a la IPER peligros se registró y se observó las actividades con mayor riesgo y se determinó controles para dichas actividades. En cuanto a lo legal se identificó el cumplimiento de la Ley General de Higiene, Seguridad Ocupacional y Bienestar Decreto Ley 16998 de 2 de agosto de 1979. Verificando el cumplimiento actual de la empresa.Mediante un análisis de todos los datos recabados se procedió al diseño del manual de SySO, de los procedimientos de IPER, identificación de Requisitos Legales, Control Operacional, Planes de Emergencia, etc; y se realizó los instructivos de trabajo para el manejo seguro de herramientas.Con la elaboración del manual, procedimientos e instructivos el personal estará comprometido con la mejora de SG SySO, creara ambientes más seguros, más propicios y más ordenados; mejorará la comunicación interna, reducirá accidentes e incidentes laborales.Se calculó el presupuesto para el SG SySO y se determinó los beneficios que trae para la empresa y para los trabajadores. Se recomienda a la empresa la implementación del SG SySO.</t>
  </si>
  <si>
    <t>https://drive.google.com/file/d/1zq6CeqZ5K9_7zHP7taA_YZ9unx_71zQJ/view?usp=sharing</t>
  </si>
  <si>
    <t>https://drive.google.com/file/d/1zUGfNCZbRRKsO8tY2O0GQQ-Odz43uJru/view?usp=sharing</t>
  </si>
  <si>
    <t>https://drive.google.com/file/d/1wJdsx-P5jKZtXNNRz7qQCgYBmCwJ4HM8/view?usp=sharing</t>
  </si>
  <si>
    <t>DANIELA RODRIGUEZ VARGAS</t>
  </si>
  <si>
    <t>ESTUDIO DE FACTIBILIDAD PARA LA IMPLEMENTACIÓN DE UNA PLANTA INDUSTRIALIZADORA DE MANZANA EN ALMÍBAR EN EL VALLE ALTO DE COCHABAMBA.</t>
  </si>
  <si>
    <t>septiembre_dany@hotmail.com</t>
  </si>
  <si>
    <t>IND-785-2016</t>
  </si>
  <si>
    <t>Elaboración de Manzana en Almíbar, Muestreo Probabilístico Aleatorio Sistemático, Producción de Manzana en el Valle Alto.</t>
  </si>
  <si>
    <t>El presente proyecto tubo como finalidad la realización de un estudio de factibilidad para la implementación de una planta industrializadora de manzana en almíbar en el Valle Alto de Cochabamba, pretendiendo contribuir al desarrollo agroindustrial en Bolivia mediante la elaboración de un producto alimenticio con un elevado valor nutricional que pueda ser consumido por niños, jóvenes, adultos y personas de la tercera edad. Primeramente se realizó una investigación de mercado en la provincia Cercado del departamento de Cochabamba, donde se estudió el mercado de las frutas en almíbar. Se determinó una demanda propia de manzana en almíbar de 125.122 kg durante el primer año de vida útil del proyecto.Se desarrolló las características cualitativas y cuantitativas de la materia prima, materiales e insumos necesarios para la elaboración del producto, así como también se definieron las maquinarias y equipos requeridos para el normal funcionamiento de la planta.  Posteriormente se estableció la localización de la planta haciendo un análisis cualitativo de puntajes ponderados, en la cual el municipio de Cliza del departamento de Cochabamba obtuvo la mayor calificación. Se definió el tamaño de la planta considerando la demanda propia del proyecto y la capacidad normal viable. La distribución de planta se realizó sobre 450 m2 tomando en cuenta las áreas de producción, comercialización y administración. En el estudio organizacional se determinó los niveles jerárquicos, los requerimientos de mano de obra y las planillas de salarios de los mismos. Se desarrolló un estudio legal donde se analizó los requisitos para establecer la apertura de una empresa. Después con toda la información recabada se realizó la evaluación financiera donde se identificó la rentabilidad del proyecto, determinando un VAN de Bs. 3.025.806, una TIR de 39% y una relación B/C de 1,16. Se realizó también un análisis de sensibilidad, el cual permitió definir que el nivel de ventas y los costos de operación son las variables más sensibles.  Finalmente se desarrolló una evaluación de impacto ambiental de acuerdo a la ley 1333, en la cual se estudió al proyecto en sus etapas de ejecución y operación. Se concluyó que el proyecto es ecológicamente viable, ya que genera impactos negativos leves que pueden ser mitigados.</t>
  </si>
  <si>
    <t>https://drive.google.com/file/d/1BlsYrYDBAi3QWZSFq9562pXTvPFwnd3T/view?usp=sharing</t>
  </si>
  <si>
    <t>https://drive.google.com/file/d/1Smj-gwLf6MSrY_VP_jGwxgL139smZzOv/view?usp=sharing</t>
  </si>
  <si>
    <t>https://drive.google.com/file/d/1lT24wvRdfKjnb5MPxfXp1lcATg0B3PpK/view?usp=sharing</t>
  </si>
  <si>
    <t>CESAR DANIEL ISNADO DONAIRE</t>
  </si>
  <si>
    <t>REINALDO EDWIN OVANDO SALVATIERRA</t>
  </si>
  <si>
    <t>ING. ING. ALEX D’ANCHGELO CHOQUE FLORES</t>
  </si>
  <si>
    <t>ESTUDIO DE FACTIBILIDAD PARA LA IMPLEMENTACIÓN DE UNA PLANTA PARA LA ELABORACIÓN DE PASTAS EN BASE A TRIGO QUINUA Y MAÍZ EN LA CIUDAD DE COCHABAMBA.</t>
  </si>
  <si>
    <t>dannycid1011@hotmail.com</t>
  </si>
  <si>
    <t>IND-786-2016</t>
  </si>
  <si>
    <t>Planta, Estudio de Factibilidad, Pastas, Estudio de Mercado, Quinua, Maíz, Trigo, estudio financiero.</t>
  </si>
  <si>
    <t>La industrialización de cereales en Bolivia ha sido muy pobre por la falta de aprovechamiento de diferentes materias primas, debido a esto nació la idea de poder industrializar la quinua, trigo y maíz  como pastas y fideos con el propósito de darle mayor valor agregado a los mismos y poder ver la factibilidad de dicho proyecto.Para ello fue necesario realizar un estudio de mercado la cual nos proporcionó la información de la demanda potencial para nuestro producto el cual es de 6.495,67 kg/Año de esta forma se determinó la capacidad de producción de la planta que será del 30%, con lo cual la capacidad de producción por día será de 6,24 ton o lo mismo decir producir 135 QQ. También se encontró datos importantes como las principales marcas en el mercado son FAMOSA, LA SUPREMA, con relación a las pastas cortas y DON VITORIO en pastas largas, el consumo de pasta corta es mayor a la pasta larga. De igual forma se determinó el costo de venta de las pastas en 5 Bs la presentación de 400 gramos.Con estos datos se determina que la localización de la empresa se va a situar en el municipio de Quillacollo en la zona de Piñami debido a que este cumple con todos los requerimientos para poder emplazar la empresa. Es así también que se determina los porcentajes de dosificación en 50% de Trigo, 40% de Quinua y 10% de Maíz, según las pruebas realizadas y se determinó que el 40% del financiamiento será préstamo bancario. Con estos datos se determina que la localización de la empresa se va a situar en el municipio de Quillacollo en la zona de Piñami debido a que este cumple con todos los requerimientos para poder emplazar la empresa.Además se realizó la distribución de las actividades en el diagrama de GANTT donde se observó que la actividad que lleva más tiempo en ejecutarse es la construcción civil.El proceso productivo fue realizado para la producción diaria de 6,24 toneladas por día que llega a ser el 30% de la demanda potencial del producto de esta forma se pensó en realizar dos líneas de producción una de pastas cortas y otra de pastas largas; la primera está marcado por el dosificado, amasado, prensado, cortado, secado, empaquetado para las pastas cortas y la de pastas largas difiere en el prensado y cortado con el laminado y trefilado respectivamente, con lo cual se realizó los diagramas de proceso y el balance de masas para cada línea de producción; la maquinaria determinada para el uso en el proyecto es la K-300, la cual pertenece al a empresa LA MONFERRINA; que es de industria Italiana; la cual tiene una capacidad de producción de 300Kg/Hr, es de acero inoxidable. El aspecto organizacional de la empresa estará al mando del gerente general y la conformaran dos líneas de gerencia las cuales pertenecen a producción y comercialización.Además se realizó un análisis financiero que determinó que los indicadores de rentabilidad para el proyecto son factibles por lo cual se dijo que la instalación de la planta es rentable. Y así también se determinó que los factores de agua y Gases de combustión se encuentran dentro de los límites aceptables.</t>
  </si>
  <si>
    <t>https://drive.google.com/file/d/11QG7dve7g9aMDVZzhQ1c1bY2Pt-FC6o-/view?usp=sharing</t>
  </si>
  <si>
    <t>https://drive.google.com/file/d/1Ddvg2sLL4gTMxV6g_zsznOt6cG_XnwzZ/view?usp=sharing</t>
  </si>
  <si>
    <t>https://drive.google.com/file/d/1IzRyLRNwoh5FKHr1Cf41_hrFKgOCjU3I/view?usp=sharing</t>
  </si>
  <si>
    <t>CRISTHIAN DARCY NINA GOYTIA</t>
  </si>
  <si>
    <t>ING. IVAN RICHARD GOYTIA TORREZ</t>
  </si>
  <si>
    <t>PLAN DE SEGURIDAD E HIGIENE OCUPACIONAL PARA LA MOLINERA DEL VALLE S.R.L.</t>
  </si>
  <si>
    <t>cristhian.nina.g@gmail.com</t>
  </si>
  <si>
    <t>IND-787-2016</t>
  </si>
  <si>
    <t>Industria Molinera Del Valle, Decreto Ley N°16998, Seguridad e Higiene Ocupacional, IPER (Identificación de Peligros y Evaluación de Riesgos, Monitoreos, Mapeo de Riesgos, Programas de Prevención y Protección.</t>
  </si>
  <si>
    <t>El Plan de Seguridad e Higiene Ocupacional para la Molinera Del Valle, ha sido desarrollado para establecer las acciones orientadas al cumplimiento legal y operacional de la industria en temas de Seguridad Industrial, con el propósito de disminuir y/o eliminar los riesgos y accidentes laborales al que se expone el personal.Como primera fase se realizó un diagnóstico de la situación actual de la molinera en temas de Seguridad e Higiene Ocupacional, observando y evaluando las áreas, procesos y actividades que realizan dentro la Molinera; también se realizaron entrevistas y encuestas a los supervisores, encargados de áreas y trabajadores de planta. En esta evaluación se analizaron los estándares de Seguridad, la cultura, hábitos, competencias, instalaciones, equipos, herramientas y al personal sobre la gestión actual que desempeña la Molinera Del Valle. Posteriormente se realizó una evaluación de cumplimiento legal en materia de Higiene, Seguridad Ocupacional y Bienestar en base al Decreto Ley N° 16998, donde se inspeccionaron y evaluaron los artículos relacionados y aplicables al sector Molinero.La industria se informó sobre el grado de cumplimiento legal y operativo, resumiendo las falencias en un esquema de “Espina de Pescado” o diagrama de Ishikawa, con el fin de estructurar las causas que originan nuestro problema.Como la fase más importante y fundamental del Plan se analizó cada área, proceso y actividad empleando la metodología IPER “Identificación de Peligros y Evaluación de Riesgos”, donde se definió que riesgos son Aceptables y No Aceptables para la empresa, a fin de establecer las medidas de control que deberán implementarse para mejorar y proteger la seguridad y la salud de los trabajadores.De igual manera se realizó el Mapeo de Riesgos para localizar, controlar y dar seguimiento a los agentes generadores de riesgos en las diferentes áreas de la Molinera que podrían ocasionar accidentes y/o enfermedades laborales.Posteriormente se realizó una evaluación y monitoreo de los riesgos físicos a los que se expone el personal como ser: ruido, iluminación, temperatura y ventilación; donde a través de los resultados se establecieron las recomendaciones más adecuadas para mejorar los ambientes de trabajo.Con toda la información recabada se procedió a la elaboración del Plan de Seguridad e Higiene Ocupacional, el cual fue estructurado en 10 programas: Organización de Seguridad y Salud Ocupacional, Controles de Ingeniería, Capacitaciones, Señalización Industrial, Equipos de Protección Personal, Orden y Limpieza, Combate y Lucha contra Incendios, Salud ocupacional, Higiene Industrial y Documentos de Seguridad Industrial como ser: Manuales de Seguridad Industrial, Primeros Auxilios, Planes de Emergencias, Norma de Manejo Defensivo, registros de gestión, etc.; donde la implementación de estos programas de prevención y protección estarán enfocados a mejorar las condiciones y factores que afectan o podrían afectar la seguridad y salud de los trabajadores.Se calculó los costos de implementación y funcionamiento para los próximos cinco años de los programas, acciones, equipos y mejoras planteadas dentro el Plan de Seguridad e Higiene Ocupacional de la Molinera Del Valle.</t>
  </si>
  <si>
    <t>https://drive.google.com/file/d/1gPksvLG_L-cQRVHUWLzBJ70OUk7cOH11/view?usp=sharing</t>
  </si>
  <si>
    <t>https://drive.google.com/file/d/1b217AMx0iCZXuCyyNhhlsXv6TKANoqcl/view?usp=sharing</t>
  </si>
  <si>
    <t>https://drive.google.com/file/d/1_YsXc6-4PBRExGTvBe6lGp1DMBEXg0A3/view?usp=sharing</t>
  </si>
  <si>
    <t>DIEGO HINOJOSA FOSSATI</t>
  </si>
  <si>
    <t>DISEÑO DE UN PLAN DE SEGURIDAD E HIGIENE OCUPACIONAL PARA LA ORGANIZACIÓN “A&amp;M”  COLECCIÓN HOGAR HECHO A MANO.</t>
  </si>
  <si>
    <t>hinojosadiego@gmail.com</t>
  </si>
  <si>
    <t>IND-788-2016</t>
  </si>
  <si>
    <t>A&amp;M “colección hogar hecho a mano”, condición laboral, Seguridad y Salud Ocupacional SySO, William Fine, IPER.</t>
  </si>
  <si>
    <t>“A&amp;M” colección hogar hecho a mano, decide diseñar un Plan de Seguridad e Higiene Ocupacional con el objeto de mejorar las condiciones laborales de sus trabajadores y gestionar en forma adecuada  todos los riesgos presentes en los procesos de la organización.Para realizar el diseño del Plan se siguieron tres fases:Fase I: Recopilación de Información.·       Para la recopilación de información se siguió la siguiente secuencia:·       Se realiza un estudio de las condiciones actuales en las que se encuentra la organización, en lo referente a la materia de Prevención de Riesgos.·       Identificar cuáles son las acciones y condiciones inseguras en las que se incurre dentro el proceso productivo de la empresa.·       Identificar los riesgos existentes en la empresa.·       Clasificar y evaluar los riesgos que se puedan presentar en cada uno de los trabajos y actividades a desarrollar.Fase II. Elaboración de un Plan de Seguridad Industrial·       Una vez identificado, clasificado y evaluado los riesgos, recopilado datos de los factores que afectan la seguridad de la organización, se procede a la realización del Plan de Seguridad industrial·       Luego, se procederá a plantear ideas y soluciones para el desarrollo del Plan de Seguridad Industrial, en esta etapa se especificará cada una de las soluciones y la manera que se llevará a cabo.Fase III. Asignación de recursos.</t>
  </si>
  <si>
    <t>https://drive.google.com/file/d/1rHTD8CgyVkY2RFeYGH1XIX7Z1DxaUpbx/view?usp=sharing</t>
  </si>
  <si>
    <t>https://drive.google.com/file/d/1kbR7Nco36my3BGdLVSSdOsfbU2723WxG/view?usp=sharing</t>
  </si>
  <si>
    <t>https://drive.google.com/file/d/1OA_Nc74IsVnLqH98mho3biCR9jQAfXAs/view?usp=sharing</t>
  </si>
  <si>
    <t>JAVIER OLIVERA VEIZAGA</t>
  </si>
  <si>
    <t>DISEÑO DE UN SISTEMA DE ANÁLISIS DE PELIGROS Y DE PUNTOS CRÍTICOS DE CONTROL (HACCP), PARA LA EMPRESA INDUSTRIA PANIFICADORA INPASA.</t>
  </si>
  <si>
    <t>xavi-19_@hotmail.es</t>
  </si>
  <si>
    <t>IND-789-2016</t>
  </si>
  <si>
    <t>Sistema Preventivo de Inocuidad Alimentaria HACCP, Diagrama de Flujo de Proceso, Programas Pre-Requisitos PPRs, Buenas Prácticas de Manufactura e Higiene, Puntos Críticos de Control PCC, Límites Críticos para Vigilancia LC, Limites Operativos Lop, Procedimientos de Monitoreo y de Verificación.</t>
  </si>
  <si>
    <t>El sistema HACCP es de carácter preventivo que garantiza la elaboración de alimentos seguros aptos para el consumo, para el diseño del sistema se ha realizado un diagnostico situacional actual de la empresa respecto al cumplimiento de los programas pre-requisitos PPRs (BPM, BPH y POES) y la legislación nacional vigente BPM, utilizando una lista de verificación elaborada en base a la norma NB/ISO/TS 22002-1:2010  y R.A. 019/2003, con esta herramienta se obtuvo información en la cual se destacó las principales falencias e incumplimiento a lo establecido en la norma.De acuerdo a los resultados obtenidos se ha elaborado un plan de adecuación de los PPRs para el cumplimiento y mejora de los mismos, en la misma se elaboró un manual de los PPRs para la organización la cual brinda condiciones higiénicas para la elaboración y manipulación del producto ya que es el pilar fundamental para la implantación y funcionamiento eficaz del sistema HACCP.En principio para el diseño adecuado del sistema se ha basado en los 7 principios del sistema, aplicando las 12 directrices con una secuencia lógica, mencionado en la norma NB 310019:2012 y reconocida internacionalmente por Codex Alimentarius, por lo tanto de acuerdo a las directrices primero se ha conformado un equipo de trabajo HACCP para su implementación, mantenimiento y gestión del sistema, se ha descrito detalladamente al producto, se ha determinado el uso previsto que tiene el producto la misma información se brinda al consumidor, se ha elaborado un diagrama de flujo de proceso detallado ya que es la base fundamental para el análisis de peligros realizado, la misma se verifico en planta para tener una información veraz, posteriormente se ha identificado los peligros significativos relativos a la inocuidad alimentaria en cada una de las fases del proceso.Una vez identificado los peligros se ha establecido los PCC haciendo uso del árbol de decisiones una secuencia lógica de preguntas la cual nos llevó a determinar los PCC y se estableció sus respectivos LC y Lop correspondientes para su control, para la misma se ha establecido un procedimiento para la vigilancia o monitoreo de los PCC con una secuencia de mediciones y observaciones.Para el caso de las desviaciones de los LC o pérdidas de control del PCC se ha establecido las medidas correctivas a tomar, posteriormente se ha desarrollado un procedimiento de verificación del funcionamiento eficaz del sistema HACCP y se generó su respectivo sistema de registro y documentación para una gestión adecuada del sistema.En la evaluación económica del proyecto, en principio en base a las observaciones e incumplimientos de la normativa relativa a los PPRs se ha estimado los costos que se incurre para llevar a cabo la adecuación y correcciones pertinentes, teniendo costos fijos y de operación o variables, con un costo de inversión inicial en el primer año de 28.242 Bs.- con un costo de operación o mantenimiento del sistema de 15.778 Bs.- anuales, posteriormente se ha preparado la información para poder realizar la evaluación financiera del proyecto determinando una relación B/C de 0,47.Para el análisis de beneficios del proyecto se ha hecho un estudio y comparación de dos situaciones: evaluación sin proyecto y evaluación con proyecto, en la cual se tiene beneficios que genera como la reducción en sanciones por incumplimiento a la normativa sanitaria, reducción de gastos en acciones correctivas por subsane de productos no inocuos, gastos por movilización para las correcciones.En el análisis y comparación de situaciones se muestra el ahorro anual generado por la implementación del proyecto y los beneficios que trae consigo desde un punto de vista cualitativa como la siguiente: brinda un producto inocuo apto para el consumo, proporciona evidencia de la producción y manipulación de alimentos seguros, conformidad con la reglamentación legislativa buenas prácticas de manufactura e higiene, etc.</t>
  </si>
  <si>
    <t>https://drive.google.com/file/d/17cw6cXBcC5JDCy1UYbZzZ08IbbkGo-1-/view?usp=sharing</t>
  </si>
  <si>
    <t>https://drive.google.com/file/d/18w3M5n3J3jNqpLBLy2kPFpyvAUYJpxna/view?usp=sharing</t>
  </si>
  <si>
    <t>https://drive.google.com/file/d/1aYTGnfmBClhPpwTYvczUVgMsUzXMxax9/view?usp=sharing</t>
  </si>
  <si>
    <t>JERSON DENNYS INTURIAS CUBA</t>
  </si>
  <si>
    <t>ING. JESÚS ALFREDO PEREYRA ARNÉZ</t>
  </si>
  <si>
    <t>DISEÑO DE UN SISTEMA DE GESTIÓN DE CALIDAD BASADO EN LA NORMA ISO 9001 EN EL DEPARTAMENTO DE DISEÑO Y DESARROLLO DE LA EMPRESA METALMECÁNICA PROMAQ I+D LTDA.</t>
  </si>
  <si>
    <t>jerson.inturias@gmail.com</t>
  </si>
  <si>
    <t>IND-790-2016</t>
  </si>
  <si>
    <t>Investigación más desarrollo de procesos y maquinarias PROMAQ I+D Ltda., Metalmecánica, Diseño, Sistema de gestión de la calidad (SGC), ISO 9001.</t>
  </si>
  <si>
    <t>La industria metalmecánica en nuestro país es uno de los rubros con mayor índice de desperdicio y desorganización, asimismo esta situación no fué ajena a la empresa INVESTIGACIÓN MAS DESARROLLO DE PROCESOS Y MAQUINARIAS – PROMAQ I+D Ltda., puesto que durante el diagnóstico realizado por el autor del presente proyecto de grado en las primeras semanas del mes de abril de la gestión 2014, se detectaron serios problemas de organización. La capacitación de estas personas facilitó el proceso del diseño del sistema de gestión dentro el departamento, puesto que “ya se hablaba el mismo idioma” y el autor del proyecto recibía la colaboración y el apoyo del personal dentro el departamento.A inicios de la gestión 2015 sucedió una reestructuración de los lineamientos organizacionales de la empresa, mediante la cual se define cambiar el alcance del proyecto a un diseño final de un sistema de gestión de la calidad en el departamento de Diseño y Desarrollo, puesto que la empresa tendría otras prioridades en ese entonces.A estas alturas, ya se poseía toda la documentación de dicho sistema, además que el autor del proyecto pudo integrarse a la labor organizacional, lo que le permitió perfeccionar dicho sistema cada vez más.Cuando se consideró que el sistema diseñado tenía un grado aceptable de ajuste a la labor organizacional, se realizó la planificación de la implementación del sistema de gestión de la calidad diseñado bajo el alcance establecido: el departamento de Diseño y Desarrollo.Una vez que se concluye el plan de implementación, se procede a evaluar el proyecto desde el punto de vista económico, identificando y proyectando los costos de la calidad y estimando las reacciones que podría traer consigo la implementación del sistema en el ámbito financiero.A medida que pasaba el tiempo, el autor del proyecto se adentraba al funcionamiento empresarial y se detectarían problemas cada vez más serios, no solamente en el departamento de Diseño y Desarrollo, sino en otros departamentos de la empresa, por lo cual, se llegó a la conclusión de utilizar el sistema desarrollado como punto de partida para realizar la REINGENIERIA DE PROCESOS dentro la empresa, puesto que lo que se requiere es un “nuevo inicio”. Teniendo diseñado un sistema de gestión de la calidad dentro la empresa, esta actividad será más sencilla y su aporte a la gestión empresarial resultaría invaluable. La reingeniería de procesos no excluye la calidad, se apoya y se basa en ella compartiendo sus principios, ambas herramientas se complementan y esta acción puede ser lo que la empresa PROMAQ I+D Ltda. con tanta urgencia se encuentra buscando.Asimismo la certificación de un sistema de gestión de la calidad es una decisión que vendrá en el futuro, a tiempo de atraer clientes que exijan estas normativas, mientras tanto, se puede trabajar con calidad sin la necesidad de certificar la empresa en ella, ya que al final, lo que importa es el sentido mismo de la calidad:CALIDAD ES HACER LAS COSAS BIEN MIENTRAS NADIE ESTA VIENDO …Henrry Ford”</t>
  </si>
  <si>
    <t>https://drive.google.com/file/d/1_voqQjhMw5ofczBp5QATZ0FRvE2a6bZ7/view?usp=sharing</t>
  </si>
  <si>
    <t>https://drive.google.com/file/d/1aK61JvvDe7NFrJH7MrcnyRIZvwCpym_A/view?usp=sharing</t>
  </si>
  <si>
    <t>https://drive.google.com/file/d/1BiPawsLH97icHNmjMCjxbFP2fI43HmSh/view?usp=sharing</t>
  </si>
  <si>
    <t>FERNANDO CHUNCHO CORONEL</t>
  </si>
  <si>
    <t>LIC. ADM.  CESAR AUGUSTO GÁMEZ  TAPARA</t>
  </si>
  <si>
    <t>ESTUDIO DE FACTIBILIDAD  PARA LA CREACIÓN DE UNA FÁBRICA DE VIGUETAS PRETENSADAS PARA LA CIUDAD DEL CERCADO DE COCHABAMBA</t>
  </si>
  <si>
    <t>Fernando.chunchocoronel@gmail.com</t>
  </si>
  <si>
    <t>IND-791-2016</t>
  </si>
  <si>
    <t>Planta productora de viguetas pretensadas, Productividad, Reingeniería, Programa de producción.</t>
  </si>
  <si>
    <t>El objetivo del presente proyecto es realizar el estudio de factibilidad para la implementación de una planta de viguetas pretensadas en el departamento de Cochabamba, a partir de las materias primas necesarias para la población del Cercado del departamento de Cochabamba.Se realizó un análisis de la materia prima, donde se pudo evidenciar que Cochabamba es un potencial productor de cemento.En el estudio de mercado se realizó el análisis de la demanda y oferta, encontrando la brecha en el mercado sobre la cual el proyecto puede desarrollarse, adicionalmente se realizó un análisis de precios y comercialización.Se determinó la localización de la planta mediante el método ponderado por puntos donde se elegido la opción más óptima, siendo esta la provincia de Quillacollo.El tamaño óptimo de la planta se determinó en función a la brecha de mercado pronosticado en el departamento de Cochabamba.Dentro de la ingeniería del proyecto, se analizó el proceso productivo, se determinó en forma precisa y clara la maquinaria y equipos requeridos para la elaboración de salsa de locoto, se identificó los proveedores de materias prima e insumos, se detalló la distribución de planta mediante el método SLP.Se definió la estructura organización de la empresa mediante un organigrama por funciones. La planta y ejecución del proyecto tiene un tiempo de duración de 6 meses la cual se determinó mediante el diagrama de la ruta crítica.Se estimaron las inversiones totales y los costos en los que incurre el proyecto, en cuanto a la evaluación financiera, se determinó que el proyecto es rentable, dando por sus indicadores financieros el VAN, TIR, relación B/C y el TRI.</t>
  </si>
  <si>
    <t>https://drive.google.com/file/d/1a5Q68izZAXCBqOgDCQhShyet11qS4Fa4/view?usp=sharing</t>
  </si>
  <si>
    <t>https://drive.google.com/file/d/1aLR96_kl5PRzH4jTynQUOfCMyDMQKNul/view?usp=sharing</t>
  </si>
  <si>
    <t>https://drive.google.com/file/d/1E8_HW0Y3Imx6E1zq5QNNsffdj2aJvMgl/view?usp=sharing</t>
  </si>
  <si>
    <t>VICTOR HUGO MERUVIA CORRALES</t>
  </si>
  <si>
    <t>ING. CRISTIAN LLANQUE MARTINEZ</t>
  </si>
  <si>
    <t>ESTUDIO DE FACTIBILIDAD PARA LA IMPLEMENTACIÓN DE UNA ESTACIÓN DE SERVICIO EN EL PARQUE INDUSTRIAL SANTIVAÑEZ.</t>
  </si>
  <si>
    <t>huguitotp_002@hotmail.com</t>
  </si>
  <si>
    <t>IND-792-2016</t>
  </si>
  <si>
    <t>Factibilidad, Implementación, Leopold, Rentabilidad, Autoridad Nacional de Hidrocarburos (ANH).</t>
  </si>
  <si>
    <t>La necesidad de haber realizado el estudio fue de ver la posibilidad de implementar al Parque Industrial Santivañez. Una estación de Servicio el cual pueda ofrecer al consumidor una buena alternativa de solución para las necesidades de combustibles que existe en la región, de manera tal, que su obtención repercuta  desde los proveedores, así también los que consumidores finales, dando lugar a un incremento de fuentes de empleo, desarrollo de la región y ganancia de recursos económicos de ambos sectores.Los combustibles son derivados del petróleo y han sido usados por las principales herramientas que desarrollaron y aceleraron el crecimiento mundial, adquiriendo cada vez mayor importancia con el transcurrir del tiempo.Existe un incremento anual del parque automotor del 10.2% en el eje troncal al cual pertenece el Departamento de Cochabamba, el proyecto tiene como población objetivo todas las personas que viven y hacen su paso por la región del municipio de Santivañez. El precio que tienen los combustibles está regulada por la Autoridad Nacional de Hidrocarburos (ANH) y es de 3.72 BS/litro de diesel, 3.74 bs/litro de gasolina.La empresa deberá comercializar una cantidad mayor a los 5 millones de litros anuales para satisfacer la demanda estimada y proyectada, esto con el fin de no producir perjuicios en ambas partes .La evaluación financiera, mostro que el producto es viable siempre y cuando los precios de venta no disminuyan o los costos operativos no aumenten en al menos 5%.La evaluación de impacto ambiental  concluye que el proyecto es ecológicamente compatible, por lo que tiene impactos negativos en una escala baja, pero que se devén cumplir varias medidas de seguridad que están supervisadas por la Superintendencia de Hidrocarburos. Con el proyecto se pretendió ofrecer una alternativa de solución para las personas que requieren combustibles, también generar más empleos e incentivar el crecimiento económico en las localidades pertenecientes ala region.</t>
  </si>
  <si>
    <t>https://drive.google.com/file/d/1WXiUTauXay92FobjtxwKMFBoVevd3OIl/view?usp=sharing</t>
  </si>
  <si>
    <t>https://drive.google.com/file/d/1rQ4HCYneuhS_BRXx_AJuvpyWSU83lUiX/view?usp=sharing</t>
  </si>
  <si>
    <t>https://drive.google.com/file/d/1mZthy-DtiMCyWaRa6TOU6SSyOpUHPvsd/view?usp=sharing</t>
  </si>
  <si>
    <t>MONICA ALEJANDRA CARDONA PEREDO</t>
  </si>
  <si>
    <t>CARLOS FAVIO DELGADILLO LARA</t>
  </si>
  <si>
    <t>MSC. LIC. LUZ MIRIAN VARGAS COCA</t>
  </si>
  <si>
    <t>ESTUDIO DE FACTIBILIDAD PARA EL DISEÑO DE UNA PLANTA PROCESADORA DE ALMIDÓN A PARTIR DE RAÍCES ANDINAS-SUBTROPICALES</t>
  </si>
  <si>
    <t>jhandra7@hotmail.com</t>
  </si>
  <si>
    <t>IND-793-2016</t>
  </si>
  <si>
    <t>Raíces andinas-subtropicales (RTA’s), Taza Interna de Retorno (TIR), Valor Actual Neto (VAN), Reglamento Ambiental para el Sector Industrial Manufacturero (RASIM).</t>
  </si>
  <si>
    <t>El presente trabajo está basado en un estudio de factibilidad para el diseño de una planta procesadora de almidón a partir de raíces andinas-subtropicales, con el objetivo de agregar valor a productos naturales, de esta manera aprovechar sus principales características.La materia prima del proyecto son las raíces de arracacha (Arracacia xanthoriza) y achira (canna indica), las cuales tienen una producción adecuada para la planta procesadora. Se logró investigar acerca de las propiedades nutricionales y energéticas de éstas, siendo las adecuadas para su procesamiento.Se realizó un estudio de mercado, del cual se obtuvieron resultados positivos y alentadores, donde se identificó una demanda potencial para el almidón calculada en 200 (ton/año), con el presente proyecto se pretende cubrir el 82% de esta demanda hasta el décimo año del proyecto.La planta tiene una capacidad inicial limitada de producción de 50 ton/año hasta llegar a una capacidad máxima de producción de 192 ton/año. Se determinó la maquinaria necesaria para la producción así como los equipos y maquinarias auxiliares a utilizar. La ubicación de la planta será en la localidad de Tablas Montes en el Municipio de Colomi, debido a que en esa localidad se encuentra la materia prima.Se realizó un análisis financiero que muestra que el proyecto es rentable presentando un VAN= 282.108,31 Bs., TIR=12 % y B/C=1,4 Bs. Respecto a los impactos ambientales el proyecto se encuentra en la categoría IV, considerado como ecológico y de bajo impacto ambiental.Por lo mencionado anteriormente se concluye que el proyecto, desde la perspectiva técnica, financiera y ambiental, es viable y puede ser ejecutado cuando se lo requiera.</t>
  </si>
  <si>
    <t>https://drive.google.com/file/d/1utYA8XjQ64Oe5VroS3FSaHSIWwXdZsUK/view?usp=sharing</t>
  </si>
  <si>
    <t>https://drive.google.com/file/d/1rensi5DUHBEzIOm5064VGMFQ_fZHoEZH/view?usp=sharing</t>
  </si>
  <si>
    <t>https://drive.google.com/file/d/1WBC0JIuWofb6AKIzWAYS9VpM7-wBjJnG/view?usp=sharing</t>
  </si>
  <si>
    <t>MARIBEL DELGADILLO ROCHA</t>
  </si>
  <si>
    <t>JORGE POZADAS MARCA</t>
  </si>
  <si>
    <t>PROYECTO DE FACTIBILIDAD PARA LA IMPLEMENTACIÓN DE UNA PLANTA PROCESADORA DE HONGOS FRESCOS AGARICUS BISPORUS (CHAMPIÑÓN), UBICADO EN EL DEPARTAMENTO DE COCHABAMBA</t>
  </si>
  <si>
    <t>bel.18.92@hotmail.com</t>
  </si>
  <si>
    <t>IND-794-2016</t>
  </si>
  <si>
    <t>Producción hongos frescos Agaricus Bisporus, Micelio, Estratificación implícita con muestreo sistemático, Eficiencia Biológica, Modulo de Producción, Evaluación Financiera, Análisis sensibilidad, Evaluación Impacto Ambiental</t>
  </si>
  <si>
    <t>Los hongos comestibles de la especie Agaricus Bisporus, es una seta de cultivo que pertenecen al reino Fungí, siendo estos ricos en fibra, aminoácidos esenciales, vitaminas y minerales, sin embargo su cultivo es poco desarrollado en el departamento de Cochabamba, por esta razón el consumo de los hongos frescos es bajo y limitado debido a la gran importación de productos enlatados o en conserva que actualmente se encuentran muy extendidos en los mercados del medio, por lo que el proyecto plantea la implementación de una planta procesadora de hongos blancos frescos (champiñón).A través del estudio de mercado realizado en la Provincia de Cercado del departamento de Cochabamba, se determinó la demanda y oferta de los hongos frescos, así mismo se determinó los principales factores que influyen en el consumo del producto y mediante el cual se realizó el estudio y análisis de la parte técnica del proyecto en cuanto a la materia prima, materiales auxiliares e insumos, localización y tamaño, ingeniería del proyecto y la organización, mano de obra y aspectos legales.Posteriormente se estimó la inversión total que el proyecto requiere para su implementación el cual asciende a Bs. 695.455, donde el aporte propio será del 25%. A través del flujo de caja se determinaron los parámetros de rentabilidad con un TREMA del 14% del cual se tiene un VAN Bs. 110.206, una TIR del 22% y la relación B/C de Bs. 1,63 concluyendo que el proyecto es factible. Por último se sometió a un análisis  de sensibilidad a las variables más influyentes: precio de venta, costo de materia prima y financiamiento bancario, siendo la variable más sensible el precio de venta.El tiempo estimado para realizar la ejecución del proyecto es de 36 semanas (9 meses), contemplado desde la gestión del establecimiento de la empresa hasta su puesta en marcha. Finalmente se realizó la evaluación de impacto ambiental, identificándose impactos positivos como impactos negativos leves que pueden ser eliminados y  controlados a través de medidas correctivas de fácil implementación. Por tanto se concluye que el proyecto está dentro de la categoría 3 que no producen ningún riesgo de rechazo en la construcción y operación del proyecto.</t>
  </si>
  <si>
    <t>https://drive.google.com/file/d/15YxEQHjHgFrBcxXy4KA0SbTKSntcHMYy/view?usp=sharing</t>
  </si>
  <si>
    <t>https://drive.google.com/file/d/1XnS0ml6FRABAX_u6IaCp49572XB7jBQh/view?usp=sharing</t>
  </si>
  <si>
    <t>https://drive.google.com/file/d/10AcAK0SThhwqAEgaxsQvFRG2Dlh-6Ypb/view?usp=sharing</t>
  </si>
  <si>
    <t>MAMANI BLANCO WILMA</t>
  </si>
  <si>
    <t>PRADO GONZALES MARIBEL</t>
  </si>
  <si>
    <t>ING. WENDY SANZETENEA RAMÍREZ</t>
  </si>
  <si>
    <t>ESTUDIO DE FACTIBILIDAD PARA LA IMPLEMENTACIÓN DE UNA PLANTA DE ACOPIO DE LECHE Y PROCESAMIENTO EN YOGURT PARA LA ASOCIACIÓN DE PRODUCTORES DE LECHE DEL CANTÓN ARPITA (CAAPLE) EN EL MUNICIPIO DE ARBIETO.</t>
  </si>
  <si>
    <t>wilma_27mb@hotmail.com</t>
  </si>
  <si>
    <t>IND-795-2016</t>
  </si>
  <si>
    <t>Planta de Acopio de Leche, Producción de Yogurt, Bacterias Lácticas, Valor Nutricional del Yogurt.</t>
  </si>
  <si>
    <t>La necesidad de haber realizado el estudio de factibilidad para la implantación de una planta de acopio de Leche y procesamiento en Yogurt fue para analizar la posibilidad de introducir al mercado Cochabambino y a los Municipios de Quillacollo y Sacaba  un producto saludable y de consumo alimenticio.Los productores ganaderos en el distrito de Arpita perteneciente al Municipio de Arbieto se organizaron y conformaron la asociación de productores de Leche denominada CAAPLE, los cuales cuentan con el apoyo de la Alcaldía de Arbieto para poder comercializar el producto Yogurt como desayuno escolar en dicho Municipio, el excedente de la producción está destinada a los mercados identificados en el estudio de mercado realizado cuya demanda fue de 29.294.118 L/Año, también se identificó que el envase de mayor preferencia por parte de las familias es el de tipo botella de 1 Litro cuya razón fue por la Cantidad, Calidad e Higiene.Se determinó una capacidad de producción de planta de 905.050 Bolsas/Año y 366.694 Botellas/Año, el cual genero un ingreso total de 739.061,91 $us/Año al 100% de producción.Mediante factores de validación se determinó la localización de la planta, el cual será instalado en el Cantón de Rayo Pampa, distrito de Arpita del Municipio de Arbieto perteneciente a la Provincia Estaban Arze. La estructura organizativa que se definió es la de agrupación por funciones. Se desarrolló la planificación de la ejecución del proyecto donde se utilizó el análisis PERT, el método de camino crítico C.P.M. y se desarrolló también el diagrama de Gantt, donde se obtuvo el tiempo para la puesta en marcha de la planta que es de 11 meses.En la evaluación financiera realizada, se pudo constatar que el proyecto es rentable y es posible recuperar los recursos invertidos, reportando los siguientes resultadosTIR= 22,69 %VAN= 83.507,09 $usRelación Beneficio Costo B/C = 1,34Mediante el análisis de sensibilidad se pudo verificar que el proyecto tiene susceptibilidad en el incremento de la variable de cantidad a vender, si este disminuye en un 5 %, en cuanto a la variable costo de materia prima si el costo se incrementa en 15%, se obtuvo una tasa interna de retorno menor al actual, el cual indico también que el proyecto aún sigue siendo rentable pero con una utilidad menor.Se determinó que el proyecto se encuentra en la CATEGORÍA III donde los impactos negativos del proyecto no son considerados de mayor gravedad, por lo que solo se requiere de un control y seguimiento para el cumplimiento de las medidas de prevención requerida según normativa ambiental.</t>
  </si>
  <si>
    <t>https://drive.google.com/file/d/13WlpbwK9i2jM1e5rltznlMMqxr5DAeq9/view?usp=sharing</t>
  </si>
  <si>
    <t>https://drive.google.com/file/d/1FOS_RGb_GZdWfvvMIFyop7oB9s1GJd6I/view?usp=sharing</t>
  </si>
  <si>
    <t>https://drive.google.com/file/d/1hBaMxeKYWU2Vx5hWShjfJs22CqbXMkPz/view?usp=sharing</t>
  </si>
  <si>
    <t>RÓMULO BENJAMÍN LAVAYÉN DAZA</t>
  </si>
  <si>
    <t>ING. ALEX DANCHGELO CHOQUE FLORES</t>
  </si>
  <si>
    <t>ESTUDIO DE FACTIBILIDAD PARA LA IMPLEMENTACIÓN DE UNA FÁBRICA  DE TELA DENIM EN BOLIVIA</t>
  </si>
  <si>
    <t>blavayen@icloud.com</t>
  </si>
  <si>
    <t>IND-796-2016</t>
  </si>
  <si>
    <t>Estudio de Factibilidad, Tela Denim, Producción, Implementación, Fabrica, Evaluación Financiera, Análisis sensibilidad, Evaluación Impacto Ambiental.</t>
  </si>
  <si>
    <t>Primeramente se identificó los conceptos  referenciales con respecto a la producción de tela denim, posteriormente se realizó una investigación de Mercado determinando a los clientes potenciales, que son los confeccionistas de prendas de vestir Jeans ubicados en los departamentos de La Paz, Oruro, Cochabamba y Santa Cruz, estudiando también la oferta y el mercado, competidor. Se determinó la demanda del proyecto en base al estudio de mercado, como también se determinó la proyección de demanda de tela denim para los 5 años de ciclo del proyecto, se determinaron estrategias de penetración y posicionamiento, así como las variables del marketing mix.Posteriormente se definió la macro localización considerando que la empresa busca abarcar el mercado nacional resultando como la mejor opción el departamento de Santa Cruz, también se determinar la micro localización dentro de este departamento. Se definió un programa de producción  comenzando el primer año con un 50% de la capacidad instalada equivalente a 6.375.600 m2 de tela denim. Para el tercer año la fábrica operar en un 100% de su capacidad instalada para ese año la producción llegara a 12.751.200 m2 de tela denim. Con el tamaño y crecimiento definido se dimensionó los ambientes para la planta, se calculó de igual manera los equipos, maquinaria, materiales e insumos necesarios para tales volúmenes de producción.Se definió un tamaño de 18.400 mt2 para la planta. El estudio organizacional fue realizado para la planta definiendo el diagrama organizacional, las funciones de cada trabajador y las planillas de salarios.Se realizó la planificación de la ejecución de acuerdo a las actividades necesarias, los costos que esta implica y un cronograma cronológico de las mismas.Posteriormente se preparó la información para poder realizar la evaluación financiera determinando un VAN de  Bs 97.793.274.-, un TIR de 52 % y una relación B/C de 3,6. También se realizó un análisis de sensibilidad donde fue mostrado que la disminución de los ingresos en un 10% y el aumento de los costos de materia prima en un 10% son variables que no afectarían a la rentabilidad del proyecto. Se definió una inversión total de Bs 78.035.571.-. Para todo el proyecto definiendo un 47.7 % de aporte propio y un 52.3 % de financiamiento. La recuperación del capital fue determinado en un periodo de 2 años y 4 meses.Finalmente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</si>
  <si>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https://drive.google.com/file/d/1jjymnSNUy9PdYbOUIdEBWqkxEazkwAjZ/view?usp=sharing</t>
  </si>
  <si>
    <t>https://drive.google.com/file/d/1-q9-Q8Zq1DkueLBWUnxdo7Zd8vE5tx_3/view?usp=sharing</t>
  </si>
  <si>
    <t>https://drive.google.com/file/d/1u3QQLRIChpcCa1mlWbR2ohK5Q9uuMC64/view?usp=sharing</t>
  </si>
  <si>
    <t>SARHA MELINDA CHOQUE RAMOS</t>
  </si>
  <si>
    <t>MARIA DEL CARMEN GUTIERREZ SORIA</t>
  </si>
  <si>
    <t>ESTUDIO DE FACTIBILIDAD PARA LA INSTALACIÓN DE UNA LÍNEA PROCESADORA DE CEREALES EXTRUIDOS PARA LA EMPRESA PATUJÚ DEL CLÚSTER DE ALIMENTOS</t>
  </si>
  <si>
    <t>sarhachoque@hotmail.com</t>
  </si>
  <si>
    <t>IND-797-2016</t>
  </si>
  <si>
    <t>Valor Actual Neto (VAN), Tasa Interna de Retorno (TIR) y Relación               Beneficio Costo (B/C).</t>
  </si>
  <si>
    <t>El trabajo que se realizó tenía como objetivo general determinar la factibilidad y viabilidad técnica, económica y financiera de la instalación y funcionamiento de una de una Línea Procesadora de Cereales Extruidos producto dirigido a las familias. Primeramente se realizó una investigación de Mercado por distritos en la provincia de cercado del departamento de Cochabamba, para determinar cuáles son los cereales más consumidos por las familias, la frecuencia de compra de los cereales,  cuáles son los atributos principales que prefieren las familias  al momento de comprar un cereal, el grado de aceptación de un nuevo cereal al mercado actual, los componentes (MP e insumos) de mayor aceptación para la posible demanda del nuevo cereal, los canales de comercialización y las formas de distribución que el consumidor prefiere y finalmente los medios comunicativos para la difusión del nuevo cereal.A continuación se procedió al desarrollo del nuevo producto, por medio del cual se obtuvo una muestra final (producto final) que cumplió con las expectativas del consumidor.  Se realizaron los estudios de la localización, la tecnología y el tamaño del proyecto. Se determinó la tecnología necesaria para el proceso de producción y su capacidad de producción de acuerdo a la cantidad máxima a producir según el estudio de mercado y los equipos disponibles. Además de la disponibilidad de espacio físico requerido para toda la planta, costos de construcción e instalaciones básicas, requerimientos de personal, etc.Para obtener el máximo rendimiento técnico y económico de la planta, se determinó la organización adecuada para el funcionamiento correcto de los departamentos. Así mismo se determinaron todos los trámites necesarios para su funcionamiento dentro el marco legal.Se determinó el tiempo de ejecución del proyecto desde la decisión de invertir hasta la iniciación de la producción. Actividades que preceden a la fase de operación, funcionamiento y puesta en marcha. Finalmente se preparó la información necesaria para poder realizar la evaluación financiera, determinando un Valor Actual Neto (VAN) de 4450491,7 Bs., una Tasa Interna de Retorno (TIR) de 22 % y una Relación Beneficio Costo (B/C) de 1.1, indicadores que establecieron claramente la rentabilidad del proyecto.</t>
  </si>
  <si>
    <t>https://drive.google.com/file/d/1F3QwmXxkzXm5-Q3J8aAz3TbA1xvi3yre/view?usp=sharing</t>
  </si>
  <si>
    <t>https://drive.google.com/file/d/1pVwg5Wlmmv_uWj9uFUatteZXDqrGYgr4/view?usp=sharing</t>
  </si>
  <si>
    <t>https://drive.google.com/file/d/1KTg3nQr2Bkt4ghwHpihNnM1X42NBl3xK/view?usp=sharing</t>
  </si>
  <si>
    <t>PAMELA AVERANGA DAZA</t>
  </si>
  <si>
    <t>ING. JULIO JAVIER PADILLA DAZA</t>
  </si>
  <si>
    <t>PLAN DE SEGURIDAD INDUSTRIAL E HIGIENE OCUPACIONAL PARA LA EMPRESA “MOBILER”</t>
  </si>
  <si>
    <t>yuska27@hotmail.com</t>
  </si>
  <si>
    <t>IND-798-2016</t>
  </si>
  <si>
    <t>INSHT (Método General de Evaluación de riesgos), AENOR-España (Iluminación), OIT (Clasificación de Accidentes del trabajo).</t>
  </si>
  <si>
    <t>El tema se Seguridad Industrial actualmente es muy importante en una empresa ya que es una herramienta que controla los riesgos que atentan contra la salud de los trabajadores, los recursos materiales y lo financiero; es por ello que se ha desarrollado un Plan de Seguridad Industrial e Higiene Ocupacional; el problema fundamental que se observó en la empresa “Mobiler” es que tiene un inadecuado sistema de Seguridad Industrial e Higiene Ocupacional.Se ha realizado el Plan con el fin de que tengan conocimiento sobre las medidas de prevención de accidentes de trabajo y enfermedades profesionales, el Plan siguió una serie de pasos los cuales fueron de mucha importancia entre ellos están: el diagnóstico de la situación actual de la empresa recabando información acerca de las actividades, proceso productivo, estructura orgánica, instalaciones, etc., para luego identificar y evaluar los riesgos.Se ha elaborado Manuales y Programas en Seguridad Industrial e Higiene Ocupacional con el propósito de que tenga un documento escrito que contribuye un conjunto de procedimientos y acciones básicas de respuesta que se deberán tomar para afrontar de manera oportuna, adecuada, efectiva la eventualidad de incidentes, accidentes, estados de emergencia que pudieran ocurrir.Teniendo en cuenta las mejoras y propuestas dentro del Plan de Seguridad Industrial e Higiene Ocupacional, se ha realizado un presupuesto para el plan, obteniendo como resultado una inversión aproximada de 14.472 Bs. (Catorce mil cuatrocientos setenta y dos bolivianos).La seguridad no debe ser considerada tarea de una sola persona, debe ser un conjunto de esfuerzos, apoyo y compromiso por parte de todos los integrantes de la empresa.Con el proyecto se pretendió dar al trabajador un ambiente seguro y libre de riesgos haciendo que la productividad sea eficiente en cuanto a la calidad del producto lo cual traerá beneficios a la empresa.</t>
  </si>
  <si>
    <t>https://drive.google.com/file/d/1CFlJWlMxUAVq4ikebz70gcbycaNGDGMx/view?usp=sharing</t>
  </si>
  <si>
    <t>https://drive.google.com/file/d/1cQT3QrUdmDq41srAHq2sPOMYHIFy0Sdl/view?usp=sharing</t>
  </si>
  <si>
    <t>https://drive.google.com/file/d/1mpygMEKv35XahVRVjmFaeqvWKJMMmdkT/view?usp=sharing</t>
  </si>
  <si>
    <t>JIMÉNEZ ROJAS GABRIEL</t>
  </si>
  <si>
    <t>ESTUDIO DE FACTIBILIDAD PARA LA IMPLEMENTACIÓN DE UNA PLANTA DE PRODUCCION DE CRISTALERÍA DE MESA A PARTIR DEL RESIDUO SÓLIDO DE VIDRIO</t>
  </si>
  <si>
    <t>gajimro@gmail.com</t>
  </si>
  <si>
    <t>IND-799-2016</t>
  </si>
  <si>
    <t>Planta productora de cristalería de mesa, residuo sólido de vidrio, fusión, casco.</t>
  </si>
  <si>
    <t>El presente proyecto propone una solución ambiental a la contaminación que ocasiona los grandes volúmenes residuo sólido de vidrio en centros de acopio. A la vez, el proyecto pretende mejorar el desarrollo en técnicas de reciclado, para otorgar valor agregado a un desecho urbano.La alternativa de solución a emplear es el reciclaje del residuo sólido de vidrio para la producción de cristalería de mesa, como vasos, envases y frascos de cristal que es utilizado diariamente por la sociedad en general.La actividad es muy dispersa debido a la presencia de numerosas micros y pequeñas empresas. Sin embargo, como competidores en este giro se tienen a las empresas industrializadas y semi-industrializadas.  En Bolivia existe una planta productora de vidrio que es una de las más reconocidas del país, la empresa VIDRIOLUX. Es importante resaltar que el producto final de esta planta será a partir del reciclado de vidrio y su uso exclusivo será para producir cristalería de mesa.El costo de producción de los envases de vidrio es de 2,40 Bs. /un y 2,90 Bs. /un respectivamente el precio de venta del producto terminado es de 2.90 Bs/un y 3,40 Bs/un por vasos de 200 gramos y 300gramos de peso. De acuerdo a la producción de cristalería de mesa anual con un 5% de adición de materia prima, los costos de producción se incrementan en un 5,34%.La evaluación financiera, mostro que el producto es viable siempre y cuando los concentrados a aplicar cumplan con las exigencias necesarias. La empresa adquirirá equipos y maquinaria de acuerdo con las características necesarias para la producción de cristalería de mesa, Por ser una empresa nueva se realizaron inversiones de activo fijo, activo diferido y se consideró las depreciaciones correspondientes para cada activo.En la evaluación financiera realizada, se pudo constatar que el proyecto es rentable, reportando los siguientes resultados.VAN = 820.988 $us.TIR = 23.7%B/C = 1.98Mediante el análisis de sensibilidad se pudo verificar que el proyecto tiene mayor susceptibilidad en el incremento del precio de materia prima si es que él %  se encuentra superior al 60%, también es sensible el precio de venta si es que existiera un decremento más de 30%. La evaluación de impacto ambiental social concluye que el proyecto es ecológicamente compatible, por lo que tiene impactos negativos en una escala baja. Con el proyecto se pretendió ofrecer otra alternativa de rehúso de residuos sólidos de vidrio para la producción de vasos de cristal, también generar más empleos e incentivar el reciclaje y tratamiento de los residuos sólidos urbanos en el departamento de Cochabamba.</t>
  </si>
  <si>
    <t>https://drive.google.com/file/d/1UHq5crDBxO07vXSytP7rcUl8ZsCCseIh/view?usp=sharing</t>
  </si>
  <si>
    <t>https://drive.google.com/file/d/1W4Xv5_ZLQXaaf1yHTKmRPgSrnQQJkL3X/view?usp=sharing</t>
  </si>
  <si>
    <t>https://drive.google.com/file/d/1QehQKOaiaa7qHfsArSHUnh_Sp8HYe_xE/view?usp=sharing</t>
  </si>
  <si>
    <t>CORAL VALERIA OROPEZA GOMEZ</t>
  </si>
  <si>
    <t>MGR. MIKLOS CARI SIVILA</t>
  </si>
  <si>
    <t>PLANIFICACIÓN ESTRATÉGICA APLICADA AL EVENTO TECHZONE GRUPO JALA</t>
  </si>
  <si>
    <t>valeriaoropeza_77@hotmail.com</t>
  </si>
  <si>
    <t>IND-800-2016</t>
  </si>
  <si>
    <t>Fundación Jala, TechZone, Capacitación, Planificación Estratégica, TIC’s, Brecha tecnológica.</t>
  </si>
  <si>
    <t>TechZone es un evento anual relacionado con las Tecnologías de Información, patrocinado y organizado por el Grupo Jala desde el año 2009 en la ciudad de Cochabamba, teniendo como finalidad difundir y compartir experiencias, intereses y temas de actualidad en la industria del software, bajo el lema “Transmitiendo experiencia, avanzando hacia el futuro”. En este evento se desarrollan talleres en laboratorios, conferencias, etc., en los ambientes de Jala.Debido a la inexistencia de un plan estratégico de actividades y de una cultura organizacional (misión, visión, etc.) aunado a un conjunto de necesidades al interior de TechZone, se vio la necesidad de realizar un plan estratégico para este evento y lograr a futuro un mejor sitial en el mundo de la Ciencia y la Tecnología a nivel local y nacional.El estudio se inició con el análisis de todo el proceso, recurriendo a fuentes internas, externas, primarias y secundarias de información, para tener un panorama completo del escenario actual y de sus tendencias. Se utilizaron técnicas de recolección de datos (encuestas, entrevistas, observación directa y participativa) para detectar los focos problemáticos dentro de TechZone e identificar las necesidades de los participantes (clientes) del evento. El tipo de investigación aplicado según el nivel, diseño y propósito es tipo “Descriptiva”, “Documental y de Campo” y “Aplicado” respectivamente.El análisis interno y externo de TechZone, se realizó a través de las herramientas: Matriz EFI, EFE, PESTAL, MPC y el análisis de Porter, así como la descripción del perfil del cliente actual. Se procedió a formular los elementos  de la cultura organizacional en función a las premisas establecidas por Thompson, Arthur A.; Strickland, A.J.; Gamble, John E.;  Fred R. David, y Gamboa Fernando.En la siguiente etapa se utilizó la matriz FODA y MCPE, para elaborar diferentes estrategias, resultando un total de ocho estrategias; posteriormente se implementó la Matriz de Prioridad de la  Estrategia (MPE) con el fin de seleccionar las más convenientes (cuatro estrategias) siguiendo como referencia los criterios determinados por George Morrisey así como Fred R. David, con estas se procedió a plantear los planes de acción para cada estrategia seleccionada. Finalmente, se realizó el análisis de costos de los planes de acción y la propuesta del perfil del cliente objetivo en función a los objetivos estratégicos.</t>
  </si>
  <si>
    <t>https://drive.google.com/file/d/1dHTub0qN1xzbG_3xNUbKh2T6dXHyYFNQ/view?usp=sharing</t>
  </si>
  <si>
    <t>https://drive.google.com/file/d/11Yu9f8Q6f9QFibs_1jixfyBcNXGJslht/view?usp=sharing</t>
  </si>
  <si>
    <t>https://drive.google.com/file/d/1MgEcwa4FaPkuIVK3kRjX8x17pJGlTLtd/view?usp=sharing</t>
  </si>
  <si>
    <t>GRINELDA PATRICIA ARANCIBIA MIRANDA</t>
  </si>
  <si>
    <t>MGR. ING. EMIR VARGAS PEREDO</t>
  </si>
  <si>
    <t>ESTUDIO DE FACTIBILIDAD PARA LA EMPRESA DE SERVICIO AUTOMOTRIZ WILLY'S EN EL ÁREA DE SERVICIO DE MANTENIMIENTO PREVENTIVO.</t>
  </si>
  <si>
    <t>lesmagiciens716@hotmail.com</t>
  </si>
  <si>
    <t>IND-801-2016</t>
  </si>
  <si>
    <t>Servicio móvil, Mantenimiento preventivo para vehículos, Factibilidad.</t>
  </si>
  <si>
    <t>La empresa de servicio automotriz WILLY'S S.R.L. es una empresa familiar de carácter privado, que se dedican al rubro automotriz: mantenimiento correctivo y preventivo de vehículos, venta de lubricantes, aceites, grasas. La necesidad de haber realizado el estudio fue de ver la posibilidad de introducir al mercado Cochabambino un servicio alternativo. El servicio d mantenimiento preventivo móvil, el cual se traslade al lugar donde eventualmente se encuentre el vehículo sin interrumpir las actividades cotidianas de los clientes.El 75% de la población de provincia Cercado del Departamento de Cochabamba, dentro del área urbana, está de acuerdo con la implementación del servicio de mantenimiento preventivo móvil.La localización de la empresa será en la Zona Chiquicollo Linde Alto debido a que es una zona apropiada para el funcionamiento de la empresa.Se realizarán las siguientes operaciones de mantenimiento preventivo móvil: revisión y restitución de niveles de líquidos, reparación de frenos, instalación de accesorios electrónicos, medición de presión de aire en los neumáticos, limpieza externa e interna, revisión de conexiones de la batería.La empresa adquirirá maquinaria, equipos, herramientas e insumos de acuerdo con las características necesarias para el servicio móvil. En la evaluación financiera realizada, se pudo constatar que el proyecto es rentable, reportando los siguientes resultados.                                                                 VAN =  81.590,96 $us.                                                                   TIR =  48%                                                                   B/C = 2,32La evaluación de impacto ambiental social concluye que la empresa tomara conciencia de  todos los residuos generados en el área de trabajo para no afectar el medio ambiente. Los residuos como aceites serán vendidos a empresas de función.Con el proyecto se pretendió ofrecer otra alternativa de servicio de mantenimiento preventivo vehicular para las personas que trabajen todo el día, también generar empleos e incentivar el desarrollo del servicio automotriz.</t>
  </si>
  <si>
    <t>https://drive.google.com/file/d/1fmck49gQ0cl_KZh1Is5Sq2rrn2RQ6l4p/view?usp=sharing</t>
  </si>
  <si>
    <t>https://drive.google.com/file/d/1fsVlnjpzCuf2c1n0LI9IUguNTtIFEHtm/view?usp=sharing</t>
  </si>
  <si>
    <t>https://drive.google.com/file/d/1sLUL5Vi5W9eshJJ9oB2dt1Ie0FD1jx0Y/view?usp=sharing</t>
  </si>
  <si>
    <t>MAURICIO DAVID RAMALLO VARGAS</t>
  </si>
  <si>
    <t>ING. IVO VICTOR ROJAS ESPINOZA</t>
  </si>
  <si>
    <t>DISEÑO DE UN  SISTEMA DE GESTION DE CALIDAD BASADO EN LA NORMA NB-ISO 9001:2008 PARA LE EMPRESA TRANSPORTES RAMALLO</t>
  </si>
  <si>
    <t>mauricio_x14@hotmail.com</t>
  </si>
  <si>
    <t>IND-801-2016-1</t>
  </si>
  <si>
    <t>Sistema de gestión de calidad, Servicios, Grúas, ISO, Norma Boliviana.</t>
  </si>
  <si>
    <t>Conforme las necesidades de los clientes aumentan, a su vez la exigencia para satisfacer estas van creciendo para los proveedores de productos o servicios, a estas propiedades inherentes de un productos o servicio que satisfacen las necesidades del cliente se le conoce como calidad.La calidad en Bolivia fue creciendo en los últimos años ya que muchas empresas avaladas internacionalmente fueron incorporando sistemas de gestión de calidad para asi brindar un producto/servicio garantizado.Como primer paso al identificar el problema que tiene Transportes Ramallo al prestar sus servicios, se formuló el objetivo específico el cual es Diseñar un Sistema de Gestión de calidad para que la empresa garantice al cliente un servicio confiable y puntual.Ya con el objetivo general los objetivos específicos fueron establecidos utilizando una matriz metodológica para su identificación, como realizarlos y el resultado esperado a conseguir. Para poder tener en cuenta que tan alejada de la norma se encuentra la empresa, se realizó un cuestionario de verificación tomando los puntos exige la norma, los resultados fueron de un no cumplimiento de los requisitos con un 49% y oportunidad de mejor y cumplimiento con un 51%. Con estos datos se realizó una planificación estratégica, para ver dónde quiere llegar la empresa y sus oportunidades dentro del mercado, reformulando la misión y la visión de la empresa. También junto con personal de la empresa se formuló la política de calidad que es base fundamental para que un sistema de gestión funcione correctamente; posteriormente se diseñó un manual de la calidad para la empresa, también los 6 procedimientos exigidos por la norma junto con los registros, planes, manual de funciones; una vez creada toda la documentación se realizó una planificación de la implementación de dicho sistema con un cronograma de los pasos a seguir y el tiempo de ejecución de cada uno.Terminada la planificación se realizó un análisis de costos para ver como afectara la implementación de dicho sistema en la economía actual de la empresa, concluyendo que se obtendrá una mejora considerable al 3 año disminuyendo costos de corrección dentro de la empresa y a su vez impulsando al cliente a que sea nuestra propaganda número 1, ya que el servicio que se le ofrecerá superara sus expectativas con la ayuda del Sistema de Gestión de Calidad.La recomendación más importante para la empresa una vez tomada la decisión de implementar dicho sistema creado es que involucre a todo el personal para que el sistema de gestión de calidad sea mantenido en todo sus procesos.</t>
  </si>
  <si>
    <t>https://drive.google.com/file/d/1XQ4gEyfaid3qEhWy_nu_0APMVbOgjJN6/view?usp=sharing</t>
  </si>
  <si>
    <t>https://drive.google.com/file/d/1YnqSCYmTaVdSRYYLByYeXUqShvKGfoM4/view?usp=sharing</t>
  </si>
  <si>
    <t>https://drive.google.com/file/d/1Dlg6rOLeIWTi8_VeOlb1XcTnzOAOcT0O/view?usp=sharing</t>
  </si>
  <si>
    <t>CLAUDIA DAYSI BALDIVIEZO OROPEZA</t>
  </si>
  <si>
    <t>SISTEMA DE COSTOS PARA LA INDUSTRIA PANIFICADORA “SOTO”</t>
  </si>
  <si>
    <t>clau_8720@hotmail.com</t>
  </si>
  <si>
    <t>IND-801-2016-2</t>
  </si>
  <si>
    <t>Industria Panificadora, Sistema de Costos, Control y toma de decisiones.</t>
  </si>
  <si>
    <t>Se desarrolló una propuesta de Sistema de Costos para la Industria Panificadora “SOTO” del Departamento de Cochabamba-Bolivia. Primeramente se tuvo que analizar los distintos modelos de sistemas de costos que existen y en función a las características del proceso de producción y a las necesidades de información de la Empresa, se eligió el Procedimiento de Acumulación: “Perpetuo”; el Procedimiento de Control: “Por Operaciones”, la Técnica de Medición: “Costos Históricos” y el Método de Asignación: “Costeo Directo”.Se procedió a identificar los objetos de costeo; es decir los productos de cada línea de producción; se clasificaron los elementos del costo según su función (costos de producción, gastos de administración y gastos de comercialización) y según su comportamiento (costos variables y costos fijos). Se establecieron dos centros de costos según las líneas de producción.Luego se diseñó formatos de registro y procedimientos para el Sistema de Costos propuesto. También se estructuró un plan de cuentas, se establecieron informes e indicadores financieros, además de algunos indicadores de productividad. Posteriormente se elaboró un plan de implementación y se determinó el presupuesto necesario para el proyecto.Posteriormente se aplicó el Sistema de Costos en la Empresa, durante un periodo de tiempo semanal, de esa forma se obtuvo información de los costos unitarios de los productos. Con ello, se determinó los márgenes de contribución unitarios, los puntos de equilibrio, en otros indicadores. Se validó la implementación del Sistema de Costos, a través de una proyección del flujo de efectivo sin financiamiento; para un periodo de cinco años, lo cual permitió constatar que el negocio con el proyecto es rentable, reportando los siguientes resultados:VAN = 321.737,94 Bs.TIR =  66%B/C = 1,96Con el proyecto se pretendió ofrecer una herramienta de información para que la Empresa conozca los costos totales y unitarios de producción, así se contribuye a mejorar el control y la toma de decisiones.</t>
  </si>
  <si>
    <t>https://drive.google.com/file/d/1Xp7n748W84W8rGj4ki-rdq2wAFPaz5rM/view?usp=sharing</t>
  </si>
  <si>
    <t>https://drive.google.com/file/d/104ZAX7MSKuQLbjJqgjGhvsR6CsMiE154/view?usp=sharing</t>
  </si>
  <si>
    <t>https://drive.google.com/file/d/1sJDy81paA5Q3NAwtS06uDjUyirL7xQ_1/view?usp=sharing</t>
  </si>
  <si>
    <t>MARIA LOPEZ FERNANDEZ</t>
  </si>
  <si>
    <t>ING. JORGE AUGUSTO DURANDAL QUINTEROS</t>
  </si>
  <si>
    <t>ESTUDIO DE FACTIBILIDAD PARA LA INSTALACIÓN DE UNA FÁBRICA DE MÓDULOS DE ESTRUCTURAS DE                ACERO PARA LA EMPRESA ENDE TRANSMISIÓN S.A.</t>
  </si>
  <si>
    <t>maria31lop@gmail.com</t>
  </si>
  <si>
    <t>IND-801-2016-3</t>
  </si>
  <si>
    <t>Fábrica de módulos de estructuras de acero, estructuras de acero, galvanizado, torres de transmisión.</t>
  </si>
  <si>
    <t>Nuestro país  actualmente  está atravesando un crecimiento tecnológico y la industrialización  en las diferentes áreas, siendo una de las áreas de la generación, transmisión y distribución de la energía eléctrica, con el crecimiento de la demanda energética se ve la necesidad de construir líneas de transmisión abasteciendo las exigencias de los consumidores.Por lo anterior mencionado y siendo una perspectiva nueva de inversión, surge la necesidad de instalar una nueva fábrica de módulos de estructuras de acero; dentro de este contexto, este proyecto nace de la necesidad que tiene la empresa ENDE TRANSMISIÓN S.A, de construir líneas de transmisión, puesto que las torres de estructuras de acero que requieren son  importadas del exterior, donde el proceso de la documentación, transporte y la importación de estas estructuras demora tiempos muy extensos que duran de 3 a 6 meses para llegar al destino; todo este tiempo de demora afecta mucho a la empresa en el desarrollo de sus actividades.La metodología empleada fue la siguiente: 1. Identificación del problema, 2. Recolección de la información, 3. Análisis de la información, 4. Resultados obtenidos, 5. Interpretación de los resultados; los resultados de la metodología empleada son: diagnóstico de la empresa, cuantificación de la demanda, procesos y todas las etapas que comprenden la fabricación de torres de alta tensión (módulos de estructuras de acero), además de determinar la factibilidad de este proyecto. La empresa fabricará 22.560 Toneladas al año por lo que utiliza toda su capacidad de producción en sus distintos procesos de elaboración.La evaluación financiera, mostro que el producto es viable. La empresa adquirirá equipos y maquinaria de acuerdo con las características necesarias para la fabricación de módulos de estructuras de acero; Por ser una empresa nueva se realizaron inversiones de activo fijo, activo diferido y se consideró las depreciaciones correspondientes para cada activo.En la evaluación financiera realizada, se pudo constatar que el proyecto es rentable, reportando los siguientes resultados.VAN = 11.142.538,76$usTIR =  31,13%B/C = 1,19Mediante el análisis de sensibilidad se pudo verificar que el proyecto tiene mayor susceptibilidad en el decremento de 9% constante durante todo el tiempo de vida del proyecto, aun teniendo este decremento en la cantidad producida y vendida, el proyecto sigue siendo rentable, pero un decremento por encima del porcentaje antes mencionado el proyecto ya no será rentable.También es sensible con respecto a los Costos Variables de producción, en el incremento de 13% constante durante todo el tiempo de vida del proyecto, aun teniendo el incremento en los costos el proyecto seguirá siendo rentable pero un porcentaje superior a este hará el proyecto no sea rentable. Por el cual mediante políticas y seguimientos a los costos se puede llegar a mejorar los rendimientos.La evaluación de impacto ambiental concluye que el proyecto requiere una descripción del proyecto y un plan de manejo ambiental, por lo que tiene impactos negativos en una escala alta.</t>
  </si>
  <si>
    <t>https://drive.google.com/file/d/1fwTeLNNv1Y-8-O_jvilZqWkxuhYrZyXn/view?usp=sharing</t>
  </si>
  <si>
    <t>https://drive.google.com/file/d/1NrL5G3tRIW68QUp0j5QkASdp5fUPYfAi/view?usp=sharing</t>
  </si>
  <si>
    <t>MARQUINA PEÑAFIEL CAROLINA KERLY</t>
  </si>
  <si>
    <t>MENDOZA BAZOALTO RAMIRO GONZALO</t>
  </si>
  <si>
    <t>ING. MIGUEL GUTIÉRREZ MAGNE</t>
  </si>
  <si>
    <t>PROYECTO DE FACTIBILIDAD PARA LA IMPLEMENTACIÓN DE UNA PLANTA PROCESADORA DE PROTEÍNA DE QUINUA PARA LA EXPORTACIÓN A LA UNIÓN EUROPEA</t>
  </si>
  <si>
    <t>marquina.kerly10@gmail.com</t>
  </si>
  <si>
    <t>IND-801-2016-4</t>
  </si>
  <si>
    <t>Proteína, Quinua, Agente Broker, Tasa Interna de Retorno (TIR).</t>
  </si>
  <si>
    <t>El presente proyecto tiene como finalidad realizar el proyecto de factibilidad para la implementación de una planta procesadora de aislado proteínico de quinua en polvo para la exportación a la Unión Europea a través de un análisis técnico, administrativo, comercial y financiero.Los principales resultados descritos, pretenden dar una visión simplificada pero ilustrativa de la factibilidad del proyecto.Según el estudio de mercado existe una demanda creciente donde desplazaremos al grano de quinua convencional que se exporta actualmente, por un nuevo producto, tomando como parámetro el 10% de la demanda, con 270 toneladas que serán la capacidad inicial de producción, teniendo una tendencia creciente.El mercado objetivo para realizar el proyecto de acuerdo al análisis realizado es el país de Francia, y la partida arancelaria es la 1008.50.90.00 “Las demás quinuas”.El segmento potencial determinado en el capítulo 3, serán las tiendas especializadas de tipo orgánico, el cual se enfoca en el consumidor que consume producto saludable además de considerar parte de este grupo a los latinoamericanos que viven en Francia. Y utilizaremos como intermediario a un agente bróker, la empresa GLOBAL 2020, el cual se encargara de hacer llegar nuestro producto a las tiendas especializadas de tipo orgánico. La empresa se establecerá en el departamento de Oruro, específicamente en Cercado- Oruro.La producción del aislado proteico de quinua tiene una serie de operaciones, las cuales dependen de la recepción y las extracciones que se realizan, el proceso productivo tendrá 12 pasos. La empresa se establecerá legalmente como “Sociedad de Responsabilidad Limitada”, teniendo un requerimiento de 19 personas que percibirán un salario de 292.825,39 $us para el primer año.La utilidad neta que se percibe en el primer año será de 870.190,51 $us, la cual irá en crecimiento, y se tendrá una TIR del 40,69 %, un VAN de 815.827,48 $us, un VAUE de 257.640,65 $us, con un beneficio/costo mayor a uno de 1.04 y una recuperación de la inversión del capital de trabajo para el tercer año, indicando así que el proyecto es rentable.</t>
  </si>
  <si>
    <t>https://drive.google.com/file/d/1l1wfzokQ8aCnDmPp5J3KJ6IJWzHm7tJp/view?usp=sharing</t>
  </si>
  <si>
    <t>https://drive.google.com/file/d/1clSFrO5LrfnAa3Cs4vXutjurjtMoPGo9/view?usp=sharing</t>
  </si>
  <si>
    <t>https://drive.google.com/file/d/1CpbkD-kB1ce6ZXgWNVhgZy22mN_HNPC-/view?usp=sharing</t>
  </si>
  <si>
    <t>JOEL PRIMO CHOQUE CANAVIRI</t>
  </si>
  <si>
    <t>LIC. RODRIGO RODRIGUEZ GALINDO</t>
  </si>
  <si>
    <t>PLANIFICACIÓN ESTRATÉGICA PARA LA EMPRESA DE CALZADOS “CALPRICH</t>
  </si>
  <si>
    <t>II-2016</t>
  </si>
  <si>
    <t>joelprimo.choquecanaviri@gmail.com</t>
  </si>
  <si>
    <t>IND-801-2016-5</t>
  </si>
  <si>
    <t>Plan Estratégico para la empresa de calzados CALPRICH, Rentabilidad, Productividad, Posicionamiento en el mercado.</t>
  </si>
  <si>
    <t>La empresa “CALPRICH” es una empresa manufacturera de calzados fundada el 30 de agosto de 1990 por Primo Choque Ventura actual propietario, su producto estrella y objeto del estudio es la sandalia de cuero unisex, mediante una entrevista verbal con el gerente un análisis de sus problemas, causa y efecto, se concluyó como principal objetivo Elaborar el Plan Estratégico para la empresa CALPRICH, que permita responder con estrategias efectivas al entorno en el cual operaRealizando un análisis interno de la empresa “CALPRICH”, un diagnóstico de cada proceso que conforma el sistema productivo sabemos que si bien la empresa tiene una productividad del 66%, se debe enfatizar el apoyo que necesita el proceso de Comercialización debido que es el más limitado por los procesos de Contabilidad y financiera y de Producción.El macroentorno de la empresa es favorable, al existir estabilidad política, crecimiento positivo del PIB, el análisis del microentorno permitió deducir que existen una fuerte amenaza por parte de la competencia y los productos sustitutos, la matriz de perfil competitivo demuestra que la posición de CALPRICH no es la más conveniente (3er lugar), las principales fortalezas de CALPRICH son la calidad (diseño y duración) y los precios accesibles, por otro lado, sus principales debilidades son la falta de marketing (publicidad y promoción de marca) y la poca diversificación de modelos.Posteriormente, a través de la reflexión estratégica de la empresa, se plantearon las estrategias más importantes que se debe seguir, las que son: Plan de estructuración administrativa, Plan de actualización del sistema productivo y Plan CALPRICH al ataque.Se formularon los planes estratégicos desarrollándolos en base al horizonte temporal, las líneas estratégicas y las actividades a seguir, dando paso a la planificación operativa anual con gastos e inversiones cuantificadas según cada plan.Se esquematizo un sistema de control que ayudara a cada plan en su medición, el cual sirvió también para realizar el diagnostico interno, el sistema de control tiene como objetivo medir la productividad y deficiencia de cada proceso con su grado de limitación entrante y saliente, reflejada en la productividad total de la empresa. Finalmente se realizó una simulación de los resultados de cada plan, enfatizando la situación con proyecto y comparándola con la situación actual de la empresa.</t>
  </si>
  <si>
    <t>https://drive.google.com/file/d/19Figy154pZipgVwCv_er8_WgTKrqN1CD/view?usp=sharing</t>
  </si>
  <si>
    <t>https://drive.google.com/file/d/1QPvwIDuQwPU7NBNP0wG9W4L6PrQfw48Q/view?usp=sharing</t>
  </si>
  <si>
    <t>https://drive.google.com/file/d/19NOvEOZC7RfHEUK80O04uCnRYzdj-g9M/view?usp=sharing</t>
  </si>
  <si>
    <t>JAIME TRUJILLANO GARCÍA</t>
  </si>
  <si>
    <t>ING. JORGE BUITRAGO NAVARRO</t>
  </si>
  <si>
    <t>ESTUDIO DE FACTIBILIDAD PARA LA IMPLEMENTACIÓN DE UNA PLANTA PROCESADORA DE LECHE DE MANÍ EN EL DEPARTAMENTO DE COCHABAMBA</t>
  </si>
  <si>
    <t>Jaime.trujillanogarcia@gmail.com</t>
  </si>
  <si>
    <t>IND-801-2016-6</t>
  </si>
  <si>
    <t>Leche vegetal, LE MAN, Leche Saludable, Leche de Maní, Fundación Valles, Estudio De Factibilidad, Municipio Santivañez, Asociaciones Productoras.</t>
  </si>
  <si>
    <t>Bolivia está situada en el centro de Sudamérica; caracterizado por ser un país potencialmente sobre todo en la disponibilidad de recursos renovables y no renovables como también en la producción de materia prima para el proceso de especialmente de oleaginosos en este caso el maní. Los departamentos Cochabamba, Santa Cruz, Chuquisaca cuentan con tierras ricas para la producción agrícola del cultivo del maní. El proyecto propuesto proporciona oportunidades de negocio y expectativas de crecimiento para los productores de maní de las diferentes regiones y expectativas de crecimiento para los productores de maní de las diferentes regiones del territorio boliviano.Constituye una variable importante para el desarrollo de la región el cual beneficiara a la población regional, a través de la oferta de un producto saludable. Además con alto valor nutritivo y bajo, asimismo se podrá contribuir a los productores de maní, con la generación de valor agregado, la disminución del desempleo e incremento económico en la región logrando bienestar en la localidad de Santivañez y su entorno.Nace la idea de contribuir este proyecto por las ventajas de producción del maní como materia prima para obtener un valor agregado e incrementar su producción en cantidades industriales mediante el procesamiento de un nuevo producto como es la leche de maní, para la alimentación de los hogares de nuestra región, así ofertar una nueva opción de leche vegetal para la sociedad que actualmente está tomando conciencia sobre los alimentos con características de cuidado de la salud, nutritivas y bajo en colesterol. El desarrollo del proyecto está constituido por la siguiente estructura:Capítulo 1 – Antecedentes, justificación y objetivos: Describe los antecedentes de la materia prima y del producto, la justificación del proyecto y los objetivos a alcanzar.Capítulo 2 – Estudio de mercado: Analiza haciendo énfasis en las tendencias del mercado.Capítulo 3 – Materia prima: Describe a profundidad la materia prima, como también nuestros principales proveedores.Capítulo 4 – Estudio de localización: Puntualiza con exactitud lo que tiene que ver con la localización de la planta.Capítulo 5 -Capítulo 6 – Mano de obra: Detalla sobre de los trabajadores del proyecto.Capítulo 7 - Planificación de la ejecución del proyecto: Detalla sobre de la ejecución y puesta en marcha del proyecto.Capítulo 8 – Estudio financiero: Describe acerca de costos (IAF, IAD, estado de resultados, etc.).Capítulo 9 – Estudio del impacto ambiental: Investiga los efectos que tendrá la planta procesadora de leche de maní con el medio ambiente.</t>
  </si>
  <si>
    <t>https://drive.google.com/file/d/1T63ZhZMbrdaZeq1pZD6Wz5qbjf5iKAoN/view?usp=sharing</t>
  </si>
  <si>
    <t>https://drive.google.com/file/d/1uCPEvyK5NuzKyCBJDYi7Rwtls7tJmi_x/view?usp=sharing</t>
  </si>
  <si>
    <t>https://drive.google.com/file/d/1DJvGmzy18qY0HbXlsXXKqXAMo3tM_7ql/view?usp=sharing</t>
  </si>
  <si>
    <t>LIMBERT RAMOS RICALDE</t>
  </si>
  <si>
    <t>ING. OMAR DAVID PÉREZ FUENTES</t>
  </si>
  <si>
    <t>PLAN DE SEGURIDAD E HIGIENE INDUSTRIAL PARA LA EMPRESA  “YPFB FLAMAGAS S.A.</t>
  </si>
  <si>
    <t>limbert.ramos@hotmail.com</t>
  </si>
  <si>
    <t>IND-801-2016-7</t>
  </si>
  <si>
    <t>PLAN DE SEGURIDAD E HIGIENE INDUSTRIAL, SEGURIDAD INDUSTRIAL.</t>
  </si>
  <si>
    <t>La empresa YPFB  Flamagas S.A. es una subsidiaria de YPFB Chaco la cual está encargada de la comercialización de GLP a granel, este proceso consiste en el suministro del producto a tanques de almacenaje estacionarios.Como primer paso se realizó un diagnóstico de las actividades de la empresa para familiarizarnos con el entorno de trabajo y clasificar las actividades según los peligros identificados y posteriormente realizar un análisis IPER de cada proceso.Se realizó la identificación de peligros y evaluación de riesgos a través del método de William Fine buscando alternativas de control y mitigación de los peligros y riesgos a los cuales se encuentra expuesto el personal de YPFB Flamagas S.A.Posteriormente, se elaboró el plan de Seguridad e Higiene ocupacional en base a la resolución administrativa Nº 038/01 PLAN DE HIGIENE Y SEGURIDAD OCUPACIONAL donde se detalla cada uno de los puntos que forman parte de esta resolución y los cuales son aplicados dentro de la empresa, como resultado se realizó la implementación de medidas preventivas para crear un ambiente laboral seguro para el personal.Se realizó un estudio de costos para evaluar la implementación del plan de seguridad tomando en cuenta la necesidad de implementar las medidas de mitigación y control que son necesarias dentro de la empresa.El estudio nos muestra claramente que existen riesgos externos tratándose de operaciones que se realizan al aire libre en instalaciones en diferentes zonas de la ciudad de Cochabamba pero tomando en cuenta cada uno de las medidas de prevención  detalladas en el proyecto será considerable el impacto que genere las medidas de seguridad en cada una de las actividades de la empresa.</t>
  </si>
  <si>
    <t>https://drive.google.com/file/d/1wVE60vhmt8Hf4UOx3XQ_plRIdtJxYLyc/view?usp=sharing</t>
  </si>
  <si>
    <t>https://drive.google.com/file/d/10repoMbsvpB91ypS_lS52zY2T7SdKGZu/view?usp=sharing</t>
  </si>
  <si>
    <t>https://drive.google.com/file/d/1dxgRq5EjmcLUf_lqBSWz4h2IEKgpYPaf/view?usp=sharing</t>
  </si>
  <si>
    <t>ELIZABETH GLADIS GARRO RODRIGUEZ</t>
  </si>
  <si>
    <t>JIMENA RIVERA CANELAS</t>
  </si>
  <si>
    <t>PROYECTO DE FACTIBILIDAD PARA IMPLEMENTAR UNA PLANTA PROCESADORA DE HARINA Y HOJUELAS DE YACÓN</t>
  </si>
  <si>
    <t>ely.garro41@gmail.com</t>
  </si>
  <si>
    <t>IND-801-2016-8</t>
  </si>
  <si>
    <t>Procesadora de Yacón, Factibilidad de Harina y Hojuelas de Yacón, Productos Deshidratados.</t>
  </si>
  <si>
    <t>Primeramente se realizó una investigación de la producción de la materia prima (Yacón) en la zona subtropical del departamento de Cochabamba, para luego proceder al estudio de Mercado en el eje troncal de este (Quillacollo, Cercado y Sacaba). Se determinó la demanda efectiva de consumo de Harina y Hojuelas de Yacón y la proyección del mismo con un horizonte del proyecto de 8 años.Posteriormente se definió el tamaño de la planta considerando la capacidad máxima de la maquinaria (Deshidratador) y la demanda efectiva, teniendo así una producción máxima 3.966 Kg/año de Harina y 19.863 Kg/año de Hojuelas. Se determinó la localización de la planta haciendo un análisis cualitativo de puntos, donde se analizaron alternativas, optando por la localidad de Sacaba del departamento de Cochabamba por gozar de factores favorables para el proyecto. Se definió un tamaño de 340 mt2 para la planta. Seguidamente se procedió con el estudio de ingeniería del proyecto donde se realizó el diagrama de operaciones y la descripción de todos los procesos de elaboración de Harina y Hojuelas de Yacón, para describir este punto primero se realizaron pruebas de secado del Yacón a escala experimental en el Centro de Tecnología Agroindustrial de la Universidad Mayor de San Simón, estas pruebas también nos ayudó a observar el rendimiento y tiempo de secado del Yacón fresco, para el proyecto se está usando un sistema de producción en U.También se dimensionó los ambientes para la planta, se calculó de igual manera los equipos, maquinaria, materiales e insumos necesarios para los volúmenes de producción máxima.El estudio organizacional fue realizado con un organigrama usando un sistema funcional, se definió las funciones de cada trabajador y las planillas de salarios.Posteriormente se preparó la información para poder realizar la evaluación financiera determinando un VAN de  527.822,97 Bs, un TIR de 28,59% y una relación B/C de 2,21. También se realizó un análisis de sensibilidad donde fue mostrado que el precio y cantidad vendida, el aumento de salarios y el doble aguinaldo son las variables más sensibles para la producción de harina y hojuelas de Yacón con un TIR del 16%. Se definió una inversión total de 1.082.471,13. Para todo el proyecto definiendo un 60% de aporte propio y un 40% de financiamiento. La recuperación del capital fue determinado en un periodo de 4,53 años.Finalmente se concluyó con una Evaluación de Impacto Ambiental de acuerdo a ley 1333, donde se estudió al proyecto en sus etapas de ejecución y operación. Se concluyó que no existen factores de riesgo negativo considerables y según el Reglamento Industrial Manufacturero (RASIM) la empresa pertenece a la categoría IV.</t>
  </si>
  <si>
    <t>https://drive.google.com/file/d/1wKLsHih_1E_L-dX_Y1huSSjKhUH8mJA0/view?usp=sharing</t>
  </si>
  <si>
    <t>https://drive.google.com/file/d/1SxqFf90UupEfNGa0tZhNDrbKB8qoMBJF/view?usp=sharing</t>
  </si>
  <si>
    <t>https://drive.google.com/file/d/1zIlz-Z3XZ7ye3M-X5wzSzG4tc2k1r1dj/view?usp=sharing</t>
  </si>
  <si>
    <t>KATYA SEJAS MAIDANA</t>
  </si>
  <si>
    <t>NAVIL LOPEZ CORIA</t>
  </si>
  <si>
    <t>ING. ALFREDO DELGADILLO COSSIO.</t>
  </si>
  <si>
    <t>ESTUDIO TÉCNICO FINANCIERO PARA LA IMPLEMENTACIÓN DE UNA PLANTA PROCESADORA DE NÉCTAR Y MERMELADA DE CAMU CAMU (MYRCIARIA DUBIA) EN EL TRÓPICO DE COCHABAMBA</t>
  </si>
  <si>
    <t>katya.s.m712@gmail.com</t>
  </si>
  <si>
    <t>IND-801-2016-9</t>
  </si>
  <si>
    <t>Productividad, Planificación, Marketing, Optimización.</t>
  </si>
  <si>
    <t>El presente trabajo busca la implementación de una planta procesadora de néctar y mermelada de Camu Camu en el Trópico de Cochabamba. El objetivo principal del mismo es demostrar técnica y financieramente la implementación de la planta, establecer el alcance del proyecto así como determinar los procesos tecnológicos a utilizarse para la fabricación.El mercado objetivo del proyecto son los hogares del área metropolitana del Departamento de Cochabamba. A través de las encuestas, se pudo obtener resultados de los datos tomados de los puntos de venta afluentes como ser tiendas de barrio, ferias, supermercados.Con los datos de producción y demanda fue posible elaborar el pronóstico para la implementación de la planta que busca abastecer el municipio de Cercado. Establecida la futura demanda se procedió a determinar el alcance del proyecto, dimensionar la planta y localizarla en el Trópico de Cochabamba. La materia prima es el Camu Camu, los insumos requeridos son: Hipoclorito de sodio, sorbato de Potasio, agua, pectina, azúcar, ácido cítrico. La mayoría de los restantes materiales e insumos son utilizados en el área de control de calidad, limpieza y servicios.Por medio de la ingeniería de proyecto se determinaron los procesos a ser utilizados en el procesamiento de frutas, identificándose los diferentes equipos, maquinarias e infraestructura con los requerimientos exigidos por el mercado. Para la conclusión del trabajo se establecieron las funciones del personal y el organigrama de la futura empresa.Establecida la maquinaria, equipo, personal y materia prima, se establecieron los costos de funcionamiento de la planta así como los ingresos proyectados a obtenerse.Con estos valores se determinaron un VAN= 499.039,69 $us y un TIR= 29,84%, donde se concluye que la implementación de la planta es desde el punto de vista financiero y técnico factible en nuestro País.Se analizaron todos los posibles impactos ambientales que el proyecto podría abarcar dichos impactos podrían ser positivas o negativos, donde se pudo observar que los impactos en su mayoría serian positivos para la región.</t>
  </si>
  <si>
    <t>https://drive.google.com/file/d/18V0t5zXEsVmpByVmrcKOVHXM_vWEHDqX/view?usp=sharing</t>
  </si>
  <si>
    <t>https://drive.google.com/file/d/1HN_iBni75KWyxwaWXiMkA_Vq_anJsDES/view?usp=sharing</t>
  </si>
  <si>
    <t>https://drive.google.com/file/d/1Af12skbDVvZNVZe9vswmEB7xirRm_bKP/view?usp=sharing</t>
  </si>
  <si>
    <t>THALIA SEJAS CRESPO</t>
  </si>
  <si>
    <t>ING. GUSTAVO CARDOZO AGUILAR</t>
  </si>
  <si>
    <t>ESTUDIO DE MÉTODOS Y TIEMPOS PARA EL INCREMENTO DE LA PRODUCCIÓN DE LA PLANTA DE EPS DE LA EMPRESA TECNOPOR</t>
  </si>
  <si>
    <t>thalia.sejas.crespo@gmail.com</t>
  </si>
  <si>
    <t>IND-801-2016-10</t>
  </si>
  <si>
    <t>Estudio de métodos, Estudio de tiempos, Producción, EPS, TECNOPOR, Estandarización, 5 S´s japonesas</t>
  </si>
  <si>
    <t>La planta EPS de la empresa TECNOPOR, regional Cochabamba, dedicada a la elaboración de productos de espuma de poliestireno, ofrece al mercado soluciones para el campo de la construcción.El proceso productivo presentaba problemas en cuanto a la determinación de cupos a ser asignados para alcanzar el nivel de producción adecuado a su capacidad.La empresa TECNOPOR, vio por conveniente la realización de un estudio buscando un mejor aprovechamiento de sus recursos.Se realizó como primer paso el árbol de problemas que permito identificar claramente las causas de problema central, viéndose por conveniente la realización de un estudio de métodos y tiempos, partiendo de esto se determinó los objetivos del proyecto.El desarrollo del proyecto comenzó con la realización de un diagnóstico de la situación actual, se recabo información acerca de la empresa, el producto, instalaciones, proceso productivo, producción actual.El siguiente paso fue la realización del estudio de métodos mismo que fue realizado siguiendo la metodología descrita por la OIT, comenzando con la selección de los productos de mayor rotación, para ser objeto de análisis. Este estudio permitió conocer a detalle el proceso productivo, el método de trabajo, los equipos, herramientas y maquinaria empleada. Permitiendo identificar oportunidades de mejora y posibles soluciones.Posteriormente se llevó acabo el estudio de tiempos, con ayuda de los tipos de órdenes de producción empleadas para la planeación y control de la producción, con el objetivo de conocer los tiempos respectivos para la realización de las diferentes tareas realizadas por los operarios.Con los datos recabados se procedió a la determinación de tolerancias y suplementos de acuerdo a las distintas situaciones, se estableció el tiempo estándar para cada actividad permitiendo determinar los cupos estándar de producción a designarse por turno de trabajo.Una vez conocida la situación actual a detalle del proceso productivo y conocido los resultados del estudio de tiempos, se realizó un análisis de la situación actual determinando los puntos a atenderse en el desarrollo del método propuesto.Como último paso antes del desarrollo del método propuesto se realizó el análisis operacional de las distintas operaciones del proceso productivo, con el fin de conocer los detalles a cuidar a la hora de realizar el desarrollo del método propuesto para velar la calidad de producto.Se desarrolló el método propuesto gracias a todos los datos recabados comenzando con la operación denominada cuello de botella, eliminando actividades que no agregan valor como los desplazamientos innecesarios, disminuyendo los tiempos muertos y con una reasignación de responsabilidades. Logrando el incremento de la producción.Se realizó la evaluación del método propuesto versus la situación actual, con la finalidad de demostrar los beneficios y desventajas de este. El método propuesto incrementaría la producción en un 23,08%, teniendo incidencia directa en la productividad de la empresa teniendo un incremento del 26,82%.Conocidos los beneficios que propone el método propuesto se realizó la evaluación económica del mismo realizándose un análisis beneficio costo para tomar una decisión sobre la viabilidad del proyecto, el cual dio un resultado 1,67 concluyéndose que el costo para llevar a cabo el proyecto es económicamente justificable. El proyecto es económicamente beneficioso para la empresa.Finalmente se desarrolló un plan para la implementación de la metodología de las 5S´s japonesas que dé solución a otras causas encontradas en el árbol de problemas.</t>
  </si>
  <si>
    <t>https://drive.google.com/file/d/1cydmez3sYQROg0wc79RCySE_Uk63x-Qc/view?usp=sharing</t>
  </si>
  <si>
    <t>https://drive.google.com/file/d/1elI1RyGNIGhlgsRNAcS42-0iXJ97rNyb/view?usp=sharing</t>
  </si>
  <si>
    <t>https://drive.google.com/file/d/1vZjMc2U8x9E3GAUJ0R75Y2KLIqWyiUNO/view?usp=sharing</t>
  </si>
  <si>
    <t>BALDERRAMA GARCIA ERNESTO</t>
  </si>
  <si>
    <t>MAMANI ESCALERA RAMIRO</t>
  </si>
  <si>
    <t>ING. JUAN PABLO ARIAS ARROYO</t>
  </si>
  <si>
    <t>PROYECTO DE FACTIBILIDAD PARA LA IMPLEMENTACIÓN DE UNA PLANTA PANIFICADORA                                    INDUSTRIAL Y DE REPOSTERÍA EN EL MUNICIPIO DE PUERTO VILLARROEL</t>
  </si>
  <si>
    <t>ernest.gx@gmail.com</t>
  </si>
  <si>
    <t>IND-801-2016-11</t>
  </si>
  <si>
    <t>Planta Industrial, Factibilidad, Panificadora, Repostería.</t>
  </si>
  <si>
    <t>El presente proyecto de factibilidad para la implementación de una panificadora industrial y de repostería en el municipio de Puerto Villarroel de la provincia Carrasco, nace debido a la necesidad de una oferta de variedad de pan y con el objetivo de coadyuvar en el sustento del desayuno escolar de la población.La demanda y la oferta de los productos de repostería y panadería, se obtuvo mediante fuentes primarias a  través de una investigación de mercados que se realizó en los hogares del municipio de Puerto Villarroel, se definieron los productos mayormente preferenciales para su producción, así mismo se definieron los canales de distribución, presentación de los productos y la publicidad.Se define las propiedades necesarias de la materia prima para la elaboración de los productos, la materia prima será adquirida en el mercado nacional ya que estas tienen la capacidad de abastecimiento necesarios para la proyección de  la producción de la planta.El emplazamiento de la planta será en la población de Ivirgarzama, esta decisión fue aceptada a través de una evaluación cualitativa por puntos, donde se analizaron tres alternativas tomando en cuenta los factores localizaciones. El tamaño de la planta se determinó a través de los factores de la demanda y la materia prima, estableciendo de esta manera el programa de producción.La ingeniería del proyecto detalla la descripción del proceso productivo y el balance masas para la elaboración de los productos de panadería y repostería, seleccionando la maquinaria y herramientas necesarias para el proyecto y la correcta distribución de la planta fue realizada a través del método SLP (Systematic Layout Planning).La organización se define como una Sociedad de Responsabilidad Limitada, se tiene un manual de funciones que permitirá la selección adecuada del personal para un determinado puesto de trabajo.La evaluación financiera permitió conocer los indicadores necesarios como el TIR, VAN, B/C y el periodo de la recuperación de la inversión, los resultados obtenidos son favorables.Finalmente se definieron entre las cuatro categorías del impacto ambiental de los proyectos de desarrollo.</t>
  </si>
  <si>
    <t>https://drive.google.com/file/d/1prsnn2GDYgF0RRe8mLBnZKsw5zyNRke0/view?usp=sharing</t>
  </si>
  <si>
    <t>https://drive.google.com/file/d/1ICHZGZvfnbRogW5CGWTrUhD2qCeYadmy/view?usp=sharing</t>
  </si>
  <si>
    <t>https://drive.google.com/file/d/1mdDegxEJE8Z15yJy0fwje49Ru0MURUN1/view?usp=sharing</t>
  </si>
  <si>
    <t>ALFREDO ORELLANA DURAN</t>
  </si>
  <si>
    <t>ING. ALEX CÁRDENAS</t>
  </si>
  <si>
    <t>PROYECTO DE  FACTIBILIDAD  EN LA ELABORACIÓN DE HARINA DE TRIGO TIPO (000) EN LA SUB   CENTRAL YURAJ MOLINO POCONA (SCYM)</t>
  </si>
  <si>
    <t>alfredorellanaduran@gmail.com</t>
  </si>
  <si>
    <t>IND-801-2016-12</t>
  </si>
  <si>
    <t>Harina de Trigo tipo tres ceros (000), Implementación de planta procesadora de harina, Proyecto de molino Industrial en la Sub central Yuraj Molino</t>
  </si>
  <si>
    <t>En este trabajo de grado se buscó la forma de mejorar el proceso de producción y mejorar la situación del agricultor boliviano más que todo en la producción de trigo. La harina de trigo tipo tres ceros (000), el cual ya existe en el mercado pero son productos extranjeros, de tal manera, que la obtención de materia prima desde los productores de la región, así también implementar una planta de molino en la Zona de Yuraj Molino, dando lugar a un incremento de fuentes de empleo, desarrollo de la región y ganancia de recursos económicos de ambos sectores.El producto es harina de trigo tipo tres ceros (000) con especificación de gluten para las panaderías de Cochabamba. El producto será presentado en Bolsas de papel de 50 Kg.Cochabamba posee una población de 1.938.401 según el censo 2012 y también empresas panificadoras, reposterías y otros de rubro de alimentos de este tipo, por lo tanto el consumo aproximado de harina es 82.633,7 toneladas por año, de los cuales Cochabamba solamente produce el 23% de harina para el consumo local, el resto es importado. El precio al consumidor es por la política del gobierno, con una política de precio justo, mediante EMAPA. 185 Bolivianos, esto de acuerdo a las especificaciones del mercado local.La máxima producción de proyecto es según a la elaboración de harina de trigo, esto quiere decir, que capacidad de molino que elabora harina de trigo al año es entre 800 a 1.000 toneladas por mes y la capacidad de producción de materia prima es mayor a 10.000 toneladas por año.La evaluación financiera, mostro que el producto es viable siempre y cuando los concentrados a aplicar cumplan con las exigencias necesarias. La empresa adquirirá equipos y maquinaria de acuerdo con las características necesarias para la producción de harina de trigo, por ser una empresa nueva se realizará inversión de activo fijo, activo diferido y se considera las depreciaciones correspondientes para cada activo.En la evaluación financiera realizada, se pudo constatar que el proyecto es rentable, reportando los siguientes resultados.VAN = 3.251.953,90  $us.TIR =  44,73%B/C = 1.10Mediante el análisis de sensibilidad se pudo verificar que el proyecto tiene mayor susceptibilidad en el incremento del precio de materia prima si es que él %  se encuentra superior al 46.41%, también es sensible el precio de venta si es que existiera un decremento más de 9.26%. La evaluación de impacto ambiental social concluye que el proyecto es ecológicamente compatible, por lo que tiene impactos negativos en una escala baja. Otro de los factores que solo consumen en su mayoría una harina blanca tipo tres ceros (000) en las panaderías, reposterías y otros, según estas fábricas de buscan harinas son con mayor gluten, es decir, con un porcentaje de  26 a  28 por ciento, con el fin de inflamar en un  pan de 40g que se vea más grande posible, para esta ocasión nos da un reto tratamiento general en el gluten desde la producción de trigo, ya que en su totalidad de las importaciones de harina aún no sabemos cómo producen el trigo, puede que sea transgénico.</t>
  </si>
  <si>
    <t>https://drive.google.com/file/d/1HqgvEiCh6MG3ZcAb0DAtimCP5hx--EKY/view?usp=sharing</t>
  </si>
  <si>
    <t>https://drive.google.com/file/d/11dJu6_b51DJfrlmG3aDj0JYGs87lAs0A/view?usp=sharing</t>
  </si>
  <si>
    <t>https://drive.google.com/file/d/1pAxOkgx6t69_6H25-m1rcE6QpOIyNPRV/view?usp=sharing</t>
  </si>
  <si>
    <t>SARA MARIEL PEREZ YAÑEZ</t>
  </si>
  <si>
    <t>ING. DANIEL ISRAEL VILLALBA</t>
  </si>
  <si>
    <t>ANÁLISIS DE PREVENCIÓN Y PROTECCIÓN DE RIESGOS DE EXPLOSIÓN EN ESTACIONES DE SERVICIO DE GAS NATURAL Y COMBUSTIBLES LÍQUIDOS A TRAVÉS DE LA ARMONIZACIÓN Y APLICACIÓN DE LOS ESTÁNDARES IEC, API RP 500, API RP 505 Y NFPA70</t>
  </si>
  <si>
    <t>sayita1689@gmail.com</t>
  </si>
  <si>
    <t>IND-801-2016-13</t>
  </si>
  <si>
    <t>Riesgo de explosión, Análisis de prevención, Protección, Estaciones de Servicio, Gas Natural, Combustibles Líquidos.</t>
  </si>
  <si>
    <t>El presente proyecto de grado consiste en la realización de un análisis de prevención y protección de riesgos de explosión en estaciones de servicio de gas natural y combustibles líquidos a través de la armonización y aplicación de los estándares IEC, API RP 500, API RP 505 y NFPA 70.LA normativa nacional D.S. 27956 y D.S 28173 nos da una referencia a la construcción y operación de las estaciones de servicio, no existe una norma técnica Bolivia que llene los vacíos técnicos y ambigüedades, o actualice las normativas de acuerdo a la realidad que se están desenvolviéndolas EESS, mucho menos en materia de minimización de riesgos de explosión, clasificación de áreas y atmosferas explosivas.Se realizó un análisis comparativo e interpretativo de todas las normativas nacionales específicas, aplicables y vigentes para estaciones de servicio de combustible líquidos y GNV. Así mismo la armonización con normas internacionales API RP 500, API RP 505 y NFPA 70.Posterior a eso se identificó e analizo las fuentes de liberación que representan los peligros de explosión en las estaciones de servicio de Combustibles Líquidos y Gas Natural Vehicular siguiendo la metodología de clasificación de emplazamientos peligrosos ATEX, para ubicar las potenciales fuentes de liberación de líquidos, gases o vapores inflamables ya sea estructuralmente o funcionalmente y sus distintas características para su clasificación. Se realizó una identificación de las sustancias inflamables presentes y significativas en las Estaciones de Servicio de GNV y Combustibles Líquidos.Continuando el procedimiento de clasificación de áreas se identificó las fuentes de escape. Para cada fuente de escape se establece la frecuencia y duración (grado de escape) de emisión de sustancias inflamables. Se calculó la tasa de escape, se definió el grado y la disponibilidad de la ventilación para cada emplazamiento, para cada fuente de escape se calcula la extensión del área clasificada.Se determinó la probabilidad de presencia y activación de las fuentes de ignición basándonos en los Análisis Histórico de Accidentes que es una herramienta de identificación de riesgos del tipo cualitativo que hace uso de datos recogidos sobre el pasado de accidentes industriales. Se realizó las medidas preventivas para evitar la formación de atmosfera explosiva (ATEX).Se realizó mediante los modos de protección de los equipos eléctricos los requerimientos técnicos que permiten asegurar la reducción de la energía o impedir su aporte en forma de arco, chispa o calentamiento excesivo, o separar la atmosfera explosiva o confinar la posible explosión controlando sus efectos.Se realizó la estimación de los posibles efectos de la explosión realizando un estudio de las consecuencias o gravedad de los efectos de una posible explosión donde se considera la extensión  y naturaleza de los daños.La auditoría integral de la ingeniería de seguridad en las estaciones de servicio de GNV y Combustibles Líquidos nos permite tener un control permanente de las zonas que pueden formar una atmosfera explosiva para resguardar la seguridad y salud ocupacional y medio ambiente. Y se realizó las recomendaciones correspondientes.</t>
  </si>
  <si>
    <t>https://drive.google.com/file/d/1uklNtpGWlvS2tAWvybAKpAXJCDNKxxxn/view?usp=sharing</t>
  </si>
  <si>
    <t>https://drive.google.com/file/d/1OX9SA8Rji4jnC9dW1C4rhGF89Dw3VPPy/view?usp=sharing</t>
  </si>
  <si>
    <t>https://drive.google.com/file/d/1a0GFx2jlHII-QEQTpNIbRf_MshKhQpLu/view?usp=sharing</t>
  </si>
  <si>
    <t>LAURA GABRIELA MANZANEDA</t>
  </si>
  <si>
    <t>ING. RUBÉN GARCÍA MOLINA</t>
  </si>
  <si>
    <t>ESTUDIO DE INGENIERÍA DE MÉTODOS APLICADO AL PROCESO PRODUCTIVO DE PUERTAS Y MARCOS DE PUERTAS ORIÓN PARA LA INDUSTRIA “SALI LTDA.”</t>
  </si>
  <si>
    <t>gabriela_lagama@hotmailmail.com</t>
  </si>
  <si>
    <t>IND-801-2016-14</t>
  </si>
  <si>
    <t>Ingeniería de métodos, Proceso productivo, Estudio de Tiempos, Diagnostico, evaluación del método propuesto, puertas Orión, marcos de puertas, Industria Sali Ltda.</t>
  </si>
  <si>
    <t>Primeramente se identificó el problema central que antecede al presente proyecto de grado, sus causas y efectos que tiene el mismo para la empresa y de esta manera se procedió a realizar el planteamiento del objetivo general y específicos del proyecto.Posteriormente se realizó un análisis y diagnóstico al departamento de producción de la industria Sali Ltda. en el que se determinó las fortalezas, debilidades, amenazas y oportunidades   y el nivel de impacto que tienen para la industria, luego se presentó la formulación de estrategias realizadas mediante el análisis FODA.Posteriormente se realizó el estudio de los métodos actuales de trabajo, que anteceden al proceso productivo de las puertas Orión y los marcos de puertas, mediante cursogramas sinópticos, analíticos y diagramas de recorridos, teniendo como principales resultados los siguientes: En el proceso productivo de puertas Orión se identificó  un total de 23 procesos, 3 inspecciones y un total de 352 metros lineales de distancias recorridas, en el caso de los marcos de puertas se identificó 26 procesos, 4 inspecciones y 215 metros lineales de distancias recorridas.Luego se realizó la medición de tiempos de los dos productos estudiados, mediante la técnica de cronometraje y luego se procedió a realizar el cálculo de los tiempos estándar de producción de los métodos actuales de trabajo del cual se obtuvieron los siguientes resultados: un  tiempo estándar de producción de 19.538,11 (s) por puerta y  11.874,04 (s) por marco.En el desarrollo del método propuesto se realizó las propuestas de mejora para el proceso productivo de las puertas orión y los marcos de puertas, mediante el uso de la técnica del interrogatorio, obteniendo como principales resultados las propuestas de mejora para 9 operaciones del proceso productivo de las puertas orión y 5 operaciones en el caso de los marcos de puertas. También se realizó la propuesta de una nueva distribución de planta.Luego se realizó la evaluación del método propuesto, basado en el análisis comparativo con el método actual, obteniendo como principales resultados los siguientes: Reducción en los tiempos estándar de producción igual a 888,01 (s) por puerta  y 3.564,87 (s) por marco de puerta. Por otro lado mediante el balanceo de línea se logró incrementar la producción  de 26 a 39 puertas por día y de 25 a 36 marcos de puertas por día, también se calculó el requerimiento de mano de obra para producir un lote de 30 puertas orión, el cual es igual a 51,32 horas hombre para el método actual y 46,55 horas hombre para el método propuesto, en el caso de los marcos de puertas dicho requerimiento es igual 66,89 horas hombre en el método actual y 46,67 horas hombre en el método propuesto.Finalmente se desarrolló  un análisis de los costos y beneficios para la implementación del método propuesto.</t>
  </si>
  <si>
    <t>https://drive.google.com/file/d/1QIVFbQ1SiMUMz0l8QWr5PuNabtkntAQK/view?usp=sharing</t>
  </si>
  <si>
    <t>https://drive.google.com/file/d/1e1KpvjkUY2sfNnCnlFpRWNGNYh2QN-Rv/view?usp=sharing</t>
  </si>
  <si>
    <t>https://drive.google.com/file/d/1Y9NhT1GHDeSSueILRgwZpy-z8ZJw7WfI/view?usp=sharing</t>
  </si>
  <si>
    <t>CECILIO CRIALES QUIROZ</t>
  </si>
  <si>
    <t>PROYECTO DE FACTIBILIDAD PARA LA INSTALACIÓN DE UNA PLANTA PRODUCTORA DE “CEREALES A BASE DE QUINUA” DIRIGIDO AL MERCADO DE COCHABAMBA</t>
  </si>
  <si>
    <t>criales20@hotmail.com</t>
  </si>
  <si>
    <t>IND-801-2016-15</t>
  </si>
  <si>
    <t>Proyecto de factibilidad, planta productora de cereales a base de quinua, proyecto, factibilidad, cereales, quinua</t>
  </si>
  <si>
    <t>El estudio de Factibilidad para la creación de una empresa de cereales a base de quinua nace ante la oportunidad de darle un mayor valor agregado a la quinua, ya que en la actualidad Bolivia es el  mayor productor pero el consumo de este cereal es muy bajo y se comercializa a un alto costo, surgiendo de esta manera la idea de industrializar y aumentar su valor agregado.Se comenzó el proyecto con un diagnostico situacional, determinando las causas y efectos del problema estudiado, con su respectiva justificación.En el estudio de mercado se realizó el análisis de la demanda, a partir de recolección de datos de los consumidores finales, y la oferta, determinando que existe una demanda potencial de una magnitud importante, adicionalmente se realizó un análisis de estrategias de distribución, comercialización y publicidad.En el estudio de la  materia  prima e insumos, se analizó la variedad de materia prima, abastecimiento, costo y la capacidad de aprovisionamiento de los proveedores, se  pudo  evidenciar  que Oruro es uno de los principales productores de quinua a nivel nacional.La localización fue obtenida a través de una evaluación cualitativa de puntos, donde se analizaron tres alternativas, optando por el municipio de cercado por gozar de factores favorables para el proyecto.Seguidamente se realiza el estudio de ingeniería en el que se diseñan los diagramas de procesos, la descripción del proceso de elaboración de los cereales a base de quinua, por otro lado se realiza el dimensionamiento y selección de los equipos en función de las características requeridas y su precio, así mismo se realiza el diseño de la planta, un modelo para el control de calidad, agregando un modelo de seguridad industrial pertinente para un óptimo funcionamiento.Se definió la estructura organizacional de la empresa mediante un organigrama por departamentos, además de definir las responsabilidades y competencias para los distintos puestos en la organización. Posteriormente se procede a describir los pasos para la constitución legal de la empresa.Se definió la cantidad de personal necesario para la planta y los sueldos y salarios de los mismos.Seguidamente se determina las actividades que deben llevarse a cabo para la planificación y ejecución del proyecto que tiene un tiempo de duración de 7 meses y 2 semanas, la cual se determinó mediante el diagrama de Gantt.En la evaluación económica y financiera estimaron las inversiones totales y los respectivos costos operativos. Con toda la información de costos se procedió a la preparación de esta información para realizar el respectivo análisis económico usando indicadores como el TIR (Tasa Interna de Retorno), VAN (Valor Presente Neto), B/C (Beneficio/Costo) y Recuperación del Capital. Se sometió el flujo a un análisis de sensibilidad para  las variables más influyentes. Finalmente en la evaluación del impacto ambiental se determinó que el proyecto requiere de pocas medidas de mitigación. Concluyendo la exposición del trabajo  de grado con las conclusiones  y recomendaciones en la investigación realizada</t>
  </si>
  <si>
    <t>https://drive.google.com/file/d/1EmGBwu3cfsoPPLSfk_tHGjUd-fK9dWgy/view?usp=sharing</t>
  </si>
  <si>
    <t>https://drive.google.com/file/d/1tMoKBvly4YuNwCXBl6FJSX4BlNPZL4zX/view?usp=sharing</t>
  </si>
  <si>
    <t>MARÍA ELENA CAMACHO BELTRÁN</t>
  </si>
  <si>
    <t>MSC JUAN CARLOS RODRÍGUEZ OSTIAS</t>
  </si>
  <si>
    <t>ESTUDIO DE FACTIBILIDAD PARA LA IMPLEMENTACIÓN DE UNA PLANTA PROCESADORA DE JUGO DE CAÑA DE AZÚCAR EN EL DEPARTAMENTO DE COCHABAMBA</t>
  </si>
  <si>
    <t>IND-802-2016</t>
  </si>
  <si>
    <t>Producción de caña de azúcar, Estratificación implícita con muestreo sistemático, Eficiencia Biológica, Columnas de Producción, Evaluación Financiera, Análisis sensibilidad, Evaluación Impacto Ambiental</t>
  </si>
  <si>
    <t>En el presente trabajo se evidenció la factibilidad técnica, económica y financiera de la implementación de una planta procesadora de jugo de caña, la cual dirige y distribuye su producto a lo largo del departamento de Cochabamba (Cercado). Se desarrolló el estudio estratégico que analiza los factores políticos, sociales y económicos que influyen en la realización del proyecto Por otra parte a través de la definición de misión, visión y análisis FODA se delimitó una estrategia genérica de diferenciación, planteando por último los objetivos del proyecto. En segundo lugar se segmentó el mercado general por edades y por zonas de residencia. Se proyectó la demanda anual tanto en litros como en unidades de acuerdo a la variación del PBI sectorial. La oferta proyectada se determinó estableciendo relaciones entre las variables de tiempo, PBI departamental y oferta histórica. Por último se delimitaron los canales de comercialización a bodegas de la los principales distritos del departamento. El precio de venta al distribuidor será de  2,40 Bs y se espera que el precio al público sea 4 a 4.50 Bs en promedio.En el estudio técnico se efectuó un análisis de localización y se determinó que la ubicación óptima de las instalaciones sea en el Municipio de Sacaba. Se calculó el número de máquinas de cada tipo requeridas y se calculó el tamaño de la planta será aproximadamente de 322 ,  tomando en cuenta la infraestructura de una planta ya construida. Luego se fijó la distribución de las áreas, la dinámica de las operaciones y se planteó la relación de insumos requeridos y servicios a contratar. En el estudio legal y organizacional se estableció el tipo de sociedad, y la afectación tributaria. Se indicaron las normas vinculadas al ramo empresarial y se determinó la estructura organizacional incluyendo los perfiles y requerimientos del personal. Por último, se planteó que la inversión total del proyecto para su ejecución requiere de una inversión total de 120,368 $u$, de los cuales la inversión de activo fijo es de 98,455 $u$, la inversión en activo diferido es de 6,500 $u$, y por último el capital de trabajo asciende a un total de 15,413 $u$, y se seleccionaron dos tipos de financiamiento. Se calculó el costo de oportunidad de capital que ascendente a 16%.Se calcularon los presupuestos de ingresos y egresos, estados financieros y se analizaron los principales indicadores económicos y financieros, efectuándose incluso un análisis de sensibilidad que incluía múltiples escenarios para variaciones en los factores críticos validándose la viabilidad económica y financiera del proyecto.</t>
  </si>
  <si>
    <t>https://drive.google.com/file/d/1dzkYMO1oeM06YgspHX-DZd1NqQyNKnZ4/view?usp=sharing</t>
  </si>
  <si>
    <t>https://drive.google.com/file/d/1Psw_NkYCrwCJP3Khb82M16pZRYTe6Aik/view?usp=sharing</t>
  </si>
  <si>
    <t>https://drive.google.com/file/d/1xVAJ4A4fR624baTa8ECs1gLrE4QTg12h/view?usp=sharing</t>
  </si>
  <si>
    <t>JUAN PABLO CONDORI ROCABADO</t>
  </si>
  <si>
    <t>ING. ILSIA CABALLERO UZQUEDA</t>
  </si>
  <si>
    <t>MEJORAMIENTO DEL SISTEMA DE GESTIÓN DE SEGURIDAD INDUSTRIAL Y SALUD OCUPACIONAL PARA LA  EMPRESA “A.G.O.TRAN S.R.L.” EMPRESA CONTRATISTA EN LA REFINERÍA GUALBERTO VILLARROEL PROYECTO: DRENAJES FLUVIALES Y AVENIDA VIAL</t>
  </si>
  <si>
    <t>juan_pablo_condori_rocabado@hotmail.es</t>
  </si>
  <si>
    <t>IND-803-2016</t>
  </si>
  <si>
    <t>LGHSOB, SGPRL, PHSOB, SSL, CNS, SYSO, EPP, INSO.</t>
  </si>
  <si>
    <t>Este Proyecto fue realizado para mejorar el sistema de gestión de seguridad industrial y salud ocupacional en la empresa A.G.O.TRAN S.R.L. ya que existe mucha deficiencia en el control de su sistema, me base en el seguimiento del decreto ley Nº 16998, la resolución administrativa y algunos de los procedimientos exigidos por el contratante la refinería Gualberto Villarroel.Entre los objetivos que tuvimos para la empresa y su mejoramiento, se realizó un diagnóstico de los riesgos en el trabajo, monitoreando el uso de herramientas manuales, herramientas eléctricas, herramientas mecánicas, el movimiento de cargas pesadas y también el uso de las herramientas en oficinas.Utilizamos el método APR para la recabacion de datos, ya que creemos que es una de los métodos más completos, pudimos tabular todos los posibles riesgos, su fuente, los controles que se deberían realizar, la probabilidad, la severidad y si este riesgo es tolerable.Propusimos un plan de seguridad industrial e higiene industrial en la que usamos como referencia la resolución administrativa 038/01, se siguió todos los pasos para desarrollo de un plan de seguridad industrial e higiene industrial, en el dicho plan se encuentra todas las propuestas de mejora en el sistema, se propuso cambio e implementación de señalética, mayor capacitación, cálculo del ruido y vibraciones, estrés y fatiga por calor, uso correcto de Epps y su tiempo útil, reubicación de extintores, equipamiento de alarmas de incendio, etc.En cuanto al proyecto se adecuo en todo momento a la normativa vigente, la ley general e higiene, seguridad ocupacional y bienestar.Se propuso la integración del comité mixto, dándoles los fundamentos e instrucción para su realización, denotando también sus responsabilidades y obligaciones.Se realizó un plan de contingencias en caso de emergencias, se designó al personal que estará involucrado y que responsabilidades deben tener en caso de emergencias, también existe un instructivo que deben hacer las personas que no están en el equipo de emergencias y como deben preceder en caso de alguna emergencia.Se propuso capacitaciones al personal administrativo de todo tipo de temas relacionados con la seguridad y salud ocupacional de la empresa, y que estos después lo impartirán en cursos internos para todo el personal de la empresa.Se realizara una evaluación de costos y se propondrá el tiempo en que este proyecto pueda ser realizado con plan de fechas tentativas para su realización.La metodología que se realizó en este proyecto fue la que se designó la más apropiada, se realizó una revisión de su estado actual de la empresa, se definió las políticas de gestión, se identificaron los peligros y riesgos por medio del método APR, se desarrolló un plan de acción para las falencias en el sistema de gestión, se realizó una estimación de costos de lo propuesto y se desarrolló un informe final.Se datara la herramienta para mejorar su sistema de gestión de seguridad e higiene ocupacional, esta herramienta mencionada será el proyecto de tesis que se entregara a la empresa al finalizarla, para que esta pueda seguir los pasos para una mejora continua.Se concluye que se deberán seguir las medidas correctivas y preventivas para los riesgos potenciales mediante análisis de riesgos, registrando todas las falencias para una mitigación o eliminación de peligros en el trabajo.Se recomienda ejecutar el plan de mantenimiento integral para todas las herramientas manuales, eléctricas y maquinaria pesada, de tal manera que pueda prevenir posibles accidentes en el trabajo.</t>
  </si>
  <si>
    <t>https://drive.google.com/file/d/1-MDprF97Zxgc0XjRVWh6nKsm_NR-OwjB/view?usp=sharing</t>
  </si>
  <si>
    <t>https://drive.google.com/file/d/1UhB9yf4O_Hp0Mcrd0dFxtSZ0Kil0Rz07/view?usp=sharing</t>
  </si>
  <si>
    <t>https://drive.google.com/file/d/1ceG6osQUS4cPu-bo3ewqIHFtlcJ0rcAE/view?usp=sharing</t>
  </si>
  <si>
    <t>ERICK OMAR ARIAS RUIZ</t>
  </si>
  <si>
    <t>MGR. ING. EMIR FÉLIX VARGAS PEREDO</t>
  </si>
  <si>
    <t>DISEÑO DE UN SISTEMA DE CERTIFICACIÓN DE SEGURIDAD DE LA CADENA ALIMENTICIA FSSC 22000. PARA LA EMPRESA “PAPERBAGS S.R.L</t>
  </si>
  <si>
    <t>erick_arias5@hotmail.com</t>
  </si>
  <si>
    <t>IND-804-2016</t>
  </si>
  <si>
    <t>FSSC 22000”, (APPCC), (BPM, BPH).</t>
  </si>
  <si>
    <t>El diseño de la FSSC 22000 por sus siglas en ingles Food Safety System Certification iniciará con una descripción general de la empresa, en la cual se incluyó las líneas de producción que utiliza la empresa y la organización interna. Por medio de visitas a la planta, observaciones y entrevistas al personal, se logró establecer un diagnóstico de la situación actual de la empresa en cuanto a PAS 220, ISO 22000 y Buenas Prácticas de Manufactura. Mediante éste diagnóstico se determinó que el desarrollo de un manual que garantice la inocuidad, sanidad y calidad del producto mediante la estandarización de procedimientos es una necesidad impostergable para la empresa.Se realizó tres manuales para que la empresa  “PAPERBAGS S.R.L.” tenga soportes y registros claros del diseño del sistema de certificación de seguridad de la cadena alimenticia FSSC 22000.Posteriormente se realizó el plan APPCC (análisis de puntos de peligro y control crítico) para poder incorporar al diseño del sistema.Finalmente se indicó los pasos para la certificación FSSC 22000.La empresa  “PAPERBAGS S.R.L.” debe tener un detalle muy en cuenta antes de comenzar a utilizar el documento, debe tener conocimiento previo de las diferentes normas que resaltan en este documento, es decir BPM (Buenas prácticas de manufactura) PAS 220 (especificación de disponibilidad  publica) y la ISO 22000, o tener al alcance un texto de capacitación referido al tema para poder llevar a cabo la certificación  esto es necesario ya que el documento solo hace unas pequeñas referencias de la parte de auditorías internas en forma teórica, hace mucho más énfasis en el diseño del sistema de certificación FSSC 22000, tomar en cuenta que el documento analiza los pasos y el sistema propio.Los diagnósticos que se hicieron están basados directamente en toda la teoría a detalle que aclara la FSSC 22000, es decir en el listado de los requisitos para llegar a la certificación. Y su posterior evaluación es en función de las falencias que se encontró en dicho diagnóstico.Se realizó una proyección de ventas con y sin la certificación, donde muestra claramente que la empresa “PAPERBAGS S.R.L.” puede funcionar y generar ingresas sin la certificación, pero puede ganar más clientes, más ventas y nuevos mercados si se certifica.Tomar en cuenta que se hizo el cálculo de los parámetros de viabilidad solo para la certificación porque es el fruto de este trabajo.Contar con una certificación de inocuidad desde un tiempo hasta esta parte se ha convertido en la mejor carta de presentación de una empresa ante el mercado mundial.En Bolivia la institución u organismo encargado para acreditar y certificar el sistema de certificación de seguridad de la cadena alimenticia FSSC 22000, es TÜV Rheinald, sin embargo existen otros organismos de certificación que funcionan en el país, entre ellos el Instituto Boliviano de Normalización y Calidad (IBNORCA), el cual actualmente no tiene ningún programa de certificación de la FSSC 22000.La FSSC 22000 contiene un programa de certificación completo para los sistemas de seguridad alimentaria basado en las normas de certificación existentes (ISO 22000, ISO 22003 y especificaciones técnicas para los prerrequisitos del programa). Al concluir y recomendar, se tomó en cuenta posibles cambios que puede existir en el sistema a medida de que se lo vaya implementado. Esto ocurrirá al realizarlo o ejecutarlo.La propuesta de este documento es poder brindar un sistema de certificación de seguridad de la cadena alimenticia FSSC 22000 claro, completo y fácil de entender para su implementación.</t>
  </si>
  <si>
    <t>https://drive.google.com/file/d/1kcrKkYtEyStE6_Sc-i8Ln87quvSsKebZ/view?usp=sharing</t>
  </si>
  <si>
    <t>https://drive.google.com/file/d/18GHg-H130-Img5AKvPllD5QoCJ2JcBPc/view?usp=sharing</t>
  </si>
  <si>
    <t>https://drive.google.com/file/d/1S7fjA9FtuRxxs3m7gQRzoXECsYF0ZG5G/view?usp=sharing</t>
  </si>
  <si>
    <t>JUAN EDGAR CLAROS ZAMBRANA</t>
  </si>
  <si>
    <t>JAIRO MELENDRES POZO</t>
  </si>
  <si>
    <t>ESTUDIO DE FACTIBILIDAD PARA LA CREACION DE UNA EMPRESA                                                                                             DEDICADA A LA PRODUCCION DE ASFALTO FLEXIBLE A PARTIR DE GRANO DE            CAUCHO RECICLADO</t>
  </si>
  <si>
    <t>IND-805-2016</t>
  </si>
  <si>
    <t>Planta Productora de Asfalto flexible, Grano de Caucho Reciclado, neumáticos, Gravilla, Tasa Interna de Retorno, Valor Actual Neto.</t>
  </si>
  <si>
    <t>Por la investigación realizad, uno de los grandes problemas que enfrenta el Departamento de Cochabamba, está relacionado con la acumulación de llantas en desuso en calles, lotes baldíos, ríos, acequias, avenidas, parques y botaderos municipales, donde al 2015, existen más de 2,5 millones de llantas en desuso, de las cuales actualmente algunas empresas privadas producen caucho reciclado, no llegando ni al 5% de la totalidad de llantas existentes.El proyecto realizado, está orientado a brindar una solución técnica mediante la implementación de una empresa industrial que produzca Asfalto Flexible Modificado a partir de Grano de Caucho Reciclado, obtenido de llantas trituradas y la mezcla con asfalto, roca viva triturada y aditivos especiales. Producto especialmente producido para los gobiernos municipales locales, instituciones que utilizan el producto en la reparación o construcción de nuevas de vías camineras para vehículos livianos y pesados.Se pretende instalar la planta industrial en el Km 6,5 de la carretera al valle alto, en las cercanías de la empresa estatal YPFB, a partir de una inversión total de 1.406.045 $us, que serán financiados en su totalidad por los propietarios del proyecto, siendo necesarios destinar un tiempo de 1 año para la construcción y equipamiento de la planta, así como la organización de la empresa.La rentabilidad esperada es de un TIR del 41%, el VAN de 1.972.783 $us acumulado en los 7 años de vida operativa y una RB/C de 1,91.El proyecto llevado bajo las condiciones establecidas en el Registro Ambiental Industrial del RASIM, establece que la Planta Industrial a constituirse se encuentra en la CATEGORIA 4, debiendo solamente cumplir con las regulaciones de alcance ambiental general.</t>
  </si>
  <si>
    <t>https://drive.google.com/file/d/18IxhTXty3AH78ozpi6TIZYNUQWrvxPTE/view?usp=sharing</t>
  </si>
  <si>
    <t>ANDREA ILLANES GONZALES</t>
  </si>
  <si>
    <t>MGR. ING. KARIN ÓSCAR SUÁREZ</t>
  </si>
  <si>
    <t>PLAN ESTRATÉGICO DE MARKETING PARA LA EMPRESA ALLPATEC S.R.L</t>
  </si>
  <si>
    <t>andy15_g@hotmail.com</t>
  </si>
  <si>
    <t>IND-806-2016</t>
  </si>
  <si>
    <t>Plan de marketing, Modelo SOSTAC, Social media marketing,   Influenciadores en redes sociales, marketing online y offline.</t>
  </si>
  <si>
    <t>En la actualidad, aspectos como la competencia creciente, la decisión de las organizaciones para conquistar nuevos mercados, permanecer en ellos y alcanzar un alto nivel de posicionamiento, hace necesario contar con herramientas que contribuyan a enfrentar los grandes retos y oportunidades que se presentan en el mercado, anticiparse a los cambios del entorno y tener una capacidad de respuesta eficiente ante ellos. Por esta razón, se propone la formulación de un plan estratégico de marketing para la empresa ALLPATEC S.R.L, teniendo en cuenta que el principal objetivo es atender las necesidades del mercado, logrando aumentar la participación de su producto en la ciudad de Cochabamba.El plan estratégico de marketing se considera una herramienta eficaz de gran importancia, no sólo en el área comercial, sino como parte de la planificación de la organización, además es un apoyo fundamental para establecer en qué nivel se halla la empresa, hacia dónde quiere llegar y los medios necesarios para alcanzar esos objetivos.Por consiguiente, el propósito de realizar este estudio, consiste en poder desarrollar estrategias adecuadas de marketing mix, tomando en cuenta las capacidades de la empresa, oportunidades del mercado y al análisis de la competencia para mejorar las ventas de las vajillas artesanales. Estas estrategias permitirán a la empresa influenciar en la demanda del producto, captar la atención del público, satisfacer las necesidades del cliente y dar a conocer la marca en el mercado de Cochabamba. Lo que permitirá a la empresa generar ventajas competitivas.</t>
  </si>
  <si>
    <t>https://drive.google.com/file/d/1enfBeOANMdF33zWZCcPfQeg8JU0z9Be9/view?usp=sharing</t>
  </si>
  <si>
    <t>https://drive.google.com/file/d/1B9OmeZg3rBLUloulgufB9l6uo6zVCUvr/view?usp=sharing</t>
  </si>
  <si>
    <t>https://drive.google.com/file/d/1FRph9WGLUayAccTRSD2ATZxkWexg4sRx/view?usp=sharing</t>
  </si>
  <si>
    <t>ROGER WILSON PUMA BUENDIA</t>
  </si>
  <si>
    <t>DISEÑO DE UN PLAN DE SEGURIDAD Y SALUD OCUPACIONAL PARA LA EMPRESA PALMA VERDE S.A.</t>
  </si>
  <si>
    <t>Roger_Buendia@hotmail.com</t>
  </si>
  <si>
    <t>IND-807-2016</t>
  </si>
  <si>
    <t>PALMA VERDE (Alimento en Conserva), seguridad industrial, peligro, incidentes, riesgos, incendios, planes de acción, presupuestos.</t>
  </si>
  <si>
    <t>Primeramente se realizó un diagnóstico de la situación actual de la Empresa PALMA VERDE S.A. en temas de seguridad e Higiene Ocupacional, observando y evaluando proceso, áreas y actividades que realizan dentro de Palma Verde S.A., también se realizaron entrevista y encuestas a los encargados de área y trabajadores de planta.Posteriormente se realizó una evaluación de cumplimiento legal en materia de Higiene, Seguridad Ocupacional y Bienestar en base al Decreto Ley N° 16998. Que la misma cumple con 19% artículos de la ley, 15% artículos los cumple parcialmente, no cumple con 28% artículos y no lo aplican 38% artículos; por lo cual en los siguientes Capítulos se procederá a la elaboración de medidas correctivas y de control para el cumplimiento en la totalidad de los artículos de ley señalada.Se empleó la metodología de identificación de Peligros y Evaluación de Riesgos respectivamente en todas las áreas de trabajo de PALMA VERDE S.A., estableciendo medidas de control para los riesgos identificados, también se realizó el mapeo de riesgos y monitoreo para los riesgos asociados con ruido, iluminación y temperatura.Con la información recabada se procedió a la elaboración de Plan de Seguridad y Salud Ocupacional, el cual fue estructurado en 9 módulos (Programas); Organización de Seguridad y Salud Ocupacional, Prevención y Control de Riesgo, Señalización Industrial, Orden y Limpieza. Primeros Auxilios, Emergencia, Capacitaciones y Salud Ocupacional.Posteriormente se realizó calculó de presupuesto total para poder implementar el plan es de Bs. 44.937.- Aproximadamente (cuarenta y cuatro mil novecientos treinta y siete) Este monto es la inversión al inicio de la implementación del plan de seguridad y salud ocupacional, para el funcionamiento de seguridad y salud ocupacional se realiza un pronóstico para 5 años a partir del siguiente año de todo los programas, acciones, equipos y mejoras plantadas dentro el Plan de Seguridad y Salud Ocupacional de PALMA VERDE S.A.</t>
  </si>
  <si>
    <t>https://drive.google.com/file/d/1aafQc81ZlbUYu1VPmJ6KehQlK36DQWLc/view?usp=sharing</t>
  </si>
  <si>
    <t>https://drive.google.com/file/d/1zFleRY0xKH-egv6X5jT1Y5RJgVHQIZ_0/view?usp=sharing</t>
  </si>
  <si>
    <t>https://drive.google.com/file/d/1_bSnC3UBkfLiSGxGsA90iXmF8XJhOVmA/view?usp=sharing</t>
  </si>
  <si>
    <t>ARIEL LOPEZ VILLARPANDO</t>
  </si>
  <si>
    <t>DISEÑO Y CONSTRUCCIÓN DE SEMBRADORAS DE GRANO GRUESO (ARVEJA Y TARWI) Y FINO (QUINUA) CON TRACCIÓN ANIMAL Y MOTRIZ</t>
  </si>
  <si>
    <t>solucionesalv@yahoo.es</t>
  </si>
  <si>
    <t>IND-808-2016</t>
  </si>
  <si>
    <t>CIFEMA-UMSS, PROINPA, Sembradoras, Prototipos, Quinua, Arveja, Tarwi, Densidad, Profundidad, Ensayos, Anzaldo, Tiraque.</t>
  </si>
  <si>
    <t>La siembra es un conjunto de operaciones que cosiste en colocar la semilla en el suelo, en condiciones adecuadas de distancia y profundidad que permita obtener la humedad necesaria para su geminación, emergencia e implantación. Para este propósito, el agricultor pequeño, emplea siembra manual por la no existencia de sembradoras mecánicas con las consecuentes desventajas de distribución desorganizada de la semilla que dificulta las operaciones de las labores complementarias, costo elevado de la operación de siembra por mayor tiempo de trabajo y mayor cantidad de semilla utilizada por unidad de superficie. Teniendo conocimiento de éstos problemas que enfrentan día a día los productores pequeños, medianos y grandes de nuestro departamento, específicamente de los municipios de Anzaldo y Tiraque. Los cuales están ubicados a 62 km de la ciudad de Cochabamba, latitud 17º 46º 46' 46” S y 65º 55' 56” O, con una altitud de 2000 – 3463 msnm, y una extensión de 542 km2. Y a 65 km en la carretera antigua Cochabamba – Santa Cruz, latitud 17º 43' 33” S y 65º 48' 33” O, con una altitud de 2000 – 4500 msnm, y una extensión de 2800 km2. Respectivamente. Se vio la necesidad de desarrollar sembradoras agrícolas de tracción animal y motriz, que faciliten los trabajos de los pequeños, medianos y grandes productores; con la participación interinstitucional del Centro de Investigación Formación y Extensión en Mecanización Agrícola CIFEMA-UMSS y el Programa de Investigación de Productos Andinos PROINPA. Lo primero que se hizo fue la recopilación de la información, donde se investigó todo sobre las sembradoras existentes para luego seleccionar la mejor alternativa del dosificador de semilla; una vez hecho lo anterior mencionado se hizo el diseño y los planos de construcción, tomando en cuenta entre otros aspectos: lo técnico, lo funcional y lo económico. Una vez terminado los planos constructivos se efectuó la construcción de los prototipos en los talleres de CIFEMA-UMSS; el desarrollo de la sembradora con tracción animal fue el punto de partida para el desarrollo de la sembradora con tracción, por tal razón se dio más énfasis en  su desarrollo. Una vez terminada la construcción de dichos prototipos se realizaron pruebas de laboratorio y campo, para lo cual se establecieron parcelas demostrativas, ello con el fin de determinar si coexistiesen algunas falencias para poder subsanar. Posteriormente se realizó la validación de los prototipos con los productores de Anzaldo y TiraqueEntre la  densidad y profundidad de siembra se determinó que la más óptima para el caso de la Quinua es de 5-8 kg/ha (a chorro continuo), con una profundidad de 1-3 cm, para la Arveja de 40-50 kg/ha (a una distancia entre semillas de 8-12 cm), con una profundidad de 8-10 cm y para el Tarwi de 60-70 kg/ha (a una distancia entre semillas de 8-12 cm), con una profundidad de 8-10 cm.El empleo de la siembra mecanizada, representó un ahorro del 35,5 % respecto a la siembra tradicional (manual). La capacidad efectiva o tiempo de trabajo por hectárea de sembradora CIFEMA-UMSS, fue un 50.3% menos que el tradicional debido a que en una sola pasada de la yunta abre surco, deja la semilla dosificada y tapada con una cobertura superficial de tierra.Algunas de las recomendaciones que se dieron fueron: que el terreno para la siembra de los granos (Quinua, Arveja y Tarwi), este finamente preparado (nivelado), sin residuos de cosecha ni con mucha humedad ya que estos factores son los que evitan le normal funcionamiento  de la sembradora. También se encomendó de que la velocidad de siembra en la sembradora con tracción animal no debe sobrepasar de 1 m/s (3,6km/h) y la velocidad de siembra en la sembradora con tracción motriz no debe sobrepasar de 1,25 m/s (4,5km/h).</t>
  </si>
  <si>
    <t>https://drive.google.com/file/d/1_LlCV10RL_P6HeY2WWsSJqwVdKMl5p8Y/view?usp=sharing</t>
  </si>
  <si>
    <t>https://drive.google.com/file/d/1ublqyl5FHaxjUkVD9f1SdWkSfIT6yhdJ/view?usp=sharing</t>
  </si>
  <si>
    <t>https://drive.google.com/file/d/1ApRG4rIDojIL2zjVml4-tgCcESWOQA9j/view?usp=sharing</t>
  </si>
  <si>
    <t>CLAUDIA FABIANA CONDORI TRIGO</t>
  </si>
  <si>
    <t>PROYECTO DE FACTIBILIDAD PARA LA IMPLEMENTACIÓN DE UNA PLANTA INDUSTRIALIZADORA DE LECHE FERMENTADA CON LACTOBACILLUS CASEI EN CERCADO COCHABAMBA.</t>
  </si>
  <si>
    <t>ff_aa_92@hotmail.com</t>
  </si>
  <si>
    <t>IND-809-2016</t>
  </si>
  <si>
    <t>Bebida fermentada, lactobacillus casei, leche cruda, Lactosuero, Cercado, Punata, Cercado.</t>
  </si>
  <si>
    <t>Primeramente se realizó el estudio de Mercado de la leche fermentada con lactobacillus casei en Cercado del departamento de Cochabamba al estrato medio y alto poblacional debido a que se considera que son personas que tienen mayor interés en el cuidado de su salud, se hizo la encuesta haciendo degustar la bebida de leche fermentada probiótica incluyendo el precio tentativo que pudiera tener dentro del mercado teniendo como resultado la aceptación del 77% para luego poder proyectar la demanda anual respecto al crecimiento de la población que asciende a 12.579.129,4 litros.Luego se hizo las estrategias de mercado que son de gran relevancia sobre todo en las estrategias de publicidad para poder informar  sobre los beneficios del producto y atraer a los clientes potenciales. Se definió la localización óptima de la instalación de la planta a través del método de ponderación por puntos donde tuvo mayor puntaje Punata debido a que se encuentra cerca de los proveedores de materia prima, específicamente el suero que se obtendrá de la empresa ILVA. Se determinó el tamaño óptimo de la planta tomando en cuenta cuatro factores importantes: disponibilidad financiera, tecnológica, materia prima y el tamaño del mercado siendo este último el más importante debido a que se tiene datos históricos de FEPALE y PROLECHE donde indica que Bolivia queda en último lugar sobre el consumo de lácteos en la escala mundial por lo cual se consideró el 6% de la demanda anual y doblar cada tres años de la vida útil del proyecto.En el estudio técnico se encontró dos materias primas primordiales que son la leche cruda y el Lactosuero haciendo su descripción técnica respectiva así también se hizo la especificación de todos insumos y material auxiliar que necesitará el producto terminado. Consecutivamente se realizó la descripción secuencial del proceso productivo donde se obtuvo un subproducto que se lanzara en el mercado, este subproducto no representa una gran cantidad significativa dentro del proyecto. Se diseñó la distribución tentativa de la planta teniendo en cuenta la seguridad e higiene que deberán cumplir todos los trabajadores de la empresa.El estudio organizacional fue realizado para la planta definiendo el diagrama organizacional, las funciones de cada trabajador y las planillas de salarios. Se determinó los pasos de forma metódica y cronológica que deberá seguir antes de la puesta en marcha.Posteriormente se hizo la evaluación financiera donde se estimó la inversión total que requiere la empresa para su implementación, el cual ascendió a un total de Sus.- 345882.4 en el cual el aporte de la entidad bancaria será del 43% a un interés del 7% anual, se determinó los indicadores de rentabilidad a través del flujo de caja con un TMAR de 11,89% del cual se obtuvo VAN igual a $us.- 1.164.283, TIR de 63% y B/C de 1,2. El periodo de recuperación será en el tercer año lo cual significa el proyecto es completamente rentable.Finalmente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</si>
  <si>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https://drive.google.com/file/d/1i5wFUPkB1oOU_zOCsCGWnmenp4oJ-vdp/view?usp=sharing</t>
  </si>
  <si>
    <t>https://drive.google.com/file/d/1bFX2Nfje69xbZul_RsvrUPn0sZXMAyke/view?usp=sharing</t>
  </si>
  <si>
    <t>https://drive.google.com/file/d/1u6hA5mw7j9wXE1Entw2_NwdcYJiRLrjt/view?usp=sharing</t>
  </si>
  <si>
    <t>EDWIN RODRIGO HINOJOSA PUENTE</t>
  </si>
  <si>
    <t>ARIEL GUARACHI CONDORI</t>
  </si>
  <si>
    <t>ING. ALEX D’ ANCHGELO CHOQUE FLORES</t>
  </si>
  <si>
    <t>ESTUDIO DE FACTIBILIDAD PARA IMPLEMENTACIÓN DE UNA EMPRESA CRIADORA DE PERDICES PARA LA PRODUCCIÓN DE HUEVOS (PISACCA – NOTHOPROCTA ORNATA) EN QUILLACOLLO – IRONCOLLO.</t>
  </si>
  <si>
    <t>edwinhinojosa04@gmail.com</t>
  </si>
  <si>
    <t>IND-810-2016</t>
  </si>
  <si>
    <t>Nothoprocta Ornata, perdiz, Sondeo directo, Crianza en cautiverio, Quillacollo, Evaluación Financiera, Análisis sensibilidad, Evaluación de aspectos ambientales, ETE.</t>
  </si>
  <si>
    <t>La necesidad de haber realizado el estudio fue de ver la posibilidad de criar en cautiverio un ave que es considerada una plaga por comunarios donde habita esta ave, debido a que la perdiz destruye cultivos de tubérculos en su afán de alimentarse, además de introducir al mercado Cochabambino un producto avícola alternativo a los tradicionales. Los huevos de perdiz ofrecen al consumidor una buena dieta alimentaria y favorable al organismo, porque es un alimento que contiene menos colesterol que otros huevos, que su obtención evitará la recolección de huevos silvestres.El producto fue obtenido a partir de la perdiz con características de tamaño, edad de las perdices y alimentación, tomando en cuenta los insumos, tratamiento sanitario y procesos requeridos para aumentar la producción y su consolidación como huevo de perdiz.En la población comprendida por la provincia Cercado del Departamento de Cochabamba, dentro del área urbana, se tiene 99874 habitantes con 16646 familias lo que se consideró como población objetivo para el proyecto. El precio que el consumidor estaría dispuesto a pagar esta comprendida entre 2,00 a 3,50 Bolivianos, esto de acuerdo a la presentación en maples de 6 unidades.La empresa estaría produciendo 397.426,00 huevos al año 2022 por lo que utilizaría toda su capacidad de producción en sus distintos procesos de producción.La evaluación financiera, mostro que el producto es viable siempre y cuando la alimentación de aves cumplan con las exigencias necesarias. La empresa adquirirá equipos y maquinaria de acuerdo con las características necesarias para la producción de huevos. Por ser una empresa nueva se realizaron inversiones de activo fijo, activo diferido y se consideró las depreciaciones correspondientes para cada activo.En la evaluación financiera realizada, se pudo constatar que el proyecto es rentable, reportando los siguientes resultados.VAN = 115.850,50 Bs.TIR = 16,45%B/C = 1,13Mediante el análisis de sensibilidad se pudo verificar que el proyecto tiene mayor susceptibilidad en el precio de venta del huevo para una disminución mayor al 10 %, también es sensible al incremento del sueldo para cada uno de los trabajadores si existiera un incremento más de 15%. La evaluación de impacto ambiental concluye que el proyecto es ecológicamente compatible, por lo que tiene impactos negativos en una escala muy baja. Con el proyecto se pretendió ofrecer otra alternativa de productos para las familias que se interesan por la salud, también generar más empleos e incentivar la producción de huevos y cría de perdis en cautiverio en las diferentes localidades de producción.</t>
  </si>
  <si>
    <t>https://drive.google.com/file/d/1JXTaUxYHGjsADVyAroWc8qK_vjDelVvo/view?usp=sharing</t>
  </si>
  <si>
    <t>https://drive.google.com/file/d/1exlKFSgnUwxn8gw-LfS8S-RVn8L2TYWs/view?usp=sharing</t>
  </si>
  <si>
    <t>https://drive.google.com/file/d/1CM4biZBN8mPoLChBI43_KOjldwOc7crG/view?usp=sharing</t>
  </si>
  <si>
    <t>HILARION PACHECO UREÑA</t>
  </si>
  <si>
    <t>PLAN DE SEGURIDAD INDUSTRIAL Y SALUD OCUPACIONAL EN BASE A LA NORMA OHSAS 18001 PARA LA EMPRESA PAPELERA VINTO S.R.L</t>
  </si>
  <si>
    <t>pach.o_11-10-9@hotmail.com</t>
  </si>
  <si>
    <t>IND-811-2016</t>
  </si>
  <si>
    <t>SySO, Acciones correctivas, Acciones preventivas, EPPs, OHASAS 18001</t>
  </si>
  <si>
    <t>Toda empresa debe contar con un plan de seguridad y salud ocupacional, que permita el control de la seguridad de sus procesos y la protección de la salud de sus trabajadores, logrando un mayor respaldo para la empresa y contribuyendo a un mejor desempeño y mayores beneficios. El objetivo del proyecto es realizar un Plan de Seguridad Industrial y Salud Ocupacional en base a la norma OHSAS 18001 para la empresa PEPELERA VINTO S.R.L. Primeramente se realizó un diagnóstico de la situación actual de la empresa PAPELERA VENTO S.R.L. y se recabo toda la información disponible acerca de las actividades, del proceso productivo, estructura orgánica, etc. Toda la información recabada nos permitió conocer las condiciones actuales de la empresa, en cuanto a Seguridad y Salud Ocupacional. Con la información recabada se procedió a la identificación de peligros, la cual se llevó adelante mediante un análisis de cada área de la empresa, considerando todo los riesgos en proceso productivo. Una vez habiendo identificado todos y cada uno de los riesgos que existen en la empresa, se realizó la evaluación de los mismos, proponiendo soluciones y acciones correctivas que puedan minimizar los riesgos anteriormente identificados. Luego de haber realizado tanto la evaluación como la identificación de los riesgos se procedió a elaborar que es el uso de equipos de protección personales según riesgo identificado en el lugar de trabajo de la empresa, también se hizo un mapa de riesgo en la empresa con sus respectivas señalizaciones en toda la planta, luego se plantea un Plan de Seguridad y Salud Ocupacional en base a la norma OHSAS 18001 en una empresa PAPELERA VINTO S.R.L. y un plan de capacitación a todas las personas involucradas en el trabajo tanto como gerencia, administrativos, y contratistas. Por último se estimó el costo total que representaría la aplicación de un Plan de Seguridad Industrial y Salud Ocupacional.</t>
  </si>
  <si>
    <t>https://drive.google.com/file/d/1PyLlGhZQwq4L6Bh2vqfAPWISvXt3oBdQ/view?usp=sharing</t>
  </si>
  <si>
    <t>https://drive.google.com/file/d/1hymTQKSnc30P-EffLwGKWoLwDTPKeMob/view?usp=sharing</t>
  </si>
  <si>
    <t>https://drive.google.com/file/d/12W3VYhAyQWZooVBgn2fHjUwFDOEAOyl8/view?usp=sharing</t>
  </si>
  <si>
    <t>JESÚS ENRIQUE ALVARO CLAROS</t>
  </si>
  <si>
    <t>DISEÑO DE PLANIFICACIÓN ESTRATÉGICA Y CUADRO DE MANDO INTEGRAL PARA EL LABORATORIO INDUSTRIAL FARMACÉUTICO ECHEVERRÍA “LIFE”</t>
  </si>
  <si>
    <t>kik3jeac@gmail.com</t>
  </si>
  <si>
    <t>IND-812-2016</t>
  </si>
  <si>
    <t>Planificación Estratégica, Laboratorio Industrial Farmacéutico, Cuadro de mando integral (CMI), Balance Score Card.</t>
  </si>
  <si>
    <t>El Laboratorio Industrial Farmacéutico Echeverría “LIFE” vio por conveniente la realización de una “Planificación Estratégica” debido a la carencia de objetivos y metas claras que permitan el crecimiento y éxito de la organización  en el rubro farmacéutico regional y nacional. Primeramente se realizó un diagnóstico de la situación actual Auditoria externa e interna, donde se recabo valiosa  información disponible acerca del rubro identificando las oportunidades y amenazas, porcentajes de crecimiento, las condiciones y las leyes de salubridad que imponen las entidades reguladoras, de la misma manera la situación de los procesos internos, áreas funcionales de la empresa, procesos productivos, fortalezas, debilidades, análisis de la productividad (Sistemas de control, indicadores), obteniendo así las productividades de los procesos y la global de todo el sistema “LIFE.”Se propuso  el Marco Estratégico definición de la Misión y Visión ya que la organización carecía de estas, definiendo así exactamente lo que es “LIFE” y  a dónde quiere llegar en mutuo consenso con el Gerente General y los actores involucrados dentro la organización. Posteriormente se complementó con la información obtenida del diagnóstico de la situación actual, para la definición de los objetivos estratégicos y en base a estos se empiecen a definir estrategias adecuadas, usando diferentes herramientas para la evaluación de las mismas.Ya teniendo la evaluación se procede a la selección de las estrategias más importantes a realizarse por orden de prioridad y agrupándolas de manera tal que den por resultado Planes de acción, que se desarrollaron desde lo general hasta lo más operativo, para que la organización pueda llevar dichos planes en su totalidad  tal y como la planificación lo requiere.  La ejecución de dichos planes serán medidos con la ayuda del Cuadro de Mando Integral  (CMI), que es una herramienta de control y resultados esperados, ya que muchas veces la Planificación Estratégica tiene un fracaso por este motivo, de no controlar y medir los resultados esperados. Se realizó la evaluación del impacto económico del proyecto, llegando a la conclusión que con el Plan Estratégico se obtienen beneficios mucho mayores, dando por resultado la viabilidad de la Planificación Estratégica hecha para el Laboratorio Industrial Farmacéutico Echeverría “LIFE.”</t>
  </si>
  <si>
    <t>https://drive.google.com/file/d/1dto7qiHHYMYzdNqsNb-XFVUSwphb3Hdl/view?usp=sharing</t>
  </si>
  <si>
    <t>https://drive.google.com/file/d/1-cFrfO7lNWlvNuWYJLnZZDA4Rvp5E3BH/view?usp=sharing</t>
  </si>
  <si>
    <t>https://drive.google.com/file/d/1DgRlzJ0xWeK4z7XSS_jYLnIAOGUvA7SS/view?usp=sharing</t>
  </si>
  <si>
    <t>MARISOL ALICIA JAMACHI CHALLAPA</t>
  </si>
  <si>
    <t>ING. M.SC. ALEX D´ANCHGELO CHOQUE FLORES</t>
  </si>
  <si>
    <t>DESARROLLO DE UN SISTEMA DE CONTROL DE CALIDAD BASADO EN LAS NORMAS NB–1211001 (LADRILLOS CERÁMICOS–CLASIFICACIÓN Y REQUISITOS) Y NB–1211002 (LADRILLOS CERÁMICOS-MÉTODOS DE ENSAYO) PARA LA EMPRESA “COBOCE CERAMIL”</t>
  </si>
  <si>
    <t>alicia_jamachi@hotmail.com</t>
  </si>
  <si>
    <t>IND-813-2016</t>
  </si>
  <si>
    <t>Ladrillo cerámico de 6 huecos, Sistema de Control de Calidad, Productividad, ISO 9001, NB-1211001, NB-1211002, Indicadores, Ensayos, Producto No Conforme,  Mejora Continua.</t>
  </si>
  <si>
    <t>COBOCE CERAMIL es una unidad productiva dedicada a la fabricación y comercialización de materiales de cerámica roja destinados a la construcción con 38 años de presencia en el mercado nacional, siempre caracterizada por su calidad y precios convenientes. En la actualidad apunta a una certificación de calidad para uno de sus productos; ladrillo de seis huecos, además de tener la necesidad de brindar a sus clientes información sobre las características de su producto.Dentro de este contexto, el presente proyecto tiene como objetivo el diseño documental de los requerimientos que son necesarios para la certificación de su producto, entre los cuales es necesario cumplir dos normas técnicas: NB – 1211001 (Ladrillos cerámicos – Clasificación y requisitos) y NB – 1211002 (Ladrillos cerámicos – Métodos de ensayo), el último se refiere a seis (6) ensayos realizados al producto terminado (Dimensiones, desviación y planeza, resistencia a la compresión, absorción de agua, eflorescencia, heladicidad, inclusiones calcáreas – caliche). Así mismo el reglamento para la certificación se basa en algunos puntos de la norma ISO 9001:2015.Para cumplir con el objetivo, se comenzó por una revisión bibliográfica, un diagnóstico de la situación actual de la empresa con respecto a los puntos de los requisitos ya mencionados para que sean aplicables en la unidad de estudio, para concluir se realizó la elaboración de la documentación para la certificación del producto, reflejado en un manual de calidad y todos los procedimientos, instructivos, y registros que se consideraron necesarios. Los registros encontrados en cada uno de estos controles permiten conocer y evaluar los resultados en cada una de las etapas del proceso productivo, para poder tomar una decisión correctiva para la mejora continua en la fabricación del producto. De esta manera se podrá garantizar la calidad de cada uno de los productos y satisfacer los requerimientos de los clientes. Se establecieron puntos de control al proceso productivo, y se realizó una simulación utilizando el diagrama de Ishikawa para detectar las posibles causas del producto no conforme, en los ensayos realizados al producto terminado.Se puso en marcha la propuesta de implementación por un periodo de 3 meses, el cual dio como resultado que la empresa COBOCE CERAMIL aún no está lista para obtener la certificación para su producto, debido a que no cumple el requisito de resistencia a la compresión de la norma NB-1211001, en la actualidad la No Conformidad encontrada  ya está siendo gestionada para cumplir con los parámetros de la especificación.Una vez realizada las acciones correctivas, la empresa COBOCE CERAMIL está lista para obtener la certificación para su producto, debido a que cuenta con diversos puntos de control desde la materia prima hasta el producto terminado, además de cumplir con los requisitos de las dos normas técnicas bolivianas y el reglamento de certificación del producto.</t>
  </si>
  <si>
    <t>https://drive.google.com/file/d/1qD5HC4lUtCd7_Y8wEPjnlDu-AELMChxy/view?usp=sharing</t>
  </si>
  <si>
    <t>https://drive.google.com/file/d/18PTELt1WcjYphzXavIwC-mhdI-GtwsHt/view?usp=sharing</t>
  </si>
  <si>
    <t>https://drive.google.com/file/d/1VZw3PLoiSbIWxWRD0xz74Hnr5afdciT5/view?usp=sharing</t>
  </si>
  <si>
    <t>ISRAEL OTALORA VERA</t>
  </si>
  <si>
    <t>ING. WILBER RICHARD CARRILLO PADILLA</t>
  </si>
  <si>
    <t>PROYECTO DE FACTIBILIDAD PARA EL DESARROLLO DE CONCENTRADO DE TOMATE Y CONCENTRADO DE AJÍ  PARA LA EMPRESA CORDILL S.A.</t>
  </si>
  <si>
    <t>isra7otalora@gmail.com</t>
  </si>
  <si>
    <t>IND-814-2016</t>
  </si>
  <si>
    <t>Concentrado, Pasta, Pure, Grados Brix, Solidos Solubles, Cuadro Sinóptico, Cuadro Analítico,  VAN, TIR.</t>
  </si>
  <si>
    <t>El proyecto que tiene como objetivo el desarrollo de una nueva línea de productos en conserva (concentrado tomate  y concentrado de  ají), el trabajo se realizó dentro las instalaciones de la Corporación Industrial Dillmann S.A (Cordill S.A)  durante 6 meses.Se inicia el proyecto con un relevamiento de toda la información secundaria de este tipo de productos, para conocer el producto a desarrollar, su competencia en el mercado, la materia prima e insumos necesarios y el proceso productivo para luego elaborar el proyecto y determinar su factibilidad social y financiera.Una vez que se tuvo conocimiento sobre los productos concentrados de tomate y ají, se procedió a realizar  un estudio de mercado, donde se identificó como consumidores potenciales  a todos los hogares de la provincia Cercado del departamento de Cochabamba, el relevamiento de la información se la realizo  mediante información primaria a través de encuestas dirigidas a  madres de familia quienes son las que realizan la compra de este tipo de producto, la muestra fue de 384 encuestas distribuidas en los 4 puntos cardinales de la provincia Cercado. Del estudio se determinó la demanda potencial, la oferta que se tiene en el mercado, los competidores, el precio que se marca y las preferencias de compra del consumidor en cuanto a producto, precio, promoción y plaza.A partir del estudio se determinó el  programa de ventas para un horizonte de 10 años,  en base al 15%  de cobertura de la demanda potencia de concentrado de tomate y 10% de la del concentrado de ají para el año 1, meta fijada por el departamento comercial de la empresaUna vez proyectado los volúmenes de venta para los próximos 10 años, se realizó un análisis de la disponibilidad de materia prima, material e insumos requeridos para el proyecto, se tomó contacto con proveedores de tomate de la localidad de Saipina en Santa Cruz y proveedores de ají de la localidad de Padilla en Chuquisaca, estas son las principales zonas de producción de tomate y ají en cuanto a  calidad, costo  y disponibilidad. De acuerdo a los volúmenes proyectados de venta y los  de materia prima e insumos se realizó el estudio del tamaño de producción de la planta, para lo cual se determinó las máquinas y equipos necesarios para la elaboración de los productos, determinado la capacidad máxima de producción, el cual es 461.824 Uds. /año.Una vez concluida la determinación de las máquinas y equipos necesarios para el desarrollo de los concentrados, se identificó los procesos productivos a partir de flujogramas, cuadros sinópticos, analíticos y un balance de masa, en esta etapa del proyecto también se definió el layout de planta y la cantidad de mano de obra necesaria.En la  última etapa del proyecto, se realizó la evaluación financiera para determinar si el proyecto es factible, se determinó la inversión necesaria en activos fijos, activo diferido y capital de trabajo. Se realizó una simulación en estado de resultados y flujo de caja del proyecto considerando ingresos, costos de producción, gastos operativos, depreciación de activos. La simulación se la realizo para un proyecto con financiamiento y sin financiamiento de donde se concluyó que el proyecto con financiamiento arroja indicadores financieros más atractivos por lo  que se debe optar por contar con financiamiento bancario.</t>
  </si>
  <si>
    <t>https://drive.google.com/file/d/1GhuBgBQWNCY8S6rsodNrPqRQcGpz4b74/view?usp=sharing</t>
  </si>
  <si>
    <t>https://drive.google.com/file/d/1HZDV3_ww8z4WmJ-nVUbe7wPhNmCX6TD0/view?usp=sharing</t>
  </si>
  <si>
    <t>https://drive.google.com/file/d/1a3c0_gaQTDbkWkbTcB_W21A5SC20Ot4B/view?usp=sharing</t>
  </si>
  <si>
    <t>AYALA PACHECO LEONELA CARMIN</t>
  </si>
  <si>
    <t>VANESA VELIZ CONDORI</t>
  </si>
  <si>
    <t>ING. MAX ABECIA</t>
  </si>
  <si>
    <t>ESTUDIO DE FACTIBILIDAD PARA IMPLEMENTAR UNA PLANTA PRODUCTORA DE MANGA ROSA EN CONSERVA</t>
  </si>
  <si>
    <t>carmin_ap@hotmail.com</t>
  </si>
  <si>
    <t>IND-815-2016</t>
  </si>
  <si>
    <t>Producción mango rosa, Almíbar, Temporadas de Producción, Evaluación Financiera, Análisis sensibilidad, Evaluación Impacto Ambiental</t>
  </si>
  <si>
    <t>Se realizó una investigación de Mercado en la provincia cercado del  departamento de Cochabamba, La manga rosa en conserva  ofrece al consumidor una buena alternativa para su dieta alimentaria y favorecer al organismo, Se determinó la demanda insatisfecha de manga rosa en conserva, como también se determinó la proyección de la demanda del departamento de Cochabamba. Posteriormente se definió el tamaño de la planta considerando que la empresa busca abarcar un 33% del mercado inicial de hongos frescos produciendo el primer año 359.403 Kg/mes. para el primer año.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Sacaba del departamento de Cochabamba. Se definió un tamaño de 1326 mt2 para la planta. El estudio organizacional fue realizado para la planta definiendo el diagrama organizacional, las funciones de cada trabajador y las planillas de salarios.La evaluación financiera, mostro que el producto es viable siempre y cuando los concentrados a aplicar cumplan con las exigencias necesarias, Por ser una empresa nueva se realizaron inversiones de activo fijo, activo diferido y se consideró las depreciaciones correspondientes para cada activo.En la evaluación financiera realizada, se pudo constatar que el proyecto es rentable, reportando los siguientes resultados. Se definió una inversión total de 2.669.144 $us. Para todo el proyecto definiendo un 60% de aporte propio y un 40% de financiamiento. La recuperación del capital fue determinado en un periodo de 4 años.VAN = 437.677 Bs.TIR =  26%B/C = 1.47Mediante el análisis de sensibilidad se pudo verificar que el proyecto tiene mayor susceptibilidad en el incremento del precio de materia prima.La evaluación de impacto ambiental social concluye que el proyecto es ecológicamente compatible, por lo que tiene impactos negativos en una escala baja. Con el proyecto se pretendió ofrecer un nuevo producto y darle un valor agregado a la manga rosa, también generar más empleos e incentivar la producción de la fruta  en las diferentes localidades de producción.</t>
  </si>
  <si>
    <t>https://drive.google.com/file/d/1VeeeQBxWodlY90so3IXS6kdBvkybDQhZ/view?usp=sharing</t>
  </si>
  <si>
    <t>https://drive.google.com/file/d/1qfd-FAjf9WZfv7G5Xs-3Z2u4QrM-zR4k/view?usp=sharing</t>
  </si>
  <si>
    <t>https://drive.google.com/file/d/15i6Vs8cEVXsqjKZvbuZRrdLikey4PfWX/view?usp=sharing</t>
  </si>
  <si>
    <t>RUTH MÓNICA MENDOZA ALVARADO</t>
  </si>
  <si>
    <t>PROPUESTA DE UN MODELO DE MEJORA CONTINUA BASADO EN UN SISTEMA DE GESTIÓN DE CALIDAD SEGÚN NORMA ISO17025:2005 PARA LA UNIDAD DE LABORATORIO DE MEDIDAS DE ELFEC S.A.</t>
  </si>
  <si>
    <t>rm_ma@outlook.es</t>
  </si>
  <si>
    <t>IND-816-2016</t>
  </si>
  <si>
    <t>Propuesta de un Modelo de Mejora Continua basado en un Sistema de Gestión de Calidad según norma ISO17025 para LABMED de ELFEC S.A.</t>
  </si>
  <si>
    <t>El desarrollo de este proyecto surge a partir de la necesidad de controlar eficientemente las etapas del proceso de servicios al cliente para la Unidad de Laboratorio de Medidas - LABMED de la empresa ELFEC S.A.; a través de la propuesta de un modelo de mejora continua de sus procesos de acuerdo a un Sistema de Gestión de la Calidad en base a las norma NB/ISO/IEC 17025:2005. Se recopiló información sobre las actividades que se realizan en la Unidad de Laboratorio de Medidas mediante un relevamiento de todos los procesos, para posteriormente mediante reuniones con el supervisor y todo el personal que conforma el laboratorio proponer la tormenta de ideas y tener la evidencia de las falencias del sistema de gestión aplicando la norma. Así también se efectúo un árbol de problemas para la identificación del problema central, luego se realizó el diagnóstico de la situación actual mediante una lista de verificación para definir el cumplimiento de los requisitos de la norma. Una vez determinadas las ideas principales, las entrevistas al personal técnico y administrativo del laboratorio y la recopilación de información necesaria de gestiones anteriores sobre el manejo del sistema de gestión de calidad nos permiten diagnosticar en primera instancia las necesidades de mejora. La información recabada sobre los procesos y su interrelación, la información contenida en el árbol de problemas y los resultados del diagnóstico inicial, fueron los referentes para la redacción y actualización de los procedimientos e instructivos y el Manual de Calidad para la Unidad, en el cual se definen y describen la política y objetivos de calidad. Finalmente, se hizo un análisis de Costo-Beneficio para la implementación del SGC por lo visto y de acuerdo en el capítulo 9 le convendría implementar y mejorar los requisitos de acuerdo a la norma con respecto a todas las actividades que desarrolla en el laboratorio. Todo lo anterior en conjunto, permitirá hacer un seguimiento y evaluación del desempeño de la Unidad y de su Sistema de Gestión, de modo que la mejora continua sea parte de la cultura organizacional de la Unidad de Laboratorio de Medidas. De esta forma, el Sistema de Gestión de la Calidad propuesto se constituye en el marco de referencia sobre el cual podrán gestionarse e implementarse alternativas, acciones correctivas o proyectos de mejora, que le permitirán a la Unidad - LABMED potenciar sus fortalezas, suministrando al mismo tiempo un servicio que satisfaga totalmente las expectativas del cliente final.</t>
  </si>
  <si>
    <t>https://drive.google.com/file/d/1HZjYAZPtnYNHwyu-UfIAOihTghKzafIV/view?usp=sharing</t>
  </si>
  <si>
    <t>https://drive.google.com/file/d/1E_pXL8PWrsVcMBQVprbx8WvqeX-AxbJi/view?usp=sharing</t>
  </si>
  <si>
    <t>https://drive.google.com/file/d/1g8FRN2_V1kikfZILLOYh5Q9RZAti5PBy/view?usp=sharing</t>
  </si>
  <si>
    <t>LUIS APAZA ESCOBAR</t>
  </si>
  <si>
    <t>DISENO DE UN PLAN ESTRATEGICO DE COMERCIALIZACION PARA LA NUEVA LÍNEA DE PRODUCCION DE LA EMPRESA INPASA</t>
  </si>
  <si>
    <t>luchoae@gmail.com</t>
  </si>
  <si>
    <t>IND-817-2016</t>
  </si>
  <si>
    <t>Industria Panificadora INPASA, Comercialización, Plan Estratégico, Indicadores de control, Evaluación Financiera, Cochabamba.</t>
  </si>
  <si>
    <t>INPASA es una empresa tradicional en la Ciudad de Cochabamba, cuyos productos estrella son el paneton y la rosca dulce de frutas, siendo estos productos estacionarios y el resto de la temporada realizando contratos de desayuno escolar con escuelas y colegios del valle bajo.Ante la necesidad de mejorar la productividad de la empresa se vio la necesidad de mejorar los lineamientos bajo los cuales la empresa continuaba su crecimiento ya que tiene pensado lanzar un nuevo producto al mercado (pan molde), para ello se analizaron varios aspectos inherentes a la misma tanto por dentro como fuera, dando como resultado el aprovechamiento de la fortalezas para minimizar debilidades y por otro lado explotar oportunidades para hacer frente a las amenazas presentes en el medio de la panificación.Dado que se quiere incursionar con un nuevo producto en un mercado bastante competitivo, se realizó una investigación de mercados el cual permitió identificar todas y cada una de las variables que la empresa deseaba conocer por parte del consumidor final y de esa forma elaborar un producto que esté acorde a estos requisitos investigados y satisfaga las necesidades de los mismos, todo esto mediante el cálculo del número de muestra poblacional referente a la Ciudad de Cochabamba, el ensayo con pruebas piloto y finalmente con la encuesta final.Una vez identificado el perfil del consumidor, se realizó la evaluación en fases a la empresa puesto que con este procedimiento encontraremos varias estrategias que se adecuaron al objetivo que persigue el proyecto, se seleccionaron las estrategias más relevantes mediante una matriz de ponderaciones en función a factores críticos clave.Con las estrategias seleccionadas se adecuaron los mismos para desarrollar sus respectivos planes estratégicos y dentro de los mismos sus las líneas estratégicas, para desarrollar cada una de las actividades que se llevaran a cabo, de acuerdo a cronogramas y presupuestos estimados según se realizó el proyecto, donde se determinaron los objetivos que persiguen cada plan y también los procesos encargados de llevar a cabo el mismo.Las estrategias que  fueron elegidas y posteriormente desarrolladas en sus mínimas actividades para cumplir con el objetivo, fueron adecuadas a al concepto de comercialización, verificando si cumplieron con los establecido, ya que en este caso de las estrategias indicadas solo dos entraban en el concepto anteriormente mencionado y el tercero debido a su naturaleza de origen no fue así, pero también ayudo bastante a cumplir con el objetivo del proyecto de grado.La elaboración de indicadores de control en el proyecto de grado permitió, el control del proceso en función a factores clave determinados, donde uno o más indicadores fueron los seleccionados para guiar y evaluar constantemente dicha actividad, en los cuales se detalló la formula con la cual se ha de estimar y medir los resultados a encontrar, también los límites con los que se trabajara para tenerlos como alertas en caso de desviaciones establecidas para la organización, dichos indicadores no son estáticos, estos pueden cambiar sus parámetros de evaluación y si fuese el caso también los componentes con los que trabaja.La evaluación financiera fue trabajada en función a los ingresos, egresos e inversiones que tuvo el proyecto, y de esa forma se estimó mediante conceptos de rentabilidad, utilidad y beneficios valores que permitieron a la empresa tomar decisiones para la implementación de la nueva línea de producción, dando como resultado valores positivos y aceptables de acuerdo a lo que estableció la empresa.</t>
  </si>
  <si>
    <t>https://drive.google.com/file/d/1fe5Q1dlcseXBAUQn2ttUJNa_ErFka26F/view?usp=sharing</t>
  </si>
  <si>
    <t>https://drive.google.com/file/d/1irdr7Z0BQJfIichPb3wblh8AVTk5mWL9/view?usp=sharing</t>
  </si>
  <si>
    <t>https://drive.google.com/file/d/1sf1C0_KAGvxU2Bt-PrKSpw3cCI3DI61f/view?usp=sharing</t>
  </si>
  <si>
    <t>MARIA ELIANA PEREZ ROBLES</t>
  </si>
  <si>
    <t>PLAN ESTRATÉGICO DE MARKETING PARA LA COMERCIALIZACIÓN DE QUESOS PARA INDUSTRIAS LÁCTEAS DEL VALLE ALTO ILVA</t>
  </si>
  <si>
    <t>melianapr@gmail.com</t>
  </si>
  <si>
    <t>IND-818-2016</t>
  </si>
  <si>
    <t>Marketing, comercialización, publicidad, marketing mix.</t>
  </si>
  <si>
    <t>La empresa ILVA Ltda. es una marca conocida a nivel regional lo cual se debe aprovechar para el lanzamiento de la nueva línea de quesos llamada IDEAL, se producirá tres tipos de quesos: fresco, Edam y mozzarella.Realizando un análisis interno de ILVA Ltda. una de las fortalezas más sobresalientes es que es una marca conocida a nivel regional lo cual favorece positivamente a ILVA Ltda. tomando en cuenta las debilidades una que nos preocupa mucho es que es una marca percibida como producto de baja calidad, para ello se realizara un plan de acción que será establecer una diferenciación en cuanto a calidad y precio para penetrar en el mercado.El análisis externo nos da como resultado que se tiene una amenaza menor, una oportunidad que se debe aprovechar es el ingresar a nuevos mercados potenciales y una amenaza fuerte que se tiene es la alta rivalidad entre competidores.Se realizó también un estudio de mercado donde se pudo ver que la empresa ILVA Ltda. ocupa un tercer lugar con un porcentaje muy bajo dentro de las marcas preferidas por los consumidores, y que uno de los quesos preferidos es el queso mozzarella el cual se incluirá en la nueva línea de quesos IDEAL.Se formularon las estrategias de posicionamiento y marketing mix para la nueva línea, a la cual se denominó IDEAL.Finalmente se realizó el análisis financiero del proyecto, determinado las inversiones necesarias, el presupuesto de marketing y generando el estado de resultados y el flujo de caja del proyecto, donde los indicadores son: TIR = 18,7%, VAN = 167.876 $us y R B/C = 1,82 con lo cual se demuestra que el proyecto es rentable y por lo tanto recomendable invertir.</t>
  </si>
  <si>
    <t>https://drive.google.com/file/d/1b7F_cpeviQIO3eL4HFov-1-8DQJoIOVa/view?usp=sharing</t>
  </si>
  <si>
    <t>https://drive.google.com/file/d/1u_axFEuJdpKOo7_PGTXlp2f-cTRUE3Dg/view?usp=sharing</t>
  </si>
  <si>
    <t>https://drive.google.com/file/d/1Ou0ati84q_Jh5HPPdWkexDLHwnsiVt6F/view?usp=sharing</t>
  </si>
  <si>
    <t>ZORAIDA AYMA MARZA</t>
  </si>
  <si>
    <t>MSC. CARLOS JAVIER COSÍO PAPADOPOLIS</t>
  </si>
  <si>
    <t>ESTUDIO TÉCNICO Y ECONÓMICO PARA LA AMPLIACIÓN Y OPTIMIZACIÓN DE LA PRODUCCIÓN CON NUEVOS DISEÑOS EN MUEBLES COMEDORES DE HOGAR PARA LA MUEBLERÍA FABEUG.</t>
  </si>
  <si>
    <t>zoraidayma@gmail.com</t>
  </si>
  <si>
    <t>IND-819-2016</t>
  </si>
  <si>
    <t>Nuevos diseños en muebles comedores de hogar en base al método QFD y solidwork.</t>
  </si>
  <si>
    <t>“Estudio técnico y económico para la ampliación y optimización de la producción con nuevos diseños en muebles comedores de hogar para la mueblería FABEUG”, tiene el propósito de industrializar el producto de muebles comedores de la micro-empresa FABEUG, de esta manera sea una empresa reconocida a nivel nacional en el rubro de muebles. Actualmente la micro-empresa desarrolla sus actividades productivas en el municipio de Sipe-Sipe pero con una baja competitividad y desarrollo productivo. Los muebles comedores en el medio son un producto indispensable en hogares de familia, así también de acuerdo transcurre el tiempo el producto se deteriora y las expectativas de los clientes con respecto al mueble comedor cambian, es por ello que se propuso ampliar la producción y diseñar nuevos modelos de muebles comedores de acuerdo a las expectativas del cliente.El mercado objetivo del estudio son las familias de la capital de Cochabamba. A través del diseño de investigación del tipo descriptivo con procedimientos de recolección de datos por medio de encuestas y considerando el procedimiento de muestreo aleatorio se determinó el tamaño de la muestra para el cercado de 322 encuestas, capital del departamento de Cochabamba.Se realizó tres modelos de muebles comedores, cuyos nuevos diseños se estableció para el estudio, los mismos se producirán en cantidades equitativas. Es importante mencionar que la mueblería solo producía muebles comedores metálicos (los muebles metálicos constituyen de tubo, madera, formica y tablero) pero con las nuevas especificaciones o requerimientos del cliente el mueble comedor son de estilo clásico cuyo estilo se constituye de madera más que de cualquier otro material y el estilo moderno se caracteriza por ser de vidrio templado pero en este estilo de mueble también predomina la madera. Finalmente estos muebles comedores tienen como característica principal ser extensibles.La evaluación analítica se realizó para la optimización del proceso productivo, la evaluación analítica es un método que se apoya en la experiencia del operario, en el cursograma analítico, en el estudio de tiempos y el balanceo de línea. De acuerdo al método se pudo realizar una producción que pueda satisfacer la demanda y por lo tanto pasar de una producción artesanal a una producción industrial.  La evaluación financiera del proyecto, obtuvo los siguientes resultados: la tasa interna de retorno es 45%, el valor actual neto es $us 91.732 y posteriormente la relación beneficio costo es 1,1. Los tres indicadores de viabilidad indican que el proyecto es rentable.</t>
  </si>
  <si>
    <t>https://drive.google.com/file/d/1gkbicZQxw49m3vvV8Cu_iVjAPnVTrEpg/view?usp=sharing</t>
  </si>
  <si>
    <t>https://drive.google.com/file/d/1GsMnwMat69PQBxP9hfah_msNQbHV46WS/view?usp=sharing</t>
  </si>
  <si>
    <t>https://drive.google.com/file/d/15Q_899FmMXqz0Rpisa6lh556L56WHqgY/view?usp=sharing</t>
  </si>
  <si>
    <t>DAGA ZENTENO DANIEL</t>
  </si>
  <si>
    <t>ING. ALEX D`ANGCHELO CHOQUE FLORES</t>
  </si>
  <si>
    <t>ESTUDIO PARA MEJORAR LA CALIDAD Y LA PRODUCTIVIDAD EN LA EMPRESA NUEVA ERA, CON LA APLICACIÓN DE LAS HERRAMIENTAS DE MANUFACTURA ESBELTA</t>
  </si>
  <si>
    <t>ddz_daniel@hotmail.com</t>
  </si>
  <si>
    <t>IND-820-2016</t>
  </si>
  <si>
    <t>Calidad, productividad, Manufactura Esbelta, Ingeniería de métodos, Justo a tiempo, Kanban, Poka-yoke, Andon, Jidoka, 5´S Japonesas, indicadores de control, Diagnóstico, Capacitación, procesos.</t>
  </si>
  <si>
    <t>El estudio para mejorar la calidad y la productividad en la empresa Nueva Era se realizó empezando por conocer la empresa formulando el marco teórico y la descripción de los procesos generales. Teniendo que el estudio técnico-económico se realizó en el sistema de producción de colchones Nueva Era, teniendo como problema central la deficiencia en la calidad y la productividad, solucionando este problema con la aplicación de un programa de Manufactura Esbelta.Se realizó el diagnóstico integral de la calidad y la productividad, obteniendo que los defectos prioritarios son el ribeteado del colchón, el estado de los colchones y los inventarios en proceso, en cuanto a la productividad se obtuvo un 75% en relación a factores críticos para diagnosticar.La Ingeniería de Métodos determino mediante métodos y estándares que se pueden producir 220 colchones al mes cumpliendo con la demanda del mercado con un rendimiento de 39 min por colchón, y con el método propuesto se podrá obtener 240 colchones por mes y con la reducción de elementos que no agregan valor al producto.La implementación correcta de los demás métodos se obtendrá áreas limpias y ordenadas, basadas en estándares, y diseño de puestos de trabajo basados en la ergonomía para reducir inventarios y prevenir defectos a través de mecanismos de prevención de errores.Con el programa 5S Japonesas además de mantener las áreas limpias y ordenadas, se implantó un sistema de motivación para seguir la disciplina en esta herramienta. Con el programa Justo a tiempo se relacionó a todas las demás herramientas para generar calidad en la fuente, un sistema de halar y desarrollo de proveedores, y mediante un análisis de valor agregado reducir todo lo que no agregue valor al producto, reduciendo 63 actividades, de las cuales la mayoría son inspecciones y almacenamientos innecesarios. Con el programa Kanban se producirá justo lo necesario y en el tiempo adecuado mediante tarjetas y la prevención de errores, para esto se implementó un programa para reaccionar ante dificultades como un mecanismo visual Andon, y un mecanismo de prevención de errores Poka-yoke, controlando al 100% la calidad con el programa Jidoka.En cuanto a las evaluaciones económicas y financieras del proyecto que a través de realizar una comparación del método actual con el propuesto en reducir costos que no agregan valor, reducir tiempos innecesarios, costos de paro de maquinaria y retrabajos, reducción de inventarios en proceso, y la nueva producción de colchones se obtuvo los siguientes resultados en un impacto económico favorable, VAN=Bs 338,596.00 ; TIR=30.76 ; B/C=8.47.Teniendo en cuenta que si se implementa correctamente el programa se obtendrá buenos resultados, basados en una correcta capacitación de todas las herramientas de Manufactura Esbelta a todas las personas involucradas en su participación y beneficios. Finalmente los cambios globales son rápidos e impredecibles, las herramientas de Manufactura Esbelta deben adecuarse y retroalimentarse a la información y llegar a una mejora continua.</t>
  </si>
  <si>
    <t>https://drive.google.com/file/d/1aAp_wRnvNIH3A28qsWNhaEBXcu0GZtva/view?usp=sharing</t>
  </si>
  <si>
    <t>https://drive.google.com/file/d/1qCjP_K271OmhGRGrdVFSgfk26-q26eXH/view?usp=sharing</t>
  </si>
  <si>
    <t>https://drive.google.com/file/d/1bAsqy_0lM-8wcFn9swHkIIBQCMXx5DWu/view?usp=sharing</t>
  </si>
  <si>
    <t>ARIEL COLQUE LAZARTE</t>
  </si>
  <si>
    <t>LADY ROCIO OJALVO FLORES</t>
  </si>
  <si>
    <t>ESTUDIO DE FACTIBILIDAD PARA LA IMPLEMENTACIÓN DE UNA PLANTA ELABORADORA DE BOLSAS Y SACOS DE PAPEL A PARTIR DE PAPEL RECICLADO EN LA CIUDAD DE COCHABAMBA</t>
  </si>
  <si>
    <t>arka_pro_2006@hotmail.com</t>
  </si>
  <si>
    <t>IND-821-2016</t>
  </si>
  <si>
    <t>Planta elaboradora de Bolsas y Sacos de papel reciclado, Demanda, KRAFTBOL, Estudio de Factibilidad, Importación, Tiquipaya.</t>
  </si>
  <si>
    <t>El Estudio de Factibilidad para la Implementación de una Planta Elaboradora de Bolsas y Sacos de Papel a partir de Papel Reciclado en la ciudad de Cochabamba tuvo como objetivo principal determinar la factibilidad técnica, financiera y ambiental, de tal manera que se determinó la viabilidad de efectuar inversiones en la instalación de la planta de bolsas y sacos de papel. Primeramente, se realizó un estudio de mercados a los consumidores y ofertantes de las bolsas y sacos de papel, determinando que existe una demanda por parte de los consumidores. Además, se determinó el perfil del consumidor y las estrategias de comercialización. Asimismo, la materia prima papel kraft marrón se importó del país de China. El proyecto se ubicó en el municipio de Tiquipaya distrito 6. El tamaño del proyecto fue estimado de acuerdo a la demanda de la población objetivo (rubro comercial, farmacéutico e industrial), el primer año se comenzó con una producción del 50 % hasta llegar a su totalidad de la capacidad instalada.Así mismo se realizó los cálculos para la importación de la maquinaria que ayudo para la elaboración de dichos productos, tomando en cuenta la infraestructura y la distribución de planta. Por otro lado, se ilustro el organigrama de la empresa, expresando la ubicación jerárquica del personal a contratar y las funciones que debe de realizar cada miembro de la empresa, que tendrá un funcionamiento organizado desde la gerencia hasta incluso los operarios.En cuanto al análisis financiero se determinó que la implementación de la planta nos generó una gran rentabilidad para los inversionistas con los siguientes indicadores: VAN de 130.155,54 Bs. con financiamiento bancario por parte del Banco Unión, la TIR de 26% y la relación B/C  es 3,1 Y por último se sometió a un análisis de sensibilidad, a las variables más influyentes como: costo de la materia prima, crecimiento de la demanda y el precio de venta de los productos siendo las variables más sensibles del proyecto, con lo cual se estableció que la empresa puede soportar cualquier variación en estos puntos.Se tomó en cuenta el análisis del medio ambiente, donde el proyecto se encuentra en la categoría 3 donde no se requiere una evaluación ambiental específica, los daños ambientales fueron en la fase de construcción de la planta; en la fase de operación el desecho de mayor cantidad fue el papel kraft marrón que es reciclado.</t>
  </si>
  <si>
    <t>https://drive.google.com/file/d/1aU2Cz8C_IDj3nnMbjZi9ox74pXfjerE1/view?usp=sharing</t>
  </si>
  <si>
    <t>https://drive.google.com/file/d/1k1U8I5b_Ws5G5QgfuaRFhN9bQHA_Vmfy/view?usp=sharing</t>
  </si>
  <si>
    <t>https://drive.google.com/file/d/1NnBLqVYbsGb-sF_yqoZADscStn90cVYU/view?usp=sharing</t>
  </si>
  <si>
    <t>JUAN GUALBERTO LINARES GUEVARA</t>
  </si>
  <si>
    <t>ESTUDIO DE LA DEMANDA DE MERCADOS INTERNACIONALES Y LA CAPACIDAD PRODUCTIVA  EN JEANS  CASO EMPRESA “HAMMER JEANS”</t>
  </si>
  <si>
    <t>jg_ark2@hotmail.com</t>
  </si>
  <si>
    <t>IND-822-2016</t>
  </si>
  <si>
    <t>Demanda de Mercados Internacionales y la Capacidad Productiva Para Exportar la Cantidad Deseada</t>
  </si>
  <si>
    <t>En la gestión 2015 Bolivia creció económicamente un 4.0%. En los últimos años el sector textil y confecciones decreció un 2%, según los datos de Instituto Boliviano de Comercio Exterior (IBCE).En el primer trimestre de la gestión 2016 los departamentos exportadores de confecciones textiles son La Paz 93,6%, Cochabamba 3,8%, Santa Cruz 2,5%  y Tarija 0,1%. Se exporto a los países Argentina 15%, Chile 14%, Dinamarca 14%, Perú 6%, Estados Unidos 6% y al resto de los países 36%.La empresa Hammer jeans se dedica a la confección y comercialización de prendas en jeans tanto como ropa casual para hombres, mujeres y niños, los mayores ingresos que tiene la empresa es la producción de ropa de trabajo para empresas, confeccionado según normas de seguridad.Durante las gestiones 2012, 2013 y 2014 a la República Bolivariana de Venezuela cantidades, haciendo contratos con empresas para realizar la exportación de prendas en jeans para hombres y mujeres de alta calidad.Se realizó un estudio de exportación para la empresa analizando el proceso legal de exportación en caso de prendas de vestir, la relación comercial y acuerdos que Bolivia tiene con el mundo haciendo un estudio sobre los tratados con las que la empresa pueda beneficiarse.Se analizó la capacidad de producción y de la cantidad de prendas en sus distintos productos que se produce al día y al mes, se reestructuro la organización de la empresa denotando sus actividades de cada área en la que cada componente de la empresa se desenvuelve.Para determinar la a que país se debe exportar se realizó el estudio de la demanda en la que se tomó como criterios para el análisis de los mercados los siguiente:La exportación realizada por Bolivia a los países del mundo registrados durante las últimas gestiones y los primeros trimestres del 2016.Los mayores importadores del mundo registrado en las últimas gestiones y los primeros trimestres del 2016.La relación comercial, acuerdos y tratados con las que Bolivia tiene con el mundo.De acuerdo al análisis se determinó los siguientes países Chile, Perú y Brasil como mercados a analizar los datos cuantitativos y cualitativos como ser la economía la situación y el PIB, la información demográfica mediante los últimos censos realizados en cada país.Los datos cualitativos análisis del producto mediante el marketing mix, el producto la partida arancelaria y estudios de mercados realizados por empresas en jenas que demuestran que la exigencia de los clientes al momento de la compra prefieren por los diseños, calidad y otros atributos. El precio se tomó como base a los precios que se ofrecen en tiendas virtuales en los que se determinó un precio estándar para analizar la competitividad. La plaza el análisis como se distribuyen los productos y como las personas prefieren adquirir el producto en el caso de chile que la gran mayoría del mercado masculino prefiere realizar las compras mediante tiendas online.La promoción para realizar la exportación la empresa debe conocer cómo puede ofertar el producto y realizar las ventas foráneas a sus clientes.En este estudio también se analizó las normas legas de la prenda en la que la empresa debe adecuarse como el etiquetado, idioma, costuras y tipo de telaLuego del análisis se procedió al análisis comparativo en la que se determinó la demanda como resultado Brasil, para el mercado de los hombres dado en porcentaje como resultado 3,31% seguido del mercado femenino de Brasil con 3,26%Las estrategias para llegar a un cliente se analizaron la estrategia de tercializacion que consiste en exportar prendas de calidad sin el terminado de los diseños y efectos que se le da a los jeans.Otra de las estragáis que recientemente se lanzo es la rueda de negocios virtuales en la que el exportador como el importador interactúa mediante la red.Mediante el análisis de cadena de distribución internacional (DFI) se determinó los precios para la venta del producto a los mayoristas, minoristas, tiendas de ropa y al cliente final, también se puede ver los ingresos por ventas analizando los costos de transporte.</t>
  </si>
  <si>
    <t>https://drive.google.com/file/d/1oDK7b5qtWMaV_OpX85dFuN2VIryqMhHd/view?usp=sharing</t>
  </si>
  <si>
    <t>https://drive.google.com/file/d/1OZDP_4rrhPKOeJ5SVtgi-LFKr9A9Bnsu/view?usp=sharing</t>
  </si>
  <si>
    <t>https://drive.google.com/file/d/1saE4aLQ_LptyyCq15YhIIbZMjKN3_yDs/view?usp=sharing</t>
  </si>
  <si>
    <t>MARIA DEL CARMEN ALEGRE VASQUEZ</t>
  </si>
  <si>
    <t>ING. DANNY HERBAS RIVERA</t>
  </si>
  <si>
    <t>IMPLEMENTACION Y DISEÑO DEL PROGRAMA DE LAS 5´S, DENTRO EL CENTRO DE DISTRIBUCION LOGISTICO DE INDUSTRIAS DE ACEITE FINO S.A.</t>
  </si>
  <si>
    <t>alegre1205@hotamil.com</t>
  </si>
  <si>
    <t>IND-823-2016</t>
  </si>
  <si>
    <t>Centro de Distribución Logístico, Pre-pícking, Diseño de KPI´s, Metodología 5´S,  Metodología Matriz de responsabilidades (RACI).</t>
  </si>
  <si>
    <t>En este Trabajo Dirigido se buscó la forma de mejorar el proceso de prepicking para la preparación de las órdenes de carga para la Distribución Local.El Centro de Distribución Logístico de Industrias de Aceite FINO S.A., ha visto por conveniente realizar la implementación de la metodología de las 5´S japonesas dentro el área piloto. Debido a la existencia de lugares de trabajo donde se presentaba baja productividad y baja calidad a la hora de preparar las órdenes de carga para la Distribución Local.Primeramente, se realizó el diagnóstico del Centro de Distribución Logístico para conocer la situación actual antes de implementación. Se determinó que el proceso de prepicking dentro la cámara de unidades de productos alimenticios fue donde presentaba el problema para la preparación de los productos.Se realizó el estudio de tiempos y movimientos para determinar el tiempo de ejecución de las tareas cuando se preparar los productos según las ordenes de carga por cada pickinero.Se diseñó indicadores (KPI´s) para medir el éxito de lo implementado dentro el área piloto, como ser: Tiempo improductivo, Capacidad Disponible y Ambiente Laboral.También se realizó la capacitación del personal para tomar conciencia de la metodología de las 5´S con respecto a los beneficios que brinda su aplicación en cualquier área de trabajo. Se conformó al equipo de trabajo y al comité evaluador para  la implementación.En el último paso se procedió a la implementación de esta metodología de las 5´S en el área piloto. Se estableció un programa de las 5´S para la ejecución de seguimiento y control en otras áreas dentro la Industria de Aceite FINO S.A.Se estableció que de forma permanente se realizara el seguimiento y control de las áreas de trabajo para la mejora continua de la metodología 5´S cumpliendo la matriz de responsabilidades para operadores y administrativos.Como conclusión se tiene presupuestado el costo total de la implementación y los beneficios que se obtuvieron por  la aplicación de la metodología dentro el área piloto y otras áreas implementadas.</t>
  </si>
  <si>
    <t>https://drive.google.com/file/d/1WjS5jCztvKJtq7cUWWCNVf7mtCwn5P8-/view?usp=sharing</t>
  </si>
  <si>
    <t>https://drive.google.com/file/d/1KkA3mXJTihmkoQFNdEKnfX-E_iXFyGBL/view?usp=sharing</t>
  </si>
  <si>
    <t>https://drive.google.com/file/d/1aYUzwwwucikgfkBOWOBaJhQ_dZPvAVpj/view?usp=sharing</t>
  </si>
  <si>
    <t>DANIELA MILLÁN GARFIAS</t>
  </si>
  <si>
    <t>DIETER FERNANDO SEJAS LÓPEZ</t>
  </si>
  <si>
    <t>M. SC. ING. ALEX D’ ANGHELO CHOQUE FLORES.</t>
  </si>
  <si>
    <t>PLANIFICACIÓN ESTRATÉGICA Y OPERATIVA PARA LA EMPRESA CONFECCIONES ROSTLER.</t>
  </si>
  <si>
    <t>millangarfiasdaniela@gmail.com</t>
  </si>
  <si>
    <t>IND-824-2016</t>
  </si>
  <si>
    <t>Planificación Estratégica y Operativa, CONFECCIONES ROSTLER, Gestión Estratégica, textiles, indicadores de control.</t>
  </si>
  <si>
    <t>La empresa textil CONFECCIONES ROSTLER se dedica a la producción y comercialización de pantalones Jeans para mujer en lycra y algodón. Posee dos líneas de producción denominadas “Play Boy” y “Marriot” las cuáles se comercializan en los departamentos de La Paz y Cochabamba. El modelo de planificación y ejecución de actividades en la empresa presentaba un deficiente funcionamiento estratégico y operativo debido a la carencia de un sistema de control de procesos en la empresa, la falta de una estructuración empresarial a corto y largo plazo y el bajo conocimiento de la marca ofertada en el mercado.La empresa CONFECCIONES ROSTLER vio por conveniente la elaboración de un Plan Estratégico y Operativo a fin de mitigar el problema central y las causas que lo generaban.Para la ejecución del proyecto se realizó inicialmente un diagnóstico interno, donde se observó la falta de identidad y el incumplimiento de objetivos escasamente definidos por la falta de coordinación entre los procesos. Se procedió a la declaración de la misión, visión y cultura organizacional de la empresa para brindar una dirección en la operación de la misma. Además se formuló los objetivos enfocados al crecimiento del mercado y las utilidades de la empresa, la adecuada coordinación entre procesos y la satisfacción de expectativas gerenciales, los cuales desea alcanzar la empresa en un horizonte de trabajo de cinco años.Para ello, se evaluó internamente a cada uno de los procesos para identificar sus actividades y sus factores críticos de éxito, con lo cual se identificó las Fortalezas y Debilidades que posee la empresa. Se evaluó el ambiente externo de la empresa considerando el Entorno Económico, Político y legal, Tecnológico, Medio Ambiental y Competitivo considerando herramientas de la investigación de mercados. Posterior análisis desarrollado e obtuvieron las Oportunidades y Amenazas presentes para la empresa.Con el uso de herramientas de la Gestión Estratégica de empresas se determinó el posicionamiento de la empresa en el mercado, lo cual permitió identificar las estrategias orientadas al crecimiento y expansión, y la mitigación de los problemas existentes, además del aprovechamiento de las fortalezas y oportunidades identificadas. Se elaboraron los planes estratégicos enfocados en la en base a las estrategias identificadas y a los objetivos, considerando determinados gastos e inversiones a implementar resultado de las actividades a realizar en cada plan en un horizonte de operación y evaluaciónSe consideró la elaboración de sistemas de control para cada uno de los procesos de la empresa, a fin de mejorar sus actividades laborales y a su vez facilitar el cumplimiento de los planes estratégicos y los objetivos de la empresa.Se analizó la perspectiva financiera de la empresa considerando la implementación de los planes con lo cual se observó la factibilidad de la implementación de proyecto en la empresa.Finalmente, se elaboró el Plan Operativo Anual 2017 para la ejecución de los planes estratégicos en la empresa, cumpliendo así con los objetivos mencionados anteriormente.</t>
  </si>
  <si>
    <t>https://drive.google.com/file/d/1JTiHlOG7rl5chLb3UZDfv5c9cHzt8_AR/view?usp=sharing</t>
  </si>
  <si>
    <t>https://drive.google.com/file/d/1GwNaaMjcSLml2wf4wg7s4wByH6gtbnwV/view?usp=sharing</t>
  </si>
  <si>
    <t>https://drive.google.com/file/d/1ra6BwqjONqC-tuKYMhZYR4ZLnnprVtVw/view?usp=sharing</t>
  </si>
  <si>
    <t>ORELLANA VARGAS ANDREA MARGARITA</t>
  </si>
  <si>
    <t>ESTUDIO DE FACTIBILIDAD PARA LA INSTALACIÓN DE UNA PLANTA DE PRODUCCIÓN DE VINO A PARTIR DE CIRUELA EN COCHABAMBA.</t>
  </si>
  <si>
    <t>andreaorellana1@gmail.com</t>
  </si>
  <si>
    <t>IND-825-2016</t>
  </si>
  <si>
    <t>Factibilidad, Planta de producción de vino, Ciruela, Análisis Pestal,  Diagnóstico del entorno, despulpadora, Fermentación, Sedimentación, Clarificación, TIR, TREMA, Periodo de recuperación descontado.</t>
  </si>
  <si>
    <t>El presente proyecto se enfocó al estudio de factibilidad para la instalación de una planta de producción de vino a partir de ciruela en Cochabamba. El objetivo principal del mismo es demostrar técnica, económica, financiera y ambientalmente la instalación de la planta, establecer el alcance del proyecto, así como determinar los procesos tecnológicos a utilizarse para la producción del mismo. El desarrollo de nuevos productos en el mercado es la tendencia de oferta y consumo en el mundo; alimentos, vestimenta, etc. y no se puede dejar a un lado el caso de las bebidas, las oportunidades de venta surgen diariamente de manera que los fabricantes, productores y comerciantes aprovechan para poder desarrollarse en los negocios. Es por esta razón que se procedió a un estudio de mercado, en la provincia de Cercado en la ciudad de Cochabamba, se evaluó el número de personas que consumen vino y su preferencia en cuanto al gusto del mismo, precio, demanda, oferta; datos que sirvieron para determinar la demanda efectiva de vino de ciruela y la capacidad de la planta, este último calculado por medio del pronóstico y de acuerdo al crecimiento poblacional.Establecida la futura demanda se procedió a determinar el tamaño del proyecto, dimensionar la planta y localizarla. La materia prima es la ciruela, fruto del ciruelo y su principal insumo requerido para la elaboración del vino. Por medio de la ingeniería de proyecto se determinaron los procesos de elaboración del vino, también se determinó la maquinaria, equipos y herramientas a utilizarse en los diferentes procesos y la infraestructura de cada área de la planta, con los requerimientos exigidos por el mercado.Se estableció también el organigrama y las funciones del personal de la futura planta, además de establecer algunos requerimientos legales para su funcionamiento.Establecida la maquinaria, equipo, personal y materia prima, se establecieron los costos de funcionamiento de la planta así como los ingresos proyectados a obtenerse.En la evaluación ambiental se determinó según la categorización del proyecto que es ecológicamente aceptable. Con ayuda de los indicadores financieros se concluyó que la implementación de la planta desde el punto de vista financiero y técnico es factible en el departamento de Cochabamba.</t>
  </si>
  <si>
    <t>https://drive.google.com/file/d/1ag6J6vbcVd1onU737WtO8bTpaIxeSwwb/view?usp=sharing</t>
  </si>
  <si>
    <t>https://drive.google.com/file/d/1gAV70FK_7bKWLmvD1Ma-TOZt_mh3gbVW/view?usp=sharing</t>
  </si>
  <si>
    <t>https://drive.google.com/file/d/1raOBTOett-qdtnXpLrfZrG5YgPgzCA5f/view?usp=sharing</t>
  </si>
  <si>
    <t>VLADIMIR UREÑA FIEL</t>
  </si>
  <si>
    <t>ING.  ALEX CHOQUE FLORES</t>
  </si>
  <si>
    <t>ESTUDIO DE FACTIBILIDAD PARA LA IMPLEMENTACIÓN DE UN ASERRADERO EN BENI BAJO EL CUMPLIMIENTO DE NORMAS DE LA ABT.</t>
  </si>
  <si>
    <t>owenvladimir@outlook.com</t>
  </si>
  <si>
    <t>IND-826-2016</t>
  </si>
  <si>
    <t>Autoridad de Bosques y Tierras (ABT), Productividad, Aserradero, Bosques, Evaluación medio ambiental, PRI.</t>
  </si>
  <si>
    <t>Se realizó el estudio de Factibilidad para la Implementación de un aserradero, en Beni bajo el cumplimiento de las normas de la ABT, nace ante la necesidad de la obtención de madera dura que tiene el departamento de Cochabamba en Bolivia, que actualmente se encuentra agotado como recurso forestal. La falta de estudios e información hacen preguntarse sobre si es un momento adecuado para la migración de aserraderos al departamento Beni en busca de mejores oportunidades, para el sector maderero. Se comenzó el proyecto con una intensiva investigación de mercado, estudiando el mercado consumidor, proveedor, distribuidor y competidor, principalmente el de la provincia Quillacollo. Para determinar la existencia de una demanda insatisfecha para la madera dura, con el fin de conocer el perfil del consumidor, la estrategia comercial entre otros objetivos. El tamaño de la planta fue calculado por medio de pronósticos y el crecimiento esperado de captación de mercado a nivel Quillacollo como también con el ingreso del producto a las ciudades de Cochabamba. Con la información obtenida en este apartado se determinó también todos los materiales e insumos necesarios para llegar a proponer la ingeniería de proyecto que es la adecuada para producir. La localización fue obtenida a través de una evaluación cualitativa de puntos, donde se analizaron nueve micro-localizaciones, escogiendo el puntaje mayor, correspondiente al municipio de Riberalta, en Beni. La Ingeniería del proyecto se la realizó adecuando la tecnología de nuestro medio, comprendiendo los procesos desde el manejo de la tronca en patio hasta la producción de tablones de madera dura, todo esto siguiendo los procedimientos de rendimiento en aserrío que es indispensable el cumplimiento de la norma de la ABT. Para determinar la calidad del producto se requirió a las normas NHL cuyos factores de control para producir madera son: La humedad, el dimensionamiento y estado de la tronca. Se ilustró en un organigrama el personal y las funciones del equipo trabajador de la planta para constituir el organigrama jerárquico de la empresa.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R B/C y Recuperación del Capital. Se sometió el flujo a un análisis de sensibilidad para las variables más influyentes para ver el comportamiento en distintos escenarios que se podían dar. Con el estudio se concluye que el proyecto es rentable.  Finalmente se realizó una Evaluación de Impacto Ambiental dividiendo su análisis en las actividades de las etapas de ejecución y operación, en marco al cumplimiento de normas de la ABT. Se identificaron y valoraron los efectos potenciales para el proyecto concluyendo que el proyecto es también viable de manera ambiental. Se hizo un plan de mitigación para los efectos negativos siendo estos menores y controlables.</t>
  </si>
  <si>
    <t>https://drive.google.com/file/d/1UKwO77ky54hWFcpCt_JDfZU4efK3BMVz/view?usp=sharing</t>
  </si>
  <si>
    <t>https://drive.google.com/file/d/1V8KwWdKZ0pvvjSwrxeWx6AUcSW-Ns421/view?usp=sharing</t>
  </si>
  <si>
    <t>OLIVER GILDARO CASTRO PARIENTE</t>
  </si>
  <si>
    <t>DR. MARCOS LUJÁN PÉREZ</t>
  </si>
  <si>
    <t>ESTUDIO DE FACTIBILIDAD PARA LA INSTALACIÓN DE UNA FÁBRICA DE LADRILLOS EN EL DEPARTAMENTO DE TARIJA</t>
  </si>
  <si>
    <t>IND-827-2016</t>
  </si>
  <si>
    <t>Estudio de viabilidad, Ladrillo Extruido, Planificación Industrial, Proceso de Producción, Productividad, Evaluación económica.</t>
  </si>
  <si>
    <t>Primeramente se realizó una investigación de mercados en la ciudad de Tarija, determinando la oferta, la demanda, el perfil del consumidor, la competencia y canales de distribución. Determinando que no existe una demanda insatisfecha expectante, por lo que se decidió captar un 6% del mercado hasta el año 2022 y el 100% de la demanda insatisfecha a partir del 2023.También se realizó la descripción de la materia prima, sus requerimientos técnicos como: composición química, plasticidad, contracción y granulometría. Se determinó la disponibilidad, en cuanto a cantidad, calidad y costos de los mismos para satisfacer los requerimientos del plan de producción.Mediante el balance de la oferta-demanda y recopilando la información necesaria de las economías de escala referente al sector, se procedió al cálculo del tamaño óptimo del proyecto, siendo este el de 7.358.566 ladrillos/año, al mismo tiempo se estableció el programa de producción del proyecto.Una vez determinado el tamaño óptimo del proyecto se procedió a desarrollar los aspectos relacionados a producto, proceso y planta, identificándose los atributos técnicos del producto, los procedimientos necesarios para realizar el proceso de producción y  la maquinaria, equipos, tecnología y la infraestructura necesaria para llevar a cabo el proceso de producción del ladrillo.Se estableció la forma en que la fábrica de ladrillos estará organizada, los niveles jerárquicos y el personal que se requiere, al mismo tiempo se procedió con la elaboración del manual de funciones y procedimientos, de esta forma el personal sabrá que funciones debe de cumplir, que actividades debe de seguir y que apoyo deben de recibir en su puesto de trabajo.Se estableció las actividades previas a la fase de funcionamiento y puesta en marcha del proyecto, además de asignarles sus tiempos y sus recursos. Determinando así la ruta crítica además de generar previsiones con la finalidad de cumplir tiempos y optimizar el uso de recursosPosteriormente se preparó la información para poder realizar la evaluación financiera determinando un VAN de  755.986 y un TIR de 44,1%. También se realizó un análisis de sensibilidad tanto del precio como de la demanda alcanzando un decremento del precio de hasta 18,9%, y del volumen de producción de un 10,7%, puntos de inflexión a partir de los cuales el proyecto generaría perdidas. Se definió una inversión total de 893.483 $us para todo el proyecto definiendo un 20% de aporte propio y un 80% de financiamiento. La recuperación del capital fue determinado en un periodo de 10 años.</t>
  </si>
  <si>
    <t>https://drive.google.com/file/d/1BWUHR7jII_RHTUeSd-qFjasHIzep8wxm/view?usp=sharing</t>
  </si>
  <si>
    <t>https://drive.google.com/file/d/1NSuzG0QNCA8tRGQvRvYCTwn4VeX9yk9m/view?usp=sharing</t>
  </si>
  <si>
    <t>https://drive.google.com/file/d/1i1bwUhWJ7VyYMCoGAwAZ0n2z2QNtNe-D/view?usp=sharing</t>
  </si>
  <si>
    <t>ELIZABETH GUTIERREZ MAMANI</t>
  </si>
  <si>
    <t>ING. ELVA OMONTE RODRÍGUEZ</t>
  </si>
  <si>
    <t>PLAN DE SEGURIDAD E HIGIENE OCUPACIONAL PARA LA EMPRESA CONSTRUCTORA TÉCNICA ARANIBAR GARCÍA S.R.L.</t>
  </si>
  <si>
    <t>elizabeth_gutierrezm@hotmail.com</t>
  </si>
  <si>
    <t>IND-828-2016</t>
  </si>
  <si>
    <t>Seguridad industrial, Higiene Ocupacional, identificación y evaluación de riesgos.</t>
  </si>
  <si>
    <t>La empresa Constructora Técnica Aranibar García S.R.L., ha visto por conveniente realizar un estudio de Seguridad e Higiene Ocupacional para mejorar las condiciones de seguridad del personal, prevenir los accidentes de trabajo y enfermedades profesionales.Primeramente se realizó un diagnóstico de la situación actual a las fases de la obra, además se recabo la información realizando verificaciones a las distintas fases de la obra, e entrevistas  a los encargados de la empresa Constructora Técnica Aranibar García S.R.L., así también a los trabajadores de la empresa. Esta información permitió conocer las condiciones actuales de la constructora en cuanto a Seguridad.Concluido el diagnostico se procede a  la identificación de peligros en las fases que tiene la obra.Una vez identificado los riesgos existentes en las fases de obra, se realizó la  valoración de riesgos de la empresa Constructora Técnica Aranibar García S.R.L., teniendo las fases en la que hay mayores riesgos entre Moderados, Importantes e Intolerables son las fases de excavación, herramientas y maquinas, relleno y compactado de zanjas, esta identificación es fundamental para tomar acciones que permitan prestarle a la Seguridad la importancia que merece, posteriormente se establecieron medidas preventivas y/o correctivas para los peligros identificados.Se procedió a la elaboración del Plan de Seguridad e Higiene Ocupacional, el cual fue estructurado en 6 módulos: Organización de la Seguridad, programa de Equipo de Protección Personal, Prevención de Riesgos, programa de Capacitaciones, programa de Señalización y el Reglamento Interno.La Política de Seguridad fue elaborada asumiendo por una parte el compromiso de la empresa con la Seguridad de sus trabajadores de realizar su trabajo en forma segura, con ella se podrá implantar en cada uno de los trabajadores de la empresa la cultura de Seguridad, apoyando de esta manera al mejoramiento continuo en este ámbito.En la organización de la Seguridad se realiza la propuesta de la contratación de un jefe y un inspector de Seguridad, para contribuir con el mejoramiento de la minimización de los riesgos presentes, además de la creación del Comité Mixto, cumpliendo de esta forma con una de las exigencias de la Ley General de Higiene, Seguridad Ocupacional y Bienestar.En dicha Organización de la Seguridad también se planteó la elaboración del formato de registros de accidentes que permiten obtener la información respecto a los accidentes.En el programa de Equipos de Protección Personal se planteó a partir de la evaluación de riesgos, los equipos de protección personal adecuados al trabajo realizado.La Prevención de Riesgos se realizo después de haber realizado la identificación y la evaluación de riesgos, se procedió a plantear medidas preventivas y/o correctivas de los cuales son los más significativos es el uso de equipos de protección personal, señalización, capacitaciones y orden de herramientas.Los Programa de Capacitación que se elaboraron van desde curso básico de Seguridad e Higiene Ocupacional, de primeros auxilios, del uso de Equipos de Protección Personal, y curso de Señalización, se plantea con la finalidad de disminuir o minimizar los peligros y riesgos, que se destinará las 2 primeras semanas por proyecto al inicio de la jornada laboral.El programa de señalización es uno de los recursos más importantes a utilizar para informar y prevenir riesgos laborales mediante letreros de avisos, precauciones, recomendaciones y peligros, y también los conos y cintas de señalización en los lugares de trabajo.El Reglamento Interno que se planteó pretende ser una guía de comportamiento para los trabajadores y de esta manera evitar actos inseguros.Y por último se realizó una descripción detallada de los costos en los cuales incurriría la constructora en caso de implementar el Plan para mejorar las condiciones de Seguridad e Higiene Ocupacional en las fases de las obras.</t>
  </si>
  <si>
    <t>https://drive.google.com/file/d/1nEcXY2k6J0mtVuTyJPl5FFV9j78mmF0Z/view?usp=sharing</t>
  </si>
  <si>
    <t>https://drive.google.com/file/d/1VQO_q0ofnbnYOfhYu3vXfgkyCdvUsNZk/view?usp=sharing</t>
  </si>
  <si>
    <t>https://drive.google.com/file/d/1qnzTxPircWWbecYnLk7spJ5tNUu9Qkdr/view?usp=sharing</t>
  </si>
  <si>
    <t>CHARLOTTE MARTHA GAMBOA MORALES</t>
  </si>
  <si>
    <t>MGR.ING. ALEX D. CHOQUE FLORES.</t>
  </si>
  <si>
    <t>IMPLEMENTACIÓN DEL SISTEMA FOS Y 5’S PARA LOS PILARES DE MEJORA ENFOCADA Y MANTENIMIENTO AUTÓNOMO DE LA FILOSOFÍA TPM EN LA EMPRESA UNILEVER ANDINA BOLIVIA S.A.</t>
  </si>
  <si>
    <t>ing.charlottegambo@gmail.com</t>
  </si>
  <si>
    <t>IND-829-2016</t>
  </si>
  <si>
    <t>Implementación Sistema Operativo (FOS) y 5’s Para los pilares de Mejora enfocada Y mantenimiento autónomo de la filosofía TPM.</t>
  </si>
  <si>
    <t>Primeramente se realizó el análisis de la situación actual de ambas implementaciones, es decir del sistema FOS en el sector de envasado detergente y de las 5’S japonesas en el sector de post dosificado manual. Se determinó con ambos análisis los siguientes resultados: Para el sistema FOS, el cumplimiento en el llenado de los registros de control no fue el esperado, el porcentaje promedio de cumplimiento alcanzó tan solo el 44 %, el cual no es aceptable.Para La filosofía 5’S, se realizó una auditoria diagnostica por parte de un equipo auditor, los resultados de esta auditoria fueron de 32 puntos sobre 100, lo cual hace evidente la necesidad de realizar la implementación. Una vez realizados los diagnósticos de situación actual, se realizó un cronograma de actividades , en el cual se trabajó ambas implementaciones, para el sistema FOS se desarrollaron procedimientos de trabajo para obtener el cumplimiento correcto (100%) del llenado de registros, además se diseñaron mayores herramientas para cumplir los objetivos que se pretenden alcanzar con el sistema, entre los cuales están la visibilidad en desempeño de los principales indicadores de producción, se habla de cumplimientos en el plan de producción, TGT OEE (eficiencia global del equipo),Give Away (indicador de calidad en el sector), Seguimiento de incidentes en QA (calidad) y SHE ( salud, seguridad y medio ambiente).La implementación consiste en desarrollar paneles de control hora a hora, que permitan realizar el seguimiento en el desempeño del sector, se modificaron los registros para hacerlos más puntuales, y se diseñó una reunión de productividad que permita a los supervisores y jefes detectar cualquier desviación en los indicadores. Para la implementación de 5’S se realizó un cronograma de actividades en el cual cada una de las S (Clasificar, Ordenar, Limpiar, Estandarizar y Disciplina) es abordada a pleno con la identificación de las observaciones en la auditoria y la realización de un plan de acción por actividades para realizar la implementación.Una vez implementado el sistema FOS se realizó se hizo el seguimiento correspondiente para detectar el correcto cumplimiento de cada actividad que incorpora el procedimiento operacional del sistema. Con el análisis de los resultados obtenidos en el seguimiento se hace evidente el incremento en el cumplimiento del plan de producción en el cuarto mes de implementación se obtuvo el 86% de cumplimiento, el 70% de cumplimiento en el TGT OEE y se verifico la inexistencia de incidentes de QA (Calidad) y SHE (salud y seguridad ocupacional).Una vez implementadas las 5’S en el sector se realizó una auditoria como parte del procedimiento para la aprobación a paso 1 de la filosofía TPM, el resultado de dicha auditoria fue de 96 puntos sobres 100. Lo que hace evidente la aprobación y correcta implementación de cada S en el sector.</t>
  </si>
  <si>
    <t>https://drive.google.com/file/d/1X2A2yykpkNPcApoMeVYpRtn2w_YCCWwv/view?usp=sharing</t>
  </si>
  <si>
    <t>https://drive.google.com/file/d/14r1paqcVF4A0vKqQkQazaN4kFObam8ot/view?usp=sharing</t>
  </si>
  <si>
    <t>https://drive.google.com/file/d/1yIhNgrn97ACHWyfYrjwMBindMEelSc0a/view?usp=sharing</t>
  </si>
  <si>
    <t>IVAR NARVAEZ RIVERO</t>
  </si>
  <si>
    <t>PLANIFICACION Y CONTROL DE LA PRODUCCIÓN PARA LA EMPRESA “EMBOL S.A” EN EL DEPARTAMENTO DE LA PAZ-BOLIVIA</t>
  </si>
  <si>
    <t>Ivar_nrz_10@hotmail.com</t>
  </si>
  <si>
    <t>IND-830-2016</t>
  </si>
  <si>
    <t>Embotelladora, EMBOL, Planificacion de la producción, Pronosticos, Plan agregado, Plan maestro, MRP, Indicadores de control.</t>
  </si>
  <si>
    <t>La empresa “EMBOL S.A” Embotelladoras Bolivianas Unidas elabora bebidas bajo la licencia de The Coca Cola Company, se encuentra ubicada en la ciudad  de El Alto en la Avenida Juan Pablo Segundo.La metodología que se siguió fue primero establecer un diagnóstico de la situación actual de la empresa realizando diagramas de procesos para cada línea, analizando la situación actual del plan de produccion para determinar cuáles son sus fortalezas, oportunidades, debilidades y amenazas. Se realizaron los pasos para  implementar SMED, cuyo objetivo es realizar un estudio de los tiempos de las operaciones que existen en la línea de producción entre el cambio de producto a otro producto, se desarrollaron planillas de toma de tiempos tomando 25 mediciones de tiempo para cada operación de cada línea, de las 3 líneas que se estudiaron, se propuso seguir un orden determinado de producción para disminuir los tiempos de operaciones de recambio.El periodo de tiempo que se pronostico fue para un horizonte de 1 año (12 meses) el cual se realizó mediante la metodologías de Box-Jenkins modelos SARIMA utilizando los programas de Excel y Minitab 17 para un mejor análisis de los datos históricos de la empresa.Se planteó la estrategia de nivel de inventario para la generación del plan agregado de producción, esto nos permitió contar con stock suficiente para poder anticipar la estacionalidad de la demanda, eliminando horas extras y subcontrataciones, prever el nivel de la mano de obra y los materiales para la producción.El plan maestro de producción es una herramienta que determino cuanto y que producir en términos de productos específicos y no en familias, esto quiere decir que se logró conocer el formato el sabor y la línea en cual se elaborara el producto. El plan de requerimiento de materiales “MRP” nos permitió conocer los materiales e insumos que se requieren para la elaboración de un producto terminado. Para ello se generaron lista de materiales para cada producto elaborado en la empresa EMBOL La Paz.Para mejorar el control de la producción se elaboraron indicadores de control para evaluar constantemente las operaciones de producción, en los cuales se detalló la formula con la cual se ha de estimar y medir los resultados a encontrar, también se determinaron los límites con los que se va a trabajar, para observar si el factor es aceptable, limitado o no aceptable.Al comparar los planes de producción se puedo observar que al realizar el proyecto, la producción aumentara de forma considerable, esto permitirá cubrir la demanda de los próximos años.</t>
  </si>
  <si>
    <t>https://drive.google.com/file/d/1BMsHENmfeeuvqmHFkjQL9o8WbnV0xsN6/view?usp=sharing</t>
  </si>
  <si>
    <t>https://drive.google.com/file/d/1a07LVh9yHLKg7bUhEx-hQkbd4OhwWYxl/view?usp=sharing</t>
  </si>
  <si>
    <t>https://drive.google.com/file/d/1j60dvM6zpr3V3eNlIhiqMT5aV1szsSxa/view?usp=sharing</t>
  </si>
  <si>
    <t>PAOLA STEFANI CORIA BERRIOS</t>
  </si>
  <si>
    <t>ING. CHOQUE FLORES ALEX D’ANCHGELO</t>
  </si>
  <si>
    <t>PLANIFICACIÓN ESTRATÉGICA PARA LA EMPRESA CONAR TEXTILES EN COCHABAMBA</t>
  </si>
  <si>
    <t>paola-stefani@hotmail.com</t>
  </si>
  <si>
    <t>IND-831-2016</t>
  </si>
  <si>
    <t>Medio ambiente, eficiencia, productividad, Disponibilidad de insumos, entregas puntuales, planificación.</t>
  </si>
  <si>
    <t>Inicialmente se realizó un diagnóstico interno de la situación actual de la empresa para plantear soluciones a las debilidades y potencializar las fortalezas de la misma. Los procesos de la empresa carecían de sistemas de control de procesos para poder evaluar la situación interna de la empresa como consecuencia la evaluación se realizó en base a la identificación de factores críticos, las debilidades y fortalezas que presentaba cada proceso y no así mediante indicadores de medición. La evaluación se realizó mediante el método de Diagnóstico de productividad por procesos con ello se identificó que el proceso de producción era el proceso que más limitaba a la empresa seguido del proceso de dirección. Los procesos que se vieron más limitados fueron los procesos de atención y servicio al cliente y recursos humanos.Posteriormente se realizó un análisis externo del entorno la cual permita identificar en que situación nos encontramos frente a los competidores y al servicio en el mercado, para atacar las amenazas y aprovechar las oportunidades. Se realizó mediante las cinco fuerzas de Porter donde se pudo identificar mediante la matriz de perfil competitiva que la empresa CONAR TEXTILES se encuentra en el segundo lugar en cuanto a la competencia actual del rubro, también se concluyó que la fase de vida del servicio está en crecimiento, realizando un análisis de servicio mercado se determinó que la empresa debe seguir estrategias de crecimiento y por ultimo mediante la matriz BCG la empresa se encuentra en el cuadrante estrella que enfoca sus estrategias al mejoramiento continuo de la calidad de servicio y la reducción de costos de producción y precios de venta.Una vez determinado el diagnóstico de la empresa se elaboró un marco estratégico como punto de partida para la empresa CONAR TEXTILES. Se realizó el marco estratégico de manera conjunta con el gerente propietario y gerente general de la empresa definiendo la estructura base de la empresa por procesos con un enfoque sistémico, una vez definido cada responsable de proceso mediante la colaboración se plantearon una misión, un flujo de entradas y salidas y además las principales fortalezas y debilidades por proceso. Se establecieron estrategias y planes estratégicos en base a una reflexión y evaluación de las alternativas planteadas para concretar la planificación estratégica en la empresa. En base al análisis FODA se realizó la reflexión estratégica elaborando estrategias para las fortalezas debilidades oportunidades y amenazas, para después combinarlas en un FODA estratégico. Y mediante la Matriz cuantitativa de la planificación estratégica se eligieron a 4 estrategias con mayor puntaje; Expansión a nuevos mercados Santa Cruz y La Paz, Implementación de sistemas de gestión de seguridad y salud ocupacional, Invertir en un plan de ampliación general para cubrir el eje troncal. Mejoramiento continuo de la calidad.Una vez seleccionada las estrategias se realizó los planes contingentes, indicadores de alarma, estrategias cautelares, preventivas y correctivas.Se determinaron tres planes estratégicos: plan expansión, plan calidad y plan medio ambiente, para ello se realizaron fichas descriptivas donde se describen las líneas de acción, los resultados que se esperan conseguir y además la inversión y gasto que se necesitara para realizar los planes.En la evaluación financiera comparativa del sistema productivo actual con la propuesta se comenzó usando es estado de resultado histórico de la empresa de las gestiones 2013-2015 para hacer una proyección de cinco años y determinar el curso que tomaría empresa sin la planificación estratégica. Para la proyección del estado de resultados con la planificación estratégica se realizó previamente un flujo de caja de ingresos y egresos de la empresa para determinar la factibilidad del proyecto. Donde se pudo determinar el valor actual neto VAN retorna con un valor mayor a 0, una Tasa Interna de Retorno mayor a la tasa de descuento que es del 10% y la relación costo beneficio RCB es de 1,39, si el valor de la relación beneficio costo es mayor que 1 indica que los beneficios superan los costos.  Por lo tanto, se puede concluir que el proyecto es financieramente rentable.</t>
  </si>
  <si>
    <t>https://drive.google.com/file/d/1_7e1gcnyxSWyu7tPmg-gyBnXfpjJY9AI/view?usp=sharing</t>
  </si>
  <si>
    <t>https://drive.google.com/file/d/1vMXUZPme-jKQlXZeR072coeJbJG5y3Yz/view?usp=sharing</t>
  </si>
  <si>
    <t>https://drive.google.com/file/d/1yz_ZLnQWXucr9W-v04D5BoyYKZlILHHU/view?usp=sharing</t>
  </si>
  <si>
    <t>LEDEZMA QUINTEROS ANABEL</t>
  </si>
  <si>
    <t>ZENTENO PALMA JHELINA</t>
  </si>
  <si>
    <t>ING. INGRID V. TRIGO ROCHA</t>
  </si>
  <si>
    <t>ESTUDIO DE FACTIBILIDAD PARA LA INSTALACION DE UNA PLANTA PROCESADORA DE REBOZADOR PARA ALIMENTOS LIBRE DE GLUTEN EN BASE A HARINA DE YUCA</t>
  </si>
  <si>
    <t>anabel.ledezma.q.@gmail.com</t>
  </si>
  <si>
    <t>IND-832-2016</t>
  </si>
  <si>
    <t>Rebozador en base a harina de yuca, Secado, Molido, Medición de humedad.</t>
  </si>
  <si>
    <t>La elaboración del rebozador en base a harina de yuca fue dirigida al mercado local a las personas  que no pueden consumir gluten, personas que deseen alimentarse de manera sana con la finalidad de que este producto sea más accesible que los de importación.La yuca en nuestra región sólo es considerada como un producto de subsistencia, la propuesta del proyecto muestra una alternativa para que la yuca pueda ser vista como un producto con oportunidades industriales, beneficiando mayormente a las comunidades del trópico como Puerto Villarroel, Entre Ríos y Shinahota por ser productores de este tubérculo. Se pretende alcanzar una demanda de 364.281kg para el primer año de funcionamiento de la empresa. En cuanto a  los insumos se necesitará pimienta, ajo comino, orégano y sal los cuales serán adquiridos de los comerciantes mayoristas según el requerimiento de producción.En el presente estudio se llegó a determinar tanto  la demanda como la oferta actual del rebozador en base a harina de yuca para el año 2017 será de 120.453 kg, teniendo como oferta de este producto a las marcas más conocidas e importadas en el mercado como ser: PINDUCA (Brasilero), productos argentinos y otros.A partir de las pruebas realizadas en los laboratorios del CTA y los procedimientos necesarios para la obtención del rebozador se determinó que de 3.326 kg de yuca fresca se llega a obtener 933 kg de harina de yuca es decir se tiene un rendimiento del 28%, dichos valores representa la máxima producción que tendrá dicha planta.Mediante el procedimiento del método de Brown &amp; Gibson se llegó a conocer la ubicación de la planta procesadora que será instalada en el localidad de Shinahota, esta planta tendrá una producción máxima de 4.404 envases de 250 g. por día.El punto de equilibrio nos indica que se requiere producir y vender 133.770 envases para no tener pérdidas siendo el volumen de producción y venta del proyecto de 481.812 envases.Luego de realizar el estudio de costos y análisis financiero se llega a concluir por medio de los siguientes indicadores financieros, con préstamo de instituciones bancarias: VAN=1.841.155 $us; TIR=123% y B/C=1,39; y con respecto al proyecto sin financiamiento bancario se tiene: VAN=2.331.260 $us; TIR=133% y B/C=1,51. La inversión necesaria para la realización de dicho proyecto es 104.048de $us sin préstamo y 116.575 $us con préstamo bancario. Realizada la evaluación ambiental se concluye que el proyecto puede llevarse a cabo  sin causar daños irreparables al ecosistema, sin embargo, se sugiere un control permanente de los impactos negativos.</t>
  </si>
  <si>
    <t>https://drive.google.com/file/d/1nuCyOSE1utHaCihe9j2GZY6etoHt4Omi/view?usp=sharing</t>
  </si>
  <si>
    <t>https://drive.google.com/file/d/1yRyAN9Jry-d3KVO2YExh0I6hAI5P8ZQr/view?usp=sharing</t>
  </si>
  <si>
    <t>https://drive.google.com/file/d/1WuFg8jLmSeH8o6ogq7dZ_1yuu2lDkfQx/view?usp=sharing</t>
  </si>
  <si>
    <t>BETZI MARIZABEL VARGAS BUSTAMANTE</t>
  </si>
  <si>
    <t>PROYECTO DE FACTIBILIDAD PARA LA IMPLEMENTACIÓN DE UNA PLANTA PROCESADORA DE KÉFIR EN COCHABAMBA</t>
  </si>
  <si>
    <t>betzivb@gmail.com</t>
  </si>
  <si>
    <t>IND-833-2016</t>
  </si>
  <si>
    <t>Kéfir, industrialización, cepas, factibilidad, sensibilidad.</t>
  </si>
  <si>
    <t>La leche fermentada con la bacteria Lactobacillus acidophilus y la levadura (hongo unicelular) Saccharomyces kéfir, es un producto probiótico que se caracteriza por equilibrar la flora bacteriana intestinal que ayuda al sistema digestivo humano.Proyecto de factibilidad para la implementación de una planta industrializadora de kéfir.Se considera como mercado objetivo para la provisión de nuestro producto, la población Cochabambina perteneciente Quillacollo, Sacaba, Punata, Cliza, Vinto, Sipe Sipe, Tiquipaya, Cercado de Cochabamba, Se cuantifica y se considera para el proyecto la producción de kéfir 210 litros diarios los primeros 3 años, para el año 4 y 5 se producirán 420 litros diarios. Se determina la elaboración de kéfir natural y sabor frutilla.La inversión total requerida alcanza a  117.049,04 $US, que corresponde a obras civiles  60.918,00 $US, maquinarias y equipos 15.984,00 $US, vehículo 10.000,00 $US, mobiliario y equipamiento de oficinas 4.191,00 $US, gastos pre-operativos 500,00 $US,  imprevistos 9.909,30 $US y el capital de trabajo en 7.546,74 $US.Los indicadores de rentabilidad muestran un proyecto rentable con una tasa mínima atractiva de rendimiento (TMA) del 12%.El V.A.N. alcanza el valor de  28.344,81 $US; la T.I.R. es de 24 %; la relación beneficio costo R B/C es de 1.30 y el periodo de recuperación de capital en promedio es de 4,25 años en términos efectivos.Se demuestra la rentabilidad del proyecto por lo tanto también se demuestra que es viable para su ejecución.</t>
  </si>
  <si>
    <t>https://drive.google.com/file/d/10OAYDrOhL2Cl1qNyi0U6OuZ52_wm7jox/view?usp=sharing</t>
  </si>
  <si>
    <t>https://drive.google.com/file/d/190OkiMrOUBCCtknUWt4uVwDsCRDJY1Wi/view?usp=sharing</t>
  </si>
  <si>
    <t>https://drive.google.com/file/d/1DXmRBXvQKkNDKRjOg4KUH1a-0rLhI0ru/view?usp=sharing</t>
  </si>
  <si>
    <t>WAGNER AMADO AZERO ESTIVARIZ</t>
  </si>
  <si>
    <t>ING. MILTON TRIGO CHÁVEZ</t>
  </si>
  <si>
    <t>SISTEMA DE GESTIÓN EN SEGURIDAD Y SALUD OCUPACIONAL DE ACUERDO A LA NORMA OHSAS 18001:2007 PARA LA EMPRESA PLAXBURG</t>
  </si>
  <si>
    <t>Wagner_aae@hotmail.com</t>
  </si>
  <si>
    <t>IND-834-2016</t>
  </si>
  <si>
    <t>Ciclo PDCA, Norma OHSAS 18001, identificación de peligros y evaluación de riesgos, mejora continua.</t>
  </si>
  <si>
    <t>Primeramente se realizó un diagnostico de la situación actual en cuanto a seguridad y salud ocupacional en la empresa plaxburg. También se hizo un diagnostico en base al contexto jurídico para verificar la situación legal de la empresaPosteriormente se analizo los niveles de ruido e iluminación, se determino que no existe un control adecuado de ruido, ya que en todas las naves sobrepasa los 85 dB permitidos, por otro lado la iluminación es correcta en todas las áreas de la empresaSe realizo el análisis IPER (identificación de peligros y evaluación de riesgos) en toda la empresa, antes del análisis se hizo una clasificación de las actividades de trabajo, clasificando por sector, proceso y actividad.Posteriormente se realizaron las fichas de seguridad las cuales nos dan la gravedad del riesgo y las medidas de control, siendo estas: eliminación, sustitución, controles de ingeniería, controles administrativos y dotación de equipos de protección personal.Se estimaron los riesgos según la evaluación general de riesgos del instituto de España, siendo los riesgos intolerables y significativos los mas importantes y contra los que existen medidas de actuación rápidas, los riesgos intolerables son un 9% y los significativos 60%.Se realizaron mapas de riesgo para cada nave de la empresa esto para prevenir accidentes, también un mapa corporal de riesgos para visualizar los riesgos a los que los trabajadores se exponen en el trabajo.Se empezó a realizar el sistema de gestión partiendo de la política, la cual debe ser conocida por todos y debe tener el compromiso de la alta gerencia, para poder permitir una mejora continua. Una vez hecha la política se hizo la planificación del sistema considerando en la planificación el análisis IPER, objetivos y programas y requisitos legales. Posteriormente viene la implementación y operación donde designamos recursos tanto humanos y financieros, después se hace una verificación y acción correctiva para la mejora del sistema, se realiza mediante controles y seguimiento, también auditoriasla dirección reviso el funcionamiento del sistema, todo este sistema en base al ciclo PDCA al cual se basa la norma ohsas 18001:2007. Se realizo toda la documentación necesaria para el sistema: manual del sistema de seguridad y salud ocupacional, procedimientos, registros, manual de prevención de riesgos, manual de primeros auxilios y plan de emergencia.Partiendo del concepto de sistema que es un conjunto de elementos con relaciones de interacción e interdependencia, se demostró dicha relación de los elementos del sistema de gestión de seguridad y salud ocupacional, esta relación de elementos es exigida por la norma ohsas 18001:2007Por ultimo Se presento los costos de implementación del sistema en la empresa y el costo del funcionamiento de los programas de seguridad basados en objetivos y que responden a los riesgos intolerables y significativos de la empresa</t>
  </si>
  <si>
    <t>https://drive.google.com/file/d/17pe8Oc68_V42gDUU7XGXP99Dz0BFz2Jk/view?usp=sharing</t>
  </si>
  <si>
    <t>https://drive.google.com/file/d/1LTrWSV20OVUR_RLYEzBbGFcGUJz22EMF/view?usp=sharing</t>
  </si>
  <si>
    <t>https://drive.google.com/file/d/1lwouYX1JvcpaJxjAMRVZHvhjWSP8MMEN/view?usp=sharing</t>
  </si>
  <si>
    <t>CAROLA GUZMÁN ROCHA</t>
  </si>
  <si>
    <t>EMERSON NAVA SÁNCHEZ</t>
  </si>
  <si>
    <t>ING. DIEGO FLORES HERBAS</t>
  </si>
  <si>
    <t>ESTUDIO DE FACTIBILIDAD PARA LA CREACIÓN DE UNA HELADERÍA DEDICADA A LA PRODUCCIÓN Y COMERCIALIZACIÓN DE HELADOS SANOS Y NUTRITIVOS A BASE DE SOYA, QUINUA, AMARANTO Y TARWI EN EL CERCADO DE LA PROVINCIA DE QUILLACOLLO-COCHABAMBA</t>
  </si>
  <si>
    <t>carogr8890@gmail.com</t>
  </si>
  <si>
    <t>IND-835-2016</t>
  </si>
  <si>
    <t>Helados sanos y nutritivos a base de Soya, Quinua, Amaranto y Tarwi, factibilidad de producción y comercialización de helados sanos y nutritivos</t>
  </si>
  <si>
    <t>El estudio de factibilidad para la creación de una heladería dedicada a la producción y a la comercialización de helados sanos y nutritivos a base de soya, quinua, amaranto  y tarwi en el cercado de la provincia de Quillacollo –Cochabamba, nace para coadyuvar el aprovechamiento de productos andinos en nuestra región, ya que la soya, quinua, amaranto y tarwi son el primer paso para formar los hábitos alimenticios, nutritivos y sanos en las personas.Inicialmente se realizo un diagnostico situacional, determinando las causas y efectos del problema estudiado, con su respectiva justificación. Seguidamente se determino el tamaño de la muestra en el cercado de la provincia de Quillacollo –Cochabamba.En el estudio de mercado se realizó el análisis de la demanda y oferta de los helados de soya, quinua, amaranto y tarwi en el cercado de la provincia de de Quillacollo, en vista de que no existen datos históricos de demanda y oferta se procede a realizar el respectivo estudio mediante encuestas.La localización fue obtenida a través de una evaluación cualitativa de puntos, donde se analizaron alternativas en basadas en la encuesta, optando por la calle héroes del chaco cerca de la iglesia san Idelfonso.La ingeniería del proyecto se ejecutó seleccionando los procesos y maquinaria adecuada para la respectiva elaboración de los helados de soya, quinua, amaranto y tarwi, en el presente estudio se procedió a determinar la cantidad de materia prima requerida describiendo un balance.Se estimaron las inversiones totales y los respectivos costos operativos con esto se realizo el respectivo análisis económico-financiero usando indicadores como la TIR (Tasa Interna de Retorno), VAN (Valor Actualizado Neto), B/C (Beneficio/Costo) y recuperación de capital. Y finalmente se redactaron las conclusiones y recomendaciones respecto al proyecto.</t>
  </si>
  <si>
    <t>https://drive.google.com/file/d/1F_QdbvlJRpm2dQMLcAmhEOj4sw9odTpF/view?usp=sharing</t>
  </si>
  <si>
    <t>https://drive.google.com/file/d/1HHWPZAg0SEkFDzKMYf_EHI8ZRLpz-dr-/view?usp=sharing</t>
  </si>
  <si>
    <t>https://drive.google.com/file/d/1W3UoHanTAX5hVLBz_H4L3PKAhuAyxg23/view?usp=sharing</t>
  </si>
  <si>
    <t>JESSICA DIANA JOFFRE ISMAEL</t>
  </si>
  <si>
    <t>ING. CARLOS GASTÓN JOFFRE LARA</t>
  </si>
  <si>
    <t>PROYECTO DE FACTIBILIDAD PARA LA CREACIÓN DE UNA EMPRESA COMERCIALIZADORA DE PLANTAS DE TRATAMIENTO PARA LAS AGUAS GRISES</t>
  </si>
  <si>
    <t>Jessidiana18@hotmail.com</t>
  </si>
  <si>
    <t>IND-836-2016</t>
  </si>
  <si>
    <t>Aguas grises, reuso de las aguas, planta de tratamiento, Procesos de fabricación, costos, evaluación financiera, indicadores económicos.</t>
  </si>
  <si>
    <t>El proyecto se centró en el reúso de aguas grises mediante una planta de tratamiento instalada en los domicilios de la ciudad de Cochabamba; dicha planta permitió tratar las aguas grises  para  volverlas a utilizar en los mismos procesos. Se demostró la factibilidad técnica y financiera de este proyecto para comercialización de la planta de tratamiento de aguas grises. Dicha planta utiliza los procesos básicos de tratamiento, que permite la reducción de partículas en suspensión presente en las aguas grises y otros componentes que afectan  la calidad del agua, los  procesos de coagulación-floculación, sedimentación y filtración fueron la base principal de este tratamientoEl mercado del proyecto se centró en  la ciudad de Cochabamba, específicamente en el Cercado, ya que mediante el estudio de oportunidad realizado,  observó que es el mercado más adecuado.Se determinó  la capacidad de producción y mano de obra, la materia prima requerida por el proyecto, tomando como la materia prima a  las aguas grises generadas en los domicilios, se construyó  la planta y se realizó un análisis de los insumos requeridos y disponibles en el mercado. Se analizó las diferentes opciones de proveedores y distribuidores. Después de este análisis se definió la ubicación,  basándose en la infraestructura requerida, la cercanía a los proveedores, de esta manera se definió que la zona norte de la provincia Cercado de la ciudad de Cochabamba, es la requerida, ya que cumplió  con los requerimientos del proyecto en cuanto a espacio físico y disponibilidad de servicios básicos.Las etapas con las que se construyó  la planta de tratamiento de aguas grises: fueron la recepción de materia prima, corte, el tarrajado, la perforación de tapas, la perforación de difusores, la colocación de tapa inferior para posteriormente proceder al rellenado del medio poroso en las unidades de coagulación floculaciónón, posteriormente el rellenado del medio filtrante en las unidades de filtración, y para su finalización el colocado de tapa superior, estas unidades fueron controladas en la calidad de su armado para evitar fugas en el sistema.Las herramientas que fueron utilizadas eran herramientas de corte (sierra mecánica), herramientas de perforación (taladro, brocas), herramientas de tarraja para el formado de roscas, y  llaves de instalación para el colocado de los accesorios.El ordenamiento y distribución física de todas las áreas que conformó el proyecto para la creación de la empresa,  se logró  la funcionalidad y la eficiencia del mismo, para este análisis se utilizóó  el layout propuesto en el trabajo.Para las obras de ingeniería civil se contempló la adecuación de los ambientes y obras complementarias.Los principales gastos generales que estableció el proyecto fueron: los gastos generales de fábrica, gastos de comercialización, gastos generales de administración.Se calculó los costos de mano de obra, se clasificó la mano de obra directa y mano de obra indirecta, se tomó en cuenta los beneficios sociales vigentes, aportes y antigüedad de los empleados.La planificación y ejecución del proyecto se hizo el recuento de todas las actividades necesarias para la ejecución del proyecto como ser provisión de herramientas, búsqueda de financiamiento, constitución de la empresa, capacitación  del personal, además se hizo la evaluaciónón financiera del proyecto mediantes los indicadores necesarios para  la determinar la rentabilidad del proyecto.</t>
  </si>
  <si>
    <t>https://drive.google.com/file/d/1eZqcZawCP7Wu08H571C_l3ho-sPTNGmZ/view?usp=sharing</t>
  </si>
  <si>
    <t>https://drive.google.com/file/d/1xutQctTT3Pydy6_Ja7YOMREKL-PwMkJO/view?usp=sharing</t>
  </si>
  <si>
    <t>https://drive.google.com/file/d/1t3oopB3tqw1zCzzPdFoC13XCPQbjBh7t/view?usp=sharing</t>
  </si>
  <si>
    <t>ALIZARES CORDERO MAYDA</t>
  </si>
  <si>
    <t>ING. DANITZA CABALLERO DELGADO</t>
  </si>
  <si>
    <t>DISEÑO DE UN SISTEMA DE GESTIÓN DE CALIDAD SEGÚN NORMA ISO 9001:2008 PARA LA UNIDAD DE GESTIÓN URBANA Y TERRITORIAL DEL GOBIERNO AUTÓNOMO MUNICIPAL DE COCHABAMBA (G.A.M.C.).</t>
  </si>
  <si>
    <t>maydaalizaresc@gmail.com</t>
  </si>
  <si>
    <t>IND-837-2016</t>
  </si>
  <si>
    <t>Sistema de Gestión de Calidad, ISO 9001, Gestión Urbana y Territorial, Gobierno Autónomo Municipal de Cochabamba.</t>
  </si>
  <si>
    <t>Se ha realizado el diseño de un Sistema de Gestión de Calidad para la Unidad de Gestión de Calidad para mejorar el funcionamiento y control de los procesos operativos.Se ha realizado el presente proyecto en la Unidad de Gestión Urbana y Territorial que es una unidad técnica especializada en la formación, evaluación y seguimiento de Normas de Administración Urbana y Rural dentro de la jurisdicción de Cochabamba.Primeramente se ha establecido el problema central de la unidad a través de un Árbol de Problemas especificando las causas y los efectos que se generan.El problema que se ha planteado para el proyecto es el siguiente: de qué manera la Unidad podrá mejorar el funcionamiento de sus procesos operativos.Para mejorar el Funcionamiento y Control de sus procesos operativos se ha establecido como objetivo general: Diseñar un Sistema de Gestión de Calidad según la Norma ISO 9001:2008 para la Unidad de Gestión Urbana y Territorial y para cumplir con el objetivo general se han planteado los siguientes objetivos: Realizar un diagnóstico de la situación actual de la Unidad respecto al cumplimiento de los requisitos de la Norma ISO 9001:2008, Diseñar un sistema de gestión de calidad en base a los requisitos de la Norma ISO 9001:2008 y Establecer Planes para la Gestión de Calidad.Se ha realizado el diagnóstico para identificar el grado de Cumplimiento de los requisitos de la Norma ISO 9001:2008 en relación a la situación actual de la Unidad. Las Actividades que se realizaron son las siguientes: Entrevista con la Alta dirección y el Personal Operativo, Acceso a la información para que sean tomados en cuenta y adecuados y adecuados al SGC, Observación In SITU, Análisis del cumplimiento Normativo y Presentación de los Resultados del diagnóstico.Para el Diseño del Sistema de Gestión de Calidad se ha realizado la siguiente documentación: Mapa de Procesos, Política de Calidad, Objetivos de Calidad, Manual de Calidad, Listas Maestras de documentos internos y externos, Procedimientos Obligatorios y Operativos además de Registros y Otros documentos.Se ha establecido adicionalmente a los procedimientos se ha realizado Planes para permitir a la unidad gestionar de manera eficaz la gestión de la calidad de sus procesos que son: Plan de Implementación del SGC. Plan de Capacitación, Plan de Calidad y Plan de Auditorias de Calidad.</t>
  </si>
  <si>
    <t>https://drive.google.com/file/d/1NvxFdjTfWe-HF-LtBn0FBPXGcw5GBLLp/view?usp=sharing</t>
  </si>
  <si>
    <t>https://drive.google.com/file/d/1Q2aqazA4kXDnJmNlOUvwP0RraovuyroH/view?usp=sharing</t>
  </si>
  <si>
    <t>https://drive.google.com/file/d/1jHUjLjDN7qFkAoDg2uq2iRwo8rZ2t7nV/view?usp=sharing</t>
  </si>
  <si>
    <t>DAISY MABEL ANTEZANA BERMUDEZ</t>
  </si>
  <si>
    <t>M. SC. CARLOS ALBERTO RODRÍGUEZ RAMÍREZ</t>
  </si>
  <si>
    <t>DISEÑO DE UN  PLAN ESTRATÉGICO DE MARKETING PARA LA EMPRESA DE ALTA COSTURA DE DAMAS  FABELLA MODA</t>
  </si>
  <si>
    <t>antezanaday@gmail.com</t>
  </si>
  <si>
    <t>IND-838-2016</t>
  </si>
  <si>
    <t>Diseño plan estrategico</t>
  </si>
  <si>
    <t>La empresa Fabella Moda ha visto por conveniente realizar un Plan estratégico de marketing por el número creciente de competidores que se insertan en el mercado, así como mejorar su participación actual dentro del mismo. Primeramente se realizó un diagnóstico de la situación interna y externa actual y se recabo la información disponible acerca de las actividades, procesos de las actividades, la organización actual, etc. Todo ello con el fin de establecer el modelo y planificación actual con el que cuenta la empresa, a través del diagrama de causas y efectos de la misma. En función a este análisis se podrá determinar las posibles soluciones al problema. También se realizó el análisis interno y externo de la empresa utilizando herramientas de comparación y análisis como matrices MPC, de factores críticos, auditorias y demás, además siguiendo el modelo de planificación estratégica de Assael “principios estratégicos”. Se registro y se observo claramente como es el método actual de planificación para hacer una clara sugerencia e intervención de mejora. En el siguiente paso se procedió a la medición de la cantidad de trabajo que se requiere, para esta medición se usara la técnica del estudio de movimientos. Con los datos recabados se procedió a la determinación de un plan estratégico de marketing acorde a las disposiciones de la gerente propietaria y la empresa que mejoren el escenario de conocimiento de la marca para su posterior crecimiento. Mediante un análisis de todos los datos recabados se procedió a hacer el estudio de mercado (univariado y bivariado) determinando las mejores características del mercado para generar satisfacción e interés en los clientes. Con la elaboración del plan estratégico de marketing la empresa alcanzara una mayor participación cuantificable. Se calculó los presupuestos para la realización del proyecto según los tiempos establecidos y la generación actual de ingresos y egresos de la empresa.</t>
  </si>
  <si>
    <t>https://drive.google.com/file/d/1elBEYPLfBCxnGIxuk7XJ6ZAdbF395v55/view?usp=sharing</t>
  </si>
  <si>
    <t>https://drive.google.com/file/d/1OujG5Fnu7e1KMtzXxkOuY2nNyC3TdnCd/view?usp=sharing</t>
  </si>
  <si>
    <t>https://drive.google.com/file/d/10RgX7aZoXvxyXGM3SOMehd6QQr5Fk8fC/view?usp=sharing</t>
  </si>
  <si>
    <t>SALAZAR CHAVARRIA JACKELINE</t>
  </si>
  <si>
    <t>ING. IVÁN JAVIER ARANDIA GARCÍA</t>
  </si>
  <si>
    <t>ESTUDIO DE FACTIBILIDAD PARA LA IMPLEMENTACIÓN DE UNA LÍNEA DE PRODUCCIÓN DE INFUSIONES EN BOLSITA DE HOJAS DE MORINDA CITRIFOLIA (NONI) PARA LA EMPRESA NONI HEALTH.</t>
  </si>
  <si>
    <t>salazarchavarriajackeline@gmail.com</t>
  </si>
  <si>
    <t>IND-839-2016</t>
  </si>
  <si>
    <t>Línea de producción de infusiones de hojas de Morinda Citrifolia, Hojas de Noni, Estimación de mercado, Valoración técnica, Evaluación financiera y de impacto ambiental, Infusión de Noni.</t>
  </si>
  <si>
    <t>El proyecto que se realizó tenía como objetivo general determinar la factibilidad técnica, económica y financiera de la instalación y funcionamiento de una línea procesadora de infusiones en bolsita a partir de las hojas de Morinda Citrifolia (Noni) para la empresa NONI HEALTH, dirigida a las personas adultas de Cercado – Cochabamba. Para el presente proyecto se realizó una investigación de mercados en la provincia de Cercado – Cochabamba, el cual permitió establecer el nivel de oferta y demanda del producto, la población y posibles consumidores del mismo.   Posteriormente se procedió al desarrollo de muestras del nuevo producto, por medio del cual se obtuvo una muestra final (producto final), que cumplió con las expectativas del consumidor y mediante el cual se realizó la ingeniería del proyecto. El estudio técnico se enfocó en procedimientos, tecnología y maquinaria necesarios para la elaboración del producto, además se determinó el lay out del área para la producción de infusiones y se detalló los arreglos espaciales necesarios para la implementación de la nueva línea de producción. Para obtener el máximo rendimiento técnico económico de la planta, se determinó la estructura de la organización para el correcto funcionamiento de los departamentos, así mismo se determinaron todos los trámites necesarios para su funcionamiento dentro del marco legal.  La evaluación del impacto ambiental determino que la ejecución del proyecto no incide en la contaminación ambiental del aire, agua y suelos, como tampoco no destruye el ecosistema.Finalmente el estudio financiero permitió conocer la inversión necesaria para emprender el proyecto que asciende a Bs. 633.069, permitiendo determinar los costos operación, capital de trabajo, ingresos, punto de equilibrio y estados financieros. En la evaluación financiera, la inversión presentó una rentabilidad económica aceptable, ya que cuenta con un Valor Actual Neto de Bs. 1.105.956, una Tasa Interna de Retorno del 28 % y una relación benéfico costo (B/C) de 2,75. El periodo de recuperación de la inversión es de 6 años aproximadamente.</t>
  </si>
  <si>
    <t>https://drive.google.com/file/d/1Gx20h3SCE99IXRL03U2jvAjER5IJOkWJ/view?usp=sharing</t>
  </si>
  <si>
    <t>https://drive.google.com/file/d/1EAQ4SGwZapEQKU8dpCNd9qIcKTLgrEWE/view?usp=sharing</t>
  </si>
  <si>
    <t>https://drive.google.com/file/d/1GUP7tB7EjrYcqpGrVvIinMDkPPMxGEox/view?usp=sharing</t>
  </si>
  <si>
    <t>ELVIS FRANZ CRUZ ADUVIRI</t>
  </si>
  <si>
    <t>FERNANDO QUINTEROS CAVERO</t>
  </si>
  <si>
    <t>ESTUDIO DE FACTIBILIDAD PARA LA IMPLEMENTACIÓN DE UNA PLANTA PROCESADORA DE ASFALTO MODIFICADO A BASE DE POLÍMERO EN LA CIUDAD DE COCHABAMBA</t>
  </si>
  <si>
    <t>Crusito_161@Hotmail.com</t>
  </si>
  <si>
    <t>IND-840-2016</t>
  </si>
  <si>
    <t>Asfalto, Polímero, Ahullamiento, Ruptura, Fatiga, Estudio de Factibilidad.</t>
  </si>
  <si>
    <t>Inicialmente se realizó una revisión documental de las empresas constructoras que actualmente operan en el sector de estudio del proyecto (Municipio de Cochabamba), donde básicamente se podía verificar que existía falencia en el proceso de elaboración del asfalto flexible.Se solicitó a la G.A.M.C. es decir al jefe de la plata de asfalto que a través de una entrevista se logró recopilar los datos sobre la demanda oferta, precio e insumos y los distintos materiales por el cual está compuesto el asfalto flexible, de donde se obtuvo todas las aclaraciones sobre las preguntas realizadas al jefe de la planta.Mediante dicha entrevista se obtuvo una demanda de 2´622.894 m2/año y una oferta de 576 m3/día el precio establecido es de 42$/m2 y como también los materiales a utilizar son: el cemento asfaltico, alquitrán, agregados de 3/4” y de 3/8” y por último el relleno mineral, las instalaciones del asfalto está cubierta al 70% y faltante por cubrir es del 30% más que todo en la zona Sud.El precio establecido para brindar nuestro producto es de 42 $/m2, también por otro lado se identificó que la promoción se realizar por una visita personal con los representantes de las OTB´s, municipios alcaldías y provincias.Posterior se realizó el estudio de ingeniería donde se determinó que la capacidad de producción será de proyectada para nuestro proyecto al 70% y fue de 171.431 m3/año y en cuanto la oferta de 167.040 m3/año. Con una tasa de crecimiento de la construcción del 8.5%.El tiempo de duración del proyecto está para cinco años. El proyecto opera con todos los requerimientos legales, además se verifico que nuestro producto es nuevo e innovador por lo cual se benefician tanto las áreas de salud, ambiental y social. Por último se realizó un análisis económicos donde se determinó los resultados muy positivos ya que la rentabilidad esperada es de un 27% de retorno de la inversión comparando con la tasa de mínima de atractividad que es del 15% . el VAN esperado de Bs 7´907.254,24 y un beneficio costo de 1,04. Con estos indicadores financieros se puede concluir que el proyecto es rentable y factible.Como principales recomendaciones se estableció que en la implementación se aplique a la capacitación al personal de trabajo en lo que se refiere a seguridad industrial, realizar el mantenimiento periódico y constante a las distintas maquinarias, generar acuerdos comerciales con los proveedores y por ultimo incursionar una nueva línea de productos ya que las maquinarias son óptimas para la elaboración del polvo del neumático se puede ofrecer dicho material para la fabricación de distintos productos tales como baldosas, como amortiguadores para los pastos sintéticos y por ultimo para la fabricación de pinturas impermeables.</t>
  </si>
  <si>
    <t>https://drive.google.com/file/d/1AsEUXvJsr6DgGF5fWIxi6sPKXqnylcAm/view?usp=sharing</t>
  </si>
  <si>
    <t>https://drive.google.com/file/d/13wdJz6FDtxPDFcwjnNGbE6JgUpwP3MG0/view?usp=sharing</t>
  </si>
  <si>
    <t>https://drive.google.com/file/d/1urHTkqVifuzKZYEL7nvyPUqfdF0PXNQn/view?usp=sharing</t>
  </si>
  <si>
    <t>PAOLA ANDREA TORRICO TRUJILLO</t>
  </si>
  <si>
    <t>ING. MONICA FABIOLA TORRICO TRUJILLO</t>
  </si>
  <si>
    <t>PLAN DE SEGURIDAD INDUSTRIAL E HIGIENE OCUPACIONAL PARA EL LABORATORIO DE ENSAYOS Y SOLDADURA LENDSOL</t>
  </si>
  <si>
    <t>pao.lita.23@hotmail.com</t>
  </si>
  <si>
    <t>IND-841-2016</t>
  </si>
  <si>
    <t>Laboratorio, Ensayos, Soldadura</t>
  </si>
  <si>
    <t>Las condiciones actuales de seguridad en el Laboratorio de Ensayos y Soldadura LENDSOL no son las más apropiadas, los trabajadores están sujetos a riegos y a sufrir accidentes y/o incidentes. Por lo que se pretende elaborar un Plan de Seguridad e Higiene Ocupacional.Primeramente se realizó la descripción del Laboratorio LENDSOL y se recabo la información disponible acerca de las actividades, procesos de las actividades, la organización actual del sector, etc. Posteriormente se realizo la identificación de riesgos, a través de una entrevista directa con el coordinador del laboratorio LENDSOL, se obtuvo la información necesaria para determinar que no aplican mucho el tema de seguridad y salud ocupacional.También se realizo la evaluación de riesgos, utilizando la metodología de William fine. Que consiste en la evaluación numérica de tres factores: Consecuencia (C), Exposición (E) y Probabilidad (P). Se realizaron distintas mediciones, como ser el nivel del ruido y el nivel de iluminación. Así poder determinar los riesgos más críticos dentro del laboratorio y poder tomar las medidas correctivas adecuadas.Con los datos obtenidos se determino que los riesgos más críticos dentro de LENDSOL son la elevada exposición a riesgos de incendios y explosiones, contaminantes químicos, cortes y golpes contra maquinas y herramientas, y el elevado nivel de ruido a los que están expuestos los trabajadores.Mediante un análisis de todos los datos recabados se procedió a la Elaboración del Plan se Seguridad Industrial e higiene ocupacional, que consiste de 8 módulos específicos. 1) Organización de la Seguridad, Programa de Capacitación, Programa para prevención de riesgos, Programa para dotación de EPP, Manual de Primeros Auxilios, Programa contra Incendios, Programa ante contingencias. Programa se Señalización.Con la elaboración módulos específicos, el personal sabrá que funciones debe de cumplir, que actividades debe de seguir y que apoyo deben de recibir.Finalmente se realizo la elaboración del presupuesto del Plan de Seguridad Industrial e Higiene Ocupacional.</t>
  </si>
  <si>
    <t>https://drive.google.com/file/d/1Rw3qPyqoYx4USVof554fvpRfZEucDLov/view?usp=sharing</t>
  </si>
  <si>
    <t>https://drive.google.com/file/d/1FwdsDMlFsqmlqOKCZIZrQtIwpcjbeWmE/view?usp=sharing</t>
  </si>
  <si>
    <t>https://drive.google.com/file/d/1miepwDutt7h_R67MJG1bDDJpdIWm_uOi/view?usp=sharing</t>
  </si>
  <si>
    <t>ROSE MARY MAMANI MOYA</t>
  </si>
  <si>
    <t>ESTUDIO DE FACTIBILIDAD PARA EL ESTABLECIMIENTO DE UNA FÁBRICA DE GALLETAS NUTRITIVAS DE CAMOTE EN EL DEPARTAMENTO DE COCHABAMBA</t>
  </si>
  <si>
    <t>rosemarymamanimoya@gmail.com</t>
  </si>
  <si>
    <t>IND-842-2016</t>
  </si>
  <si>
    <t>Metodología de la Investigación de Mercado, Estratos de Pobreza, Identificación de Proveedores, Inflación, Evaluación Financiera, Análisis de Sensibilidad, Evaluación de Impacto Ambiental, RASIM.</t>
  </si>
  <si>
    <t>Primeramente se realizó una investigación de mercados en los catorce distritos de la ciudad de Cochabamba, se estudió también a los intermediarios. En base de la información obtenida por la investigación de mercados se determinó la demanda y se realizó la respectiva proyección de la demanda para los cinco años de vida útil del proyecto. Posteriormente se definió el tamaño de la planta considerando que la empresa busca abarcar inicialmente un 8,5% del mercado produciendo 6.353.359 paquetes/año. Para el año cinco se planifico abarcar un 16% de mercado, para ello se consideró principalmente el incremento de las importaciones. Con el tamaño y crecimiento definido se dimensionó los ambientes para la planta, se calculó de igual manera los equipos, maquinaria, materiales e insumos necesarios para tales volúmenes de producción y se definió que el tamaño de la planta será de 3.013 m2.Se definió la localización de la planta por el método cualitativo de puntos, realizando el análisis de los factores que se tomaron en cuenta para la selección del lugar, la opción más conveniente es la provincia Santivañez siendo específicos el Parque Industrial de Santivañez. Se realizó una estructura organizacional   en el que quedo perfectamente establecido la jerarquía de las personas que integran la organización, como también se elaboró planillas de sueldos y salarios del personal para los cinco años del proyecto, se definió la cantidad de personal a requerir y las funciones de cada personal esto en base de los procesos a seguir para la elaboración de galletas de camote. En la empresa existe dos áreas de producción que son: área de producción de harina de camote y área de producción de galletas.En base a la información obtenida y sabiendo que el financiamiento de la inversión es con aporte propio un 40% y financiamiento bancario el 60%, se realiza la evaluación financiera determinando así un VAN de 26.920875 Bs, un TIR de 71% y una relación de B/C de3,69. Debido a que la evaluación financiera se realizó con base en pronósticos este tiene un grado de incertidumbre es por esta razón que se realiza análisis de sensibilidad tomando en cuenta cuatro variables: disminución de la cantidad vendida en un 25%, incremento de las ventas a partir de primer año en base del crecimiento económico, incremento del precio de materia prima e insumos en un 20% y disminución del `precio de venta en un 10%.Para dar cumplimiento a la ley 1333 (Ley de Medio Ambiente), en el presente proyecto se realizó una evaluación de impacto ambiental y según el Reglamento Ambiental para el Sector Industrial Manufacturero (RASIM), la categoría a la que pertenece el proyecto es la categoría cuatro por lo tanto se debe realizar un Registro Ambiental Industrial.</t>
  </si>
  <si>
    <t>https://drive.google.com/file/d/10olMOXxYjpJQFBtnLUwXw4M4P8KnUgzI/view?usp=sharing</t>
  </si>
  <si>
    <t>https://drive.google.com/file/d/10fS81VpeLX23x3Egbi01maV0goUkb1iU/view?usp=sharing</t>
  </si>
  <si>
    <t>https://drive.google.com/file/d/1mf_ArXpBciAthOcyvSyPh0sy7za1fVmw/view?usp=sharing</t>
  </si>
  <si>
    <t>DIEGO TERRAZAS MALLEA</t>
  </si>
  <si>
    <t>PROYECTO DE FACTIBILIDAD PARA LA IMPLEMENTACIÓN DE UNA PLANTA RECAUCHUTADORA DE LLANTAS PARA LA EMPRESA IMPORTADORA BADRA S.R.L. EN EL DEPARTAMENTO DE COCHABAMBA</t>
  </si>
  <si>
    <t>serviterra.terrazas@outlook.es</t>
  </si>
  <si>
    <t>IND-843-2016</t>
  </si>
  <si>
    <t>Llantas, Recauchutadora, Factibilidad.</t>
  </si>
  <si>
    <t>El proyecto de factibilidad dio a conocer a la empresa una información completa sobre los recursos necesarios, la tecnología a utilizar, el proceso del servicio y la estructura organizativa, para satisfacer una demanda proyectada del recauchutado de llantas.Realizando un diagnóstico de la empresa se pudo identificar los factores y variables que influirán en el proyecto los cuales no limitan en absoluto al proyecto, al contrario dan a conocer que si se implementaría el proyecto impulsarían a que cumpla o mejore las expectativas de rentabilidad y ventas que da a conocer, y también sería una buena estrategia para mejorar la comercialización de llantas nuevas que tiene la empresa actualmente.Luego se realizó un estudio de mercado que por medio de ella se recolecto la información necesaria para determinar que en el mercado de recauchutado de llantas existe una demanda insatisfecha, como también que el cliente busca un servicio con el costo más competitivo y que sea garantizado, el cual el proyecto podría diseñar la planta de modo de satisfacerlaEl proyecto también pudo diseñar un proceso óptimo de producción, una buena selección de proveedores para activos de producción y materia prima alcanzando así el objetivo que buscaba la ingeniería del proyecto el cual era la de ofrecer un servicio con costo competitivo y una alta confianza de ella.Se pudo determinar la estructura organizativa de recursos humanos del proyecto y su costo, pudiendo crear los puestos de trabajo en función a las actividades a realizar, con el cual también se puede lograr la eficacia del personal.En la evaluación financiera, se pudo determinar que el proyecto es económicamente factible, y según los indicadores del VAN, TIR y Relación Beneficio costo, su rentabilidad es casi cuatro veces más a lo mínimo que deseaba la empresa (10%).Se pudo también identificar que las ventas bajan, o el costo de materia prima sube, ocasionarían una sensibilidad alta en el proyecto, sin embargo para ello se pueden tomar medidas las cuales se describió en el plan de contingencia.</t>
  </si>
  <si>
    <t>https://drive.google.com/file/d/1vWFVscyW6gl2N-Ke88kR6ZnQAq1reQXV/view?usp=sharing</t>
  </si>
  <si>
    <t>https://drive.google.com/file/d/19hozxQxunDy43TUwWTZ-ypz7oigW49Ie/view?usp=sharing</t>
  </si>
  <si>
    <t>https://drive.google.com/file/d/1QkygoZnkC4PxSPvP2L_YqBHvMB90u5dR/view?usp=sharing</t>
  </si>
  <si>
    <t>DENNIS CHAVEZ ROSALES</t>
  </si>
  <si>
    <t>LNG. IVÁN MARCELO LUIZAGA HERRERA</t>
  </si>
  <si>
    <t>ELABORACIÓN DE UN SISTEMA DE GESTIÓN DE LA CALIDAD CON BASE A LA NB/ISO 9001:2008 PARA LA EMPRESA MANUFACTURA Y CURTIEMBRE CURMA S.R.L.</t>
  </si>
  <si>
    <t>I-2017</t>
  </si>
  <si>
    <t>dennischavezro@gmail.com</t>
  </si>
  <si>
    <t>IND-844-2017</t>
  </si>
  <si>
    <t>Curtiembre y Manufactura CURMA S.R.L., Productividad, DEMING,  Sistema de Gestión de Calidad (SGC).).</t>
  </si>
  <si>
    <t>En este trabajo de grado se busco ofrecer a la empresa Manufactura y Curtiembre CURMA S.R.L. un Sistema de Gestión de Calidad para el aseguramiento de la Calidad y la uniformidad de los productos que ofrece la empresa.Para tal efecto se tomo el estudio de los Sistemas de Gestión; tanto teórico, como práctico, y en el cual se observo que entre los factores más críticos en los Sistemas de Gestión son:·       La falta de comunicación entre los diferentes departamentos de las empresas.·       La inadecuada otorgación de las responsabilidades y funciones de los diferentes departamentos.·       El no tener claro los puntos críticos de control.·       No contar con procesos productivos estandarizados.·       No establecer controles documentados en el proceso productivo.·       La falta de autoridad por parte del encargado del Aseguramiento de la Calidad.Se inicio indicando el Objetivo Global de la Empresa y de este cada departamento facilito sus Objetivos de Gestión, los cuales entre sus atributos deberían ser: ·       Un escalón para poder alcanzar el Objetivo Global. ·       Deberán concordar con todos los Objetivos de Gestión.·       Medibles.·       Realizables.·       Alcanzables.A continuación se efectuó la realización del Sistema de Gestión de Calidad, indicando las responsabilidades y funciones de los diferentes departamentos; desarrollando los objetivos, flujos, procedimientos, indicador de gestión, tareas, registros e instructivos de cada departamento.Posteriormente se uso el análisis FODA para la realización del Plan de Calidad, en el cual se indicaba las estrategias, objetivos de calidad y actividades a seguir por parte de toda la organización para poder lograr alcanzar el Objetivo Global. También se punteo la Misión, Visión y Política de Calidad.En lo que se refiere a los requisitos del cliente, se obtuvo la información por recopilación de documentos como de la guía tecina de producción más limpia para curtiembres y del manual de consulta para el aseguramiento de la calidad en una micro empresa de alzados; como también de información de recabada de artesanos del cuero.Después se describió el proceso productivo de la empresa, donde se obtuvo los controles necesarios en el proceso productivo y de estos se tomaron los más importantes para determinar los controles de calidad.Seguidamente se punteo la manera de elaborar el Indicador Clave de Desempeño, el cual comenzó con el Indicador de Sistema Gestión del Departamento en cuestión, obteniendo el Indicador Clave de Desempeño, su meta, objetivo, estrategia y la medida de desempeño. Y por ultimo desglosando cada objetivo del Indicador Clave de Desempeño.En el análisis financiero se punteo los costos de Inversión, Operación y Mantenimiento del Departamento de Gestión de Calidad y estos fueron comparados con las Fallas Internas y las Fallas externas, teniendo como resultado que el costo del Departamento de Gestión de Calidad supera por 3 veces al valor estimado de las Fallas Internas, en contraste  las Fallas Externas superan por 18 veces al valor o costo del Departamento de Gestión de Calidad.En conclusión la búsqueda de incremento de participación de mercado y de apertura del mercado internacional justificaría la creación del Departamento de Gestión de Calidad.</t>
  </si>
  <si>
    <t>https://drive.google.com/file/d/1ZTUOk9jxY-Cwxis06Wte04JLBownsNx6/view?usp=sharing</t>
  </si>
  <si>
    <t>https://drive.google.com/file/d/12BBmaBOWF-NwUnjEFe5kTPLaAobOmscD/view?usp=sharing</t>
  </si>
  <si>
    <t>https://drive.google.com/file/d/1ACf8epFRiybuycqnSxYUhLYwZlvKsfWS/view?usp=sharing</t>
  </si>
  <si>
    <t>CARLOS ARIEL ALEJANDRO FERNANDEZ VAZQUEZ</t>
  </si>
  <si>
    <t>DISEÑO Y ANÁLISIS ECONÓMICO - FINANCIERO DE SISTEMAS DE GENERACIÓN DISTRIBUIDA FOTOVOLTAICA PARA ÁREAS URBANAS DE COCHABAMBA</t>
  </si>
  <si>
    <t>carlosfernandezvazquez1992@gmail.com</t>
  </si>
  <si>
    <t>IND-845-2017</t>
  </si>
  <si>
    <t>Generación eléctrica, generación distribuida, sistemas fotovoltaicos, indicadores financieros, evaluación económica-financiera.</t>
  </si>
  <si>
    <t>En la actualidad Bolivia se encuentra muy ligada al paradigma de la generación centralizada, el cual está basado en la producción de electricidad en grandes centrales generadoras para su posterior distribución. Si bien este sistema es práctico y hasta el momento cuenta con buenos resultados para el sistema eléctrico nacional, es posible observar que nuevas tendencias de generación alternativa comienzan a surgir, las cuales cuentan con beneficios que la matriz eléctrica de Bolivia todavía desconoce. Por esta razón es importante evaluar opciones de generación eléctrica que puedan complementar el sistema eléctrico actual, como los sistemas de generación distribuida. A lo largo del documento se desarrolla y analiza con mayor profundidad cual es la situación actual del sistema energético de Bolivia, las normativas del mismo y como es que podrían aplicarse sistemas alternativos de generación en la matriz eléctrica del país. Tomando en cuenta lo anterior, en el documento también se lleva a cabo el diseño de un sistema fotovoltaico, dimensionado de manera tal que permita abastecer de energía eléctrica a una familia promedio en la ciudad de Cochabamba, basándose en información recabada por medio de auditorías energéticas. El resultado de este dimensionamiento permite entender que los sistemas de fotovoltaicos solamente pueden resultar interesantes, desde un punto de vista económico, cuando estos se encuentran conectados a la red (On-Grid), ya que los sistemas aislados (Off-Grid) requieren una inversión mucho más elevada.Por último, se analizó la viabilidad financiera del sistema por medio del cálculo de varios indicadores, sus respectivas evaluaciones y análisis de sensibilidad que tomaban en cuenta variables críticas que afectan a los sistemas de generación de este tipo. Con estos análisis se realizó la evaluación económica-financiera del sistema en diferentes escenarios, con el fin de observar como la rentabilidad del sistema podría ser afectada por la acción agregada de las variables a las que el sistema es sensible (tasas de depreciación de los ingresos, tarifas eléctricas esperadas y costos de los equipos). Complementariamente, se realizaron evaluaciones de los impactos potenciales que la instalación de estos sistemas podrían tener desde un enfoque social, ambiental y económico, los cuales permiten justificar, aún más, la viabilidad del sistema y la importancia de tomarlos en cuenta como alternativas de generación.</t>
  </si>
  <si>
    <t>https://drive.google.com/file/d/1jvkbA2pPxWEvyrd89Lm_H_RR3H7jToJn/view?usp=sharing</t>
  </si>
  <si>
    <t>https://drive.google.com/file/d/1xMVaTon7CJ8i_vWmFoumBU8DUcxifHR5/view?usp=sharing</t>
  </si>
  <si>
    <t>https://drive.google.com/file/d/19nOtctJ1aBPaK44eMFe4RgY6lsXDVZE9/view?usp=sharing</t>
  </si>
  <si>
    <t>ROGER GOMEZ GOMEZ</t>
  </si>
  <si>
    <t>ROXANA AREQUIPA</t>
  </si>
  <si>
    <t>ING. RENE POZO BALDERRAMA.</t>
  </si>
  <si>
    <t>ESTUDIO DE FACTIBILIDAD PARA LA IMPLEMENTACIÓN DE UNA PLANTA   PROCESADORA DE PAPAS FRITAS Y PAPAS PREFRITAS CONGELADAS EN EL MUNICIPIO DE TOTORA</t>
  </si>
  <si>
    <t>roger.gomez.gomez666@gmail.com</t>
  </si>
  <si>
    <t>IND-846-2017</t>
  </si>
  <si>
    <t>Planta procesadora de papas fritas chips y papas prefritas congeladas, Factibilidad, Estudio de Mercado, Estudio Técnico y Financiero, Producción y Comercialización, producto , Cochabamba.</t>
  </si>
  <si>
    <t>A partir del estudio de factibilidad para la implementación de una planta procesadora de papas fritas chips y papas prefritas congeladas, se realizó un análisis del mercado con el propósito de saber cuál es    la oferta y la demanda de los productos que se pretende procesar. Para el análisis de estudio de realizo la correcta identificación de los clientes objetivo del departamento de Cochabamba específicamente en la provincia Cercado; este estudio de los clientes objetivo tiene características especiales para ser tomados en cuenta. Para luego recabar datos estadísticos mediante encuestas.Con los datos obtenidos  a través de encuestas y datos estadísticos de la provincia Cercado se procedió a elaborar una base de datos,  que nos permitieron  identificar las zonas de mayor consumo de papas fritas y papas prefritas congeladas.La primera zona de mayor consumo es la central que por su ubicación tiene mayor cantidad de negocios de comida rápida y negocios de ventas de papas fritas chips. En segundo lugar está la zona norte que por su ubicación y población de clase media alta tiene mayor consumo de los productos que se pretende procesar.Identificados las zonas y detalles de consumo, realizamos un estudio de las demandas actuales que tiene dicho proyecto. Para la implementación de la planta procesadora de papas fritas y papas prefritas congeladas se analizó todos los aspectos económicos para poder iniciar con dicho proyecto. De este modo poder abastecer a  los clientes objetivos con nuevas alternativas de papas fritas chips y congeladas</t>
  </si>
  <si>
    <t>https://drive.google.com/file/d/1VEiImnWhiC8_TRvEY9vwab1eTuKmeodJ/view?usp=sharing</t>
  </si>
  <si>
    <t>https://drive.google.com/file/d/1i3dMc9p0MiNgXRaUnXw5F3bX3kdWnEz9/view?usp=sharing</t>
  </si>
  <si>
    <t>https://drive.google.com/file/d/1Q3heMQzTsPFWmhRUiZF39VQ2gBU4QdsO/view?usp=sharing</t>
  </si>
  <si>
    <t>ROBERTA GUZMÁN GARCÍA</t>
  </si>
  <si>
    <t>DISEÑO DE UN PLAN ESTRATÉGICO DE MARKETING PARA LAS LÍNEAS CLÁSICA TABIQUERÍA Y BRICK LISO PARA LA EMPRESA INDUSTRIAS DE CERÁMICAS COCHABAMBA S.R.L. (INCERCO)</t>
  </si>
  <si>
    <t>solanch_g07@hotmail.com</t>
  </si>
  <si>
    <t>IND-847-2017</t>
  </si>
  <si>
    <t>Marketing, Estrategia, Estudio de Mercado, Ladrillo Cerámico Industrial, Clásica de tabiquería, Brick Liso, Incerco.</t>
  </si>
  <si>
    <t>Industrias de Cerámicas Cochabamba SRL. – INCERCO, durante las últimas gestiones, ha sufrido una reducción en sus ventas de sus principales líneas de productos: Clásica de tabiquería y Brick liso, para lo cual se ha propuesto realizar un Plan Estratégico de Marketing que realice un estudio de mercado y permita conocer las necesidades actuales del mercado, y poder establecer estrategias adecuadas que mejoren su situación actual y futura.Realizando un análisis interno de INCERCO, se encontraron entre sus principales fortalezas el alto reconocimiento de su marca a nivel nacional y la calidad de sus productos, así mismo, sus principales debilidades son la poca diferenciación de sus productos y los precios poco competitivos con respecto a la competencia, concluyéndose que INCERCO tiene una posición fuerte ya que actualmente tiene más fortalezas que debilidades.El macroentorno es predominantemente positivo, destacan la dimensión económica con un crecimiento del PIB y un menor grado de desempleo, la dimensión política con estabilidad y un mayor incentivo a la inversión. La dimensión tecnológica se considera negativa al existir un mayor nivel de desarrollo en tecnología de materiales de construcción. Por otro parte, el microentorno es predominantemente negativo al existir diversas empresas competidoras, muchos productos sustitutos y posibilidad de nuevos entrantes.Se realizó un estudio de mercado en donde se encontró que existe una demanda insatisfecha de ladrillo industrial de 15.001.405 (pzas/año), con lo cual se ve que existe una demanda que INCERCO puede cubrir y por lo tanto la viabilidad del proyecto. Posteriormente, a través del análisis interno y externo de la empresa, se plantearon las estrategias más importantes que se deben seguir, las que son: aplicar estrategias de diferenciación basada en resistencia, calidad y estética, desarrollar nuevas líneas de ladrillos acordes a los nuevos requerimientos del mercado, ingresar en nuevos sectores de la construcción y/o áreas geográficas de Bolivia y expandir el mercado mediante un plan publicitario y promocional que estimule el acceso a préstamos de vivienda socialSe formularon las estrategias de posicionamiento y marketing mix para la renovada línea de ladrillos, cuyo posicionamiento planteado es la diferenciación en cuanto a resistencia, calidad y estética, se formularon los planes operativos respectivos, un cronograma de actividades y el sistema de control a los indicadores del plan.Finalmente se realizó el análisis financiero del proyecto, determinando las inversiones necesarias, el presupuesto de marketing y generando el estado de resultados y el flujo de caja del proyecto, donde los indicadores son: TIR = 32,5%, VAN = Bs 3.146.063y R B/C = 1,34 con lo cual se demuestra que el proyecto es rentable y por lo tanto recomendable invertir.</t>
  </si>
  <si>
    <t>https://drive.google.com/file/d/10BHqhXJnUS6ooQp5Uom0QXpjH8tTLMrQ/view?usp=sharing</t>
  </si>
  <si>
    <t>https://drive.google.com/file/d/1GUCdW1DHSFQdEJ3Lg2fvSmB8v8FeI8wj/view?usp=sharing</t>
  </si>
  <si>
    <t>https://drive.google.com/file/d/1L07CI-eRDJYnrzUStvW4dtXm8iqaZ_FN/view?usp=sharing</t>
  </si>
  <si>
    <t>MAYARY CUELLAR ARGOTE</t>
  </si>
  <si>
    <t>ING. NELLY CARRANZA GUTIERREZ</t>
  </si>
  <si>
    <t>DISEÑO DE UN SISTEMA DE GESTIÓN DE INOCUIDAD ALIMENTARIA BAJO EL ESQUEMA FSSC  22000 PARA LA EMPRESA LA PAPELERA S.A.</t>
  </si>
  <si>
    <t>mayary20@gmail.com</t>
  </si>
  <si>
    <t>IND-848-2017</t>
  </si>
  <si>
    <t>FSSC 22000 para Fabricantes de Empaque, Programas Prerrequisitos, Sistema HACCP, Sistema de Inocuidad Alimentaria, Auditoria Interna</t>
  </si>
  <si>
    <t>El presente Proyecto de Grado tiene como finalidad Diseñar el Sistema de Gestión de Inocuidad Alimentaria, basado en el esquema FSSC 22000, en LA PAPELERA S.A. con alcance de la planta de bolsas y sacos en la ciudad de Cochabamba. El diseño comprende una investigación descriptiva, diagnóstico, desarrollo de lineamientos generales para la ejecución del SGIA, con la elaboración y estructuración de los documentos necesarios exigidos por la norma.En la primera parte los aspectos generales  describen los antecedentes generales y específicos, identificación y formulación del problema, planteamiento de los objetivos, justificación, alcance y la metodología utilizada para el desarrollo del presente proyecto. Para ello se ha realizado investigaciones sobre los conceptos básicos y de la información necesaria reflejada en el marco teórico.Previo al diseño del Sistema de Gestión de Inocuidad Alimentaria (SGIA), se realizó un diagnóstico a fin de conocer todas las prácticas que se realizan en LA PAPELERA S.A. y las condiciones actuales en las que opera la misma. Como primera instancia se procedió a una revisión documental existente en la empresa la cual estaba apegada al sistema de gestión de calidad basado en la norma ISO 9001:2008, para proponer los cambios documentales necesarios en cuanto a su alcance se refiere, desarrollar los documentos faltantes de una forma sistemática, ordenada y práctica del Sistema de Gestión de Inocuidad.Posterior a ello se realizó una  inspección  inicial en tema de Buenas Prácticas de Manufactura y Programas Prerrequisitos de la empresa  en las siguientes áreas: Establecimiento de la planta, Instalaciones para el personal, Planta de producción, Almacenes, Mantenimiento, Laboratorio. Finalizado este diagnóstico, se procede al diseño de programas prerrequisitos, que reflejados en los siguientes manuales:§  Manual de Buenas Prácticas de Manufactura.§  Manual de Buenas Prácticas de Higiene.El Sistema de Gestión de Inocuidad Alimentaria propuesto, incluye una identificación, evaluación y control de peligros ligados en la elaboración de empaques destinados a contener alimentos, reflejado en el plan HACCP, que es la parte fundamental para garantizar la inocuidad del mismo; se establece una guía de comunicación interna y externa; así mismo una evaluación periódica por la alta dirección (gerencia) de la empresa, para la actualización del SGIA.Así mismo se presenta una estimación de costos o recursos económicos necesarios para la implementación del Sistema de Gestión de Inocuidad Alimentaria de la empresa “LA PAPELERA S.A.” regional Cochabamba.El costo total estimado del Sistema de Gestión de Inocuidad Alimentaria es de 15.680 $us, que la empresa LA PAPELERA S.A. deberá desembolsar, para implementar el SGIA.</t>
  </si>
  <si>
    <t>https://drive.google.com/file/d/1SRusqhrBCRW32T2aJ52A2FauV85ICJr0/view?usp=sharing</t>
  </si>
  <si>
    <t>https://drive.google.com/file/d/1oOVX6toAs1mf3G72XHEfAJnGCA5SXxeF/view?usp=sharing</t>
  </si>
  <si>
    <t>https://drive.google.com/file/d/1UG13RSvphFO5jynGIHwaAMGRWBK4RWQh/view?usp=sharing</t>
  </si>
  <si>
    <t>GLADYS DE LAS MERCEDES RIVEROS ROMERO</t>
  </si>
  <si>
    <t>DISEÑO DE UN PLAN ESTRATÉGICO PARA EL CENTRO DE ACOPIO Y COMERCIALIZACIÓN DE TIRAQUE DEL DEPARTAMENTO DE COCHABAMBA</t>
  </si>
  <si>
    <t>lalys0287@gmail.com</t>
  </si>
  <si>
    <t>IND-849-2017</t>
  </si>
  <si>
    <t>Planificación estratégica, CAC-TIRAQUE, estrategia, OECAS</t>
  </si>
  <si>
    <t>Se ha visto por conveniente realizar un diseño de un plan estratégico para el Centro de Acopio y Comercialización de Tiraque debido a que muchas de las actividades de la empresa no tienen un propósito estratégico, causando que los recursos y capacidades se dispersen y poniendo en riesgo la solvencia de la empresa.Primeramente se realizó el análisis externo e interno del CAC-TIRAQUE, para reconocer las oportunidades y amenazas del entorno e identificar las fortalezas y debilidades de la empresa. En función del análisis externo e interno se podrá determinar las estrategias alternativas.También se realizó el direccionamiento estratégico del CAC-TIRAQUE, en coordinación con el consejo directivo, socios y trabajadores, donde se definieron la visión, misión, valores, compromisos, proyección futura, estrategias básicas, finalidades, políticas, factores críticos de éxito y restricciones, elementos que definen el camino a seguir de la empresa.Se hizo la formulación de estrategias con la aplicación de diferentes herramientas que ayudan a la generación estrategias alternativas como la matriz FODA y matriz PEEA. Además se realizó la evaluación de las estrategias alternativas con la matriz MPEC, herramienta que permite identificar que estrategias son las mejores para la empresa. Una vez definido el direccionamiento estratégico y elegidas las estrategias a desarrollar, se procedió a realizar un diseño de la estructura organizacional para llevar a cabo con éxito el plan estratégico.Se plantearon los objetivos estratégicos y se elaboró el plan operativo para cada estrategia seccionada en el cual se detallan las líneas estratégicas, tareas, responsables, metas, tiempo, indicadores y presupuesto. También se diseñó un sistema de control y seguimiento para medir el cumplimiento del plan estratégico.Se efectuó la evaluación del proyecto mediante el indicador beneficio-costo, observándose que a la empresa le conviene la aplicación del plan estratégico ya que los beneficios son mayores que los costos.</t>
  </si>
  <si>
    <t>https://drive.google.com/file/d/1_KLdbCNmg5KeXvXO1ztfkUw8gXwCH_5N/view?usp=sharing</t>
  </si>
  <si>
    <t>https://drive.google.com/file/d/1Eq6e07T53KfTuy9D-qYuYCf-A3eEDF0T/view?usp=sharing</t>
  </si>
  <si>
    <t>https://drive.google.com/file/d/1NI-IrqS9zoHZ0j6sf6_dvYyM-OeISOzX/view?usp=sharing</t>
  </si>
  <si>
    <t>DENNY CALANI CONDORI</t>
  </si>
  <si>
    <t>SABINO ENCINAS TERRAZAS</t>
  </si>
  <si>
    <t>ING. ALEX D´ ANCHGELO CHOQUE FLORES</t>
  </si>
  <si>
    <t>ESTUDIO DE FACTIBILIDAD PARA LA INSTALACIÓN DE UNA PLANTA DE PRODUCCIÓN DE ALEVINES DE TRUCHA EN COCHABAMBA</t>
  </si>
  <si>
    <t>dennycc_2012@hotmail.com</t>
  </si>
  <si>
    <t>IND-850-2017</t>
  </si>
  <si>
    <t>Alevines, Triploidia, Alevinaje.)</t>
  </si>
  <si>
    <t>La piscicultura en Cochabamba se encuentra en crecimiento, ya que presenta un potencial por las características ambientales que presenta se ha convertido en otra alternativa para el desarrollo económico en las regiones principalmente metropolita, cono sur y la región andina puesto que el clima frio-templado constituye un aliado perfecto para la cría de trucha.Para la recolección de la información se realizó mediante encuestas en tres regiones: metropolitana, cono sur y la región andina, el proyecto se encamina al mercado de los criaderos de trucha, considerando una población finita conformada por un conjunto numerable de piscultores para luego tabular estos datos obtenidos con el programa Spss.La materia prima viene de la mano de la empresa THOUTLODGE reconocido a nivel mundial en la producción de ovas embrionadas triploides y otros productos, la empresa está habilitada y registrada para que el material genético pueda ingresar al mercado boliviano, en cuanto a la alimentación de peces las empresas destacada y dedicadas a la producción son: COALBO, GRUPO CERES INDUSTRIA DE ALIMENTO.Para la localización óptima de la planta se realiza un análisis de factores y la utilización del método cualitativo por punto, de acuerdo a los datos obtenidos el municipio de Sacaba presenta la mejor opción para el emplazamiento del proyecto.En ingeniería de proyecto se desarrolla el proceso productivo, la selección de equipos y herramientas, para la distribución de la planta se realizó por el método SLP (Systematic layout panning), la determinación de las obras civiles y el costos que estos implican. La estructura organizacional de la empresa, viene representada por un organigrama general de la planta y un manual de funciones, el requerimiento de personal, describe la cantidad necesaria de trabajadores en cada área de trabajo, y considerando las disposiciones legales del ministerio de trabajo se realiza las estimaciones de las planillas de sueldos y salarios.El estudio financiero se realizó los cálculos de inversión de activo fijo, diferido, y capital de trabajo, donde se tiene una inversión total de los cuales el 60% del proyecto es aporte propio y el restante 40% será cubierto por una entidad bancaria como es el Banco Unión, los resultados obtenidos al aplicar los indicadores económicos, TIR, VAN, B/C son favorables para el proyecto.La evaluación de impacto ambiental, se ha utilizado la metodología ETE (Equidad, Transparencia, Eficiencia) está basada en la matriz causa-efecto mediante la matriz (M1), realizado la evaluación el proyecto pertenece a la categoría IV, por tanto no requiere de ninguna plan de mitigación.</t>
  </si>
  <si>
    <t>https://drive.google.com/file/d/1XS-JfDKl006PAaJBoSSCfSgFoeb20CS3/view?usp=sharing</t>
  </si>
  <si>
    <t>https://drive.google.com/file/d/16eux3C56vI80jMXiUfKKt0iTthTLBFrn/view?usp=sharing</t>
  </si>
  <si>
    <t>https://drive.google.com/file/d/1ETZcIsNUUQM9z3AGYYGFjVQOHJh-pJCk/view?usp=sharing</t>
  </si>
  <si>
    <t>CRISTIAM MONTAÑO ROCHA</t>
  </si>
  <si>
    <t>ING. GABRIELA BONILLA OLMOS</t>
  </si>
  <si>
    <t>DESARROLLO DE UN PROGRAMA DE PRODUCCIÓN MÁS LIMPIA PARA LAS LADRILLERAS ARTESANALES DE SACABA.</t>
  </si>
  <si>
    <t>cristiam_mrc@hotmail.com</t>
  </si>
  <si>
    <t>IND-851-2017</t>
  </si>
  <si>
    <t>Producción Más Limpia, Optimización de Procesos, Productividad, Arcillas, Balances de Masa, Balances de Energía, Eficiencia Energética, Consumo Específico de Energía, Buenas Prácticas, Emisiones Atmosféricas, Evaluación de Impactos Ambientales, Evaluación Financiera, Indicadores Ambientales, Indicadores Económicos, Indicadores Sociales, Indicadores Financieros, Alternativas tecnológicas Más Eficientes.</t>
  </si>
  <si>
    <t>La producción ladrillera artesanal, generalmente se caracterizan por un alto grado de informalidad y precariedad en sus operaciones, como consecuencia, a pesar de que su producción no es de gran escala, los impactos sociales y ambientales que estos generan son de importante consideración. En ese contexto, se Desarrolló de Un Programa de Producción Más Limpia para las Ladrilleras Artesanales, con el objetivo principal de encontrar alternativas de producción más eficientes, que les permita lograr el uso óptimo de los recursos naturales, humanos y financieros durante el proceso de fabricación de sus productos, mejorando el desempeño ambiental y los beneficios económicos del sector.Inicialmente se realizó un diagnóstico, para lo cual se ha estudiado el sector ladrillero artesanal del municipio de SACABA, determinándose las cantidades de materia prima e insumos de producción, balances de masa y energías en las operaciones del proceso productivo. De este análisis se ha podido determinar que las operaciones de Mezclado y Cocción son las que más impactos económicos y Ambientales negativos generan.Una vez determinados claramente los aspectos sobre los cuales se deben mejorar prioritariamente, se pasó a desarrollar medidas de Buenas Prácticas de Producción Más Limpia que se deben integrar a las operaciones del proceso productivo, de modo que se pueda incrementar la eficiencia y reducir los impactos negativos. De este modo se han planteados, procedimientos prácticos para la selección de arcillas, y métodos para su adecuado tratamiento previo y posterior dosificación en la mezcla, con lo que se pudo lograr rendimientos de aproximadamente 14% más en comparación a los procedimientos tradicionales de mezclado y posterior moldeado. Para lograr mayor eficiencia energética en la operación de cocción se ha planteado como medida básica, el mejoramiento del proceso de combustión de la leña, mediante la inyección de aire forzado con una máquina ventiladora, esto permitió alcanzar una relación aire-combustible adecuada de modo que la combustión sea completa en el proceso. Esta medida generó un ahorro aproximado de 20% en el consumo de leña, el rendimiento de la operación se incrementa en 10%, con lo que el consumo específico de energía bajó de 3,20 MJ/kg hasta 2,69 MJ/kg en la cocción de ladrillos, la emisión de contaminantes atmosféricos se redujo en al menos 16%, y lo más importante para los productores ladrilleros es que genera un ahorro económico de aproximadamente 17% en los costos de combustibles directos.  Posteriormente se han analizado alternativas tecnológicas, adecuadas al contexto de la producción ladrillera artesanal, para mecanizar las operaciones de mezclado y moldeado, de manera que se alcancen mayores rendimientos en estas operaciones. De esto modo se determinó que con la inclusión de una maquina mezcladora, se reduce al menos 14% el requerimiento de arcilla y agua en la operación, así mismo con la implementación de una máquina para el moldeado de ladrillos se eliminan las pérdidas de la operación y se aumenta la calidad y diversidad de los productos. Para que los cambios y mejoras progresivas sean sostenibles, económica y ambientalmente se ha estudiado y planteado el cambio de hornos, por alternativas tecnologías más eficientes que los tradicionales hornos volcán. En sentido se analizó la implementación del Horno MK y el Horno Túnel Hoffman.Para ver los impactos de cada una de las alternativas tecnológicas planteadas, se determinaron indicadores ambientales, económicos, financieros y sociales. En base a estos indicadores, para lograr una Producción Más Limpia en las ladrilleras artesanales, se planteó implementar cambios progresivos, desde Buenas Prácticas en las operaciones del proceso productivo, hasta la adopción de alternativas tecnológica más eficientes principalmente para las operaciones de moldeado y cocción de los ladrillos.</t>
  </si>
  <si>
    <t>https://drive.google.com/file/d/1YpGOVEJsd5Skp0ypxKlMjW77c7rq8hCB/view?usp=sharing</t>
  </si>
  <si>
    <t>https://drive.google.com/file/d/1hdZSLoufYQ1YUAzLSkIraQbXUvbjYD5O/view?usp=sharing</t>
  </si>
  <si>
    <t>https://drive.google.com/file/d/1z-b5jQXim8zCNhRp5iZMILaW2ssfETT2/view?usp=sharing</t>
  </si>
  <si>
    <t>JUAN PABLO BUTRÓN SALAZAR</t>
  </si>
  <si>
    <t>ING. ALEX D'ANCHGELO CHOQUE FLORES</t>
  </si>
  <si>
    <t>MEJORAMIENTO DE LAS OPERACIONES SEGÚN HERRAMIENTAS JIT PARA LA EMPRESA RECTIFICADORA DE MOTORES “ACTROS”</t>
  </si>
  <si>
    <t>IND-852-2017</t>
  </si>
  <si>
    <t>Rectificadora de Motores ACTROS, Productividad, Herramientas JIT,   Sistema SMED, 5 “S” Japonesas, Ciclo PDCA, Mejoramiento Continuo.</t>
  </si>
  <si>
    <t>La empresa rectificadora de motores ACTROS al ver el decremento de sus utilidades de manera considerable, perdiendo competitividad en el mercado, busca alternativas que permitan mejorar la productividad de la empresa. Es por ello que se da la oportunidad de realizar este proyecto de mejora de procesos mediante el sistema de producción JIT.En una primera instancia se realizó un diagnostico general de la empresa, analizando las actividades en cada puesto de trabajo mediante cursogramas analíticos, donde se pudo identificar las actividades que agregan valor y las que no agregan valor, como las de inspección, transporte, almacenamiento y demoras. Logrando visualizar en estas actividades que solo un 20 a 30% agrega valor y el restante 70 a 80% representa una oportunidad de mejora.Para tener un diagnóstico más amplio y preciso, se realizó el Mapa de Flujo de Valor (diagrama VSM), para cada proceso de rectificación, identificando así los puestos de trabajo donde se van formando cuellos de botella y los inventarios que se van acumulando al no tener un flujo de proceso nivelado. También se realizó un diagnostico referente a la calidad total en la empresa, realizando un diagrama de servicio y una auditoria administrativa según Franklin, donde se analizó siete dimensiones administrativas: planeación, políticas, procedimientos, adquisiciones, almacenamiento e inventarios, servicio al cliente y factor humano En base a todos los resultados obtenidos por el diagnostico, se realizó una lista de problemas y se buscó la herramienta JIT adecuada que permitiría solucionar u optimizar los procesos de rectificación.Es así que se aplicó las herramientas JIT según el tipo de actividad. Para los excesivos traslados se aplicó las celdas de trabajo, para la eliminación de las demoras se utilizó las tarjetas Kanban , compras JIT y el sistema SMED para poder producir lotes de una unidad; para mejorar el orden y la limpieza se aplicó las 5 “S” japonesas. Para la aplicación y mejora continua de la filosofía JIT se diseñó el ciclo PDCA de control de procesos para cada herramienta,Para la ejecución del sistema de producción JIT, fue necesario definir el proceso piloto según criterio teórico, es decir un proceso que no sea el más complicado ni tampoco el más sencillo, que se pueda aprender de los errores y tener una aplicación de mayor eficiencia en los demás procesos de rectificado. En ese sentido se eligió como proceso piloto el proceso de rectificación de cigüeñales, que además es uno de los más importantes por ser uno de los servicios de mayor demanda para la empresa. La aplicación de todas las herramientas JIT dio una estimación del 28,9% como optimización de todo el proceso de rectificado en una primera etapa, lo que significa una disminución de las actividades que no agregan valor del 41%, donde en una situación sin proyecto un motor se entregaba en 3,2 días, mientras en una con el proyecto, el tiempo de entrega es de 2,3 días. Pudiéndose mejorar este periodo en los siguientes años mediante la mejora continua.Se realizó una estimación en costos tomando en cuenta que la ejecución del sistema JIT no debe incurrir en grandes costos, sino tratar de optimizar con los recursos disponibles.  Para el primer año de ejecución se estimó una inversión de Bs. 59945, donde el gasto de mayor cuantía será la adquisición de una maquina (prensa neumática) evaluada en Bs. 28000, de requerimiento urgente para disminuir los cuellos de botella y demoras. Para los siguientes dos años de ejecución se estimaron los costos de mantenimiento en Bs. 4215 anuales, estos recursos permitirán la aplicación y mejoras de las diferentes herramientas.  En cuanto a los beneficios, se estimo de acuerdo a la optimización del 28,9%, ya que este espacio se lo podrá aprovechar en la rectificación de nuevos servicios de rectificación al incrementar la demanda por las mejoras en la calidad del servicio. Los beneficios anuales se estiman en Bs. 63893. Al final del proyecto se realizó un análisis financiero de relación Beneficio/costo, tomando en cuenta la estimación de todos los costos de inversión y mantenimiento en la aplicación de cada una de las herramientas JIT en los tres primeros años y los posibles beneficios que se pretende con las mejoras. El resultado de la ecuación Beneficio/costo es de 1,45 &gt; 1 lo que significa que el proyecto es factible en su ejecución.</t>
  </si>
  <si>
    <t>https://drive.google.com/file/d/1DWsAAkSj85babcLJUSjkSv0Yru4fKVj5/view?usp=sharing</t>
  </si>
  <si>
    <t>https://drive.google.com/file/d/1ZkwSP37O9-w2VUh7hOhYYfxCHoHwAQoj/view?usp=sharing</t>
  </si>
  <si>
    <t>https://drive.google.com/file/d/13O9xhKU__J5QUwCw3HhAaRPShynWPkpu/view?usp=sharing</t>
  </si>
  <si>
    <t>JESSICA SHELLY BARRIOS LLANQUE</t>
  </si>
  <si>
    <t>ING. BENJAMÍN JOEL TORRICO HERBAS</t>
  </si>
  <si>
    <t>DISEÑO DE UN SISTEMA DE GESTIÓN DE CADENA DE CUSTODIA PARA EL USO RESPONSABLE DE LA MADERA EN LA EMPRESA ECOWOODS BO.</t>
  </si>
  <si>
    <t>shellyba04@hotmail.com</t>
  </si>
  <si>
    <t>IND-853-2017</t>
  </si>
  <si>
    <t>Sistema de Gestión de Cadena de Custodia para el uso responsable de la madera.</t>
  </si>
  <si>
    <t>El crecimiento de la empresa Ecowoods Bo. ha permitido enfocarse a nuevos mercados, realizando gran parte de las ventas de sus productos utilitarios de madera en el mercado exterior, exportando a Estados Unidos y a Europa, por ello ha visto la oportunidad  de diseñar  un Sistema de Gestión de Cadena de Custodia basado en el estándar “Cadena de Custodia FSC-STD-40-004 (V2-1; 2011)” para el uso responsable de la materia prima (madera), puesto que la certificación de Cadena de Custodia permite garantizar al consumidor que los productos que adquiere provienen de bosques con manejo forestal certificado. En  primer lugar se realizó un análisis del entorno de la empresa mediante la evaluación de los factores internos y externos a través de la matriz EFI y EFE donde se determinaron oportunidades, amenazas, debilidades y fortalezas que tiene la empresa. Con la información obtenida en el diagnóstico a nivel interno y externo se procedió a formular los lineamientos estratégicos, la cual permitió tener un horizonte claro, donde la estrategia fundamental se basa en contrarrestar la principal amenaza que acecha a la organización, reflejada en la informalidad del mercado de las maderas y la competencia desleal, garantizando el uso responsable de la materia prima, con madera de manejo certificada en la elaboración del producto.Posteriormente se hizo un análisis de brechas (GAP) para verificar el nivel de cumplimiento de la empresa con los requisitos del estándar en los procesos estratégicos, de apoyo y principalmente de producción.Por otro lado se desarrolló el Sistema de Gestión de Cadena de Custodia y sus elementos que permitirán garantizar la elaboración del producto final (juguetes y juegos didácticos),  luego se  determinó la estructura  y se elaboró la documentación basado en el estándar estableciendo de esta manera el manual del Sistema de Gestión de Cadena de Custodia, el manual de Procedimientos, instructivos y registros que ayudan al cumpliendo de cada uno de los requisitos exigidos por el estándar FSC-STD-40-004 (V2-1; 2011).Así también se realizó el diseño del Sistema de Control para el uso eficiente de la madera mediante la especificación del input, definición del factor de conversión, determinación de la declaración FSC y finalmente el establecimiento de los puntos críticos de control en el proceso de fabricación.Por último se desarrolló para la empresa un Plan de Implementación para el Sistema de Gestión de Cadena de Custodia, este plan define claramente las líneas de acción, las actividades desarrolladas, las responsabilidades, el periodo de realización y la inversión y/o gasto de la implementación y la certificación.</t>
  </si>
  <si>
    <t>https://drive.google.com/file/d/1FO7vpg1bm34ejFvAafj-b6p52afgdrWH/view?usp=sharing</t>
  </si>
  <si>
    <t>https://drive.google.com/file/d/15QGUy2Iv8SOOP2jE0EiQ5d_swE1W1Osh/view?usp=sharing</t>
  </si>
  <si>
    <t>https://drive.google.com/file/d/10iixUwBxP_WnscwV61aMGHKM0uJnltRJ/view?usp=sharing</t>
  </si>
  <si>
    <t>VANIA CAMACHO CLAROS</t>
  </si>
  <si>
    <t>ESTUDIO DE FACTIBILIDAD PARA LA IMPLEMENTACIÓN DE UNA FÁBRICA DE LADRILLOS ECOLÓGICOS EN EL DEPARTAMENTO DE COCHABAMBA.</t>
  </si>
  <si>
    <t>vanijad@gmail.com</t>
  </si>
  <si>
    <t>IND-854-2017</t>
  </si>
  <si>
    <t>Producción Ladrillos Ecológicos, Bloques Prensados de Tierra, Bloque Ecológico Modular Patrón, Bloque suelo-cemento, Empresas Constructoras, Producción sin cocción, Escombro, Cemento, prensado, Curado, Evaluación Financiera, Análisis sensibilidad, Evaluación Impacto Ambiental.</t>
  </si>
  <si>
    <t>Primeramente se realizó una intensiva investigación de Mercados dirigida a las empresas constructoras del departamento de Cochabamba, con el objetivo de conocer el mercado consumidor, proveedor y competidor de ladrillos. Con el estudio se determinó que el mercado carece de productos ecológicos y que existe un sector demandante insatisfecho, por el crecimiento anual de la demanda del producto.Posteriormente se definió el tamaño de la fábrica, considerando que la empresa busca abarcar un 2% de la demanda total, produciendo 1.167.000 piezas al mes los primeros años de funcionamiento, tomando en cuenta el crecimiento de la demanda se planificó duplicar la producción de esta a partir del cuarto año.Como que se conoce el volumen de producción de la fábrica, se estableció que el abastecimiento de materia prima que estará a cargo de las Asociaciones de San Benito, Paracaya y San Lorenzo por la calidad se suelo que ofrecen, cabe mencionar que la localización óptima de la fábrica es el Municipio de San Benito por los factores relevantes como: el acceso inmediato a la materia prima y la cercanía del mercado.Luego se explicó a detalle, el proceso productivo de ladrillos ecológicos, considerando 15  etapas elementales para la fabricación del producto: tales como el Triturado de suelo mixto, triturado de reciclado de escombro y desechos de ladrilleras, tamizado de los componentes, dosificado y homogenizado de suelo mixto escombro y cemento; Compresión de la pieza, curado y secado sin necesidad de cocción. Para la realización de las diferentes tareas en el proceso de producción se contrató a 52 personas, que siguen una estructura organizacional lineal funcional, bajo la figura legal de Sociedad de Responsabilidad Limitada, además se describió el manual de funciones para cada trabajador y las planillas de salarios.Posteriormente se preparó la información para poder realizar la evaluación financiera determinando un VAN de 3.365.787 Dólares, una TIR del 57%, una relación B/C de 1,58 con un periodo de recuperación de capital de 4 años. También se realizó un análisis de sensibilidad que señaló la rentabilidad viable del proyecto a pesar de los escenarios planteados con la variación del precio de venta y el costo de producción. En el mismo se determinó que la inversión inicial total del proyecto es 451.819 Dólares, considerando que el 55% es aporte propio y el 45% restante será financiado por una entidad Bancaria. Finalmente se cumplió con la normativa ambiental y se determinó la viabilidad ambiental del proyecto, ya que los impactos negativos son controlados y mitigados a través de: la implementación de ventiladores, la implementación de una planta de tratamiento primario de aguas residuales y el suministro de Equipo de Protección Personal.</t>
  </si>
  <si>
    <t>https://drive.google.com/file/d/1A946sBF6eDnyeWgmI5ycPomAnltgFLkh/view?usp=sharing</t>
  </si>
  <si>
    <t>https://drive.google.com/file/d/1yBe2YdiFeX58mICfz7KrICyPYnFslf7Z/view?usp=sharing</t>
  </si>
  <si>
    <t>https://drive.google.com/file/d/1zN3sauYabi7DhjNlBy0dOOuR_F62XuH9/view?usp=sharing</t>
  </si>
  <si>
    <t>AGUILAR CALDERON MARCO ANTONIO</t>
  </si>
  <si>
    <t>ESTUDIO DE FACTIBILIDAD PARA LA IMPLEMENTACIÓN DE UNA FÁBRICA DE MOBILIARIOS EN MELAMINA, HIERRO Y ALUMINIO EN LA CIUDAD DE COCHABAMBA</t>
  </si>
  <si>
    <t>aguilar_calderon_mc@gmail.com</t>
  </si>
  <si>
    <t>IND-855-2017</t>
  </si>
  <si>
    <t>Planta de Mobiliarios, Melamina, Perfileria,  Diagnóstico del mercado, Troqueladora, Empaque, Margen de Contribución, TIR, TREMA, Periodo de recuperación.</t>
  </si>
  <si>
    <t>El objetivo del presente proyecto es el de realizar un Estudio de factibilidad para la puesta en marcha de una industria mobiliaria que fusionara diferentes materiales como la perfilería en aluminio, pefilería en metal, carpintería en melanina y manufacturas en vidrio templado y crudo; de tal manera poder saber si es conveniente la realización del proyecto.Se realizó una investigación del mercado, para determinar la demanda insatisfecha de los diferentes productos, a la vez que se establecieron estrategias de calidad, comercialización y distribución.Se determinó el programa de producción anual, todo ello  para determinar la cantidad a producir, con un análisis cualitativo y un análisis de costos.Se realizó un detalle de la materia prima e insumos requeridos para la fabricación de los mobiliarios y diferentes servicios, se hizo una descripción de las operaciones necesarias, el tipo de máquinas, herramientas a utilizar y la capacidad de estas; indicando los costos en maquinaria herramientas y equipo de oficina, detallándose también las obras civiles.  Por las características actuales, se vio necesario incluir un análisis  de seguridad industrial, con el fin de tener una guía de los cuidados que se deben tener en la fábrica para evitar accidentes y mantener una adecuada higiene industrial.Se determinó el tipo de organización que necesita la planta, indicando los requerimientos de mano de obra y se cuantificando los costos en que se incurre por este concepto; haciendo una diferenciación entre mano de obra directa e indirecta. Se realizó una planificación de las acciones que deberán ser desarrolladas en el año cero, referidas a la gestión del proyecto, el emplazamiento y la puesta en marcha, destinadas a garantizar el funcionamiento de la fábrica en el año uno. Se realizó una evaluación del proyecto, a través del uso de indicadores financieros como ser el TIR, VAN y R (B/C), IR y TREMA, estos indicadores fueron evaluados cuando el proyecto es financiado con una entidad y con capital propio.</t>
  </si>
  <si>
    <t>https://drive.google.com/file/d/1CErTW8dxGFTK2v2KGnwF4Oy1VY1t76CN/view?usp=sharing</t>
  </si>
  <si>
    <t>https://drive.google.com/file/d/1oHknd4-MhYp4MV7lzRsuDgI_jp5QWY68/view?usp=sharing</t>
  </si>
  <si>
    <t>https://drive.google.com/file/d/1y-uQlSXBeFh3aRZegBbMDIrf3FBfOmPo/view?usp=sharing</t>
  </si>
  <si>
    <t>ESTHER BUSTILLO CLAROS</t>
  </si>
  <si>
    <t>ING. BORIS MOREIRA ROSAS</t>
  </si>
  <si>
    <t>ESTUDIO DE FACTIBILIDAD PARA LA IMPLEMENTACIÓN DE UNA PLANTA INDUSTRIAL MOLINERA PROCESADORA DE HARINA DE TRIGO EN EL MUNICIPIO DE TOTORA EN LA COMUNIDAD DE HUERTA MAYU</t>
  </si>
  <si>
    <t>sthr_1991 @hotmail.com</t>
  </si>
  <si>
    <t>IND-856-2017</t>
  </si>
  <si>
    <t>Harina De Trigo, Planta Molinera, Evaluación Financiera, Evaluación De Impacto Ambiental (EIA), Estudio De Factibilidad, Totora-Carrasco.</t>
  </si>
  <si>
    <t>La harina de trigo es un producto de primera necesidad en la canasta familiar, el cual a falta de abastecimiento con la producción nacional para el mercado interno, conlleva a que el gobierno garantice la seguridad alimentaria por medio de importaciones.</t>
  </si>
  <si>
    <t>https://drive.google.com/file/d/1gtgcycy8ZepEEhzPLRxuhpVBnakvVDw5/view?usp=sharing</t>
  </si>
  <si>
    <t>https://drive.google.com/file/d/1YzZr3aOn9Lrc8rlHNDyc4iYWY7z1kAVZ/view?usp=sharing</t>
  </si>
  <si>
    <t>https://drive.google.com/file/d/1W82LMTGkmoNZ5e0pdj02_3N67Hn_RE53/view?usp=sharing</t>
  </si>
  <si>
    <t>RODRIGO OSWALDO PATZI ROJAS</t>
  </si>
  <si>
    <t>ING. LUIS FELIPE SALDIAS GRAJEDA</t>
  </si>
  <si>
    <t>ANÁLISIS TÉCNICO E IMPLEMENTACIÓN PARA LA OPTIMIZACIÓN Y MEJORA EN LE RECUPERACIÓN DE DIÓXIDO DE CARBONO EN PLANTA TAQUIÑA S.A.</t>
  </si>
  <si>
    <t>rpatzirojas@gmail.com</t>
  </si>
  <si>
    <t>IND-857-2017</t>
  </si>
  <si>
    <t>Recuperación Dióxido de Carbono, CO2, Análisis Técnico E implementación, Análisis PDCA, Planta Taquiña, Evaluación Benéfico Costo.</t>
  </si>
  <si>
    <t>Industria cervecera Taquiña se encuentra en búsqueda de nuevas estrategias para ahorrar, reutilizar y maximizar la recuperación del dióxido de carbono. El requerimiento del gas en industria es de vital importancia, dado que su aplicación es indispensable para el funcionamiento en planta. Bajo esta circunstancia, la eficiencia en la recuperación adquiere importancia especial para la cervecería.Planta Taquiña, bajo su sistema de mejora continua busca abastecer su requerimiento del dióxido de carbono, generar excedente para llegar a cubrir la demanda de plantas del consorcio de la cervecería boliviana nacional y finalmente poder entrar al negocio de venta regional y nacional del dióxido de carbono diluido. El objetivo del proyecto es el de aplicar el sistema de mejora continua, haciendo un análisis detallado de los sectores y procesos que consumen dióxido de carbono, detectar de cuales procesos se llega a recuperar el dióxido de carbono y de cuáles no, empleando un análisis de Pareto y criterios de control definiremos los procesos o procedimientos  a los que se deben llegar a modificar, con la finalidad de maximizar la recuperación del gas de esta manera contribuir a la visón de la empresa de realizar una producción más limpia.El proyecto de optimización tiene como objetivo diseñar una red de tuberías adecuadas para recuperar el dióxido de carbono empleado en procesos con alta demanda del gas, así mismo mejorar la red de recuperación actual dando como resultado una red optima, practica y eliminar puntos de bajada de presión, misma que tendrá una aplicación versátil la cual servirá para reutilizar el gas en un proceso de alta demanda de dióxido de carbono.Los resultados obtenidos fueron la implementación de 4 propuestas, la primera propuesta permitirá aumentar la eficiencia de la recuperación del sector de filtración de 38% a un 77%. La segunda propuesta es reutilizar el gas utilizado en el sector de filtración hacia el sector de fermentación, ocasionando un ahorro del de la perdida por eficiencia del tratamiento del CO2 lo cual equivale a un volumen de 587  en un mes. La tercera propuesta es la división de la recuperación en tres sectores con fines de evitar paradas por mantenimiento y procedimientos de calidad.  Por ultimo elaborar un control del CO2 que se produce en un lapso de tiempo determinado por el proceso de la fermentación.El proyecto generara un ahorro de 7,820Bs por mes, la inversión fue de 42,980Bs la cual se llegará a recuperar en un lapso de 5.5 meses. Se recomienda realizar correctamente el estándar realizado con fines de mantener la efectividad del proceso.</t>
  </si>
  <si>
    <t>https://drive.google.com/file/d/1mjKFtAeWRUpnZgIacMknq6wCrKb9l8Sw/view?usp=sharing</t>
  </si>
  <si>
    <t>https://drive.google.com/file/d/1PM-pLA4rA_qG7u8_KqPdKtzpdBcMLD6W/view?usp=sharing</t>
  </si>
  <si>
    <t>https://drive.google.com/file/d/1buBG_Ub6Wr9xJ6UvhvlorFz_btU0kkm5/view?usp=sharing</t>
  </si>
  <si>
    <t>CINTHIA ANDREA VARGAS SILES</t>
  </si>
  <si>
    <t>ING. JUAN PABLO ARANDIA GARCÍA</t>
  </si>
  <si>
    <t>PLAN ESTRATÉGICO DE MARKETING PARA LA PLANTA DE ALIMENTO BALANCEADO DE LA ASOCIACIÓN DE PRODUCTORES DE LECHE DEL VALLE DE COCHABAMBA VINCULADOS AL CLÚSTER DE ALIMENTOS DE LA UMSS</t>
  </si>
  <si>
    <t>andreavargasiles@gmail.com</t>
  </si>
  <si>
    <t>IND-858-2017</t>
  </si>
  <si>
    <t>Alimento balanceado, ganado lechero, productores de leche, asociaciones, comercialización, análisis del mercado, plan estratégico, evaluación económica.</t>
  </si>
  <si>
    <t>Primeramente se realizó una auditoria interna donde se determinó las principales fortalezas y debilidades de la planta de alimento balanceado de la APL, donde se concluyó que la PAB presenta mayores fortalezas que debilidades, entre las fortalezas se destacaron el contar con una persona especializada en nutrición animal, quien se encargaba de la realización de la formulación del alimento para las distintas etapas del ganado; entre las principales debilidades se encuentra la baja tecnificación del proceso, siendo que la el envasado del alimento balanceado es realizado manualmente lo generó exista variación de 0,5 kilogramos en promedio por cada bolsa .Se pudo constatar que el Macro-entorno generaba una afectación mayormente negativo, debido a que existían mayores amenazas que oportunidades. Entre las principales amenazas que presentaba el macro-entorno se encontraban los factores político-legales, debido a que las políticas tributarias significan un costo altos, y los factores ambientales que afectaron principalmente con el aprovisionamiento, disponibilidad y precio de adquisición de los granos que son la base para la elaboración del alimento balanceado. Posteriormente se realizó la investigación de mercados, donde se analizó las áreas lecheras de los departamentos de Cochabamba, La Paz, Oruro, Chuquisaca y Tarija, donde se determinó que la oferta de alimento balanceado, en los últimos cuatro departamentos mencionados, es mínima, esta situación es a consecuencia de que el consumo promedio de alimento balanceado comparado con el consumo de alimento de Cochabamba es mínimo, lo que repercutió que muchas empresas no hayan considerado estas áreas como mercados potenciales. Así también se determinó que los presidentes de las asociaciones son los encargados de realizar los pedidos en función a los requerimientos de los miembros de las asociaciones, siendo ambas las principales oportunidades que presenta el nuevo mercado.Se realizó el análisis y relacionamiento de la información, donde se obtuvieron 35 estrategias para la expansión de la PAB a nivel de los departamentos analizados, debido a que la implementación de la totalidad de estrategias hubiese significado una inversión bastante alta para la PAB se vió por conveniente la selección de estrategias de donde se obtuvieron cinco. Las cuales se desarrollaran dentro de tres planes que son Plan Desarrollo, Plan Conquista y Plan Control, cada plan  requiere de un inversión para su desarrollo, por lo que se fueron dando prioridades a aquellos planes de mayor relevancia y que hubiesen obtenido beneficios a corto plazo, por lo cual el plan conquista es el que contaba con mayor peso debido a que se encontraba direccionado a la expansión de la PAB, el plan derivados se concentró específicamente en la investigación y desarrollo de nuevos productos y finalmente el plan control fue direccionado primeramente a la generación de mejoras para la PAB para que de esta manera se minimizaran las mermas y se analizara la puesta en marcha de la nueva planta.Debido a que cada plan presentaba un presupuesto, se requería el conocer la factibilidad del proyecto, y determinar si el plan obtendría ganancias, por lo cual se determinaron ratios como ser el TIR, VAN y B/C, donde se obtuvo los siguientes resultados: TIR de 8%, siendo esta mayor a la TMA 5,3%, al igual que el VAN fue 256751,03 y el B/C dio un resultado de 1.08, por lo que se concluyó que la implementación del plan es factible.Como se observó dentro de la planta de alimento balanceado la carencia del departamento de comercialización, se solicitó que se contara una persona para que ocupase el cargo o caso contrario se generen manuales de funciones para el área administrativa y direccionar las actividades comerciales lo generaría una implementación adecuada del plan estratégico de marketing presentado.</t>
  </si>
  <si>
    <t>https://drive.google.com/file/d/1rVvtkgW7WK4cOFH_b_e286ft2PyiC0GT/view?usp=sharing</t>
  </si>
  <si>
    <t>https://drive.google.com/file/d/1YTdDaMFHY86iLi--yEhGAU5T7b40mxqX/view?usp=sharing</t>
  </si>
  <si>
    <t>https://drive.google.com/file/d/1tih9-hWrFBHNJLAsoik7vV9v9Pe9qvA1/view?usp=sharing</t>
  </si>
  <si>
    <t>ALDRIN HERBAS ALELUYA</t>
  </si>
  <si>
    <t>LIC. EDGAR FLORES T.</t>
  </si>
  <si>
    <t>PROYECTO DE FACTIBILIDAD PARA LA INSTALACIÓN DE UNA PLANTA ELABORADORA DE SHAMPOO A BASE DE JENGIBRE EN LA CIUDAD DE COCHABAMBA</t>
  </si>
  <si>
    <t>aldrin.herbas.aleluy@gmail.com</t>
  </si>
  <si>
    <t>IND-859-2017</t>
  </si>
  <si>
    <t>Factibilidad, Zingibereno, Flujo grama, VAN, TIR, B/C, ROI, ROE</t>
  </si>
  <si>
    <t>Se realizó el proyecto por la falta de productos ecológicos para el cuidado del cabello teniendo por objetivo realizar un estudio de factibilidad para la implementación de una planta elaboradora de shampoo a base de Jengibre  para la población de Cochabamba.Se eligió como materia prima el Zingibereno de Jengibre por las propiedades beneficiosaspara el cabello ya que contiene principios bacterianos, antivíricos y sobre todo propiedades antioxidantes. Seeligió cuidadosamente la materia prima, insumos y materiales a utilizarse en la elaboración del producto, para obtener un producto ecológico y de calidad.Se hizo un estudio de mercado en los municipios poblados  de Cochabamba, que permitió establecer el nivel de demanda del producto, la población objetivo, características deseables en el producto, además de los lugares de compra y la aceptación del producto.La localización de planta se realizó a través de un análisis cualitativo de puntos, el cual con ponderación máxima, resulto ganador el área de Quillacollo siendo la más óptima, con una tamaño de 489 m2, la distribución de áreas se especificó en el Ley out de la Planta con el espacios requerido para realizar las actividades adecuadamente y finalmente se detalló el proceso productivo en los flujogramas y diagrama, teniendo una capacidad productiva de 166 L diarios equivalente a 415 frascos de 400 mL diarios.Se elaboró un organigrama para estructurarla mano de obra, se los clasifico por niveles, se especificó las tareas de todos los trabajadores en los manuales de funciones y se definió la planilla de sueldos y salarios. Se describió todo el proceso de formación para la apertura de la empresa obtenida del ministerio de trabajo para cumplir con todo lo que establece la ley.Posteriormente al haber obtenido los datosmás importantes de varios capítulos se concluye que el estado de resultados y balance general  obtienen ganancias en el proyecto y los indicadores financieros obtenidos sonun TMAR del 20 %,  un VAN de  509.870 Bs., un TIR  de 31.6%, relación de beneficio costo de 1,32 demostrado con estos resultados que el proyecto es factible, los indicadores de rentabilidad también dan ROI y ROE muestran que la empresa gana un 27,42 % sobre su inversión y el un 22,81 % sobre su patrimonio mostrando que el proyecto es muy rentable, Al realizar el análisis de sensibilidad se obtuvo que el proyecto es rentable hasta que el precio de venta baje un 13,5 %, se incremente el costo de producción un 65 % y cuando ocurra ambas situaciones soporte un 5 % en la disminución del precio y un 40 % en el incremento del costo de producción.Finalmente se concluyó con una Evaluación de Impacto Ambiental de acuerdo a ley 1333, dondese estudió al proyecto en sus etapas de ejecución y operación mediante la ficha ambientas, concluyendo que no existen factoresde riesgo negativo considerables y se estableció medidas de mitigación para dichos factores.</t>
  </si>
  <si>
    <t>https://drive.google.com/file/d/1IA6VbsiXrVh9J3k3x-gEV0vyMtoBPH48/view?usp=sharing</t>
  </si>
  <si>
    <t>https://drive.google.com/file/d/1Hcm0oJmVLu5fFgijtqBzGq9GPVQS3yC_/view?usp=sharing</t>
  </si>
  <si>
    <t>https://drive.google.com/file/d/1uJa9iPJnylvcSH2lYKf0VZpH3HEutr7v/view?usp=sharing</t>
  </si>
  <si>
    <t>LEONARDO RICALDE MAMANI</t>
  </si>
  <si>
    <t>ESTUDIO DE FACTIBILIDAD  PARA LA IMPLEMENTACIÓN DE UNA FÁBRICA DE VIGUETAS PRETENSADAS: CASO UNICONST</t>
  </si>
  <si>
    <t>Nardo.lrm@gmail.com</t>
  </si>
  <si>
    <t>IND-860-2017</t>
  </si>
  <si>
    <t>Proyecto, Investigación, Implementación, Productividad, Competitividad, Calidad, y Planificación.</t>
  </si>
  <si>
    <t>La fabricación de productos de construcción es quizá una de las actividades con mayor incidencia en el desarrollo y crecimiento de una sociedad, El notable incremento de las obras de construcción y los efectos que provoca en el movimiento económico de la región, hacen que este rubro y sus representantes adquieran cada vez más fuerza.El objetivo de este proyecto es: Realizar un estudio de factibilidad para la implementación de una fábrica de viguetas pretensadas. Orientada a cubrir la región oeste de Cochabamba.Según el estudio de mercado realizado, el análisis de la demanda y la oferta,  encontramos con un mercado satisfecho no saturado, mercado de libre competencia, donde el ingreso  como nuevo productor supone el ingreso con buenas estrategias comerciales. Se identificó que el consumidor real del producto es el maestro constructor lo que indica que cualquier estrategia comercial debe ser orientado hacia a él.Para la fabricación de viguetas pretensadas es necesario: La gravilla, arena, alambre de acero de alta resistencia, cemento y agua. Los equipos necesarios para la producción de viguetas pretensadas son las siguientes: Mezcladora de hormigón, Tensadora unifilar para el pretensado, Vibradora compactadora, Pista de moldes de plancha de 3mm, Cortadora de viguetas, Y otras herramienta menores (carretilla, pala, tenazas, etc.)El procedimiento para la fabricación de viguetas pretensadas en moldes fijos es la siguiente: Limpieza de la pista, Tendido de alambre, tensado, Hormigonado, Vibrado, compactado, Corte y numerado AlmacenamientoTodos los procedimientos suponen un control de calidad riguroso porque se debe producir las viguetas pretensadas cumpliendo la NB-977 norma boliviana de fabricación de viguetas pretensadas. La localización fue establecida a través de la técnica cualitativa de puntos ponderados, realizando un análisis a 3 micro-localizaciones, determinando que la mejor alternativa de ubicación es el municipio de Quillacollo, ya que es una zona que permite la accesibilidad a la materia prima, mano de obra y un factor muy importante tiene mayores posibilidades de expansión de mercado.El tamaño de la planta fue determinado en base a la demanda propia del proyecto, estableciéndose un tamaño con una producción de 100 a 200 metros lineales por día, por un sistema de moldeo.Se estimaron las inversiones totales y los costos en los que incurre el proyecto, para lo cual se necesita una inversión total aproximadamente de 713.000 Bs. Para activos fijos, activos diferidos y capital de trabajo. En cuanto a la evaluación financiera, se determinó que el proyecto es rentable, si es capaz de cubrir mayor o igual al 6% del mercado meta que se planteó. Y con un financiamiento del 50% el proyecto y según indicadores de rentabilidad (VAN, TIR, B/C) dan como resultado un proyecto factible.La categoría de evaluación de impacto ambiental al cual pertenece el proyecto es la categoría 3. Lo cual indica que no es necesario hacer una evaluación específica del impacto ambiental. Solamente se requiere medidas de mitigación para cuidar el ecosistema y protección personal durante las actividades de la empresa.</t>
  </si>
  <si>
    <t>https://drive.google.com/file/d/1iVBYFBp1bhVycjHHGDFPDWOPuRwfC4vA/view?usp=sharing</t>
  </si>
  <si>
    <t>https://drive.google.com/file/d/1wZDGYn8UFl5DcZfCC9EMRtGmrKFQY19g/view?usp=sharing</t>
  </si>
  <si>
    <t>https://drive.google.com/file/d/1jhKMAs10Wdkc3JD9FquTy1eLjD6cmJsx/view?usp=sharing</t>
  </si>
  <si>
    <t>GUIDO GONZALES TABOADA</t>
  </si>
  <si>
    <t>INGENIERÍA DE MÉTODOS EN EL PROCESO DE PRODUCCIÓN DE LA LÍNEA PET-SFRU DE LA EMPRESA DE BEBIDAS SEASA S.A.</t>
  </si>
  <si>
    <t>guido.gonzales.t@gmail.com</t>
  </si>
  <si>
    <t>IND-861-2017</t>
  </si>
  <si>
    <t>Línea de producción PET de SEASA S.A., Productividad, Estudio de métodos y tiempos.</t>
  </si>
  <si>
    <t>El proyecto se realizó con el objetivo de incrementar la producción en la línea de envasado PET-Sfru de la planta SEASA S.A., en esta línea se envasa bebidas refrescantes en envases de plástico en diferentes formatos.Para el cual se partió con el árbol de problemas permitiendo identificar las causas del problema central, viéndose por conveniente la realización de un estudio de métodos y tiempos, partiendo de esto se determinó los objetivos del proyecto.El desarrollo del proyecto comenzó con la realización de un diagnóstico de la situación actual, se recabo información acerca de la empresa, el producto, instalaciones, proceso productivo, producción actual.El siguiente paso fue la realización del estudio de métodos para los formatos 2500 ml y 600 ml sport cap los cuales son los formatos más producidos de la línea PET, este estudio permitió conocer a detalle el proceso productivo de la línea, secuencia de operaciones, recorrido del producto, distribución de las áreas de trabajo y método de trabajo, identificándose de esa manera los problemas en cada proceso de la línea PET el cual ayudo a plantear respuestas a estos problemas.Posteriormente se llevó acabo el estudio de tiempos de forma independiente para el envasado de los formatos 2500 ml y 600 ml sport cap con el objetivo de conocer los tiempos respectivos para la realización de las diferentes actividades por los operarios en la línea de producción.Con los datos recabados se determinó las tolerancias y suplementos de acuerdo a las distintas situaciones de trabajo realizado por los operarios, se estableció el tiempo estándar para cada actividad.Definido el modelo de producción actual se formuló dos métodos propuestos, el método propuesto 1 se centra en la optimización del sistema productivo actual mejorando el tiempo efectivo de trabajo y una mejor distribución de operarios, mientras que el segundo método representa principalmente adquisición de nueva maquinaria.Se desarrolló el método propuesto gracias a todos los datos recabados, disminuyendo los tiempos muertos durante un turno de trabajo, logrando el incremento de la producción con la propuesta 1 en un 7,79% para el formato 2500 ml y en un 14,39 % para el formato 600 ml sport cap, así mismo con la propuesta 2 en un 26,24% para el formato 2500 ml y en un 20,19% para el formato 600 ml sport cap.Realizado el análisis económico para la propuesta 1, la utilidad o ganancia que se obtendría con este método de trabajo, para el formato 2500 ml un incremento en la utilidad del 9,61 % y para el formato 600 ml sport cap un incremento en la utilidad del 28,53 %, que también representa una reducción en los costos de producción por turno de trabajo.Para el análisis económico de la propuesta 2 se determinó el VAN sin proyecto de Bs10.806.194,04 así mismo se obtuvo los indicadores para la propuesta 2: VAN de Bs10.853.671,16; TIR de 262,25%; el periodo de recuperación de un año y un B/C de 5,69 para decidir sobre la viabilidad del proyecto, viendo estos parámetros se considera viable realizar una inversión en maquinaria en la línea de envasado PET.Se recomienda una mejor planificación en lo que respecta al mantenimiento de las máquinas de la planta de producción ya que se cuenta con un área y personal de mantenimiento.</t>
  </si>
  <si>
    <t>https://drive.google.com/file/d/1LTuN0cUMiDPbqz_eG2WYkkySPk6W9LQO/view?usp=sharing</t>
  </si>
  <si>
    <t>https://drive.google.com/file/d/1G4Rb1W6htJyNqq4T3VgN1o9AjfQ-cuKA/view?usp=sharing</t>
  </si>
  <si>
    <t>https://drive.google.com/file/d/18dpKlzOuiDK3VZ29HNaL3mAiFtSABaJd/view?usp=sharing</t>
  </si>
  <si>
    <t>KAREN SHIRLEY SANGA BUSTAMANTE</t>
  </si>
  <si>
    <t>DISEÑO DE UN MODELO ESTRATÉGICO PARA LA EMPRES MULTIPUERTAS</t>
  </si>
  <si>
    <t>Karen_Sanga@hotmail.com</t>
  </si>
  <si>
    <t>IND-862-2017</t>
  </si>
  <si>
    <t>Planificación estratégica Diagnostico situacional</t>
  </si>
  <si>
    <t>Primeramente se la realizo la entrevista con el propietario donde se puido evidenciar  problemas de gestión, ya la empresa no cuenta con una visión a futuro de la empresa de la misma manera se encontraron problemas de organización dentro la empresaPosteriormente mediante el estudio de las bibliografías pertinentes para este tema se realizó la estructura del proyecto.Mediante la visita a las instalaciones de la empresa se obtuvieron información pertinente de la empresa para el desarrollo del análisis interno de empresa en la que mediante entrevistas con los respectivos encargados de áreas y el propietario se recabaron información de problemas que tiene la empresa dentro de su desenvolvimiento Tales como la inexistencia de la misión, visión, valores, políticas y objetivos de la empresa.De la misma manera se realizó una encuesta que consta de 18 preguntas a todo el personal de la empresa donde el objetivo es medir la satisfacción dentro de la empresa; cuyos resultados obtenidos fueron: 55% de la empresa no conoce la razón de ser de la empresa, se confirma en un 100% que no se tiene funciones definidas, 82% del personal se encuentra poco satisfecho en su fuente laboral y por último la empresa no realiza ningún tipo de incentivo al personal. Se lograron identificar las fortalezas y debilidades que la empresa Análisis externo se realizó una encuesta a los clientes de la empresa donde, el tamaño de muestra de clientes fue de 44 personas naturales y  jurídicas. Los resultados obtenidos fueron los clientes se encuentran satisfechos con la calidad y precios de los productos, no así con los tiempos de entrega. También se realizó el estudio de los factores externos tales como: económicos, Construcción demográficos, Políticos, tecnológicos y el análisis de las competencias (Porter).Mediante las matrices: Interna – externa (IE), Matriz de la posición estratégica y la evaluación de la acción (PEYEA), Boston consulting Gruop (BCG); Se obtuvieron las posturas estratégicas cuyos resultados fueron: estrategias competitivas, estrategias intensivas y estrategias de protección; Mediante las matriz FODA estratégico se obtuvieron 15 posibles estrategias, para la selección de las mismas se utilizó la matriz cuantitativa de la gran estrategia, obteniendo así las cuatro estrategias de mayor impacto.Posteriormente se realizó la planificación estratégica de las cuatro estrategias de a mayor impacto teniendo así cuatro planes los son: Crecimiento nacional; que consta de la apertura de sucursales en la ciudad de La Paz y Santa Cruz, Plan de Marketing y Publicidad; mismo cuya finalidad es el reconocimiento de la empresa a nivel nacional, Ser los mejores; mediante este plan ayudara a la empresa a mejorar su forma de trabaja ofreciendo buenos productos y seguridad para el personal. Y por último el Plan organización interna; mismo que su objetivo es mejorar la dinámica del personal.Por último se realizó el planteamiento Financiero que la empresa que debe asumir para la implementación de proyecto como resultado arrojo que la empresa tiene la capacidad de financiamiento propio generando así en el lapso de 5 años un incremento en ventas del 15% en utilidades  y una rentabilidad del 0,29.</t>
  </si>
  <si>
    <t>https://drive.google.com/file/d/1Xj_GnYSX0qcPhP_JMioW_3VjlcAwVlLD/view?usp=sharing</t>
  </si>
  <si>
    <t>https://drive.google.com/file/d/1o3vjN4kYr9EE4ZDAmcRYISFmLpmmnq8M/view?usp=sharing</t>
  </si>
  <si>
    <t>https://drive.google.com/file/d/1IAn8RjQHLVF86CcAEeoiICvisw_ABwuy/view?usp=sharing</t>
  </si>
  <si>
    <t>JANETH STEPHANI TERÁN ENCINAS</t>
  </si>
  <si>
    <t>ING. CHOQUE FLORES ALEX D´ANCHGELO</t>
  </si>
  <si>
    <t>PLAN ESTRATÉGICO DE MARKETING PARA LA EMPRESA IMPORTADORA DE GRIFERÍA Y EQUIPOS SANITARIOS “IMEXTRAN SRL</t>
  </si>
  <si>
    <t>jane88te@gmail.com</t>
  </si>
  <si>
    <t>IND-863-2017</t>
  </si>
  <si>
    <t>Líneas Estratégicas, factores claves para el éxito, planificación estratégica, Marketing MIX, investigación de mercados, diagnostico empresarial, indicadores financieros, evaluación financiera.</t>
  </si>
  <si>
    <t>Primeramente se realizó un diagnostico empresarial, para detectar todas las fortalezas, oportunidades, debilidades y amenazas que presenta la empresa IMEXTRAN S.R.L., también se plantearon todos los escenarios posibles, contingencias y vulnerabilidades que afectaron al rendimiento de la sucursal de Cochabamba desde su apertura el año 2012, este diagnóstico fue fundamental para determinar las estrategias utilizadas en los planteamientos de los planes estratégicos finales.Luego se prosiguió con una investigación de mercados para a cual se seleccionaron dos nichos de mercados, los cuales serían los puntos de estudio para el fin de la investigación, los nichos seleccionados fueron los clientes potenciales los cuales llegaron a ser las empresas constructoras de la ciudad de Cochabamba en la zona de cercado, el otro nicho seleccionado para la investigación fue la competencia, que fue representada por las  empresas comercializadoras de los productos de grifería y equipos sanitarios y ferreterías que ofrecen esos productos, mediante el estudio de mercado se determinó las características más relevantes para los clientes y se estudió las estrategias y metodologías de trabajo de la competencia.Se prosiguió con la planificación estratégica a largo plazo y la planificación operativa a corto plazo para lo cual se encontraron dos planes estratégicos uno basado en la captación de clientes, el incremento de ventas y participación en el mercado cochabambino y el segundo basado en la fidelización de los clientes potenciales los cuales llegarían a ser las empresas constructoras por sus características de consumo de éste tipo de productos.Finalmente se realizó la evaluación financiera para analizar el impacto económico de la aplicación, ejecución del plan a la sucursal de la ciudad de Cochabamba en el cual se determinó que el proyecto es viable e incrementar el rendimiento esperado por el gerente propietario se evaluaron los indicadores financieros : VAN, TIR , B/C</t>
  </si>
  <si>
    <t>https://drive.google.com/file/d/1BNP7UhMo8ByoziJMm1kORgvOB5GEKEwF/view?usp=sharing</t>
  </si>
  <si>
    <t>https://drive.google.com/file/d/1cA_NPWBhMwvT-lT3Xu59meRaSjdrqKz5/view?usp=sharing</t>
  </si>
  <si>
    <t>https://drive.google.com/file/d/1r7LBvQjnUY9Z_TfbpvJh3ioNzz3H2pBN/view?usp=sharing</t>
  </si>
  <si>
    <t>ESTHER ACHAYA FLORES</t>
  </si>
  <si>
    <t>ESTHER DINA FLORES AYALA</t>
  </si>
  <si>
    <t>PROYECTO DE FACTIBILIDAD PARA EL PROCESAMIENTO DE COCO Y SUS DERIVADOS EN EL MUNICIPIO DE VILLA TUNARI</t>
  </si>
  <si>
    <t>viancaflores23@gmal.com</t>
  </si>
  <si>
    <t>IND-864-2017</t>
  </si>
  <si>
    <t>Proyecto, Demanda, Oferta, Localización, Producción, producto, Capacidad, Rentabilidad</t>
  </si>
  <si>
    <t>Primeramente se realizó una investigación de mercados en la sección capital de departamento de Cochabamba con la finalidad de conocer el nivel de consumo de los productos elaborados a base de coco, realizando un análisis de la oferta y la demanda del producto, se realizó los cálculos de la demanda propia del proyecto, considerando el grado de participación de 3%.De acuerdo a los cálculos realizados para el precio del producto esta se definió respecto a los costos de producción, como resultado se obtuvo que los precios para las presentaciones de 60 g, 200g y 320 g son Bs.- 23,  Bs.-78 y Bs.- 125 respectivamente.Para el abastecimiento de materia prima del proyecto se consideraron a dos productores del municipio de Villa Tunari contando una disponibilidad de 144.000 frutos por año, la misma que será suficiente para asegurar las producciones de los productos y cubrir el mercado.Durante las pruebas realizadas, el proyecto opto por la prueba de mayor rendimiento obteniendo así una producción diaria de 21,5 kg de aceite, del cual también se aprovechó un subproducto que es la harina de coco obteniendo una producción diaria de 25 Kg. Para la producción anual  se contó con 5.225 Kg de aceite de coco y 6.075 Kg de harina de coco.De igual manera se logró  identificar las maquinarias y equipos necesarios para la elaboración del producto, considerando la capacidad de producción establecida se realizó el diseño de la distribución de planta sobre un espacio de 330,43m2 Se realizó el estudio de localización analizando los factores más importantes. Mediante el método de factores ponderados se determinó que el emplazamiento de la planta del proyecto será en el Municipio de Villa Tunari del departamento de Cochabamba.Para el proyecto se realizó una estructura organizacional de tipo funcional y lineal contando con 17 trabajadores para los primeros años para los cuales se estimaron los sueldos y salarios de la mano de obra. La personalidad jurídica de la empresa será tipo Sociedad Anónima en base ello se determinaron los requisitos que se debe de cumplir para la constitución legal.Para el proyecto se realizó el análisis de la evaluación financiera, donde se calculó que el monto para la ejecución del proyecto cuenta con $us.- 167.375 contando un aporte propio de 70% y un 30% mediante un crédito financiero y realizando los cálculos de los parámetros de rentabilidad se determinó un VAN de $us.- 825.894, una TIR de  69%, con una relación beneficio costo de $us.- 6,13 y el periodo de recuperación de la inversión será en el cuarto año, concluyendo que el proyecto es rentable. Finalmente se concluyó con el estudio de  Evaluación de Impacto Ambiental de acuerdo a ley 1333, que estudió al proyecto en sus fases de construcción y operación, donde se  identificaron impactos positivos como también negativos, concluyendo que estos impactos son leves que no afectan al medio ambiente, por tanto no producen ningún riesgo de rechazo en la construcción y en la operación del proyecto, razón por la cual el proyecto se clasifica dentro de la categoría III.</t>
  </si>
  <si>
    <t>https://drive.google.com/file/d/184QmGyJYhIxkKPd8yOU7vwgRsrB6PXdu/view?usp=sharing</t>
  </si>
  <si>
    <t>https://drive.google.com/file/d/1GtGrcLD56ceAqelPSo_1v101kXKvaz_H/view?usp=sharing</t>
  </si>
  <si>
    <t>https://drive.google.com/file/d/1nbg6tPf5CLc6ONoQr6Fc8kpJellzvyFT/view?usp=sharing</t>
  </si>
  <si>
    <t>JHENNY JESHICA HUAÑARRAYA CLEMENTE</t>
  </si>
  <si>
    <t>DIEGO PEREZ FERNANDEZ</t>
  </si>
  <si>
    <t>ING. LITZA LORENA LAZARTE CAMACHO</t>
  </si>
  <si>
    <t>PROYECTO DE FACTIBILIDAD PARA LA IMPLEMENTACIÓN DE UNA PLANTA PROCESADORA DE CONFITURA Y SALMUERA A PARTIR DE CLADODIOS DE TUNA (OPUNTIA FICUS-INDICA) EN EL DEPARTAMENTO DE COCHABAMBA</t>
  </si>
  <si>
    <t>jhennyhuanarraya@gmail.com</t>
  </si>
  <si>
    <t>IND-865-2017</t>
  </si>
  <si>
    <t>Planta Tuna, Cladodios de Tuna, Factibilidad, Confitura, Salmuera, Centro de Investigación en Forraje.</t>
  </si>
  <si>
    <t>Al resultar afirmativa la existencia de esta especie en el departamento de Cochabamba y existir una gran aceptación por parte de los degustadores y posibles consumidores, se presenta la posibilidad de implementar este proyecto en el tiempo estimado, buscando siempre incrementar la variedad de productos en sus diferentes presentaciones, la posibilidad de que se presente una gran competencia por la comercialización de algo nuevo y nutritivo es enorme a partir del año tercero , es por esta razón que la diversificación debe realizarse constantemente ,asegura de esta forma la sobrevivencia de la industrial en el tiempo.La tuna no solo representaría un nuevo alimento, sino también un aporte al consumismo evitando erosionar los suelos, acomodándose a las exigencias del cambio climático con el consumo mínimo de agua, adaptándose a suelos áridos y semiáridos. Encontrar una planta que sea aprovechable en su totalidad es casi nula, pero con este bien natural es posible.Aunque este proyecto este enfocado en casi su totalidad en los cladodios de tuna, se debe recordar que en el Capítulo II se hace mención de una parte de sus muchas propiedades.Si se pone en balanza una planta cualquiera y la tuna se presentara una gran diferencia enseguida por las cualidades que presenta, no solo en sus propiedades naturales, sino por la representación de costo de producción. El proyecto no se enfocó directa y específicamente a la implementación de la planta industrial porque no existe un registro de la existencia y aprovechamiento humano a nivel local y nacional, por lo tanto casi todas las referencia tomada fueron de países extranjeros que se dedican de alguna manera a la comercialización transformada de la tuna, creando así un registro mínimo de algunas cualidades, características y condiciones que son básicamente necesarias, para los que deseen conocer sobre esta maravillosa cactácea.Los tres pilares principales para el desarrollo de este proyecto están conformados por la investigación integral, la investigación de mercados y la ingeniería de proyectos, resumiendo las inversiones de cada capítulo en la evaluación financiera. Dando como resultado la factibilidad del proyecto en la localidad del Abra, un lugar de acogida de cinco industrias. Con un incremento lineal de consumo de los nuevos productos, sin datos comparativos registrados a nivel nacional en una proyección ideal con una proyección de consumo de salmueras de datos reales en una proyección real, se realizó un dato comparativo dando como resultado un incremento en el consumo de manera gradual en ambos productos.La implementación de la planta no solo significaría tomar la materia prima y procesarla, significaría conocer sus cualidades y los detalles de producción a tomar en cuenta a la hora de su debida conserva, evitando alterar su estado natural. Cada detalle debe ser considerado a la hora de procesar esta verdura.</t>
  </si>
  <si>
    <t>https://drive.google.com/file/d/1qkkmqt79JBge8tkxR1JVMEZ0Wy_MiP8j/view?usp=sharing</t>
  </si>
  <si>
    <t>https://drive.google.com/file/d/1tHnSbsrtNW3DsqjYsEQlwYckS1n0momk/view?usp=sharing</t>
  </si>
  <si>
    <t>GENNY DANAY ROCHA MUÑOZ</t>
  </si>
  <si>
    <t>ING. ARIEL CALLE CHAVEZ</t>
  </si>
  <si>
    <t>MODELO DE PLANIFICACIÓN Y CONTROL DE LA PRODUCCIÓN PARA LA EMPRESA “DRESS”</t>
  </si>
  <si>
    <t>genny2112@hotmail.com</t>
  </si>
  <si>
    <t>IND-866-2017</t>
  </si>
  <si>
    <t>Planificación de la producción, Productividad, Capacidad, Control, Políticas internas, Mantenimiento.</t>
  </si>
  <si>
    <t>Primeramente se realizó un análisis de la situación actual del área de producción de la empresa, su proceso productivo, recorrido de la planta, una vez analizado estos factos se procedió a la elaboración de un análisis FODA, con lo cual se evidencio que la empresa tiene más debilidades que fortalezas para los cual se realizó estrategias para hacer frente a estas debilidades. Posteriormente se realizó un pronóstico de demanda con datos históricos de gestiones pasadas, luego se realizó un análisis de la capacidad productiva de cada puesto de trabajo para saber si podemos producir estas demandas futuras, donde se pudo evidenciar que no se está trabajando a la capacidad máxima de maquinaria, equipos y mano de obra.Luego de realizar los pronósticos futuros se realizó un análisis de inventarios tanto de materia prima, productos terminados e insumos.Una vez analizados nuestros pronósticos e inventarios se procedió a realizar los planes de producción, para lo cual se analizaron diferentes planes como ser: plan inventario cero, plan mano de obra constante con faltante, plan mano de obra constante sin faltantes y plan mixto, de la cual la que más se relaciona con la empresa DRESS es el plan inventario cero. Debido a que la empresa trabaja con una cartelera de clientes, donde produce simplemente lo que demandan, sin que existan inventarios y costos de almacenes.Posteriormente se realizó fichas de controles de almacenes de materia prima, el objetivo de las fichas son para controlar las entradas, salidas y saldo de materia prima en almacenes, también se realizó un ficha de control de calidad para dos procesos, por el existencia de cuello de botella, la función de esta ficha es controlar la cantidad que producen en estos dos proceso. También se realizaron indicadores para verificar si existe defectuosos en los productos terminados, para mantenimientos preventivos de maquinaria y equipos, cumplimiento del plan propuesto o planificado.Posteriormente obtenidos los datos se procedió a realizar un análisis del escenario sin proyecto y del escenario con proyecto, de la cual se observó lo siguientes resultados, para el análisis sin proyecto se obtuvo un TIR de 22% y para el análisis con proyecto un TIR del 28 % lo que quiere decir que se tendrá más benéficos al finalizar el proyecto si se aplica.Finalmente se concluye recomendando a la empresa que debe regirse a la ley general del trabajo que establece un salario mínimo nacional de 1805 Bs. y también de realizar políticas internas para los trabajadores para incrementar la productividad.</t>
  </si>
  <si>
    <t>https://drive.google.com/file/d/1dHxhVR3JjgOMJjBtYDMkbNKuDl4opmoP/view?usp=sharing</t>
  </si>
  <si>
    <t>https://drive.google.com/file/d/19a2WIZ68z3T7UiWJ8N6xoDuV1FW742Vf/view?usp=sharing</t>
  </si>
  <si>
    <t>https://drive.google.com/file/d/1erQXBbKIEFR6LKOGv_YYlyHKbwkZrGuO/view?usp=sharing</t>
  </si>
  <si>
    <t>DAICY COPA ROJAS</t>
  </si>
  <si>
    <t>PROYECTO DE FACTIBILIDAD PARA LA IMPLEMENTACIÓN DE UNA PLANTA INDUSTRIAL DE ENLATADO DE HABA EN EL MUNICIPIO DE CERCADO</t>
  </si>
  <si>
    <t>daicy.copa@gmail.com</t>
  </si>
  <si>
    <t>IND-867-2017</t>
  </si>
  <si>
    <t>Enlatado de haba</t>
  </si>
  <si>
    <t>En Bolivia una gran parte de las producciones no se logra aprovechar al máximo a causa de las inexistencias de plantas industrializadoras para su producción y comercialización, por lo cual el presente proyecto estará enfocado en un estudio de factibilidad de enlatado de haba en el municipio de Cercado del departamento de Cochabamba.A través del Estudio de Mercados que se realizó en el municipio de Cercado de Cochabamba, permitió establecer la demanda potencial de enlatado de haba, nivel de aceptación del producto y las estrategias de marketing mix para la comercialización de los productos para que permitan la sostenibilidad del producto. Para la localización de la planta se tomó en cuenta diferentes factores como la cercanía y disponibilidad de materia prima, disponibilidad de servicios básicos y mano de obra.Se realizó un análisis del estudio organizacional, administrativo y legal del proyecto. Como resultado el proyecto para su ejecución se estimó una inversión total de Bs.-769.212 del cual se tendrá un aporte propio de Bs.-200.00 que corresponde a un 26%. El restante de 74% se obtendrá a través de un financiamiento del BANCO MERCANTIL de un total de Bs.- 569.212.Mediante el flujo de caja se determinaron los parámetros de rentabilidad con un TREMA DE 19,53%, donde se obtuvo un VAN=1.230.727, un TIR= 29%, una relación de B/C=2,11, de acuerdo a los criterios de evaluación el proyecto es rentable. También realizo un análisis de sensibilidad, donde el precio de venta del producto es la variable más sensible ante la variable del aumento de costo de materia prima.Finalmente se realizó la evaluación de impacto ambiental, identificando impactos positivos como impactos negativos leves que podrían ser mitigados y controlados mediante métodos de medidas correctivas de fácil implementación, como conclusión no se producen ningún riesgo de rechazo en la fase de construcción y operación.</t>
  </si>
  <si>
    <t>https://drive.google.com/file/d/140W5pXk20JST2M_JvIwdASHuWVRI6WK9/view?usp=sharing</t>
  </si>
  <si>
    <t>https://drive.google.com/file/d/1B3dxBBGictkCDTfCdwuyrf7oO8eZMQih/view?usp=sharing</t>
  </si>
  <si>
    <t>https://drive.google.com/file/d/1llh8xqXgWvD1ZvUtApIr2yUY4A__dJrN/view?usp=sharing</t>
  </si>
  <si>
    <t>LIZETH TINTA IBARRA</t>
  </si>
  <si>
    <t>BLANCA FUENTES CAILLAVI</t>
  </si>
  <si>
    <t>ING. BORIS ARTURO MOREIRA ROSAS</t>
  </si>
  <si>
    <t>ESTUDIO DE FACTIBILIDAD PARA LA INSTALACIÓN DE UNA PLANTA DE PRODUCCIÓN DE SILLAS, MESAS Y TABURETES DE PLÁSTICO A BASE DE POLIPROPILENO POR INYECCIÓN</t>
  </si>
  <si>
    <t>liz_t030@hotmail.com</t>
  </si>
  <si>
    <t>IND-868-2017</t>
  </si>
  <si>
    <t>Factibilidad del proyecto, Demanda efectiva, Inyección de plásticos, termoplásticos (polipropileno)</t>
  </si>
  <si>
    <t>Se dio el interés de investigar la demanda de plásticos en Cochabamba por el incremento de marcas extranjeras en productos plásticos que se observa en el mercado, por esa razón se pretende crear una empresa para que satisfaga a la población de Cochabamba con la fabricación de sillas, mesas y taburetes de plástico a base de polipropileno.El estudio de mercado se realizó en el eje troncal de Cochabamba, tanto para el primer mercado como ser: salones de eventos, prestamistas de sillas y mesas de plástico y restaurantes (locales), y para el segundo mercado a los hogares del Cercado Cochabamba. Fue uno de los principales estudios que se realizó con el cual se determinó la demanda potencial y la efectiva del proyecto de 52.304 unid de sillas, 6.979 unid de mesas y 51.886 unid de taburetes anuales y otras características para la satisfacción de nuestro mercado.Realizado el estudio de la materia prima e insumos se obtuvo que para el primer año se requiera una cantidad de 165,94 Tn de polipropileno copolímero randón y 5,13 Tn de masterbatch.En la ingeniería del proyecto se describió el proceso productivo, la maquinaria y equipos auxiliares.Para el estudio de tamaño y localización del proyecto se analizaron 4 municipios para la instalación de la planta, el cual dio como resultado el municipio de Colcapirhua y la planta de producción será instalada en la avenida Blanco Galindo km 7 cerca del parque Cementerio Concordia.En el estudio organizacional se realizó el organigrama de la empresa, las funciones principales de cada personal, la planilla de sueldos y salarios.Respecto a la ejecución del proyecto tendrá un tiempo de 36 semanas, este tiempo contempla todas las 9 actividades previstas.También se realizó el estudio financiero del proyecto el cual tiene una inversión de 3.676.833,51 Bs., con un 56% de aporte propio y el 44% préstamo bancario, se realizaron los cálculos de los ingresos de los 3 productos, el estado de resultados, el flujo neto con el cual se obtuvieron los siguientes indicadores financieros:TIR = 28%VAN= 2.542.111,55 Bs B/C= 1,24 Siendo estos resultados óptimos, el proyecto es rentable, el tiempo de recuperación de la inversión es en 6 años.Y para mayor detalle se analizó el análisis de sensibilidad el cual se concluye que el proyecto no es sensible a los factores estudiados con un TIR que excede los valores del TREMA de 11.18% siendo el proyecto rentable.Y por último se realizó el estudio de impacto ambiental en el cual el proyecto se clasifica en la categoría 3.</t>
  </si>
  <si>
    <t>https://drive.google.com/file/d/1tHCctR-hG7-PbMWV9bSfHixxc2J_k0Sw/view?usp=sharing</t>
  </si>
  <si>
    <t>https://drive.google.com/file/d/1TGcdTAxARfOJ_PfWfJJgZsjkdcULxlVT/view?usp=sharing</t>
  </si>
  <si>
    <t>https://drive.google.com/file/d/1Cek17g5pLrsDtq9TlRzN8vIOHqfrSBjX/view?usp=sharing</t>
  </si>
  <si>
    <t>SANDRA HUARACHI ARAOZ</t>
  </si>
  <si>
    <t>PROYECTO DE FACTIBILIDAD PARA LA EXPORTACIÓN DE BALDOSAS DE CAUCHO RECICLADO MAMUT A SUDAMÉRICA</t>
  </si>
  <si>
    <t>huarachi.araoz.sandra@gmail.com</t>
  </si>
  <si>
    <t>IND-869-2017</t>
  </si>
  <si>
    <t>Selección de Mercado Objetivo, Análisis FODA, Análisis PORTER, Marketing MIX, Oferta Exportable, Análisis BCG , VAN, TIR, Relación B/C.</t>
  </si>
  <si>
    <t>La Empresa Eminlaga S.R.L. con su producto baldosas amortiguantes Mamut, ha visto por conveniente realizar el Estudio de factibilidad para la exportación de baldosas de caucho reciclado Mamut a Sudamérica para determinar un mercado meta, debido al importante reto que conlleva competir y enfrentarse a las empresas a nivel nacional e internacional, con el cumplimiento de normas y documentación de comercio exterior, por ello es importante desarrollar un plan de exportación para minimizar riesgos y tener éxito en el mercado meta.La empresa actualmente presenta un estancamiento en  ventas en el mercado nacional, produciendo el 50% de su capacidad productiva, no toma la decisión de exportar debido a la falta de un sistema de información técnica, comercial, legal y financiera que permita determinar la factibilidad y la toma de la decisión de la exportación de baldosas amortiguantes MamutPara realizar el diagnóstico de la situación actual de la empresa, se utilizaron herramientas como ser; Matriz de Evaluación de Análisis FODA, Realización de cuestionarios de Situación Actual otorgados por Cámara de Comercio de Cochabamba y Promueve Bolivia.En el estudio de mercado, se identificó como Mercado Objetivo para exportación a corto plazo a Paraguay y a largo plazo a Perú y Canadá. Posteriormente se realizó las estrategias de Marketing  Mix, Análisis de PORTER para la penetración con el país Objetivo  a corto plazo a exportar de Paraguay.Se definió las estrategias que debe seguir la empresa en el proceso de exportación y cualidades importantes que se deben transmitir a la población nacional e internacional, existen oportunidades para posicionar la marca Mamut en el mercado meta de Paraguay.En el estudio de ingeniería se determinó la oferta exportable con las normas de peso, volúmenes y embalajes de exportación para optimizar la carga en el contenedor.Para la parte legal se recabó la información de todos los documentos legales para poder exportar.Para determinar la factibilidad del proyecto se realizó un análisis financiero con el costo de incoterms  propuesto. Del estudio realizado se puede concluir:ü  La empresa Eminlaga S.R.L de baldosas amortiguantes Mamut tiene un potencial para exportar.ü  El producto Baldosas amortiguantes Mamut tiene ventajas competitivas de precio y variedad de colores.ü  Desde el punto de vista financiero, tomando en cuenta todos los lineamientos y actividades propuestas, se pudo identificar a través de los principales indicadores (TIR, VAN, B/C) que el proyecto es viable. Sin embargo, se recomienda que para lograr los resultados esperados es importante la implementación de un departamento de exportación para la  actualización de la información de forma periódica y participación de capacitaciones en Comercio Exterior, con el fin de poder identificar variaciones y tomar medidas de forma oportuna.</t>
  </si>
  <si>
    <t>https://drive.google.com/file/d/1c0-Zv5Gp6qitOR1SXF-IGmVU88HhhCq_/view?usp=sharing</t>
  </si>
  <si>
    <t>https://drive.google.com/file/d/1TcKhce3yE2FylN6mI8u08pKkxglkBget/view?usp=sharing</t>
  </si>
  <si>
    <t>https://drive.google.com/file/d/1BDZB5j91jyGizjDtDtJ92NtCADCbBrj6/view?usp=sharing</t>
  </si>
  <si>
    <t>DANIEL OSMAR CLAROS LIENDO</t>
  </si>
  <si>
    <t>NATALY ANDREA LARRAIN BARRIENTOS</t>
  </si>
  <si>
    <t>MG. ALVARO EDUARDO CLAROS LIENO</t>
  </si>
  <si>
    <t>ESTUDIO DE FACTIBILIDAD PARA LA IMPLEMENTACIÓN DE UNA PLANTA PROCESADORA DE GELATINAS EN POLVO PARA LA CORPORACIÓN INDUSTRIAL DILLMANN S.A.</t>
  </si>
  <si>
    <t>daniclaros1504@gmail.com</t>
  </si>
  <si>
    <t>IND-870-2017</t>
  </si>
  <si>
    <t>Factibilidad, Planta Procesadora de Gelatinas en Polvo, Cordill, Financiero, Técnico, Mercado.</t>
  </si>
  <si>
    <t>En este estudio se determinó la viabilidad de la implementación de una planta procesadora de gelatinas en polvo para Cordill S.A. en términos de mercado, técnico, y financiero, con el fin de realizar inversiones en la instalación de dicha planta, tomando en cuenta que el motivo principal de este proyecto es que existe maquinaria, infraestructura y conocimientos para la elaboración de las gelatinas.El estudio de mercado se enfocó en la provincia Cercado del departamento de Cochabamba mediante una encuesta, dicho estudio permitió identificar las personas que compran gelatina en polvo,  las preferencias de consumo, las cuotas de mercado de los competidores, los sabores más demandados, los precios que está dispuesto a pagar el consumidor, la etiqueta ideal  y lo más importantes se estableció que existe una demanda insatisfecha.Debido a que se cuenta con la infraestructura y maquinaria se determinó las modificaciones y acondicionamientos a realizar para su normal funcionamiento. Se estableció el proceso productivo, la distribución en planta adecuada y los posibles proveedores como alternativas para la adquisición de materia prima, insumos y materiales auxiliares, realizando con las cotizaciones  una estimación de costos, teniendo como resultado la viabilidad técnica del proyecto.Se estableció la estructura organizacional, la mano de obra mínima necesaria  para el funcionamiento de la planta, manual de funciones y una tentativa de costo de mano de obra.Mediante el estudio financiero se determinó que el proyecto es factible  y se torna más atractivo con financiamiento, ya que presenta indicadores financieros interesantes:VAN = 814.403,84 Bs., TIR=80 % y B/C=3,28. Por otro lado la inversión total del proyecto asciende a los 666.635,99 Bs, siendo 357.780,00 Bs un aporte propio y lo faltante mediante un financiamiento bancario.Los sabores a elaborarse en la planta de gelatinas son: frutilla, limón, cereza, naranja y chicle en presentación de 1 Kg y 250 g a un precio de 17 Bs y 4,50 Bs respectivamente.Por último se realizó una evaluación de impacto ambiental identificando los impactos más relevantes y se plantearon medidas de mitigación con el fin de contrarrestar los mismos.</t>
  </si>
  <si>
    <t>https://drive.google.com/file/d/1HPLX6gbUr7UoyMGHMVUlEeP8IYcg9Pbj/view?usp=sharing</t>
  </si>
  <si>
    <t>https://drive.google.com/file/d/1eB3UeC3CFXqJqap3cZGEO4qRnX9pchrk/view?usp=sharing</t>
  </si>
  <si>
    <t>https://drive.google.com/file/d/1zO2e8k6DlmJrb68BkOAjdh3RByTng8vo/view?usp=sharing</t>
  </si>
  <si>
    <t>NOELIA ZURITA MÉRIDA</t>
  </si>
  <si>
    <t>ESTUDIO DE FACTIBILIDAD PARA LA CREACIÓN DE UNA PLANTA PROCESADORA DE NUTRIENTES DERIVADOS DEL MANÍ EN EL DEPARTAMENTO DE COCHABAMBA.</t>
  </si>
  <si>
    <t>noelita.nzm@gmail.com</t>
  </si>
  <si>
    <t>IND-871-2017</t>
  </si>
  <si>
    <t>Estudio de Factibilidad, Planta Procesadora de Maní</t>
  </si>
  <si>
    <t>El estudio de factibilidad se realizo con la finalidad de analizar la situación actual del mercado respecto a los productos que se ofrecen es decir Mantequilla y Aceite de Maní. Se procedió inicialmente a la identificación del producto y el nicho de mercado en el cual se va a participar, con la investigación se pretende identificar principales aspectos que inciden en la comercialización. Así mismo se pretende conocer el mercado al que estará dirigido los productos además de definir el precio de venta y el tipo de envases en el que se comercializara.En el “Tamaño de planta”, se concluyó que el tamaño óptimo llega a ser de una capacidad de producción de 25.425,84 kilogramos de mantequilla de maní para el primer año que representa 101.703,00 envases de 250 g y 8.660,26 Litros de aceite de maní que representa 17.320,00 envases de 0,5L no se presenta restricciones en cuanto a la adquisición de materia prima ni insumos.En la “Localización”, se concluyó que el lugar de emplazamiento de la planta procesadora será el municipio de Cliza, por presentar mejores características de proximidad a la materia prima, costo y disponibilidad de terreno, cercanía al mercado objetivo y por poseer los servicios básicos necesarios. En la “Ingeniería del Proyecto”, se muestra la maquinaria y equipo que se requiere para los procesos de elaboración de los productos, para certificar la calidad de los productos en su transformación, toda la maquinaria y equipos que se utilizará son de acero inoxidable, la disponibilidad de las máquinas para su adquisición no representan un problema, el costo total de la maquinaria es de Bs. 260.762,72. En la “Estructura Legal y Organizacional”, se contará con un plantel encabezado por el Gerente General, con el apoyo de un responsable de comercialización, jefe de producción, jefe administrativo y financiero, además de los operarios encargados de la producción. La razón jurídica de la empresa será de Sociedad Anónima (S.A.). bajo el nombre de “ZuManí”. En la “Evaluación financiera del Proyecto”, se obtuvieron los siguientes resultados:·       TIR=24,30%·       VAN= Bs. 257.003,26·       B/C=1.08Estos resultados muestran la viabilidad financieraDe la evaluación de impacto ambiental se determinó que los impactos negativos son leves, por tanto el proyecto es ecológicamente compatible.</t>
  </si>
  <si>
    <t>https://drive.google.com/file/d/1mcR6zMeZrlBn4SMK5pu1vK2RvNooezpj/view?usp=sharing</t>
  </si>
  <si>
    <t>https://drive.google.com/file/d/1mScZTbvaB2WIB-oXoR_0oH9PZ8za0K4J/view?usp=sharing</t>
  </si>
  <si>
    <t>https://drive.google.com/file/d/1WsqwtHfjKrSWKU91mxVv3oCe7-aoaqqO/view?usp=sharing</t>
  </si>
  <si>
    <t>PATRICIA MELISA PARRA MONTES</t>
  </si>
  <si>
    <t>AMANDA NOELIA ZURITA CHAVEZ</t>
  </si>
  <si>
    <t>NELSON HINOJOSA SALAZAR</t>
  </si>
  <si>
    <t>PLAN DE SEGURIDAD E HIGIENE INDUSTRIAL Y BUENAS PRÁCTICAS DE MANUFACTURA</t>
  </si>
  <si>
    <t>patty.pm775@gmail.com</t>
  </si>
  <si>
    <t>IND-872-2017</t>
  </si>
  <si>
    <t>Plan de Seguridad e Higiene Industrial, Buenas Prácticas de Manufactura</t>
  </si>
  <si>
    <t>El sistema se desarrolló con el fin de dotar a la empresa de un plan de seguridad que sirva de respaldo y tenga como base las normas bolivianas, decretos supremos y leyes vigentes en Bolivia (Norma Boliviana NB -777 Diseño y Construcción de las Instalaciones Eléctricas Interiores en Baja Tensión; Norma ISO 6412-3 Dibujos técnicos - Representación simplificada de tuberías - Parte 3: Accesorios terminales para sistemas de ventilación y de evacuación; Norma Boliviana NB -550001 Señalización de seguridad - colores señales y carteles de seguridad para los lugares de trabajo; Norma Boliviana NB – 510001 Seguridad y salud en el trabajo – Condiciones de higiene y seguridad ocupacional en los lugares de trabajo donde se genere ruido; ley general de higiene y seguridad ocupacional y bienestar decreto ley nº. 16998), debido a que la empresa opera en el País, debe contar todos sus documentos en legales en regla y vigentes y el objetivo  del plan es mantener el lugar de trabajo seguro para todos los trabajadores y minimizar el riesgo de accidentes laborales dentro de las instalaciones de la empresa “LA AZTECA” también es muy importante para el mantenimiento de las condiciones físicas y psicológicas del personal y así obtendremos un mejor ambiente laboral incrementando la productividad. Así mismo se diseñó un Manual de Buenas Prácticas de Manufactura en el cual se definieron los parámetros básicos según la ley (Resolución administrativa n°. 019/2003 “SENASAG”) para garantizar la inocuidad del producto para su consumo y así también poder garantizar los altos estándares de calidad que nos caracteriza.El Plan de Seguridad e Higiene Industrial se llevó a cabo con un previo diagnóstico de la situación actual de la empresa, es decir, se identificaron los puntos críticos del proceso de producción, se registraron los riesgos y condiciones de entorno a los que estaban expuestos los trabajadores. En base al diagnóstico y a la Resolución administrativa 038/ 01 que nos indica todos los requisitos para la elaboración de un plan de seguridad, se inició con el desarrollo del mismo que permitió fijar parámetros óptimos de seguridad e higiene de acuerdo a los trabajos que se realizan.El Manual de Buenas Prácticas de Manufactura (BPM) se aplicaron en todos los procesos de elaboración y manipulación de alimentos dentro de la planta que a partir de ahora son una herramienta fundamental para la obtención de la tortilla como un producto verdaderamente inocuo. Nuestro manual Constituye un conjunto de principios básicos de manipulación con el objetivo de garantizar que el producto se fabrique en condiciones sanitarias adecuadas y se disminuya los riesgos inherentes a la producción y distribución. fue elaborado a través de un análisis de las condiciones de la empresa y los parámetros que debían fijarse para garantizar la inocuidad alimentaria, esto sirvió de guía para todos los procesos, procedimientos y actividades definiendo como llevarlos a cabo para dar cumplimientos a los reglamentos de inocuidad alimentaria de instituciones nacionales.</t>
  </si>
  <si>
    <t>https://drive.google.com/file/d/1K9zhFSu9MJH8Vl2y4_MhRRDr39QD2JdY/view?usp=sharing</t>
  </si>
  <si>
    <t>https://drive.google.com/file/d/1B4m2ImmpqLo1c7uLmClX3w8WscVwURgr/view?usp=sharing</t>
  </si>
  <si>
    <t>https://drive.google.com/file/d/1MajS-hmI7aKzmPjn-6zjyPEsRzIfuCgW/view?usp=sharing</t>
  </si>
  <si>
    <t>ROSCEL MONTAÑO GARCIA</t>
  </si>
  <si>
    <t>ESTUDIO DE VIABILIDAD PARA LA IMPLEMENTACIÓN DE UNA PLANTA PROCESADORA DE HARINA DE ARROZ INTEGRAL, DIRIGIDO AL MERCADO DE COCHABAMBA.</t>
  </si>
  <si>
    <t>roscel99@hotmail.com</t>
  </si>
  <si>
    <t>IND-873-2017</t>
  </si>
  <si>
    <t>Planta Productora de Harina de Arroz Integral, Estudio de Mercado,    Ingeniería del Proyecto, Evaluación Financiera, Evaluación Ambiental.</t>
  </si>
  <si>
    <t>Primeramente se realizó una investigación de Mercado en el eje conurbano del departamento de Cochabamba. Para la obtención de información primaria se utilizó la encuesta al cliente objetivo, también se hizo un análisis de la oferta, luego se determinó, proyectó y verificó la existencia de una demanda insatisfecha de harina, para posteriormente establecer la demanda efectiva del proyecto, asimismo se hizo un análisis del producto, precio, plaza, promoción y publicidad.Posteriormente se estimó la cantidad necesaria de materia prima y materiales auxiliares necesarios para la elaboración del producto, también se identificó a los principales proveedores para el abastecimiento, siendo el Municipio de San Juan de Yapacaní, la Papelera y Europlast, los proveedores de arroz con chala, envase de papel de 1 kg y fardo de plástico respectivamente.Se definió la localización y emplazamiento de la planta, mediante un análisis de macrolocalización, microlocalización y utilizando el método cualitativo por puntos, siendo la alternativa ganadora el Municipio de San Juan de Yapacaní.Luego se describió el proceso productivo para la elaboración de harina de arroz integral, también se realizó el balance de masa para el almacenamiento y para la obtención del producto. Posteriormente se describió la tecnología, infraestructura y servicios requeridos para el funcionamiento de la planta. Seguidamente se hizo la distribución de la planta, mostrando el plano con rutas, eléctrico y sanitario.Se mostró la representación gráfica de la estructura organizacional de la planta, mediante un organigrama lineo-funcional, se determinó la necesidad y requerimiento de personal, siendo de 23 trabajadores, distribuidos en las diferentes áreas de la empresa, posteriormente se elaboró el manual de funciones del personal. En el marco legal se definió la razón social de la empresa, siendo “Planta Molinera Montaño S.R.L.”, luego se mostraron los pasos para su constitución legal.Se elaboró un diagrama CPM y Gantt para la planificación y ejecución del proyecto, en la cual se encontraron 2 rutas críticas, se mostraron las actividades con su respectivo orden cronológico y duración. Se determinó un tiempo de 220 días para la realización de las actividades, siendo la fecha de inicio (20/02/2017) y fecha de culminación (22/12/2017).Después se preparó la información para poder realizar la evaluación financiera, determinando un VAN de Bs 1.309.977,89, una TIR de 31,22%, y una relación B/C de 1,38. También se realizó el análisis de sensibilidad, en la cual se demostró la rentabilidad del proyecto a variaciones del precio de materia prima, precio de venta del producto, tasa de interés y tomando en cuenta el pago del doble aguinaldo.En la evaluación ambiental se mencionaron los impactos positivos y negativos del proyecto, posteriormente se identificó a la planta en la categoría 3 de impacto ambiental, la cual solo requiere del planteamiento de medidas de mitigación y un seguimiento ambiental para un adecuado control del proceso productivo y la relación con el entorno del proyecto.</t>
  </si>
  <si>
    <t>https://drive.google.com/file/d/1IXtdBggW02nIBJ-FcVTKaQwc7ZwY5dAT/view?usp=sharing</t>
  </si>
  <si>
    <t>https://drive.google.com/file/d/1zDLetSCyzrxosToCaWyYPfM6d-QMaq4Q/view?usp=sharing</t>
  </si>
  <si>
    <t>https://drive.google.com/file/d/1Qe3MaPJi9Wjc3OgaDNmbb_o70jyZoQlJ/view?usp=sharing</t>
  </si>
  <si>
    <t>ALEX ESTEBAN LOPEZ CASTRO</t>
  </si>
  <si>
    <t>ELABORACIÓN DE UN SISTEMA DE CONTROL DE INVENTARIOS PARA EL ALMACÉN DE MATERIA PRIMA Y MATERIAL DE EMPAQUE EN LA EMPRESA ASTRIX S.A. CBBA.</t>
  </si>
  <si>
    <t>allex10lopez@yahoo.es</t>
  </si>
  <si>
    <t>IND-874-2017</t>
  </si>
  <si>
    <t>Códigos de Barra, Supply Chain, Sock Keeping Unit (SKU), Identificación por Radiofrecuencia (RFID), Material Requirement Plannig (MRP)</t>
  </si>
  <si>
    <t>El proyecto tuvo como problema principal el deficiente control de los inventarios de la materia prima y material de empaque en los almacenes de la empresa, es por ello que la diferencia de inventarios afecta al crecimiento de las utilidades por los errores de registro y el control deficiente.Se realizó el diagnostico de las áreas de Almacén y Adquisiciones y se pudo evidenciar que estas son eficientes a un 75% en los procesos de control de inventarios; los datos los obtuvimos mediante encuestas directas a los trabajadores, observación y el armado de los flujos de procedimientos trascendentales existentes como: la recepción de llegada de la materia prima y material de empaque, transferencia de materia prima y material de empaque a la planta de producción y la trasferencia de material de empaque del área de Soplado al Almacén.Los procedimientos mencionados tienen relación directa con el manejo de los materiales, es por ello que se propone flujos de procedimientos que ayudaran al control y a gestionar un sistema de gestión de trazabilidad de la misma.Se realizó una clasificación ABC de los ítems de materia prima y material de empaque, el cual se pudo categorizar los materiales de mayor importancia de los que tienen menor importancia, de la misma manera se propusieron políticas de control de inventarios Cantidad Económica de Pedido EOQ, política de revisión continua s, Q, política de revisión continua s, S. . se pudo calcular el punto de reorden, el nivel de seguridad, la cantidad optima de pedido, los tiempos de entrega, el costo de pedido y la eficiencia del sistema de control.Así mismo se realizó una Matriz de Perfil Competitivo (MPC) con las herramientas alternativas de control de inventarios como: el Two Bin, Kardex, Planillas y el Código de Barras, que fueron sometidos a una evaluación donde ponderamos las variables particulares de las exigencias para su funcionamiento óptimo y se calificó en una escala de 1 a 4. Como mejor alternativa resultado de la evaluación salió el Código de Barras  que cumple con los requisitos requeridos para el control de los inventarios.Se especificaron las características técnicas del Sistema del Código de Barras como el tipo de dispositivo lector laser que se obtendrá para el control, el tipo de impresora de gran capacidad para poder imprimir 11200 etiquetas mes, el tipo de conexión con el sistema SAP de la empresa, tipo de etiqueta según norma GTIN/DUN 14 recomendado para  el manejo de materia prima y material de empaque, cuantos dispositivos se adquirirán e impresoras, el diagrama de contexto del sistema, el flujo de datos y los procedimientos adecuados con el sistema Código de Barras.Se realizó el análisis financiero del proyecto, detallando la inversión de activos fijos que se v a realizar para el manejo de la herramienta que gestionara el control de los inventarios, la mano de obra, gastos generales, costos de producción, análisis del flujo de caja, una evaluación de la TIR tomando una TMAR de análisis del 15% según satos del departamento de Finanzas de ASTRIX S.A. asi mismo, se calculó el periodo de recuperación  y el ahorro anual</t>
  </si>
  <si>
    <t>https://drive.google.com/file/d/1ph0eRRkTAxeSxrSJXineV4UNGe48XmDc/view?usp=sharing</t>
  </si>
  <si>
    <t>https://drive.google.com/file/d/1fUe1Y2V1Goz5857oroT3UD2aRhgNwGXz/view?usp=sharing</t>
  </si>
  <si>
    <t>https://drive.google.com/file/d/1PnA8BHMijQC9ve4QG3VbVXjx7LGFJLR9/view?usp=sharing</t>
  </si>
  <si>
    <t>ROCHA TOROYA SANDRA</t>
  </si>
  <si>
    <t>ING. EDGAR FLORES TORREZ</t>
  </si>
  <si>
    <t>DISENO DE UN PLAN ESTRATEGICO DE MARKETING PARA LA LINEA DE PRODUCCION YOGURT EN LA PLANTA DE PROCESOS INDUSTRIALES</t>
  </si>
  <si>
    <t>IND-875-2017</t>
  </si>
  <si>
    <t>Plan estratégico de marketing, Planta, Yogurt, Tir, Mercado.</t>
  </si>
  <si>
    <t>https://drive.google.com/file/d/1-8xAcGYnmjwaJx_76RKcQPUk7zoFkSon/view?usp=sharing</t>
  </si>
  <si>
    <t>https://drive.google.com/file/d/1Ggzgt_OJzhoSKxkTc6phTsZUfCRB6aCL/view?usp=sharing</t>
  </si>
  <si>
    <t>https://drive.google.com/file/d/1vUvl9f8U495YrGM9N-o6A9djEWdBEVj1/view?usp=sharing</t>
  </si>
  <si>
    <t>RAMIRO BLAS ARIAS MOLINA</t>
  </si>
  <si>
    <t>ING. OSCAR ROJAS VILLARROEL.</t>
  </si>
  <si>
    <t>DISEÑO DE UN PLAN DE SEGURIDAD Y SALUD OCUPACIONAL BASADO EN LA NORMA BOLIVIANA OHSAS 18001:2007 PARA LA EMPRESA INPROCO S.R.L.</t>
  </si>
  <si>
    <t>arias171819@gmail.com</t>
  </si>
  <si>
    <t>IND-876-2017</t>
  </si>
  <si>
    <t>Diseño de SySO según la  N.B. OHSAS 18001:2007</t>
  </si>
  <si>
    <t>El objetivo del presente proyecto es realizar un Diseño de un Plan de Seguridad y Salud Ocupacional basado en NB/OHSAS 18001:2007 para la empresa INPROCO S.R.L.Primeramente se realizó un diagnostico a la empresa INPROCO S.R.L. y se recabo toda la información disponible acerca de las actividades, proceso productivo, estructura orgánica, instalaciones, etc. toda esta información recabada nos permitió conocer las condiciones actuales de la empresa INPROCO S.R.L. en cuanto a seguridad y salud ocupacional.Con toda la información recabada se procedió a la identificación de riesgos, la cual se la llevó adelante mediante un análisis de cada área de la empresa, considerando todos los riesgos, en proceso productivo como también a la infraestructura con la que cuenta la empresa INPROCO S.R.L.Una vez habiendo identificado todos y cada uno de los riesgos existen en la empresa, se realizó la evaluación de los mismos, proponiendo soluciones y acciones correctivas que puedan minimizar los riesgos anteriormente identificados.Luego de haber realizado tanto la evaluación como la identificación de los riesgos se procedió a elaborar el diseño de un plan de seguridad industrial, con el desarrollo de este plan se pretende minimizar los riesgos de la empresa, mejorar el rendimiento del área de producción de la empresa, todo esto con la propuesta de la organización de la Seguridad y Salud Ocupacional para la empresa, un plan de capacitaciones, un registro de accidentes y enfermedades ocupacionales, un mapa de rutas de evacuación, una propuesta de equipos de protección individual completos para todo el personal de Producción, señalización para todas las aéreas, además de un cronograma que facilite la ejecución del plan de seguridad industrial, al momento de ser implementado.Por último se estimó el costo total que representaría la aplicación del Diseño de un Plan de seguridad y Salud Ocupacional.</t>
  </si>
  <si>
    <t>https://drive.google.com/file/d/1AUxgV5IklpCn6kYBWiW0GHYsDCp7FTOa/view?usp=sharing</t>
  </si>
  <si>
    <t>https://drive.google.com/file/d/1ZTN_zwERro_zo3kj1HcTz-TVbxDix87l/view?usp=sharing</t>
  </si>
  <si>
    <t>https://drive.google.com/file/d/1NqZZKrnQjStxMUPoTlgKAmfGawfp2QpH/view?usp=sharing</t>
  </si>
  <si>
    <t>EDSON EFRAÍN TACURI CKACKA</t>
  </si>
  <si>
    <t>EMANUEL CALVI VIA</t>
  </si>
  <si>
    <t>ESTUDIO DE FACTIBILIDAD PARA LA INSTALACIÓN DE TORRES ATMOSFÉRICAS PARA LA RECUPERACIÓN DE AGUA POTABLE</t>
  </si>
  <si>
    <t>Eetacka20@outlook.com</t>
  </si>
  <si>
    <t>IND-877-2017</t>
  </si>
  <si>
    <t>Agua en estado gaseoso, Tecnologías ambientales, Agua por condensación.</t>
  </si>
  <si>
    <t>En el presente estudio de Factibilidad, nace la necesidad de los múltiples problemas que se presentan a causa de la Escasez de Agua Potable, sequía y por la mal uso que se le da a este líquido elemento.Por este motivo, se desarrolló el proyecto de Obtención De Agua Potable a Través de Torres Atmosféricas en la zona Sud, Distrito 9, OTB “La Joya” debido a que cumple con las condiciones  mínimas necesarias para la instalación.Se realizó un estudio Demográfico, correspondiente para conocer la oferta y la demanda de Agua potable a nivel Departamental, como nivel Distrital, el cual  permitió conocer la realidad del departamento en temas de aguas.En ingeniería del proyecto se especifica los procesos y requerimiento del proyecto que permitirán calcular los costos asociados a la instalación y montaje de las Torres de condensación Atmosféricas.Por otro lado se propone la organización del sistema de Instalación y montaje de las torres atmosféricas y el análisis del impacto ambiental que tendrá en la Zona.Finalmente la Evaluación Financiera del proyecto determinara la factibilidad de este a través de un análisis de rentabilidad.</t>
  </si>
  <si>
    <t>https://drive.google.com/file/d/1ZJR0yo60FSuGzeKl2qTaUfCa_FxeIj5h/view?usp=sharing</t>
  </si>
  <si>
    <t>https://drive.google.com/file/d/1pRmhRWJGLwTfiRnPNVZIF-ISG7RGeprz/view?usp=sharing</t>
  </si>
  <si>
    <t>https://drive.google.com/file/d/1iei8YHxJ8NtSJtAWZ6WPfPrkIurCLdP_/view?usp=sharing</t>
  </si>
  <si>
    <t>MERCEDES CRISTHEL GALARZA VARGAS</t>
  </si>
  <si>
    <t>DISEÑO E IMPLEMENTACIÓN DE UN SISTEMA DE GESTIÓN DE STOCKS PARA UNILEVER ANDINA BOLIVIA S.A. EN ALMACÉN 3D DE LA CIUDAD DE COCHABAMBA</t>
  </si>
  <si>
    <t>cris_mgv@hotmail.com</t>
  </si>
  <si>
    <t>IND-878-2017</t>
  </si>
  <si>
    <t>Sistema de Gestión de Stocks, Almacén 3D, Auditoria Interna 5S, Master Plan, Unilever Andina Bolivia S.A.</t>
  </si>
  <si>
    <t>El  presente trabajo dirigido se enmarca en requerimientos de la empresa Unilever Andina Bolivia S.A., y su objetivo se define como el Diseño e Implementación de un Sistema de Gestión de Stocks  (SGS) en base a los requerimientos de  Unilever Andina Bolivia S.A. y el Almacén 3D.Para tal efecto, en primera instancia se realizó un diagnóstico de la situación actual del almacén 3D dentro de la organización, para tal efecto se realizó el flujo del proceso en sus tres actividades principales, recepción del producto terminado, almacenamiento y despacho, también se realizó una auditoría interna en cuanto a 5S se refiere, para tener una idea más clara del estado actual del almacén 3D. Se recabo toda la información requerida para el diseño de SGS en lo referente a procedimientos, registros, estructura, sistema SAP y responsabilidad definidos dentro de almacén 3D.Se procedió a un diseño e implementación del SGS a través de un Máster Plan para que se pueda cumplir con todos los objetivos planteados, esta herramienta tiene el fin de servir de guía para que el trabajo y desarrollo de actividades de la organización se encuentren en un ciclo de mejora continua y pueda considerar la automatización dentro del almacén 3D. Los resultados obtenidos fueron satisfactorios y de acuerdo a las expectativas de la empresa.Como resultado de la implementación del SGS, seguimiento de acciones y actividades se cumplieron las solicitudes, entre los que destacamos el diseño optimo del Sistema, la adaptación de una clasificación ABC para el almacenamiento del producto con mayor, la capacitación al personal para el uso de la lectora de código de barras y finalmente las auditorias periódicas en cuanto a 5S, alcanzando una calificación en promedio de 95% al cumplimientos de orden y limpieza dentro de almacén.Se concluyó el periodo de implementación, cumpliendo con el principal objetivo: lograr que el sistema de gestión de stocks pueda llevar el manejo requerido y con las cantidades optimas de almacenamiento.</t>
  </si>
  <si>
    <t>https://drive.google.com/file/d/102W_tO0bl1Lg7YvLsul5MCNTSbAVWV12/view?usp=sharing</t>
  </si>
  <si>
    <t>https://drive.google.com/file/d/1uazxOWb2Ae-cs751xKZwHksJ0CtNTKsq/view?usp=sharing</t>
  </si>
  <si>
    <t>https://drive.google.com/file/d/1IknRmDgNScAiUmltBpriDZ63aB3TAdcg/view?usp=sharing</t>
  </si>
  <si>
    <t>IND-879-2017</t>
  </si>
  <si>
    <t>https://drive.google.com/file/d/1fUV6Ji5qKovdlNIZa3hBidZT31yyzJns/view?usp=sharing</t>
  </si>
  <si>
    <t>https://drive.google.com/file/d/1h6tr984nPdqYK_za3XVEnX4tnxrEefFw/view?usp=sharing</t>
  </si>
  <si>
    <t>https://drive.google.com/file/d/1XxbneL6MkX8q81Nz7HBiKwMjTDqnDVz-/view?usp=sharing</t>
  </si>
  <si>
    <t>CINTHIA PATRICIA CALIZAYA DELGADO</t>
  </si>
  <si>
    <t>ING. TRIFÓN CONTRERAS</t>
  </si>
  <si>
    <t>ESTUDIO DE FACTIBILIDAD SOCIO-ECONÓMICO PARA LA CRIANZA Y COMERCIALIZACIÓN DE LA CARNE DE CERDO REALIZADO POR ORGANIZACIONES DE MUJERES PARA CINCO MUNICIPIOS DEL CONO SUR DEL DEPARTAMENTO DE COCHABAMBA</t>
  </si>
  <si>
    <t>ares.patrik@outlook.com</t>
  </si>
  <si>
    <t>IND-880-2017</t>
  </si>
  <si>
    <t>Demanda social-económico, Federación  Bartolina Sisa. Cono Sur del departamento de Cochabamba, Taller de priorización,  Análisis Foda.</t>
  </si>
  <si>
    <t>Bajo la Federación Departamental de Mujeres Campesinas Indígenas originarias de Cochabamba- FDMCIOC ¨Bartolina Sisa. El proyecto está estructurado en normativas de la guía de proyecto base del Gobierno Autónomo del Departamento de Cochabamba, cumpliendo con las instancias técnicas, donde la organización matriz de las comunidades ejecutoras consta de 35 comunidades de los municipios de Mizque, Tiraque, Pocona, Vacas y Araní de la Región del Cono Sur del Departamento de Cochabamba.Como solución al problema que plantea realizar un estudio de factibilidad para la crianza y comercialización de la carne de cerdo, realizado por organizaciones de mujeres de los municipios del Cono Sur.Para el estudio, primeramente, se realizó un análisis y diagnóstico poblacional con el objetivo de establecer un límite de trabajo, poder organizar y dimensionar la capacidad de procesamiento en cuanto a la cría y comercialización de la carne porcina.Seguidamente se realiza un estudio de mercado según las características necesarias y requerimientos en cuanto a la oferta y demanda para así poder crear un programa de producción en cuanto a la demanda del cerdo proyectando 5 años de vida útil.La determinación de la demanda priorizada por las mujeres organizadas del Cono Sur, será construida en base a un Taller de Priorización, donde se realizará el diagnostico social, el análisis DOFA de la producción agropecuaria, identificación de potencialidades técnicas, ambientales, económicas y culturales de cada municipio, así como la identificación de temáticas alternativas para la elaboración del proyecto.Se asume como estrategia de ejecución, la metodología de planificación participativa, de mujeres en toma de decisiones durante la elaboración, gestión, ejecución y evaluación del proyecto garantizando la sostenibilidad social, técnica y económica.Las actividades se ejecutarán bajo la modalidad de acompañamiento técnico, que implica un proceso interactivo de permanente diálogo horizontal y/o intercambio, produciéndose una complementariedad entre el conocimiento local, las prácticas de manejo y sistema de producción de cerdos de la raza Landrace.En lo que se refiere a la ingeniería del proyecto, se realizó un estudio detallado de la tecnología, en este capítulo se identificarán los sistemas de crianza más adecuados para las condiciones del proyecto, se diseñara y se efectuara las distribuciones más adecuadas para la crianza del cerdo. Posteriormente se procedió a la planificación y ejecución del proyecto, donde se determinó que el periodo de construcción será llevado a cabo en el año cero del proyecto y esta tendrá una duración de doce meses. Se realizó un cronograma de actividades el cual está dividido en tres etapas; gestión del proyecto, emplazamiento y puesta en marcha, cada una de estas representa un gasto de capital previo a la producción.Una vez concluido el capítulo. Se procedió a realizar la organización del proyecto, para los periodos de análisis de inversión y de operación.A la conclusión de todos los capítulos, se calculó una inversión total que asciende a un monto de 328399.64 Bs donde el 66.12% constituida por una inversión fija, y el 4.26% por la inversión diferida y finalmente el 29.62% por el capital de trabajo.El proyecto presenta un flujo de caja con resultados positivos que permiten calcular los indicadores de rentabilidad cuyos valores son TIR= 29%, VAN= 125158.12 Bs, y la Relación B/C=1.23 Bs. Concluyendo de sta manera que el proyecto es rentable y atractivo para invertir en el aspecto socioeconómico.El proyecto se ejecutará en tres fases secuenciales:·        Fase de Acompañamiento a las Actividades·        Fase de Acompañamiento al Proceso de Implementación ·        Fase de Acompañamiento a la Gestión de los Sistemas de Producción, Conclusión y Cierre del Proyecto, además de la continuidad a la conclusión del proyecto.</t>
  </si>
  <si>
    <t>https://drive.google.com/file/d/1j2_thP2Z2Zo_nl6K-iod51Ea_wJ3wmfU/view?usp=sharing</t>
  </si>
  <si>
    <t>https://drive.google.com/file/d/1mBq0_4P54zRy_lowDTCTLnOid8VrqQU-/view?usp=sharing</t>
  </si>
  <si>
    <t>https://drive.google.com/file/d/1gEJfBF4X6vr07WampHs2QZLffWS7bTYo/view?usp=sharing</t>
  </si>
  <si>
    <t>MARISABEL CESPEDES ALMENDRAS</t>
  </si>
  <si>
    <t>RUTH MARIBEL ORELLANA ARELLANO</t>
  </si>
  <si>
    <t>ING. JATNIEL GUAMÁN ARÉBALO</t>
  </si>
  <si>
    <t>ELABORACIÓN DE UN SISTEMA DE GESTIÓN EN SEGURIDAD Y SALUD OCUPACIONAL SEGÚN NB                      OHSAS 18001:2008 PARA LA EMPRESA CORONILLA S.A.</t>
  </si>
  <si>
    <t>marisabel_19ca@hotmail.com</t>
  </si>
  <si>
    <t>IND-881-2017</t>
  </si>
  <si>
    <t>Sistema de Gestión en Seguridad y Salud Ocupacional (SGSSO), Implementación, Control Operacional, Mejora Continua, Productividad.</t>
  </si>
  <si>
    <t>El proyecto de grado plantea la propuesta de implementación de un Sistema de Gestión de Seguridad y Salud Ocupacional bajo la Norma Boliviana NB/OHSAS 18001:2008 en la empresa "CORONILLA S.A." a través del diseño de la elaboración del sistema.Antes de diseñar el sistema de Gestión de Seguridad y Salud ocupacional, se ha realizado un diagnóstico inicial de la empresa respecto a los requisitos de la Norma OHSAS 18001:2008 y el cumplimiento de los deberes del empleador de acuerdo a Ley 16998 Ley General de Higiene, Salud Ocupacional y Bienestar, Ley General de Trabajo, Código de Seguridad Social y Ley de pensiones 065, detectando así las debilidades de la organización y posteriormente diseñar una propuesta de política de SySO.El corazón de la planificación del Sistema de Gestión de Seguridad y Salud Ocupacional fue la identificación de peligros y evaluación de riesgos, además de la identificación de los requisitos legales y otros aplicables a la empresa. Estos elementos fueron aporte para el diseño de los objetivos y programas de SySO, y posterior definición de funciones y responsabilidad frente al sistema de Gestión.El sistema de Gestión diseñado presenta toda la documentación necesaria para cumplir con los requisitos de la norma Boliviana NB/OHSAS 18001:2008.Con todos los antecedentes mencionados, se procedió al diseño de los controles operacionales necesarios para minimizar los peligros y riesgos evaluados. Estos controles se encuentran en forma de documento como son, los manuales, procedimientos, instructivos y guías, así también la elaboración de un Plan de Emergencias basada en la Norma Boliviana 517001. Además, se han realizado evaluaciones como la medición del ruido, medición de iluminación y carga de fuego.Con toda la documentación y registros de documentación se procedió a la verificación a través de procedimientos de auditoria interna y posterior revisión por la alta dirección.Finalizando, se efectuó la evaluación económica de relación Costo/Beneficio para la propuesta de implementación del sistema en su conjunto, incluyendo la determinación de controles propuestos, determinando así la factibilidad del proyecto.Se concluyó que con la implementación de este sistema de gestión, el cumplimiento de los requisitos respecto a la norma tendría un cumplimiento aceptable, así también se dio recomendaciones que aportarían al mejor desempeño de la puesta en marcha del Sistema de Gestión de Seguridad y Salud Ocupacional.</t>
  </si>
  <si>
    <t>https://drive.google.com/file/d/1u5faqzfvkrKIZs0no8IzL1wNH8Fx_SiL/view?usp=sharing</t>
  </si>
  <si>
    <t>https://drive.google.com/file/d/1RCibufRjnKocW1ewV7Jn_EaNacFYYAJI/view?usp=sharing</t>
  </si>
  <si>
    <t>https://drive.google.com/file/d/1KfC11vmychKbfOORaHZBUEgmfwPbLyU2/view?usp=sharing</t>
  </si>
  <si>
    <t>MARIANELA MEDRANO QUIROZ</t>
  </si>
  <si>
    <t>PLAN DE MEJORAMIENTO DE LA PRODUCTIVIDAD APLICANDO LAS HERRAMIENTAS DEL JUSTO A TIEMPO EN LA PRODUCCIÓN DE BALONES DE FÚTBOL PARA LA FÁBRICA DE BALONES LITORAL</t>
  </si>
  <si>
    <t>mamequi10@hotmail.com</t>
  </si>
  <si>
    <t>IND-882-2017</t>
  </si>
  <si>
    <t>Fábrica de Balones Litoral, Producción, Productividad, Filosofía Justo a Tiempo</t>
  </si>
  <si>
    <t>El presente Proyecto de Grado consiste en el desarrollo de un plan que tiene el fin de mejorar la productividad de la empresa Litoral en el proceso productivo del balón de fútbol, aplicando las herramientas de la Filosofía Justo a Tiempo.Se identificó que uno de los problemas principales de la empresa, al igual que la gran mayoría de las empresas nacionales pequeñas, es el bajo nivel de productividad. Con este trabajo se pretende contribuir a mejorar estos niveles bajos de productividad en Litoral. Asimismo, se considera que este trabajo es válido con las adecuaciones correspondientes para otro tipo de productos y que trabajos similares al presentado deberían ser considerados a nivel regional a través de los representantes del sector empresarial industrial. Se detectó que el bajo nivel de productividad de la empresa se debe al elevado tiempo de producción, al costo de materia prima elevado y a la existencia de desperdicios físicos e intangibles del proceso productivo. Una de las causas más importantes que ocasionan problemas a este tipo de empresas y que les impide crecer es no considerar como desperdicio aquello que no se puede ver, tales desperdicios son: transportes, inspecciones, almacenamientos y demoras. Estas actividades no agregan valor al producto, sólo incrementan el costo del producto, volviéndolas poco productivas y competitivas en un mercado saturado de marcas de todo el mundo, que compiten con lo nacional sobretodo en precio, precios en muchos casos, más bajos que el costo de producción de un producto nacional.Se realizó una descripción detallada de la empresa en sus respectivas áreas y un diagnóstico de todo el proceso productivo del balón de futbol. En el diagnóstico se analizaron todas las actividades que se realizan para elaborar el balón, se determinó que el 89,27% de estas actividades son desperdicios, ya que no agregan valor al producto, además, se obtuvieron los tiempos estándares de cada una de ellas y la productividad actual que es de 87 balones/mes. Posteriormente, se logró determinar las herramientas necesarias para disminuir o eliminar los desperdicios detectados en el diagnóstico. Se formularon propuestas para los problemas más serios o principales restricciones del proceso productivo. Las principales herramientas que se utilizaron en este trabajo son: Kanban, Pokayokes, Células de Trabajo, Reducción de Tiempo de Preparación de Máquinas, Las 5’S, Compras Justo a Tiempo, Benchmarking, Mantenimiento Justo a Tiempo, Costos de No Calidad y Estudio de Tiempos.  Por otro lado, se elaboró una ficha ambiental, para ver el impacto que produce la empresa en el medio ambiente. Además se sugirió acciones para mantener controlado su impacto a medida que la empresa crezca.Finalmente, se realizó un análisis de beneficio-costo y se determinó la inversión total que requeriría la empresa para implementar este plan. Entre los beneficios más importantes que este trabajo aporta a la empresa están: Disminución del  tiempo de producción, mejoramiento de la calidad del producto, ahorro de espacio en planta, mayor fluidez en el proceso y, aumento en la participación y el bienestar del trabajador. Se estima que la productividad podría incrementarse un 100 %. Por otro lado, se considera que la empresa podrá reducir de 205 actividades que realiza actualmente para fabricar un balón de fútbol a 80, ya que con la implementación de este trabajo, habrá una disminución de desperdicios del 61%.Se recomienda que la empresa siga mejorando sus niveles de productividad, siguiendo el método que se desarrolló en este trabajo. Es posible que logre disminuir más el tiempo de producción, mejore más su calidad y sea un proceso más fluido y flexible ante cambios de la demanda y, pueda generar muchos más ingresos. Se sugiere que la empresa contrate a un profesional capacitado en Marketing que tenga conocimientos en Compras Justo a Tiempo. También deberá poner en funcionamiento el plan de marketing que ya tiene elaborado, y no podía implementarlo porque la empresa no estaba en condiciones de aumentar o disminuir su producción a niveles que el mercado demandaría. El gobierno debería impulsar la creación de instituciones que puedan dar soporte a la industria nacional realizando estandarizaciones de actividades u operaciones de los procesos productivos, ayudando a diseñar métodos alternativos de actividades que impiden mejorar la productividad de las empresas pequeñas. Sólo de esta manera, las empresas podrán crecer y podrán dar trabajos justos, dignos y bien remunerados.</t>
  </si>
  <si>
    <t>https://drive.google.com/file/d/1-zs45v_BxtUsOcP-6Y8vyZ-JfneZ3VWV/view?usp=sharing</t>
  </si>
  <si>
    <t>https://drive.google.com/file/d/1JGkEW5-3l-Izwxqln-LapcPq6wNcBnQY/view?usp=sharing</t>
  </si>
  <si>
    <t>https://drive.google.com/file/d/1wq9gcBHK0fH6bnV9P807vst5YTWQdM83/view?usp=sharing</t>
  </si>
  <si>
    <t>JAVIER MAMANI CHURA</t>
  </si>
  <si>
    <t>ING. JILL KELLY ESCOBAR TERRAZAS</t>
  </si>
  <si>
    <t>ELABORACIÓN DE UN PLAN DE HIGIENE, SEGURIDAD OCUPACIONAL Y BIENESTAR PARA LA PLANTA PROCESADORA DE FRUTAS LACTEOSBOL</t>
  </si>
  <si>
    <t>jhonjavier2@hotmail.com</t>
  </si>
  <si>
    <t>IND-883-2017</t>
  </si>
  <si>
    <t>Planta Procesadora de Frutas LACTEOSBOL</t>
  </si>
  <si>
    <t>Las condiciones actuales de la Planta Procesadora de frutas LACTEOSBOL, no son las más apropiadas, los trabajadores están sujetos a riegos y a sufrir accidentes y/o incidentes. Por lo que se pretende elaborar un Plan de Higiene, Seguridad Ocupacional y Bienestar.Primeramente se realizó el Diagnostico de la situación actual de la Planta procesadora de frutas LACTEOSBOL   y se recabo la información disponible acerca de las actividades, procesos de las actividades, la organización actual del sector, etc. Posteriormente se realizo la identificación de Peligros, a través de una entrevista directa con el coordinador de la planta LACTEOSBOL, se obtuvo la información necesaria para determinar que no aplican mucho el tema de seguridad Industrial.También se realizo la evaluación de riesgos, utilizando la metodología de IPER. Que consiste en la evaluación Analítica de dos factores: Probabilidad (P) y Severidad (S). Se realizaron distintas mediciones, como ser el nivel del ruido y el nivel de iluminación. Así poder determinar los riesgos más críticos dentro de la Planta y poder tomar las medidas correctivas adecuadas.Con los datos obtenidos se determino que los riesgos más críticos dentro de la planta LACTEOSBOL, son la elevada exposición a riesgos de incendios y explosiones, contaminantes químicos, cortes y golpes contra maquinas y herramientas, y el elevado nivel de ruido a los que están expuestos los trabajadores.Mediante un análisis de todos los datos recabados se procedió a la Elaboración del Plan de Higiene, Seguridad Ocupacional y Bienestar, que consiste de 8 módulos específicos. 1) Organización de la Seguridad, Programa de Capacitación, Programa para prevención de riesgos, Programa para dotación de EPP, Manual de Primeros Auxilios, Programa contra Incendios, Programa ante contingencias. Programa se Señalización.Con la elaboración módulos específicos, el personal sabrá que funciones debe de cumplir, que actividades debe de seguir y que apoyo deben de recibir.Finalmente se realizo la elaboración del presupuesto del Plan de Seguridad Industrial e Higiene Ocupacional.</t>
  </si>
  <si>
    <t>https://drive.google.com/file/d/1Q8kGGwJH5dUrcMRbf8oHI-2nl_DTwwZz/view?usp=sharing</t>
  </si>
  <si>
    <t>https://drive.google.com/file/d/1aMqF_oIE-KyS-yRoLWmCAAwFCVmJw_hj/view?usp=sharing</t>
  </si>
  <si>
    <t>https://drive.google.com/file/d/1Sn2wx7gBNALc3HgsFv9XuKXWYTIHOR7m/view?usp=sharing</t>
  </si>
  <si>
    <t>ALCIRA CORRALES QUINTEROS</t>
  </si>
  <si>
    <t>SILVIA TRUJILLANO GARCIA</t>
  </si>
  <si>
    <t>PROYECTO DE FACTIBILIDAD PARA LA PRODUCCION Y COMERCIALIZACION DEL ACEITE DE CHIA</t>
  </si>
  <si>
    <t>alcializ8753@gmail.com</t>
  </si>
  <si>
    <t>IND-884-2017</t>
  </si>
  <si>
    <t>Proyecto de factibilidad,  Ingeniería de proyectos, investigación de mercado, Indicadores de rentabilidad, Estudio organizacional.</t>
  </si>
  <si>
    <t>Este proyecto está dirigido a la implementación de una planta para el procesamiento de aceite de Chía. Debido al aumento de enfermedades degenerativas, cardiovasculares, sobrepeso, que ocasionan alrededor del 35% de todas las muertes al año,  por la falta de las vitaminas, antioxidantes, minerales, suplementos Ω 3 .se ve la necesidad de realizar un estudio para determinar la factibilidad de la producción y comercialización de aceite de Chía en la ciudad de Cochabamba. Primeramente se realizó un  estudio de mercado en la ciudad de Cochabamba  a fin de recopilar información primaria que permita tener un conocimiento preciso de la población consumidora, la competencia, los canales comerciales y los precios que rigen en el mercado. Así como también datos de la demanda del producto, mediante la proyección de datos históricos y el precio del mismo que estaría dispuesto a pagar. Además de definir características de presentación del aceite de Chía.También se realizó el estudio para determinar el tamaño de la planta, el monto de las inversiones y los costos de operación.  determinando la localización final apropiada de la planta teniendo en cuenta la disponibilidad de insumos, materiales, recursos humanos, medios de comunicación, normativas legales favorables.se hará todo el detalle técnico que interesa para la realización del estudio de factibilidad de la planta productora Aceite de Chia.El estudio de organización para el presente proyecto se basará en la definición de la estructura organizativa que satisfaga las necesidades de administración (mano de obra indirecta) y operaciones (mano de obra directa) de la planta.Finalmente se determinaran las inversiones que serán necesarias para la ejecución del proyecto, las mismas que se clasifican en ítems, inversión fija, inversión diferida y capital de operaciones.</t>
  </si>
  <si>
    <t>https://drive.google.com/file/d/1-h9B_gzmTJsBFZsFX_FVym5ijoNxcTf9/view?usp=sharing</t>
  </si>
  <si>
    <t>https://drive.google.com/file/d/1rrXp1AQuy8JpYj4BP39jrXptinU1txoB/view?usp=sharing</t>
  </si>
  <si>
    <t>https://drive.google.com/file/d/1uAoh7NfLO7bCwwTbDXrdOh_vCyLIsEZg/view?usp=sharing</t>
  </si>
  <si>
    <t>EDGAR GUTIERREZ QUISPE</t>
  </si>
  <si>
    <t>PLAN DE SEGURIDAD INDUSTRIAL Y SALUD OCUPACIONAL EN BASE A LA NORMA OHSAS 18001 PARA LA EMPRESA RECICLADORA DE CARTÓN CERPA LTDA.</t>
  </si>
  <si>
    <t>ragdegut@hotmail.com</t>
  </si>
  <si>
    <t>IND-885-2017</t>
  </si>
  <si>
    <t>Plan de seguridad, procesos, EPP, norma ohsas 18001, primeros auxilios, CERPA Ltda.</t>
  </si>
  <si>
    <t>La gran necesidad de frenar los accidentes existentes en las empresas nos dio la idea de realizar un plan de seguridad industrial, para la empresa CERPA Ltda. y que esta sea una gran referencia para las demás.La falta de un plan de seguridad industrial para CERPA Ltda. fue un elemento fundamental, para desarrollar este proyecto y que es imprescindible para que los trabajadores puedan tener mayor confianza en realizar sus actividades.Para desarrollar el proyecto se tuvo que hacer el reconocimiento de área, en todos los procesos que compone la empresa y a su ves se verifico las condiciones de trabajo en las que se desarrollan las actividades del proceso productivo.Una vez identificado las áreas de trabajo y el diagrama de procesos se realizó la investigación de los riegos existentes en los ambientes de la empresa, para luego tomar en cuenta según la norma ohsas 18001 que características se debe desarrollar en el proyecto, del plan de seguridad industrial.Determinando los riesgos según la norma ohsas 18001, se evaluó en que procesos los riesgos son mas significativos y de que exista probabilidades de incidencia, para poder eliminarlos en su totalidad o parcialmente.Luego de realizar el análisis de evaluación, se hizo los métodos de prevención en cada proceso productivo, señalando como se debe prevenir los riesgos existentes, y que estos deben ser cumplidos tal como se mencionó en el proyecto del plan de seguridad industrial.  Para desarrollar adecuadamente el plan se realizó manuales para su aplicación como las de primeros auxilios, uso de EPP, contra incendios, emergencias, ohsas 18001, procedimientos de orden y limpieza, procedimiento de cargas y procedimiento de capacitación.Se elaboró el presupuesto, con el cual debe contar inicialmente, para la aplicación del proyecto, con un monto aproximado Bs. 23518 el cual es un monto significativo a lo que refiere al INE en gastos por accidente por año.Para concluir se les muestra en este proyecto que en ningún lugar nos encontramos libres de los incidentes y los riesgos a los que estamos expuestos día a día, y que es necesario contar con un plan de seguridad industrial, en todo lo que relaciona a un proceso productivo o de servicio.</t>
  </si>
  <si>
    <t>https://drive.google.com/file/d/1JHlV2Iksw9lXLAMyXIWrhaDBM_z0L7wr/view?usp=sharing</t>
  </si>
  <si>
    <t>https://drive.google.com/file/d/1_jEnKx9Bqk_osA59SJeiEFoTB77KBv1k/view?usp=sharing</t>
  </si>
  <si>
    <t>https://drive.google.com/file/d/1aOw1gWlPAJa7pCLxJZCmb4TNH2a_HJeD/view?usp=sharing</t>
  </si>
  <si>
    <t>LÓPEZ CAZÓN NOELIA NATALY</t>
  </si>
  <si>
    <t>PLAN DE SEGURIDAD E HIGIENE OCUPACIONAL PARA LA EMPRESA SATELICAR LOGÍSTICA Y SERVICIOS S.A.</t>
  </si>
  <si>
    <t>noelita.97531@gmail.com</t>
  </si>
  <si>
    <t>IND-886-2017</t>
  </si>
  <si>
    <t>Plan de Seguridad e Higiene Ocupacional,  Diagnóstico respecto cumplimiento legal, IPER (Investigación de Peligros y evaluación de Riesgos), Equipo de Protección Personal, Método William Fine, Metodología 5 S´s.</t>
  </si>
  <si>
    <t>SATELICAR LOGÍSTICA SERVICIOS S.A.,  decide diseñar un Plan de Seguridad y Salud Ocupacional con el propósito de mejorar las condiciones laborales de sus trabajadores y gestionar en forma adecuada todos los riesgos presentes en los procesos de la organización.Para realizar el diseño del Plan se siguieron tres fases:Fase I: Recopilación de Información.Para la recopilación de información se siguió la siguiente secuencia:Se realizó un estudio de las condiciones actuales en las que se encuentra SATELICAR LOGÍSTICA SERVICIOS S.A.,  en lo referente a la materia de Prevención de Riesgos.Se identificó cuáles son las acciones y condiciones inseguras en las que se incurre dentro el proceso productivo de la empresa.Se identificó los riesgos existentes en la empresa.Se clasificó y evaluó los riesgos que se puedan presentar en cada uno de los trabajos y actividades a desarrollar.Fase II. Elaboración de un Plan de Seguridad y Salud OcupacionalUna vez identificado, clasificado y evaluado los riesgos, recopilado datos de los factores que afectan la seguridad integral de la empresa, se procedió a la realización del Plan de Seguridad y Salud Ocupacional.Luego, se procedió a plantear ideas y soluciones para el desarrollo del Plan, en esta etapa se especificará cada una de las soluciones y la manera que se llevará a cabo.Fase III. Asignación de recursos.Una vez identificados todos los aspectos, herramientas y planes de acción implementados en el presente estudio, se elaborará una asignación de recursos con el objeto de verificar la correcta inversión para la implementación del plan.</t>
  </si>
  <si>
    <t>https://drive.google.com/file/d/1caaj8blHArGPmKQbIlfgw9rVfcUwbSko/view?usp=sharing</t>
  </si>
  <si>
    <t>https://drive.google.com/file/d/1W2pBqAEQHfmr1h0Oi7BmbP67tHbJeGhY/view?usp=sharing</t>
  </si>
  <si>
    <t>https://drive.google.com/file/d/12VGAGlXZDF8gbW-rb0gas1CnnzDGMHvU/view?usp=sharing</t>
  </si>
  <si>
    <t>RONALD FRANCO MAGNE GRANDON</t>
  </si>
  <si>
    <t>ROMER ROLANDO OTAZO QUINA</t>
  </si>
  <si>
    <t>ING. WILSON ORLANDO TRUJILLO ARANIBAR</t>
  </si>
  <si>
    <t>ESTUDIO DE FACTIBILIDAD PARA LA IMPLEMENTACION DE UN PARQUEO ROBOTICO PARA VEHICULOS LIVIANOS EN LA CIUDAD DE COCHABAMBA</t>
  </si>
  <si>
    <t>ryses20@gmail.com</t>
  </si>
  <si>
    <t>IND-887-2017</t>
  </si>
  <si>
    <t>Este proyecto está dirigido a la implementación de un parqueo robótico. Debido al incremento de vehículos en nuestro medio, normativas estrictas respecto al estacionamiento, espacios reducidos para el estacionamiento en la ciudad de Cochabamba; se ve la necesidad de realizar un estudio para determinar la factibilidad para la implementación de un parqueo robótico en la ciudad de Cochabamba.Primeramente se realizó un  estudio de mercado en la ciudad de Cochabamba  a fin de recopilar información primaria que permita tener un conocimiento preciso de la población, la competencia y los precios que rigen en el mercado. Así como también datos de la demanda del producto, mediante la proyección de datos históricos. Además de definir características de presentación del parqueo robótico.También se realizó el estudio para determinar el tamaño del parqueo, el monto de las inversiones y los costos de operación; determinando la localización final apropiada del parqueo, recursos humanos, medios de comunicación, normativas legales favorables; se hará todo el detalle técnico que interesa para la realización del estudio de factibilidad del parqueo robótico.El estudio de organización para el presente proyecto se basó en la definición de la estructura organizativa que satisfaga las necesidades de administración (mano de obra indirecta) y operaciones (mano de obra directa) del parqueo.Finalmente se determinaron las inversiones que serán necesarias para la ejecución del proyecto, las mismas que se clasifican en ítems, inversión fija, inversión diferida y capital de operaciones.</t>
  </si>
  <si>
    <t>https://drive.google.com/file/d/1wEKfalLOHdgocb0HBuRJ06k0pNw2ffmQ/view?usp=sharing</t>
  </si>
  <si>
    <t>https://drive.google.com/file/d/12l5vmzbjJS84cfCpOBh_sMiXFrEOez4J/view?usp=sharing</t>
  </si>
  <si>
    <t>https://drive.google.com/file/d/1Z1frLWy32oJIjcWprrbyAZnTjNT5XKSD/view?usp=sharing</t>
  </si>
  <si>
    <t>ERIK WALTER ARISPE SANDOVAL</t>
  </si>
  <si>
    <t>ING. BORIS GONZALO VILLEGAS SANTANDER</t>
  </si>
  <si>
    <t>DISEÑO DE UN SISTEMA DE GESTIÓN DE CALIDAD PARA EL PROCESO DE ELABORACIÓN DE PUERTAS MOLDEADAS EN LA EMPRESA “SPLIT SHOPPING DEL HOGAR S.R.L.” BASADO EN LA NORMA ISO 9001 VERSIÓN 2008</t>
  </si>
  <si>
    <t>erik.arispe@gmail.com</t>
  </si>
  <si>
    <t>IND-888-2017</t>
  </si>
  <si>
    <t>Gestión de Calidad, Sistema de Gestión de Calidad, Proceso de Elaboración, Producción, Diseño, Documentación, Puertas Moldeadas.</t>
  </si>
  <si>
    <t>El presente proyecto se realizó con el objetivo de diseñar del sistema de Gestión de calidad basado en la norma ISO 9001:2008 para la empresa SPLIT SHOPPING DEL HOGAR S.R.L. en busca de mejorar la calidad del proceso de puertas moldeadas e incrementar la satisfacción de los clientes.Se realizó el diagnóstico del proceso de producción de puertas moldeadas. Se conformó un equipo de trabajo para el apoyo en las etapas de Diseño del Sistema de Gestión de la Calidad basado en la norma ISO 9001:2008. Se identificó las operaciones dentro el proceso de Producción de Puertas Moldeadas y clientes inherentes al proceso.Se elaboró una estructura documental acorde a los requisitos establecidos según la norma ISO 9001:2008 dentro del proceso de Producción de Puertas Moldeadas.Se determinar el costo estimado del proyecto para la empresa.El presente proyecto de grado se realizó considerando la siguiente metodología:Se realizó el análisis de la empresa, con esto se logró conocer las actividades que realiza la organización, su estructura, el producto que ofrece y su respectivo proceso de producción.Se elaboró el cuestionario en base a la norma ISO 9001:2008, el cual sirvió de herramienta fundamental para el diagnóstico del sistema, este cuestionario permitió determinar el grado de cumplimiento de la empresa con los requisitos exigidos por la norma.Una vez determinada la situación actual de la empresa con respecto a la norma ISO 9001:2008 se inició con el diseño del sistema de gestión de calidad, para lo cual:·       Se realizó el nombramiento del representante de la dirección,·       Se conformó el comité de calidad,·       Se determinaron los procesos de la empresa, estableciendo así el mapa de procesos, se informó a todo el personal sobre la norma ISO 9001:2008  y sus beneficios, ·       Se diseñó la estructura documental de la empresa acorde a los procesos identificados y los requisitos exigidos por la norma ISO 9001:2008.Concluido el diseño se estableció juntamente con el representante de la dirección y el comité de la calidad las actividades requeridas para la implementación del sistema de gestión de calidad previamente diseñado.Con la realización de este proyecto, “SPLIT SHOPPING DEL HOGAR S.R.L.” se benefició de gran manera, ya que ahora cuenta con todo el material de respaldo para una futura implementación que con el compromiso de la Alta Dirección y todo el personal involucrado la meta de ser un organización con certificación de la Norma NB ISO 9001:2008 podría ser realizable y factible, quedando a disposición de la Dirección la puesta en marcha del presente trabajo, que abarca el diseño del Sistema de Gestión y propone un plan de implementación coherente con la realidad de la empresa.El Sistema de Gestión debe ser aplicado y mantenido en todos los niveles de la organización, especialmente por el Gerente Regional y los Jefes de cada Área, quienes deben participar activamente demostrando liderazgo y capacidad, para lograr así la mejora continua del mismoSe debe involucrar activamente a los proveedores en el Sistema de Gestión, para asegurar que estos cumplan con los requerimientos de la empresa.Es importante que todas las personas que trabajan en “SPLIT SHOPPING DEL HOGAR S.R.L.” se sientan realmente comprometidas con la mejora continua, que sepan donde se quiere llegar, cual es el objetivo y cuál es la meta a alcanzar.Es importante aclarar que implementar un Sistema de Gestión es mucho más que fabricar un buen producto, dar un servicio esmerado, minimizar riesgos o prevenir incidentes, es una nueva forma de hacer las cosas abarcando a toda la empresa y considerando la satisfacción del cliente interno y externo como lo más importante para la empresa.</t>
  </si>
  <si>
    <t>https://drive.google.com/file/d/1w6bVOsFKrX9cnHcaM641TWRV5P-elDeo/view?usp=sharing</t>
  </si>
  <si>
    <t>https://drive.google.com/file/d/1xDcN8xsXpA2Df1Df5Ex2tPZwQHosKlb-/view?usp=sharing</t>
  </si>
  <si>
    <t>https://drive.google.com/file/d/1MwTF70JTXRTmGDCLFKTAfsaaDyPVWUnW/view?usp=sharing</t>
  </si>
  <si>
    <t>SERGIO RODRIGO VIDAURRE MOLINA</t>
  </si>
  <si>
    <t>ING. ALBERTO RUDY CRESPO GARCÍA</t>
  </si>
  <si>
    <t>DISEÑO DE MAQUINA DE TRANSPORTE DE AFRECHO PARA LA INDUSTRIA MOLINERA CONCORDIA.</t>
  </si>
  <si>
    <t>sergiovidaurrem@gmail.com</t>
  </si>
  <si>
    <t>IND-889-2017</t>
  </si>
  <si>
    <t>Maquina Transportadora de afrecho, Sistemas neumáticos, Industria Molinera Concordia.</t>
  </si>
  <si>
    <t>El Diseño de Máquina Transportadora de afrecho es una idea propuesta para reducir los tiempos de transporte de bolsas de afrecho al almacén de afrecho. Para lo cual usaremos los siguientes conceptos para el desarrollo del proyecto: Marco teórico donde conoceremos las metodologías que se emplearan para el diseño de componentes como ser mecánica fluidos y normas diseño de ciclón para su fabricación. Ingeniería del proyecto se basa en los cálculos de caída de presión para la selección de diámetro de tubería, cálculos de caudal para la selección de soplante o turbo compresor, regulación para el flujo de recepción se utilizará un ciclón que será fabricado con normas de diseño, automatización del sistema para fácil manejo del operario.Análisis de costos se utilizará para hacer una comparación entre la situación actual de la empresa proyectada a lo largo de 8 años contra el nuevo comportamiento que tendrá con la incorporación de la maquina transportadora de afrecho. En esta parte del proyecto se analizarán los costos de mano de obra, electricidad, y en el caso de la incorporación del proyecto la depreciación de las maquinas seleccionadas.   Al finalizar el estudio se puedo concluir que con la incorporación del proyecto la empresa producirá un 50% más de bolsas afrecho, reducirá el costo de la etapa en un 35% en el primer año, podrá recuperarse el monto invertido en el quinto año.</t>
  </si>
  <si>
    <t>https://drive.google.com/file/d/1IwGl010INzsAMyjecxCrL6pqrLua5EAg/view?usp=sharing</t>
  </si>
  <si>
    <t>https://drive.google.com/file/d/1BSgQsk5eSVEd4zSd3pose5CzqBY7K8k6/view?usp=sharing</t>
  </si>
  <si>
    <t>https://drive.google.com/file/d/1v5u18m9t9Wn5y_9eBVA4BfhPWC8HMTwm/view?usp=sharing</t>
  </si>
  <si>
    <t>ARZE SARMIENTO OLIVIA</t>
  </si>
  <si>
    <t>VERÓNICA  CINTIA VARGAS  LAZARTE</t>
  </si>
  <si>
    <t>DESARROLLO DEL PLAN DE GESTIÓN DE ALMACENES E INVENTARIOS EN LOS ALMACENES DEL DEPARTAMENTO DE ABASTECIMIENTOS Y LOGÍSTICAS DE LA EMPRESA BOLIVIANA DE AVIACIÓN BOA</t>
  </si>
  <si>
    <t>oarzesarmiento@gmail.com</t>
  </si>
  <si>
    <t>IND-890-2017</t>
  </si>
  <si>
    <t>Plan, Gestión de almacenes e inventarios, BoA.</t>
  </si>
  <si>
    <t>El presente proyecto de grado tiene por objetivo el Desarrollo del Plan de Gestión de Almacenes e inventarios en los almacenes del Departamento de Abastecimiento y Logística de la empresa Boliviana de aviación BoA, concibe, propone y aplica principios de la “teoría de sistemas”.El trabajo abordo inicialmente la realización de un diagnóstico  situacional para conocer la situación actual del servicio de los almacenes de BoA, aplicando un análisis sistémico,  que se basó en el análisis de factores críticos, obteniendo la productividad del proceso de almacenes así como de cada uno de sus subprocesos ; se definió el marco estratégico en el cual se realizó la planificación recursiva siendo este el elemento alineador y unificador del almacén; por medio de todo esto se procedió a definir  los planes que se emplearon para pudiera tener  una mejor gestión de Almacenes e inventarios, que permitieron mejorar el servicio y  los procesos de manejo de materiales dentro del Almacén del Departamento de Abastecimiento y Logística de la Empresa Boliviana de Aviación Boa.Posteriormente para el logro de los objetivos estratégicos propuestos se utilizaron herramientas como: la metodología de las 5`S (clasificar, ordenar, limpiar, estandarizar, disciplina), como base sistémica para el desarrollo del proyecto, también se implementó un manual de subprocesos mediante el mejoramiento de los diagramas de flujo delos subprocesos de almacén,  se implanto poka yokes, el manejo de inventarios de seguridad mediante planillas de Excel dentro el almacén,  para poder tener un mejor manejo y control de todas  las funciones a realizar en  el almacén, se  desarrollaron  instructivos de control  que permitan la evaluación y seguimiento de los subprocesos de control de almacenamiento y control de Inventarios.Finalmente se detallaron los costos, cronograma de implementación y seguimiento de la implementación del plan de gestión de almacenes e inventarios; se realizó un análisis de los costos y beneficios en el cual se  evaluaron los beneficios que presentara al almacén la implementación de plan  de gestión, así como sus impactos en cuanto costo.</t>
  </si>
  <si>
    <t>https://drive.google.com/file/d/1DvLPmCo6W3TYy8vYJ9nLLjDfUez56SEy/view?usp=sharing</t>
  </si>
  <si>
    <t>https://drive.google.com/file/d/15dbZ1tEE8vdHl_KwKzEDbD1D80wEJQAD/view?usp=sharing</t>
  </si>
  <si>
    <t>https://drive.google.com/file/d/162yF-fjNFC-NvRy4KeZ_hSS0cjOKjE80/view?usp=sharing</t>
  </si>
  <si>
    <t>JASSIEL SANTIVAÑEZ AGUILAR</t>
  </si>
  <si>
    <t>ING. M.SC. OMAR DAVID PÉREZ FUENTES</t>
  </si>
  <si>
    <t>PROYECTO DE FACTIBILIDAD DE UNA PLANTA PROCESADORA DE BROMELINA EN EL TRÓPICO DE COCHABAMBA</t>
  </si>
  <si>
    <t>jassielsantivanezaguilar@hotmail.com</t>
  </si>
  <si>
    <t>IND-891-2017</t>
  </si>
  <si>
    <t>Planta procesadora de Bromelina, Trópico de Cochabamba, Piña, Precipitado, Centrifugado, Liofilización.</t>
  </si>
  <si>
    <t>El presente trabajo de grado, ha tenido como objetivo determinar la viabilidad de la producción de bromelina a partir de la piña en el trópico de Cochabamba. El abordaje de este tema ha sido motivado por el desconocimiento de los inversionistas respecto a la oportunidad de negocio en el rubro de la bromelina que permita tomar decisiones ejecutivas en cuanto a una inversión confiable y segura.Para lograr este cometido se ha realizado un diagnóstico de mercado, para determinar la demanda de bromelina, información que ha sido preponderante para determinar el volumen le producción y, con este dato, el tamaño de planta.El presente trabajo se ha estructurado de la siguiente manera: En el Primer acápite se desarrolla con el planteamiento del problema, en el cual se establecen los objetivos y la formulación de la investigación, el segundo Capítulo se compone por el Marco Teórico Conceptual, en el cual se relacionan las teorías y conceptos que sustentan a la investigación. En el Capítulo tercero, se expone el diagnóstico general, producto del trabajo de campo, seguidamente en el Capítulo cuarto y en adelante se presentan los aspectos subyacentes a la propuesta del proyecto objeto de la presente investigación como; materia prima, aspectos organizacionales, técnicos, la evaluación financiera y ambiental del proyecto, perfeccionando la investigación con las conclusiones por objetivos y las respectivas recomendaciones.Finalmente, el presente proyecto de grado ha logrado determinar que el negocio es rentable; constituyéndose en un instrumento fundamental para la toma de decisiones ejecutivas de inversión.</t>
  </si>
  <si>
    <t>https://drive.google.com/file/d/19y8QXevNONwe4pwVLHajh8ROEkfg1Vff/view?usp=sharing</t>
  </si>
  <si>
    <t>https://drive.google.com/file/d/16rO2cHuw7B_CGR4i6gmDbdBTE6ckwRqs/view?usp=sharing</t>
  </si>
  <si>
    <t>https://drive.google.com/file/d/1tRqLMYaEwfAt1Ni7TpmLk7f_q-3Gcx0M/view?usp=sharing</t>
  </si>
  <si>
    <t>ROXANA AGUILAR ZAMBRANA</t>
  </si>
  <si>
    <t>FABIOLA PATIÑO ARANCIBIA</t>
  </si>
  <si>
    <t>ING.MSC. CARLOS ALFREDO COSIO PAPADÓPOLIS</t>
  </si>
  <si>
    <t>ESTUDIO DE FACTIBILIDAD PARA LA INSTALACIÓN DE UN APIARIO EN LA ZONA DE EL PASO</t>
  </si>
  <si>
    <t>roxana200986@gmail.com</t>
  </si>
  <si>
    <t>IND-892-2017</t>
  </si>
  <si>
    <t>Instalación de un apiario, Cosecha, Estratificación, colmenas, Ingeniería del proyecto, Evaluación Financiera, Análisis sensibilidad.</t>
  </si>
  <si>
    <t>Primeramente se realizó una investigación de Mercado a los municipios de Cercado y Quillacollo del departamento de Cochabamba, estudiando también los mercados distribuidor, competidor y proveedor que permita conocer la demanda actual y la oferta de los municipios de Cercado y Quillacollo.Se realizó el estudio y análisis del mercado actual de consumidores de miel, propóleos y jalea real a hogares de los municipios de Cercado y Quillacollo, según los resultados se determinaron:Que el nivel de consumo de miel corresponde al 60,3% para Cercado y 66,5 % para Quillacollo, el nivel de consumo de propóleos corresponde al 14,9% para Cercado y 17,3 % en Quillacollo y el nivel de consumo de jalea real corresponde al 15,40 % y 16,8 % en los municipios de Cercado y Quillacollo.Se pretende ingresar al mercado de las personas consumidoras de miel, propóleos y jalea real en un 3 % y alcanzar una demanda efectiva de 6.466,1 kg de miel de abeja procesado para el primer año.Si se quiere llegar a los objetivos planeados dentro de la demanda proyectada de ingreso al mercado objetivo, se requiere  desarrollar una amplia campaña de promoción, publicidad y marketing, que haga énfasis en la calidad y beneficios que ofrece el producto.La empresa estará organizada en dos departamentos comercialización y producción.El proceso de elaboración y obtención de la miel de abeja, propóleos y jalea real  está totalmente condicionado por la vegetación que rodea el apiario por lo que el primer año se pretende producir 12.932  frascos de 500 gr de miel de abeja, 3.305 frascos de 20 ml de propóleos y 4.365 frascos de 10 g de jalea real.Se definió la localización de la planta haciendo un análisis cualitativo de puntos, en el cual ganó por ponderación la comunidad de Totorkawa que se encuentra en la Localidad de El Paso en el municipio de Quillacollo del departamento de Cochabamba. Se definió un tamaño de 10000 mt2 para la planta. Con el tamaño y crecimiento definido se dimensionó los ambientes para la planta, se calculó de igual manera los equipos, maquinaria, materiales e insumos necesarios para tales volúmenes de producción.El estudio organizacional fue realizado para la planta definiendo el diagrama organizacional, las funciones de cada trabajador y las planillas de salarios.Se tendrá un requerimiento de personal de 13 personas para la implementación del apiario y la ejecución del proyecto se realizará en un tiempo estimado de 45 semanas.Se precisa una inversión total de $us.- 247.145, y la evaluación financiera del proyecto con financiamiento obtuvo valor actual neto de $us,- 106.024,1, una tasa interna de retorno de 21,75 % y una relación de beneficio costo de 1,32.También se realizó un análisis de sensibilidad donde fue mostrado que el precio y el volumen de producción son las variables más sensibles para la producción de miel de abeja, propóleos y jalea real. Para el financiamiento del proyecto se determinó un aporte propio del 50 % y el restante  50% se obtendrá a través de crédito bancario a un plazo de 10 años sin periodos de gracia a una tasa de interés del 13,41 % con sistema SAV (sistema con amortización variable).</t>
  </si>
  <si>
    <t>https://drive.google.com/file/d/1guK7UUOLmZODECKlEYALx3zTge2Urip7/view?usp=sharing</t>
  </si>
  <si>
    <t>https://drive.google.com/file/d/1lb34IlrNXkjRSh8yh33Jtr4f_WV9iTrI/view?usp=sharing</t>
  </si>
  <si>
    <t>https://drive.google.com/file/d/1PgFDi97R5BX7_XU4zYM18xNvhlQLSihN/view?usp=sharing</t>
  </si>
  <si>
    <t>DIPTER CALLE CONDORI</t>
  </si>
  <si>
    <t>GESTIÓN ESTRATÉGICA BAJO EL ENFOQUE SISTÉMICO PARA LA EMPRESA CEAB SRL. CENTRO DE ELABORACIÓN DE ALIMENTOS BOLIVIA</t>
  </si>
  <si>
    <t>dipterdcc@gmail.com</t>
  </si>
  <si>
    <t>IND-893-2017</t>
  </si>
  <si>
    <t>Centro de Elaboración de Alimentos Bolivia, enfoque sistémico, Gestión estratégica, gestión por procesos, PESTEL, PORTER, FODA, eficacia, eficiencia, productividad, Lean Manufacturing, mejora continua, FUNDIBEQ, BPM, CRM,POA.</t>
  </si>
  <si>
    <t>Primeramente se realizó un diagnostico interno de todos los procesos internos de la empresa, con el objeto de identificar aquellos factores de mayor relevancia en el desarrollo productivo, capacidades, debilidades y fortalezas propias del proceso.Posteriormente se realizó el análisis del entorno, diferenciando entre el entorno más lejano de la empresa, llamado entorno general y aquel entorno más próximo o entorno específico. Con el propósito de identificar las principales oportunidades y amenazas del sector.De las evaluaciones internas se pudo evidenciar que la empresa presenta debilidades como; falta de interrelación y comunicación de los procesos, desperdicios generados por las devoluciones, que representan el 15 % del total de productos distribuidos, marketing y publicidad es un tema que se encuentra descuidado desaprovechando las oportunidades del campo, retorno lento del capital circulante, debido a las políticas de cobro inadecuados y tal vez el factor más necesitado es la capacitación del personal, esto a raíz de la ausencia de políticas.También se pudo evidenciar fortalezas que mantienen a la empresa competitiva en el mercado como: la gestión de compras de la materia prima e insumos, capacidad de producción, especialidad en la elaboración de las recetas, responsabilidad en la distribución de productos y la estabilidad laboral brindada a los trabajadores y el compromiso social.Del análisis del entorno general y específico se detectó amenazas como: la sobredemanda tributaria impuesta por el gobierno al sector industrial privado, la competencia fuerte del sector de la panadería industrial, siendo su mayor competidor Bimbo, los productos sustitutos, en su mayoría el pan de batalla, ya que estos se encuentran con mayor facilidad y por último el costo de productos Ceab es uno de los más altos en el mercado un 20 % más en comparación con sus competidores. Las oportunidades por su parte son: tendencia creciente de la población hacia el consumo de productos naturales y saludables, aceptación de los productos de la empresa en el mercado y crecimiento de la población celiaca, que responde a la necesidad de productos sin gluten.En base al análisis interno y externo y a las técnicas de diagnóstico genéricas se logró establecer y seleccionar tres planes estratégicos que son: plan CERO D que pretende optimizar los costos de producción, reduciendo un 15 % hasta el 2019, plan SIETE que tiene como objetivo estructurar y organizar sistemáticamente todos los procesos para el logro de objetivos y aumentar la productividad global mayor a 75 % hasta 2018 y por último el plan MANÁ que pretende incrementar la satisfacción de los clientes e incrementar los ingresos hacia el 2019 en un 5 %.Además presenta riesgos asociados a las líneas estratégicas, siendo las más principales: El rechazo por parte de los empleados hacia las estrategias Lean Manufacturing y el modelo de gestión FUNDIBEG, la selección de la herramienta informática CRM inadecuada y sin respuesta a las necesidades de reales de la empresa y por último y asociado a la anterior, la exposición de los datos personales de los clientes por la exagera intromisión que pueda realizarse en la gestión de relación con el cliente.Por último se procedió a describir con mayor detalle las principales actividades de las líneas estratégicas, mediante un Plan Operativo para la gestión 2017.Por lo tanto y concluyendo se recomienda: implementar el plan estratégico de forma gradual y sistemática sin presión alguna, conformar un staff responsable del control y seguimiento de los objetivos y líneas estratégicas y fomentar la cultura de la mejora continua en todos sus niveles.</t>
  </si>
  <si>
    <t>https://drive.google.com/file/d/1yXm9GNdQBvlBXo1qtJPmXu5tOehFfZQ8/view?usp=sharing</t>
  </si>
  <si>
    <t>https://drive.google.com/file/d/1IjLfFOyb8bFhpA7ZhkW8gaY5ZRYVfpHq/view?usp=sharing</t>
  </si>
  <si>
    <t>https://drive.google.com/file/d/1IfWYlDycr0t0uw30LiaVRhpiOZk2Xs83/view?usp=sharing</t>
  </si>
  <si>
    <t>JUAN ROCHA MARCANI</t>
  </si>
  <si>
    <t>JAIME ELÍAS SALAMANCA ESCOBAR</t>
  </si>
  <si>
    <t>ING. ALEX D´ANCHGELO CHOQUE FLORES.</t>
  </si>
  <si>
    <t>ESTUDIO DE FACTIBILIDAD PARA LA IMPLEMENTACIÓN DE UNA NUEVA PLANTA PRODUCTIVA CON CAPACIDAD 500.000 M2/MES DE CERAMICA COBOCE LTDA.</t>
  </si>
  <si>
    <t>juanrocha25jrm@gmail.com</t>
  </si>
  <si>
    <t>IND-894-2017</t>
  </si>
  <si>
    <t>Procesos de producción de pisos y revestimientos cerámicos, baldosas cerámicas, línea de esmaltado, decorado cerámico, polvo atomizado, proceso vía húmeda, barbotina, ciclo de cocción, prensado seco, evaluación financiera, seguridad industrial, evaluación ambiental.</t>
  </si>
  <si>
    <t>El objetivo del proyecto es desarrollar el estudio de factibilidad para la implementación de una nueva planta productiva de pisos y revestimientos esmaltados de “CERAMICA COBOCE LTDA”.CERAMICA COBOCE, es una unidad productiva de COBOCE Ltda. Dedicada a la producción y comercialización de pisos y revestimientos producidos con moderna tecnologia, diseños creativos y formatos a la tendencia.El desarrollo técnico del proyecto, se inició con el diagnostico general de la empresa que permitió determinar factores de externos e internos, las limitaciones técnicas de la unidad, competitividad y comportamiento del mercado.El estudio de mercado se realizó en el eje troncal del país, de la cual se determinó la demanda y oferta, mecanismos de distribución efectivos, características requeridas del producto, desarrollo de planes de publicidad en los medios masivos que permita posicionar la marca a nivel nacional e internacional. La técnica utilizada en la recolección de datos fue mediante las encuestas dirigidas a consumidores y puntos de venta.En el estudio de tamaño y localización, se determinó una capacidad instalada de 600.000 m2/mes y la ubicación óptima de la planta “Parque Industrial Latinoamericano (PILAT) Santa Cruz (Warnes).El análisis de materias primas e insumos, ha logrado definir las fuentes de explotación (Samaipata, San Ramón y Chiquitania) en Santa Cruz, y el requerimiento de las arcillas de 12.583,8 Tn/mes y también el consumo estimado de insumos y aditivos.El estudio de ingeniería, ha logrado establecer el proceso productivo, instalaciones, tecnologia, maquinarias y equipos, recursos necesarios, otorgando un lay-out por producto lineal de producción continua de la nueva planta.  En la organización industrial, ha establecido la estructura organizacional de la nueva planta, las funciones principales y el costo de sueldos y salarios.El plan de ejecución del proyecto, definió las actividades que serán desarrolladas durante la ejecución del proyecto, para poder organizar estas actividades se utilizan técnicas de estructura de desglose de trabajo (EDT), diagrama de Gantt y ruta crítica (CPM), estos últimos muestran tiempos de ejecución de las actividades del proyecto.Los indicadores financieros han demostrado que el proyecto es rentable financieramente, con VAN=234.975.696,53 Bs, TIR=45%, B/C=1,39. Además se determinó costos totales y costos de equilibrio del proyecto.   Para determinar la señalización de la planta productiva y los riesgos laborales existentes, se propuso el plan de seguridad industrial e higiene que describe la existencia u ocurrencia de posibles riesgos tanto en ejecución y operación. Se recomendó también el uso adecuado de equipos de protección personal y el seguimiento de la ley 16998. La evaluación de impacto ambiental del proyecto se realizó de acuerdo a la ley de medio ambiente 1333 y se estableció que el proyecto es de categoría III por métodos cuantitativos, cualitativos y por el Reglamento ambiental RASIM, por la Ley 535 se verifico normas de ingreso, continuidad y caducidad de la licencia ambiental, el estudio dio como resultado que los impactos negativos tanto de la fase de ejecución y operación son de escala menor, no significativos, por lo tanto la planta puede operar. El proyecto pretende generar fuente empleos directos e indirectos y apostar al desarrollo económico de la región y nacional, según la política de la cooperativa establece la distribución justa de la riqueza, los recursos del pueblo para el pueblo.</t>
  </si>
  <si>
    <t>https://drive.google.com/file/d/1qVDXK_gGk44tbTBgsgCYEMW4MzFmOkzG/view?usp=sharing</t>
  </si>
  <si>
    <t>https://drive.google.com/file/d/1s-kzUWPWJ9frKpA2Phi5VxrRCw-44Jwz/view?usp=sharing</t>
  </si>
  <si>
    <t>https://drive.google.com/file/d/1cWjPWI6MtwDd_7ltQDd0m4SEMBu82hFG/view?usp=sharing</t>
  </si>
  <si>
    <t>MARITZA CANAVIRI FLORES</t>
  </si>
  <si>
    <t>MSC.JIMMY CASTO CIANCAS JIMÉNEZ</t>
  </si>
  <si>
    <t>DISEÑO DE UN SISTEMA DE GESTIÓN DE SEGURIDAD Y SALUD OCUPACIONAL BASADO EN LA NORMA OHSAS 18001: 2008 PARA LA EMPRESA BIOTOP S.R.L.</t>
  </si>
  <si>
    <t>marytza.cf@gmail.com</t>
  </si>
  <si>
    <t>IND-895-2017</t>
  </si>
  <si>
    <t>Seguridad y Salud Ocupacional SySO, SG SYSO, IPER, EPP, INCIDENTES, RIESGO.</t>
  </si>
  <si>
    <t>En la empresa Biotop s.r.l. se vio la necesidad de tener un plan o sistema de seguridad y salud ocupacional, asimismo se quiere certificaciones que den prestigio a la empresa, llegando a ser la mejor empresa de bioinsumos orgánicos, como la empresa va en crecimiento se realiza el presente proyecto de grado, sin olvidarse del cuidado y protección que es necesario para el personal de la empresa.En el presente Proyecto se diseñó un sistema de gestión y salud ocupacional basado en la norma OHSAS 18001:2008, donde en prime instancia se realizó un diagnóstico de la empresa en cuestión al cumplimiento de las leyes que aplican a la seguridad y salud ocupacional de nuestro país siendo la Ley Nº 224 “Ley general de trabajo”, la Ley Nº16998 “ley general de Higiene, Seguridad Ocupacional y Bienestar, Ley del Código de Seguridad Social, y la Ley de Pensiones que en promedio tienen un porcentaje de cumplimiento del 60,20 % ,pero en cuanto al cumplimiento de la norma solo cuenta con un porcentaje del 5,88%. En continuidad al desarrollo del sistema, se realizó la Identificación de Peligros y Evaluación de Riesgos con sus respectivas medidas de control, monitoreos de ruido, iluminación en el trabajo, partículas en suspensión, se calculó los índices de frecuencia, gravedad, tasa de riesgo en la planta de bacterias, determinando que la incidencia de incidentes va ligeramente disminuyendo.El cálculo de carga de fuego, determinó los extintores requeridos, todo bajo los criterios de las normas NFPA 10 y APNB 58006, se identificó los lugares que requieren señalética de seguridad y salud ocupacional valorando los criterios de la resolución ministerial Nº 489/14.Se desarrolló procesos, registros, programas, un plan de emergencia, y manuales de acuerdo a la documentación que exige la Norma Boliviana NB- OHSAS 18001:2008,de acuerdo al alcance establecido en la planta de bacterias, se elaboró la política de SySO y su respectivo reglamento interno.En consecuencia para la implementación del sistema se requiere un cronograma de implementación, como un costo de inversión que se detalla en el capítulo 6 del presente proyecto, por ende se tiene también beneficios económicos, que es mayor al costo, por otra parte se obtienen beneficios cualitativos que dan prestigio y un ambiente seguro para el personal de la empresa que no es cuantificado. Por todo lo investigado y evaluado se concluye que es menester implementar el sistema lo más pronto posible, para prevenir i/o reducir o eliminar los incidentes y también la sanción del incumplimiento de leyes SySO.</t>
  </si>
  <si>
    <t>https://drive.google.com/file/d/12xQAcb-cjkvbNOGKRL2Hkv8-Z4Us45OJ/view?usp=sharing</t>
  </si>
  <si>
    <t>https://drive.google.com/file/d/1LZIH0d2d2Qd8r47efyMWiNTXJPy8czes/view?usp=sharing</t>
  </si>
  <si>
    <t>https://drive.google.com/file/d/1XIxQoPupQ-uf-K2HmMaAti7FU0m3wtak/view?usp=sharing</t>
  </si>
  <si>
    <t>MAURICIO RAÚL TÓRREZ ÁVILA</t>
  </si>
  <si>
    <t>ING. CLAUDIA FANNY MONTAÑO RODRIGO</t>
  </si>
  <si>
    <t>DISEÑO DE MODELO DE DIRECCIÓN ESTRATÉGICA PARA LA EMPRESA SALCEDO IMPORTACIONES S.R.L.</t>
  </si>
  <si>
    <t>mauritorrez@hotmail.es</t>
  </si>
  <si>
    <t>IND-896-2017</t>
  </si>
  <si>
    <t>Misión, Visión, Análisis PESTC, Benchmarking, Cinco Fuerzas de Porter, Matriz EFE, MPC, Matriz EFI, Matriz FODA , Matriz PEYEA, Matriz BCG, Matriz IE, Matriz MCPE, Plan de Acción.</t>
  </si>
  <si>
    <t>Primeramente se redactaron tanto la misión como la visión de la empresa, luego se realizó una evaluación externa de la empresa, analizando las fuerzas políticas, sociales, económicas, tecnológicas y de la competencia que se presentaron en el entorno en el que se desenvuelve. Se realizó una comparación con empresas del medio local para tomar en cuenta que acciones realizaban éstas para sobresalir dentro de la industria. Se obtuvieron oportunidades y amenazas, con las cuales se realizó la matriz de evaluación de factores externos y la matriz de perfil competitivo.Posteriormente se realizó un análisis interno, encuestando tanto a trabajadores como gerentes de la empresa. Se realizó un estudio de mercado tomando en cuenta los clientes que tiene la empresa, estudiando el nivel de satisfacción que éstos presentaban. Se determinaron las debilidades y las fuerzas con las que cuenta la empresa y de esta manera se realizó la matriz de evaluación de factores internos.Con la ayuda de los análisis realizados se formularon estrategias utilizando la matriz de las fortalezas, oportunidades, debilidades y amenazas, obteniendo así estrategias que se adecuaban a la situación actual que vivía la empresa. Se determinó la posición estratégica de la empresa utilizando la matriz de posición estratégica y evaluación de la acción, dando como resultado que la empresa se encontraba en un cuadrante donde la mejor estrategia a seguir era la agresiva.Se realizó una matriz del Boston Consulting Group, obteniendo como resultado que la marca Truper es la que más ingreso genera, la que mayor participación en el mercado tiene y la que mayor crecimiento presenta. Se determinó que las líneas de productos Hermex y Volteck son los que menos crecimiento de mercado presentaban, situándose en el cuadrante de productos perro.Se realizó una matriz interna y externa utilizando los valores numéricos obtenidos en la matriz de evaluación de factores externos y la matriz de  evaluación de factores internos, ubicando a la empresa en un cuadrante donde la recomendación era de tomar una actitud conservativa.Posteriormente se realizó la matriz cuantitativa de la planeación estratégica utilizando las fortalezas, debilidades, oportunidades y amenazas más importantes que se obtuvieron de los análisis interno y externo realizados, el resultado fue que la estrategia que debería seguir la empresa para lograr los objetivos a largo plazo propuestos es la de desarrollo de mercado.Se seleccionaron las estrategias de desarrollo de mercado de la matriz de fortalezas, oportunidades, debilidades y amenazas; y se les realizó un plan de acción a cada una de las estrategias. También se tomaron en cuenta estrategias de integración hacia adelante y de penetración de mercado para poder cumplir los objetivos planteados por la empresa. Finalmente se desarrollaron planes de acción que sirven para evaluar el rendimiento que tienen las estrategias respecto al objetivo que quieren alcanzar, para esto se delegaron responsables para cada acción y un tiempo determinado en el cuál debería terminarse el mismo. Se definió una in versión total de Bs. 78800 y $2155. Se concluyó que el plan estratégico planteado es el que más se adapta a la situación de la empresa, garantizando una publicidad agresiva, una expansión en su mercado y un aumento en lo que respecta a número de clientes.</t>
  </si>
  <si>
    <t>https://drive.google.com/file/d/1jK-rOdbvQmCVPQWZejsdGzjdPr5DdLps/view?usp=sharing</t>
  </si>
  <si>
    <t>https://drive.google.com/file/d/1awhDGNuvyKdJu5EReBZBO6yy3TBAEucO/view?usp=sharing</t>
  </si>
  <si>
    <t>https://drive.google.com/file/d/1vhpuoAOzQRz5W_QDPCcwldriL3HW4v6M/view?usp=sharing</t>
  </si>
  <si>
    <t>GRECIA MARIA BONILLA BASTOS</t>
  </si>
  <si>
    <t>RUTH JULIETA SAHONERO MENDIETA</t>
  </si>
  <si>
    <t>ING. ARANDIA GARCIA JUAN PABLO</t>
  </si>
  <si>
    <t>PROYECTO DE FACTIBILIDAD PARA LA IMPLEMENTACIÓN DE UNA PLANTA PROCESADORA DE LÁCTEOS PARA LA ASOCIACIÓN DE PRODUCTORES LECHEROS A.P.L. PERTENECIENTES AL CLUSTER DE ALIMENTOS COCHABAMBA.</t>
  </si>
  <si>
    <t>greciabonilla.b@gmail.com</t>
  </si>
  <si>
    <t>IND-897-2017</t>
  </si>
  <si>
    <t>Procesamiento de lácteos, Muestreo Estratificado, Pasteurización de leche, Homogeneización de leche, Evaluación Financiera, Análisis de sensibilidad, Evaluación Impacto Ambiental.</t>
  </si>
  <si>
    <t>Se realizó una investigación de mercados en el área metropolitana de Cochabamba, se determinó que los productos lácteos más demandados son la leche fluida, el yogurt y el queso. Se determinó la proyección de demanda de la leche, yogurt y queso y el balance oferta y demanda. La materia prima es proporcionada directamente por los socios. La proyección de la producción consta de un crecimiento de 60% a 100% hasta el quinto año con una capacidad máxima total alcanzada de 50.000 L/día.Con la capacidad máxima y crecimiento de la producción definidos, se dimensionó los ambientes para la planta, y se establecieron los equipos, maquinaria, materiales e insumos necesarios para tales volúmenes de producción de los tres productos en estudio.La localización de la planta se definió a través de un análisis cualitativo por puntos alcanzando la máxima ponderación el municipio de Sacaba del departamento de Cochabamba. Se definió un tamaño de 5032 mt2 para la planta. En el estudio organizacional se obtuvo el diagrama de la estructura, siguiendo el modelo lineal staff y los requerimientos legales para conformar una industria láctea. También, se describieron las funciones de cada trabajador y las planillas de salarios considerando los porcentajes de participación de aportes patronales y de previsión social de acuerdo a la Ley General de Trabajo.Se realizó la planificación de la ejecución del proyecto estableciendo las distintas actividades que se realiza desde su inicio hasta su puesta en marcha, a través del diagrama de C.P.M. se determinó que la duración del proyecto es de 12 meses, el cual se programó las actividades mediante el diagrama de Gantt.Se consideraron factores de seguridad industrial y buenas prácticas de manufactura, que son factores de gran importancia en una industria láctea.Se realizó la descripción del proceso productivo de los tres productos y su respectivo balance de masa. La distribución de planta por producto se diseñó según la necesidad de la industria. Posteriormente se preparó la información para poder realizar la evaluación financiera determinando un VAN de $ 515.409, un TIR de 23,48% y una relación B/C de 1,032, con un TREMA= 10,32%. De acuerdo al análisis de sensibilidad las tres variables de cantidad, costo de materia prima y precio de venta son de importante consideración en la toma de decisión referente al proyecto. El equilibrio de éstas es importante para que el proyecto sea rentable.  Las inversiones totales consideradas para el funcionamiento de la planta son las siguientes:       inversión de activo fijo con un total de $ 2.093.402, la inversión de activo diferido con la suma de $ 12.843  consumidos antes del primer año de operación del proyecto y de igual forma el capital de trabajo con $ 326.887  para el año cero. Finalmente se concluyó con una evaluación de impacto ambiental, donde se estudió al proyecto en sus etapas de ejecución y operación. Se concluyó que no existen factores de riesgo negativo considerables y se establecieron medidas de mitigación para dichos factores estos se clasificaron por las fases del proyecto, es decir, la fase de ejecución y la fase de operación.La categoría ambiental del proyecto corresponde a la Nº 3, la cual no requiere de una evaluación de impacto ambiental analítica específica pero que puede ser aconsejable su revisión conceptual.</t>
  </si>
  <si>
    <t>https://drive.google.com/file/d/1vRIoN3TG5E3fwaaUrRjcuZYtJQ4aMXVZ/view?usp=sharing</t>
  </si>
  <si>
    <t>https://drive.google.com/file/d/1d1KDgpklU_lQ3qJvOmldM676qGSoRyit/view?usp=sharing</t>
  </si>
  <si>
    <t>https://drive.google.com/file/d/16T2kvTLsbYA0yb_pAkUefqpcYmQwXj_F/view?usp=sharing</t>
  </si>
  <si>
    <t>JAIME RAMOS CABALLERO</t>
  </si>
  <si>
    <t>ING. FRANZ MARCELO SALVATIERRA ROJAS</t>
  </si>
  <si>
    <t>ESTUDIO DE FACTIBILIDAD TÉCNICA Y ECONÓMICA PARA LA ELABORACIÓN DE SOPAS Y CREMAS PRE COCIDAS A BASE DE QUINUA EN LA CIUDAD DE COCHABAMBA</t>
  </si>
  <si>
    <t>jaimerandyimd_23@gmail.com</t>
  </si>
  <si>
    <t>IND-898-2017</t>
  </si>
  <si>
    <t>Planta productora de sopas pre cocidas, Flujo de Diagrama de Procesos, Matriz de Leopold, Análisis PORTER, Proceso Metodológico de Investigación de Mercados.</t>
  </si>
  <si>
    <t>Las sopas y cremas pre cocidas a base de quinua, es un producto altamente nutritivo con la iniciativa de innovar al momento de su procesamiento, ya que se trata de un producto instantáneo para aquellas personas que no cuentan con el tiempo necesario de cocinar o prepararse el almuerzo.Para la creación de una empresa de este rubro se vio previsto la adquisición de la materia prima base la quinua que abunda bastante en la zona andina de Bolivia. Para ello se deberá conocer las características nutricionales y la selección de la quinua real, por tanto se dio a conocer los distintos lugares de adquisición.Para este producto se realizó un estudio de mercado donde se puede determinar la aceptación e introducción a mercados locales por lo que la población de estudio acepta este producto ya que tiene alto contenido nutricional y se sabe que es innovador en Cochabamba.Se realizó la ingeniería del proyecto un estudio técnico donde se determinó el proceso productivo, distribución de planta, localización y los aspectos legales de la creación de la empresa donde lo relevante es la localización del proyecto a implementar es la zona sud de Cochabamba donde existe altos índices de desnutrición.Es este presente proyecto se realiza también un estudio de personal donde se resalta el manual de funciones que determina la cantidad de operarios que la empresa debe contar.Se ilustra detalladamente un estudio económico ya que toda empresa creada por ley debe contar con un financiamiento propio y créditos bancarios, para ello se evalúa los costos totales de producción, administración y comercialización mismas que serán sujetas a los impuestos por ley como ser IVA, IT, IUE y otros. Con esto se conoce el flujo neto efectivo (F.E.N.) de la empresa para un horizonte de vida de 5 años, con el cual se mide la rentabilidad mediante el VAN y TIR para la toma de decisiones al momento de invertir en el negocio.Finalmente se respalda la creación de la empresa con la sociedad, con un estudio ambiental para contrarrestar la contaminación y disminuir desperdicios, para ello se detalla los impactos ambientales de cada proceso.</t>
  </si>
  <si>
    <t>https://drive.google.com/file/d/16dFxaCCACTKQEaETYqyGMkGpWnNfevLL/view?usp=sharing</t>
  </si>
  <si>
    <t>https://drive.google.com/file/d/1G9bdWOnGFB_q4-xaENRDHPc5kAD81sog/view?usp=sharing</t>
  </si>
  <si>
    <t>https://drive.google.com/file/d/16dvLCNhW4EJfdpGDSEE9a3I-QImecn_L/view?usp=sharing</t>
  </si>
  <si>
    <t>RIOS GARCIA JUAN CARLOS</t>
  </si>
  <si>
    <t>ESTUDIO DE FACTIBILIDAD PARA LA IMPLEMENTACIÓN DE UNA EMPRESA DISTRIBUIDORA  DE AGUA DE MESA Y HIELO EN LA CIUDAD DE COCHABAMBA</t>
  </si>
  <si>
    <t>juancarlos.riosgarcia@yahoo.es</t>
  </si>
  <si>
    <t>IND-898-2017-1</t>
  </si>
  <si>
    <t>Planta de Agua, Ozonador, Filtro Pulidor, Rayos UV, Formaleta, Agua Cruda, Aguas Grises, Impacto Medioambiental, Frigorífico, Diagnóstico del mercado, Margen de Contribución, Logística,  TIR, TREMA, Periodo de Recuperación, Análisis de Sensibilidad</t>
  </si>
  <si>
    <t>El objetivo del presente proyecto es el de realizar un estudio de factibilidad para la implementación de una empresa distribuidora  de agua de mesa y hielo en la ciudad de Cochabamba, de tal manera poder saber si es conveniente la realización del proyecto.Se realizó una investigación de mercado estratificado, en los municipios de Cochabamba – Cercado, Quillacollo y Sacaba para determinar la demanda insatisfecha de los diferentes productos, mediante información obtenida en el estudio de mercado también se pudo determinar zonas estratégicas, selección de clientes, desabastecimiento de productos, demanda de nuevos productos, a la vez que se establecieron estrategias de calidad mediante cumplimiento de normas técnicas Bolivianas, comercialización ,distribución y la logística que ello implica.Se determinó el programa de producción anual, todo ello  para determinar la cantidad a producir, con un análisis cualitativo y un análisis de costos.Se realizó un detalle de la materia prima e insumos requeridos para el proceso que implica la obtención del agua de mesa y hielo, se hizo una descripción de las operaciones necesarias, el tipo de máquinas, herramientas a utilizar y la capacidad de estas; indicando los costos en maquinaria herramientas y equipo de oficina, detallándose también las obras civiles.  Por las características medioambientales que presenta el proyecto se vio necesaria la implementación de una pequeña planta de tratamiento de aguas grises, esto para acciones de mitigación contra posibles impactos negativos al medioambiente.Se determinó el tipo de organización que necesita la empresa, indicando los requerimientos de mano de obra y se cuantificaron los costos en que se incurre por este concepto; haciendo una diferenciación entre mano de obra directa e indirecta. Se realizó una planificación de las acciones que deberán ser desarrolladas en el año cero, referidas a la gestión del proyecto, el emplazamiento y la puesta en marcha, destinadas a garantizar el funcionamiento de la fábrica en el año uno. Se realizó una evaluación del proyecto, a través del uso de indicadores financieros como ser el TIR, VAN, R (B/C), IR,  TREMA y Periodo de recuperación, estos indicadores fueron evaluados cuando el proyecto es financiado con una entidad y con capital propio, también se realizo un análisis de sensibilidad, tomando como variables el decrecimiento en ventas, como un incremento en gastos de operación.</t>
  </si>
  <si>
    <t>https://drive.google.com/file/d/1C5H24_sHm3gHDLdIWpoBHXtk6nGmqY4x/view?usp=sharing</t>
  </si>
  <si>
    <t>https://drive.google.com/file/d/1G0dmMYr7yjlnfR73lYQseFJJ0mclZtPq/view?usp=sharing</t>
  </si>
  <si>
    <t>RUDDY DELGADILLO MONTAÑO</t>
  </si>
  <si>
    <t>ESTUDIO DE FACTIBILIDAD PARA LA IMPLEMENTACIÓN DE UNA PLANTA INDUSTRIAL DE LECHE DE TARWI, DIRIGIDO AL MERCADO DE COCHABAMBA.</t>
  </si>
  <si>
    <t>industrialproductivo@gmail.com</t>
  </si>
  <si>
    <t>IND-899-2017</t>
  </si>
  <si>
    <t>Planta Industrial de Leche de Tarwi, Estudio de Mercado,    Ingeniería del Proyecto, Evaluación Financiera, Evaluación Ambiental.</t>
  </si>
  <si>
    <t>Primeramente se realizó una investigación de Mercado en del Cercado de Cochabamba. Para la obtención de información primaria se utilizó la encuesta al cliente objetivo, también se hizo un análisis de la oferta, luego se determinó, proyectó y verificó la existencia de una demanda insatisfecha de leche vegetal, para posteriormente establecer la demanda efectiva del proyecto, asimismo se hizo un análisis del producto, precio, plaza, promoción y publicidad.Posteriormente se estimó la cantidad necesaria de las materias primas y material auxiliar para la elaboración del producto, también se identificó a los principales proveedores de materias primas, quintales de grano de Tarwi del Municipio Pocona, Arque y Alalay, quintales de azúcar del Alancen del mayorista, saborizantes y conservantes de Maprial y los envases de 946 ml de polietileno de baja densidad tricapa de IPESA.  Se definió la localización y emplazamiento de la planta, mediante un análisis de macrolocalización, microlocalización y utilizando el método cualitativo por puntos, siendo la alternativa ganadora el Municipio de Tiquipaya.Luego se describió el proceso productivo para la elaboración de leche vegetal de tarwi, también se realizó el diagrama de flujo y el balance de masa para la obtención del producto. Posteriormente se describió la tecnología, infraestructura y servicios requeridos para el funcionamiento de la planta. Seguidamente se hizo la distribución de la planta, mostrando el plano con rutas.Se mostró la representación gráfica de la estructura organizacional de la planta, mediante un organigrama lineo-funcional, se determinó la necesidad y requerimiento de personal, siendo de 16 trabajadores, distribuidos en las diferentes áreas de la empresa. En el marco legal se definió la razón social de la empresa, siendo “Industrias Delmon S.R.L.”, luego se mostraron los pasos para su constitución legal.Se elaboró un diagrama Gantt para la planificación y ejecución del proyecto, se mostraron las actividades con su respectivo orden cronológico y duración. Se determinó un tiempo de 55 semanas para la realización de las actividades, siendo la fecha de inicio (03/01/2018) y fecha de culminación (08/01/2019).Después se preparó la información para poder realizar la evaluación financiera, determinando un VAN de Bs 696.252,01, una TIR de 30,68%, y una relación B/C de 1,27. También se realizó el análisis de sensibilidad, en la cual se demostró la rentabilidad del proyecto a variaciones del precio de materia prima, precio de venta del producto, tasa de interés y tomando en cuenta el pago del doble aguinaldo.En la evaluación ambiental se mencionaron los impactos positivos, negativos del proyecto y los factores ambientales, la cual se requiere de tratamiento y reciclamiento de las aguas usadas de los procesos.</t>
  </si>
  <si>
    <t>https://drive.google.com/file/d/1yoqAuDsebDk7gVPpGtn3NXDEKQ07CbuE/view?usp=sharing</t>
  </si>
  <si>
    <t>https://drive.google.com/file/d/1_TbQiwUl2EwKDwC9iIZWP8l8ysdO5Kbn/view?usp=sharing</t>
  </si>
  <si>
    <t>https://drive.google.com/file/d/16g8cbd7BF3B13uPFIR8ViuLqA-kn8_tM/view?usp=sharing</t>
  </si>
  <si>
    <t>MAYRA VERÓNICA ARANDIA ARIAS</t>
  </si>
  <si>
    <t>WALDO ALEJANDRO EULATE JIMÉNEZ</t>
  </si>
  <si>
    <t>MGR. ING. ALEX D´ANCHGELO CHOQUE FLORES</t>
  </si>
  <si>
    <t>PROYECTO DE FACTIBILIDAD PARA LA IMPLEMENTACIÓN DE UNA PLANTA PROCESADORA DE PULPA DE SANDÍA EN EL MUNICIPIO DE OMEREQUE.</t>
  </si>
  <si>
    <t>mayravero.arandia@hotmail.com</t>
  </si>
  <si>
    <t>IND-900-2017</t>
  </si>
  <si>
    <t>Planta, jugo, inversión, Sandía, Omereque, ciudades capitales, Producción, Evaluación Financiera, Análisis sensibilidad, Evaluación Impacto Ambiental</t>
  </si>
  <si>
    <t>Se realizó una investigación de Mercado a las ciudades capitales de La Paz, Cochabamba y Santa Cruz, estudiando también los mercados distribuidor, competidor y proveedor. Se determinó una demanda insatisfecha de jugo, como también se determinó la proyección de demanda de jugo de Sandía para las ciudades capitales de La Paz, Cochabamba y Santa Cruz. Posteriormente se definió el tamaño de la planta considerando que la empresa busca abarcar un 20% del mercado inicial de Jugos produciendo el primer año 253.433,30 L/año. Para el año 2017 la planta ingresara al mercado de las ciudades capitales, considerando que estos mercados tienen características similares. Aumentando su producción para cada año 1%.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el Municipio de Omereque del departamento de Cochabamba. Se definió un tamaño de 945 m2 para la planta. El estudio organizacional fue realizado para la planta definiendo el diagrama organizacional, las funciones de cada trabajador y las planillas de salarios.El estudio de viabilidad técnica se explicado a detalle, considerando la producción estacional de Sandía. Posteriormente se preparó la información para poder realizar la evaluación financiera determinando un VAN de 1.160.619,28 Bs, un TIR de 34%. También se realizó un análisis de sensibilidad donde fue mostrado que las ventas, Inversión de la ejecución del proyecto y el costo de operación son las variables más sensibles para la producción de jugo de Sandía. Se definió una inversión total de 2.047.679,35 Bs. Para todo el proyecto definiendo un 46,28% de aporte propio y un 53,72% de financiamiento. La recuperación del capital fue determinada en un periodo de 2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</si>
  <si>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https://drive.google.com/file/d/1i0jeZFujvLXf3qkvKi2THgaA00QemApu/view?usp=sharing</t>
  </si>
  <si>
    <t>https://drive.google.com/file/d/1IEIPAZHVX7A0S0YXrhJHrJFkhkMFGxOq/view?usp=sharing</t>
  </si>
  <si>
    <t>https://drive.google.com/file/d/1jM94nheoorgijrd_aR5hzd9ibTLMDpNk/view?usp=sharing</t>
  </si>
  <si>
    <t>HERBAS FIENGO CARLOS ABEL</t>
  </si>
  <si>
    <t>ESTUDIO DE FACTIBILIDAD PARA LA IMPLEMENTACIÓN DE UNA EMPRESA MADERERA PARA LA PRODUCCIÓN DE PALOS DE ESCOBAS, TRAPEADORES Y ZOPAPAS PARA EL MERCADO LOCAL.</t>
  </si>
  <si>
    <t>II-2017</t>
  </si>
  <si>
    <t>IND-901-2017</t>
  </si>
  <si>
    <t>Zopapa (Accesorio de limpieza para desatascar inodoros)</t>
  </si>
  <si>
    <t>El objetivo del presente proyecto será determinar la factibilidad técnica, económica y financiera para la implementación de una empresa maderera para la producción de palos de escoba, trapeadores y zopapas en el mercado local.Para lograr este objetivo, se llevó a cabo el estudio de mercado respectivo, el cual nos permitió conocer la demanda del producto en el mercado, el perfil del consumidor, sus hábitos de consumo, ayudando de esta forma en la toma de decisiones futuras para el lanzamiento del producto al mercado. De igual forma se realizó la descripción del proceso productivo, la maquinaria necesaria y se pudo determinar las especificaciones a las que deben estar sujetos las obras civiles.Se determinó la capacidad de producción de la planta en función a la maquinaria.Se identificó el tipo de organización lineo-funcional, como la más adecuada para la administración de los recursos humanos de la planta y se pudo realizar una estimación de la cantidad de mano de obra y el costo de la misma.Se desarrolló una evaluación económica social y financiera del proyecto, mediante indicadores económicos como el TIR (Tasa Interna de retorno) ,VAN (Valor actual neto). Finalmente se pudo concluir que el proyecto es Técnico, económico y financieramente viable.</t>
  </si>
  <si>
    <t>https://drive.google.com/file/d/1RE2BaPaaX-LClxN6t49iRbpmWYBwt2xe/view?usp=sharing</t>
  </si>
  <si>
    <t>https://drive.google.com/file/d/1wgH5GpaEidSoLjZevUhETBhMfMn-gSwH/view?usp=sharing</t>
  </si>
  <si>
    <t>https://drive.google.com/file/d/1supIn7sIXLLVY2y6f17plGOPHpwUgNWy/view?usp=sharing</t>
  </si>
  <si>
    <t>MARIA LUZ VALENCIA ROJAS</t>
  </si>
  <si>
    <t>ING. CHOQUE FLORES ALEX D'ANCHGELO</t>
  </si>
  <si>
    <t>DESARROLLO DE UN MODELO DE PLANIFICACION Y CONTROL DE LA PRODUCCION PARA LA INDUSTRAI INPROMAT</t>
  </si>
  <si>
    <t>marita.mlvr@gmail.com</t>
  </si>
  <si>
    <t>IND-903-2017</t>
  </si>
  <si>
    <t>MCPE (Matriz Cuantitativa de Planeación Estratégica).</t>
  </si>
  <si>
    <t>El proyecto surgió a partir de la identificación de las dificultades en las operaciones de producción de la Industria Inpromat, puesto que las áreas involucradas a producción están operando de manera deficiente. Entonces el proyecto surgió de esta necesidad, la cual plantea soluciones en cuanto se refiere al aprovisionamiento de MP, previsión de la demanda, gestión de inventarios y la planificación y control de la producción. Es así que se desarrolla un modelo de planificación y control de la producción es la herramienta más adecuada para la solución de dichos problemas.El desarrollo del proyecto empezó con la descripción general de la empresa, se analizó la capacidad instalada, el rendimiento. De la misma manera se elaboró un diagnostico haciendo uso de herramientas comunes como es el análisis FODA, Matriz Cuantitativa de Planificación estratégica.A partir de los datos históricos de la demanda de cada uno de los productos analizando el comportamiento que presentaron a los largo del tiempo, se realizó la respectiva proyección de la demanda mediante métodos conocido como los pronósticos y estimaciones.También se realizó la gestión de inventario de materia prima y producto terminado, la cual consiste en clasificar los productos según la herramienta ABC, con la cual se categorizaron según su importancia económica. De acuerdo a esta clasificación priorizar los productos y, someterlos a estudio según el método de inventario que corresponda: EOQ, EPQ, Heurísticos, etc.La planificación de la producción se podría mencionar  como uno de los objetivos más importantes del estudio, se probó con distintos planes de producción de las cuales se eligió el más adecuado a la empresa, ya sea económica como también según sus posibilidades y disponibilidades. De igual manera, para dicho plan de producción se elaboró una propuesta de plan de requerimiento de materiales y capacidades.Finalmente se elaboró un modelo de planificación y control de la producción para la empresa Inpromat, y por último se realizó un análisis de beneficio y costo del proyecto asimismo los costos involucrados con la implementación del modelo</t>
  </si>
  <si>
    <t>https://drive.google.com/file/d/16OHeOcmfDn_RwEs_jn03JcNKlSk9JcoP/view?usp=sharing</t>
  </si>
  <si>
    <t>https://drive.google.com/file/d/1-6LhyV551cTwR6TXzKisNk6jQDkch_Wr/view?usp=sharing</t>
  </si>
  <si>
    <t>https://drive.google.com/file/d/1oHNI5jdWQs7EuS0gJmh0qUwn0xbvL5QB/view?usp=sharing</t>
  </si>
  <si>
    <t>WILBER SIMON QUIROGA AGUAYO</t>
  </si>
  <si>
    <t>ING. RUBEN GARCÍA MOLINA</t>
  </si>
  <si>
    <t>ESTUDIO DE FACTIBILIDAD PARA LA IMPLEMENTACIÓN DE UNA PLANTA PRODUCTORA DE QUESO EN LA COMUNA ITOCTA.</t>
  </si>
  <si>
    <t>wilberquiroga@gmail.com</t>
  </si>
  <si>
    <t>IND-904-2017</t>
  </si>
  <si>
    <t>Producción de queso, Mozzarella, Requesón, Lactosuero, Estratificación implícita con muestreo sistemático, Evaluación financiera, Análisis sensibilidad, Gestión ambiental</t>
  </si>
  <si>
    <t>Primeramente, se realizó una investigación de mercado en el Municipio de Cercado del departamento de Cochabamba, estudiando también los mercados, competidor y proveedor. Se determinó una demanda satisfecha insaturada, así como también se determinó la proyección de demanda de queso mozzarella para el Municipio de Cercado del departamento de Cochabamba.Posteriormente se definió el tamaño de la planta considerando que la empresa busca abarcar un 8% del mercado inicial, produciendo el primer año 96.291 Kg/año.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el Parque Industrial Santivañez del Municipio de Santivañez del departamento de Cochabamba. Se definió un tamaño de 500 mt2 para la planta. El estudio organizacional fue realizado para la planta definiendo el diagrama organizacional, las funciones de cada trabajador y las planillas de salarios.El estudio de viabilidad técnica se explicado a detalle, consistiendo la producción de queso mozzarella en 15 etapas y en el caso del requesón se requiere de 8 etapas.Posteriormente se preparó la información para poder realizar la evaluación financiera determinando un VAN de 1.639.321 Bs., un TIR de 23,27% y una relación B/C de 1,30. También se realizó un análisis de sensibilidad donde fue mostrado que el precio de la materia prima y el precio de venta son las variables más sensibles para él proyecto. Se definió una inversión total de 2.889.033 Bs. Para todo el proyecto definiendo un 55% de aporte propio y un 45% de financiamiento. La recuperación del capital fue determinada en un periodo de 5 años.Finalmente se concluyó con una Gestión Ambiental del proyecto de acuerdo a la ley 1.333, donde se determinó que el proyecto es una categoría 4, por tanto, solo se realizó el llenado del RAI (Registro Ambiental Industrial).</t>
  </si>
  <si>
    <t>KARLA STEPHANIE TERÁN AGUILAR</t>
  </si>
  <si>
    <t>ING. ZAID PECHO CHÁVEZ</t>
  </si>
  <si>
    <t>ESTUDIO SECTORIAL DEL CLUSTER DE ALIMENTOS DE COCHABAMBA</t>
  </si>
  <si>
    <t>karlita_ksta @hotmail.com</t>
  </si>
  <si>
    <t>IND-905-2017</t>
  </si>
  <si>
    <t>Caracterización de Empresas, Información, Trabajo Conjunto, Conocimiento, Fortalecimiento, Interacción.</t>
  </si>
  <si>
    <t>La elaboración de un estudio sectorial del Cluster de Alimentos de la ciudad de Cochabamba, de las empresas que realizan trabajo conjunto con la Universidad Mayor de San Simón a través de la iniciativa del programa INNOVACIÓN-UMSS pretende satisfacer la necesidad de obtener conocimiento técnico-científico para la mejora de la competitividad de empresas del sector productivo de alimentos en la región.Para poder cumplir con los objetivos propuestos en el estudio se realizó un diseño metodológico, donde se consideró que la mejor herramienta para la recolección de información de las entidades que trabajan con el Cluster de Alimentos bajo el modelo de la triple hélice era la encuesta. La formulación de dicha encuesta se realizó a empresas que forman parte del Cluster de Alimentos, ya que con estas se realiza un trabajo colaborativo mediante la transferencia de conocimiento científico-práctico y así poder colaborar a través de la Universidad para dar soluciones innovadoras a problemas específicos del sector y demandas de la sociedad. El contenido de la encuesta se dividió en cuatro secciones en el que se obtuvo información general de los datos la empresa, sus características de: Tamaño, número de empleados y tipo de productos; la cooperación comercial, financiera, tecnológica y productiva; la relación de vinculación con la Universidad, sus necesidades y las barreras que dificultan un trabajo colaborativo con esta. Finalmente se realizó el análisis de la información obtenida, logrando de esta manera atender las exigencias de cada objetivo de manera puntual, en el proceso del estudio se identificaron las capacidades y potencialidades que permitieron realizar cinco recomendaciones las cuales están orientadas para el continuo funcionamiento del Cluster de Alimentos y la continua colaboración de sistemas de innovación de la región.</t>
  </si>
  <si>
    <t>https://drive.google.com/file/d/1wiu0ksBwaaYZoBSmjrEvzGgGQANLz2On/view?usp=sharing</t>
  </si>
  <si>
    <t>https://drive.google.com/file/d/1T-XMpJSr4OWDPiIn4MsGwuSwFv2OlDwB/view?usp=sharing</t>
  </si>
  <si>
    <t>https://drive.google.com/file/d/1A3kC7JC-SNrggtlHeBl61e29x2M7l4_9/view?usp=sharing</t>
  </si>
  <si>
    <t>DENELSA CHOQUERIVE CHOQUE</t>
  </si>
  <si>
    <t>ANA JULIA TORREZ MAMANI</t>
  </si>
  <si>
    <t>ESTUDIO DE FACTIBILIDAD PARA LA INSTALACIÓN DE UNA PLANTA PRODUCTORA DE MERMELADA Y HARINA DE QUINUA EN COCHABAMBA CON ALTO CONTENIDO EN PROTEÍNAS Y VITAMINAS.</t>
  </si>
  <si>
    <t>dine_100@yahoo.com</t>
  </si>
  <si>
    <t>IND-906-2017</t>
  </si>
  <si>
    <t>Planta Productora, Estado de Resultados, Demanda,  Oferta, Balance de Masa, Nutrición.</t>
  </si>
  <si>
    <t>El sistema que se desarrolló, toma como ejemplo plantas de producción de mermelada y harina, con base a aquello se desarrolló un estudio de factibilidad económica, financiera y comercial para la implementación e instalación de una planta productora de mermelada y harina  de quinua en Cochabamba con alto contenido en proteínas y vitaminas, que puede contribuir con la alimentación sana de la población disminuyendo la taza de desnutrición infantil.        Para  el desarrollo del presente proyecto se realizó un estudio descriptivo y propositivo que permitirá tener un conocimiento más preciso para plantear y dar solución al problema central.       Para la investigación y la planificación del desarrollo del estudio, se acudió a la construcción de una matriz de diseño que en su contenido reflejaba cómo se debe encarar la tareas y actividades, que corresponden a los objetivos específicos.El mercado  objetivo del proyecto fueron los hogares de la ciudad de  Cochabamba.A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el departamento de Cochabamba de la mermelada y harina de quinua es de  65,54% y 78,26% respectivamente. Así mismo el nivel de aceptación de los productos del proyecto  como ser la mermelada y harina de quinua  es de  75,14 y 76,09%  respectivamente.Para la elaboración de los productos  se hizo énfasis en el sabor, valor  nutritivo. Se determinó que la mermelada de quinua  será  comercializada en envases de vidrio con un contenido de  250gr. y  la harina de  quinua será comercializada en bolsas de polietileno   de una libra.La materia prima principal que se definió para ser utilizada en la elaboración del producto del proyecto, es  la quinua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 empresas ELFEC, SEMAPA y Y.P.F.B. en el que los costos incurridos  están en función al consumo  y a la tarifa establecida para las industrias.Se definió la macrolocalización en el departamento de Cochabamba  en base a los factores de localización. Para determinar el tamaño de la planta se analizaron los factores que condicionan el dimensionamiento del mismo, de los cuales la demanda es la que condiciona el tamaño del proyecto y el programa de producción se realizó considerando la capacidad normal viable.Se realizó el diseño de distribución de planta  sobre 116 m2  en el que se asignaron los espacios requeridos  por cada área de trabajo, en la función administrativa y de planta.La estructura organizacional del proyecto será de  tipo Line &amp;Staff.Para el presente proyecto se determinó que el personal requerido para la mano de obra directa, indirecta y eventual es un total de 28 para los años 1-2, 30 para los  años  3-6 y 32  para los años 7-10. La personalidad jurídica que tendrá la empresa será de tipo sociedad de Responsabilidad Limitada S.R.L. Se determinaron 11 actividades principales hasta la puesta en marcha del proyecto, dichas actividades siguen una secuencia ordenada para el cumplimiento satisfactorio  de las actividades de la planificación. A través del diagrama  de actividades PERT y el diagrama  de GANTT, se determinó máximo 37 semanas para la ejecución de las actividades, este periodo  puede variar de acuerdo a la agilización de trámites u otras actividades llegando a reducir o no el tiempo total y necesario de ejecución.Para el funcionamiento del proyecto se requiere una inversión  en activos fijos de $us 153876., activos diferidos $us 5595 y el capital de trabajo  inicial es de $us60129.Se prevé que el financiamiento del proyecto será de 30% aporte propio ($us65880) y el 70% a crédito ($us153720) a 10 años plazo con una tasa de interés del 12,59% de acuerdo al sistema SAV.Los ingresos del proyecto se determinaron en función al precio y programa de producción, también se contemplaron los impuestos IVA  e IT. Realizada la  evaluación financiera  del proyecto se tiene los siguientes resultados: VAN $us 8.620.268, TIR 91%, B/C 1,6 con estos resultados se puede concluir  que el proyecto es rentable.Para la evaluación del impacto ambiental se  consideró las actividades desde la etapa  de la ejecución hasta la etapa de operación. Los impactos  sociales  negativos en el proyecto  no son muy altos  por lo cual no generaran efectos dañinos al entorno social pudiendo ser controlados en su respectivo tiempo.       Entre algunas de las recomendaciones estarían:        Realizar investigaciones de mercado en forma periódica.       Realizar un estudio para la introducción  de la mermelada y harina de quinua en los mercados objetivos  de esta manera diversificar los productos. Fomentar la producción de la quinua y cereales nutritivos para asegurar el abastecimiento de la materia prima  para el proyecto mediante contratos a largo plazo con los proveedores. Vigilar constantemente los procesos de producción para que se pueda tener el control permanente de la calidad del producto.Se recomienda en caso de  implementar el proyecto actualizar las cotizaciones de las maquinarias, equipos, costo de construcción, etc.</t>
  </si>
  <si>
    <t>https://drive.google.com/file/d/1iqrU-DY0UuidHn07ToyrCGnkJyVbW78C/view?usp=sharing</t>
  </si>
  <si>
    <t>https://drive.google.com/file/d/1J-2eLp5Yt_WknJyx5xS6_fYsRr-PNRsc/view?usp=sharing</t>
  </si>
  <si>
    <t>https://drive.google.com/file/d/1hFeAt48kPQ4yTr7HAJaMqArbgXyx_avL/view?usp=sharing</t>
  </si>
  <si>
    <t>DIANA LISETTE SABAG ASFURA</t>
  </si>
  <si>
    <t>ING. MIGUEL ÁNGEL DÍAZ AQUINO</t>
  </si>
  <si>
    <t>DESARROLLO DE UN PLAN DE SEGURIDAD E HIGIENE OCUPACIONAL PARA LA EMPRESA DE BOLSAS Y PLÁSTICOS DADI SRL</t>
  </si>
  <si>
    <t>diana.sabag.asfura@gmail.com</t>
  </si>
  <si>
    <t>IND-907-2017</t>
  </si>
  <si>
    <t>Seguridad industrial, Higiene ocupacional, plásticos y bolsas, peligro, riesgo, medida de control.</t>
  </si>
  <si>
    <t>Cada año, en el mundo, millones de trabajadores sufren accidentes de trabajo que les producen lesiones de diversa gravedad, en cada uno de estos accidentes hay dolor físico y psíquico, pérdida de la capacidad de trabajo, preocupación y sufrimiento en la familia del accidentado. La industria de Bolsas &amp; Plásticos DADI SRL no está exenta de dicha problemática, ya que presenta falencias en los planes de control y prevención de riesgos ocupacionales, pero como toda empresa tiene el compromiso de que todos sus trabajadores no estén expuestos a riesgos, peligros y enfermedades que pueden afectar su salud, planteando convenientes estrategias de acción encaminadas a lograr los cambios necesarios y proporcionando un trabajo con disminución de riesgos.Actualmente la empresa DADI SRL cuenta con una variada línea de productos como ser bolsas plásticas de PEBD, bolsas plásticas con impresión y bolsas de enfunde para alimentos como el plátano de exportación, así mismo, cuenta con una capacidad productiva aproximada de 7.000 kg/mes, por lo que cuenta con distintas maquinarias que permiten realizar una producción semiautomática, requiriendo diferentes trabajadores entre maquinistas, operarios, empaquetadores y estibadores, para sus operaciones diarias. Realizando una identificación de peligros y evaluación de  riesgos en DADI SRL, por medio de metodologías como William Fine, encuestas a los trabajadores y entrevistas a los directivos, se ha determinado que los principales peligros y riesgos más importantes son del tipo físico, como por ejemplo los atrapamientos con máquinas, las quemaduras con material caliente y el manejo de materiales polvorientos de índole toxica; se ha estimado que un 23% de todos los riesgos es significativo y un 6% es intolerable, lo que muestra la necesidad de la implementación de un plan de seguridad e higiene en el corto plazo.Una vez identificados los peligros y riesgos más relevantes existentes en la empresa, se formuló el “Plan de Seguridad e Higiene Ocupacional” el cual se subdivide en 10 módulos que plantean una solución integral al problema de inseguridad en esta empresa, estos módulos abarcan temas como el desarrollo de comités mixtos, el establecimiento de controles a los riesgos, medidas de mejora, manual de procedimientos y de primeros auxilios, orden y limpieza, la dotación de EPP’s, señalización, prevención de incendios y la capacitación en seguridad.Por último, se realizó la estimación de un presupuesto de implementación del plan, el cual asciende a 20.628 Bs., costo que representa más una inversión que un simple gasto, ya que se considera que generara mayores beneficios para la empresa, desde el aumento de la productividad de los trabajadores hasta su mayor motivación y satisfacción con el trabajo.</t>
  </si>
  <si>
    <t>https://drive.google.com/file/d/1DGLmnxz5QQ1xrIaSNWgK-5gunaE8w7w8/view?usp=sharing</t>
  </si>
  <si>
    <t>https://drive.google.com/file/d/1tDPjCcSYTOfOoc0SYBoNqYlYohib95_0/view?usp=sharing</t>
  </si>
  <si>
    <t>https://drive.google.com/file/d/17SV0WZo9zTyv1kOF9rweMLufmUBC6oxN/view?usp=sharing</t>
  </si>
  <si>
    <t>MAGUY GABRIELA RIOS RODRIGUEZ</t>
  </si>
  <si>
    <t>ESTUDIO DE FACTIBILIDAD PARA LA IMPLEMENTACIÓN DE UNA PLANTA INDUSTRIALIZADORA DE LECHE VEGETAL EN COCHABAMBA</t>
  </si>
  <si>
    <t>gabi_newlove@hotmail.com</t>
  </si>
  <si>
    <t>IND-908-2017</t>
  </si>
  <si>
    <t>Arroz, Tarwi, Leche Vegetal, Araní, Ingeniería del Proyecto, Evaluación Financiera, Análisis sensibilidad, Evaluación Impacto Ambiental</t>
  </si>
  <si>
    <t>El presente proyecto busca desarrollar un estudio de factibilidad para la implementación de una planta industrial de leche vegetal con la finalidad de aprovechar el arroz y tarwi, teniendo como objetivo principal demostrar técnica, financiera y ambientalmente la ejecución de la planta.La leche vegetal es una bebida de una fuente vegetal que tiene aspecto similar a la leche de origen animal. Para el presente proyecto se entiende como fuente vegetal al arroz y tarwi. El arroz es considerado el segundo alimento más importante a nivel mundial después del trigo, el tarwi es una leguminosa muy rica en proteínas, hierro y calcio. En la actualidad la leche vegetal de arroz es producido en varios países como Estados Unidos, China, México y la leche vegetal de tarwi por Perú y Ecuador.La materia prima principal es el grano de arroz y la leguminosa tarwi. Se determinó la demanda de los productos, de acuerdo a la demanda de productos sustitutos, para la leche vegetal de arroz el producto sustituto es la leche de vaca liquida y para la leche de tarwi los productos sustitutos son: el pilfrut, la leche de avena, de chocolate y frutilla.Se realiza pruebas de elaboración a pequeña escala en la Facultad de Ciencias Agrícolas “Martin Cárdenas” con la finalidad de conocer el balance de masa de estos productos para poder elaborar a nivel industrial.De las pruebas de degustación se conocen los grados de preferencia y penetración que permiten determinar la capacidad de producción diaria de la planta, para luego dimensionar la planta y localizarla en la Provincia de Araní.Por medio de la ingeniería del proyecto se determinan los procesos a realizar para producción de leche vegetal, identificando maquinaria, equipos e infraestructura.En la evaluación ambiental se determinó de acuerdo a la categorización del proyecto que es ecológicamente aceptable.Una vez determinado los costos de adquisición de material directo e indirecto, maquinaria, equipos, infraestructura, material de limpieza e higiene, se estima el costo de producción unitario y  se define el precio de venta.Con ayuda de indicadores financieros se concluyó que la implementación del proyecto es factible desde el punto de vista financiero y técnico.El mercado objetivo de la leche vegetal de arroz fortificada en calcio se encuentra en el municipio de cercado sean varones y mujeres mayores a 14 años, porque están dispuestos a pagar y comprar este productoEl mercado objetivo de leche vegetal de tarwi se encuentra en el municipio de Cercado, sean varones y mujeres que se encuentren entre los 4 a 14 años de edad (Etapa infantil).Se elige este mercado porque los padres de familia están dispuestos a comprar y  pagar por este producto.Se aplicará estrategias de marketing mix que ayude al consumidor a conocer el producto, y de esta manera lograr las ventas esperadas del presente proyecto.El precio de la leche de origen vegetal y animal de la empresa Pil andina es de 5,50 a 6 Bs. en promedio, la empresa venderá leche vegetal de arroz a 4 bs para que los canales de distribución vendan 4,50 bs, precio similar al de la empresa Nordlan.El precio del pilfrut, de leche de avena es de 1 a 2 Bs. la empresa venderá leche vegetal de tarwi a 1 Bs para la venta comercial de 1,50 Bs.La marca que representa el proyecto es NutriVeg, esta palabra deriva de: Nutrición Vegana; que simboliza la igualdad animal.El diseño de la marca tiene dos colores: el verde significa buena salud y el amarillo significa belleza.El lema de la empresa es para ser saludable solo necesita ser nutritivo.Es conveniente que la plaza adopte la forma directa de entregar el producto, se debe entregar producto en tiendas de barrio, kioscos y supermercado.La tasa de rentabilidad del proyecto es de 17% con un periodo de recuperación de 9 años.</t>
  </si>
  <si>
    <t>https://drive.google.com/file/d/1QZat34xqLT5Ozo-ioAjnCL0M41-B7P8f/view?usp=sharing</t>
  </si>
  <si>
    <t>https://drive.google.com/file/d/1diifXUChrOKqisPVqGU6RxoYMeUVsvF_/view?usp=sharing</t>
  </si>
  <si>
    <t>https://drive.google.com/file/d/1X93VxVRhj5-DuNOF97xQrM8bdX-9yYaq/view?usp=sharing</t>
  </si>
  <si>
    <t>ROBERTO JORGE CAMPERO RODRIGUEZ</t>
  </si>
  <si>
    <t>DANIELA HERBAS GALINDO</t>
  </si>
  <si>
    <t>ING. DIEGO SILES NOGALES</t>
  </si>
  <si>
    <t>ESTUDIO DE FACTIBILIDAD PARA LA IMPLEMENTACIÓN DE UNA PLANTA INDUSTRIALIZADORA DE HOJUELAS DE CEBADA EN EL DEPARTAMENTO DE COCHABAMBA</t>
  </si>
  <si>
    <t>betitocampero26@gmail.com</t>
  </si>
  <si>
    <t>IND-909-2017</t>
  </si>
  <si>
    <t>Planta procesadora, hojuelas de cebada, demanda y oferta, Ingeniería del proyecto, VAN, TIR, B/C</t>
  </si>
  <si>
    <t>El Estudio de Factibilidad para la implementación de una planta procesadora de Hojuelas de cebada, nace para coadyuvar el aprovechamiento de productos a base de cebada en el departamento de Cochabamba, ya que las hojuelas de cebada son un paso para formar los hábitos alimenticios nutritivos y sanos en las personas.Inicialmente se realizó un diagnostico situacional, determinando las causas y efectos del problema estudiado, con su respectiva justificación. Seguidamente se describió y determinó la cantidad de materia prima existente en el departamento de Cochabamba.El análisis de la demanda y oferta se obtuvo gracias al estudio de mercado de las hojuelas de cebada en el departamento de Cochabamba, donde se utilizó herramientas como encuestas, libros y páginas web, al no existir  datos históricos de demanda y oferta.Se determinó el tamaño de la planta en función a la demanda pronosticada del mercado y tomando en cuenta la capacidad de maquinaria involucrada en los procesos.La localización se obtuvo a través de una evaluación cualitativa de puntos, donde se analizaron alternativas, optando por la localidad de Quillacollo por gozar de factores favorables para el proyecto.La ingeniería del proyecto se ejecutó seleccionando los procesos y maquinaria adecuada para la respectiva elaboración de hojuelas de cebada, en el presente estudio se procedió a determinar la cantidad de materia prima requerida describiendo el balance de masa.Se ilustró la estructura organizativa a través de un organigrama del personal, las funciones que cumplen y el cálculo de salarios. Posteriormente se procedió a describir los requisitos para la constitución legal de la empresa.Se estimó las inversiones totales y los respectivos costos operativos, con esto se realizó el respectivo análisis económico-financiero usando indicadores como la TIR (Tasa Interna de Retorno), VAN (Valor Agregado Neto), B/C (Beneficio/Costo) y Recuperación de Capital. Se sometió el flujo a un análisis de sensibilidad para las variables más influyentes.Finalmente se efectuó una evaluación ambiental y análisis de impacto social, mediante la ficha ambiental (RAI) y la categorización de empresas según el RASIM.</t>
  </si>
  <si>
    <t>https://drive.google.com/file/d/1o5WzLJgvYdmR_cseM43QYH4Cau7s4eQ2/view?usp=sharing</t>
  </si>
  <si>
    <t>https://drive.google.com/file/d/1GC0yT-CJYhH6ya9xrWAKMRSRLK2nVZj0/view?usp=sharing</t>
  </si>
  <si>
    <t>https://drive.google.com/file/d/1RxxG0T72xLKQSQtk_6u9Koz-0EnhMn5Y/view?usp=sharing</t>
  </si>
  <si>
    <t>KAREM HUACOTA SAAVEDRA</t>
  </si>
  <si>
    <t>ING. MANUEL RICARDO LAREDO GARNICA</t>
  </si>
  <si>
    <t>DISEÑO DEL SISTEMA DE GESTIÓN DE CALIDAD BASADO EN LOS REQUISITOS DE LA NORMA NB/ISO 9001:2008 PARA LA EMPRESA MAMUT</t>
  </si>
  <si>
    <t>karem.huacota@gmail.com</t>
  </si>
  <si>
    <t>IND-910-2017</t>
  </si>
  <si>
    <t>Sistema de Gestión de Calidad, ISO 9001:2008, Baldosas                       Amortiguantes.</t>
  </si>
  <si>
    <t>En el proyecto se diseñó el Sistema de Gestión de Calidad que funciona de acuerdo a los requisitos de la Norma NB/ISO 9001:2008 para la empresa Mamut.El alcance del proyecto se limitó al área de producción y comercialización de la empresa, siendo éstas las que dan más valor a la empresa.Para el diseño del Sistema, primeramente se analizó la situación actual de la empresa en donde se identificaron los procesos actuales, para esta etapa se recurrió a  un checklist, esta herramienta permitió el análisis individual de los requisitos del Sistema de Gestión de Calidad.A partir de los resultados del diagnóstico, se estructuró el sistema de gestión de calidad en la empresa Mamut. Para el diseño del sistema de gestión de la calidad se consideró la siguiente secuencia de actividades a realizar  definición de los procesos del Sistema de Gestión de la Calidad, definición de la Política de la Calidad, definición de Objetivos de la Calidad, redacción del Manual de Calidad, redacción de Procedimientos, redacción de otros documentos y revisión de registros existentes.Para la definir los procesos del Sistema de Gestión de Calidad se identificó las necesidades del clientes y se transformó las necesidades en requisitos, dando como resultado la clasificación de los procesos, se estableció la secuencia e interacción existente entre cada uno de ellos.Se definieron objetivos de calidad en función al cliente, procesos, producto y personal, los objetivos de calidad constan de indicadores, metas y plazos.A partir de los objetivos de Calidad, se definió la Política de Calidad, y se redactó el manual de calidad con todos los procedimientos obligatorios de la Norma y algunos procedimientos para el área de producción y comercialización.Se realizaron instructivos de trabajo para el área de producción con el objetivo de estandarizar las actividades y tiempos de realización del producto.Se realizaron diferentes planes de calidad tales como para la realización del producto, para la gestión de calidad, para la implementación del sistema de gestión de calidad, plan de capacitación del personal, plan de seguimiento a objetivos, plan de calibración de equipos de seguimiento y medición.Por último, se diseñó y elaboró diferentes formatos de registros acorde a la necesidad de la empresa.Este proyecto, es acorde a la naturaleza y realidad de la empresa Mamut.</t>
  </si>
  <si>
    <t>https://drive.google.com/file/d/1eFdDpRVZmNuPb1K9-cfPL2n39myNjZKV/view?usp=sharing</t>
  </si>
  <si>
    <t>https://drive.google.com/file/d/12e9yuw6DuzWEmhNFlsGxvUjgb0YhGo-X/view?usp=sharing</t>
  </si>
  <si>
    <t>https://drive.google.com/file/d/1URdtOU9wNPUKh4473hjTGq_ZhjAe8Zjy/view?usp=sharing</t>
  </si>
  <si>
    <t>ARIAS BASPINIERO MAX JHON</t>
  </si>
  <si>
    <t>LUCANA VELÁSQUEZ HENRY</t>
  </si>
  <si>
    <t>ESTUDIO DE FACTIBILIDAD TÉCNICO ECONÓMICO PARA LA IMPLEMENTACIÓN DE UNA GRANJA AVÍCOLA PRODUCTORA DE HUEVOS ENRIQUECIDOS CON OMEGA 3</t>
  </si>
  <si>
    <t>IND-911-2017</t>
  </si>
  <si>
    <t>Estudio técnico y factibilidad, Estudio de mercado, Ingeniería de proyectó y distribución de una granja avícola, manejo de norma RASIM.</t>
  </si>
  <si>
    <t>El estudio de factibilidad técnico económico para la instalación de una granja avícola productora de huevos enriquecidos con omega tres, surge para fortalecer el sector avícola a través de un cambio en la alimentación de las gallinas con alimento balanceado y semilla de chía, con el objetivo de reducir el alto nivel de colesterol y desnutrición de las personas en el departamento de Cochabamba. Con el propósito de reducir el índice de desnutrición alimenticia Y formar buenos hábitos alimenticios en la etapa de desarrollo de la población.Primeramente se realizó un diagnóstico sobre la situación actual del sector avícola, determinando las causas y efectos del problema estudiado, con su respectiva justificación.En el estudio de mercado se realizó un análisis de la demanda y oferta de la producción de huevo, en vista de que no existen datos específicos de la producción de huevos con omega tres en el mercado, que se obtuvo mediante fuentes primarias y secundarias para su posterior investigación de campo (realizando encuestas).La localización fue obtenida a través de una evaluación cualitativa de puntos donde se analizaron cinco alternativas para gozar de factores favorables para elaborar canales distribución que contribuyan a la eficiencia del el proyecto.La ingeniería del proyecto se efectuó, seleccionando los procesos y maquinarias adecuadas para la respectiva producción de huevo con omega tres. En el presente estudio se procedió a prueba de laboratorio para determinar la cantidad de materia requerida, describiendo balances de masa en cada proceso. Además se realizó dos: análisis de: producir chía en un 40 % y 60% comprar de proveedores regionales y comprar chía en un 100 % con el propósito de reducir costos La estructura organizativa se realizó a través de un organigrama del personal y las funciones que cumplen. Posteriormente se procederá a describir los pasos para la constitución legal del proyecto.Se estimaron las inversiones totales y los respectivos costos operativos. Con toda la información de costos se procedió a la preparación de esta información, para realizar el respectivo análisis económico usando indicadores como la TIR (Tasa Interna de Retorno), VAN (Valor Presente Neto) y la relación Beneficio Costo, que además se realizara una evaluación financiera respectivamente.Además se realizó un estudio del medio ambiente basado en la norma RASIM, con el propósito de reducir el impacto medioambiental que causa a la sociedad.</t>
  </si>
  <si>
    <t>https://drive.google.com/file/d/1ZWXOy5m32FFEGXbLtqX0nkjGtm81Ly8h/view?usp=sharing</t>
  </si>
  <si>
    <t>https://drive.google.com/file/d/1vt276h7EmXUSGTBmwTF_TBWpC9R_vZrc/view?usp=sharing</t>
  </si>
  <si>
    <t>https://drive.google.com/file/d/1wCJOTEfFUdxIdKpnYFAk6w6RBU3niN_d/view?usp=sharing</t>
  </si>
  <si>
    <t>LINETH ZURITA DELGADILLO</t>
  </si>
  <si>
    <t>ELABORACIÓN DE UN PLAN ESTRATÉGICO PARA LA EMPRESA CONSTRUCTORA FERMONT S.R.L. EN EL DEPARTAMENTO DE COCHABAMBA</t>
  </si>
  <si>
    <t>lineth_zurit@hotmail.com</t>
  </si>
  <si>
    <t>IND-912-2017</t>
  </si>
  <si>
    <t>Empresa constructora, Análisis externo e interno, Plan Estratégico, Estrategias Operativas, Departamento de Cochabamba.</t>
  </si>
  <si>
    <t>La empresa constructora FERMONT S.R.L. requería de la elaboración de un plan estratégico para poder eliminar sus debilidades y amenazas, de manera que la mejor opción fue que la empresa se convierta en una empresa competitiva y sostenible frente a otras.Para el desarrollo de la misma se realizaron una serie de pasos que llevaron cierto tiempo adquirir algunos de ellos. Primeramente, se realizó un estudio de mercado en el cual se determinó que el área de la construcción estaba siendo muy demandante, existía mucha competencia, por lo cual se decidió realizar un estudio a más profundidad ya incorporado en la empresa.El análisis interno de la empresa fue bastante peleado, existían factores que se podían determinar importantes, como al mismo tiempo se tornaron irrelevantes. Dando como resultado tres factores que fueron vitales en este proyecto.El análisis externo de la empresa tuvo muchas complicaciones, si bien se podía observar todo al exterior de la empresa, la misma tuvo conflictos en poder identificar las oportunidades y las amenazas que el entorno en si proporcionaban.Al ser una empresa en el que existen bastante demanda, se tuvo que realizar un análisis competitivo con empresas del mismo rubro dando complicaciones en poder adquirir los datos de las mismas. Se pudo obtener los datos deseados para poder determinar si la empresa FERMONT S.R.L. podía mantener una estrategia que ayude a la misma a sobresalir en la sociedad.Adquiriendo la información necesaria, se procedió a la elaboración de distintas matrices que ayudaron a determinar qué es lo que le hacía falta a la empresa para su desarrollo.Posteriormente, se analizó cuidadosamente las fortalezas, oportunidades, debilidades y amenazas de la empresa para poder determinar las posibles estrategias a implementar que conllevaron a las estrategias que la empresa debería manejar.El análisis de las estrategias fue una batalla que llevo a recurrir las mejores para que la empresa desfase su debilidad y proporcione su crecimiento a la par, brindando la calidad que la sociedad merece.Se fue analizando las tres estrategias seleccionadas tomando en cuenta sus actividades a desarrollarse para poder poner en practica exitosamente, sin obviar los gastos y las inversiones que las mismas conllevan.Para las estrategias se analizó las mismas de una manera operativa con cálculos de gastos e inversiones. También se proporcionó la propuesta organizacional más los gastos e inversiones para que la empresa pueda optar a una mejora más amplia desde el interior de la misma.</t>
  </si>
  <si>
    <t>https://drive.google.com/file/d/1ad2X1db_D7h1qIjCA35HnJ3XB9rZBpca/view?usp=sharing</t>
  </si>
  <si>
    <t>https://drive.google.com/file/d/1znkzWJKTG6fHbpaknmwu4eYTqTdVOrOr/view?usp=sharing</t>
  </si>
  <si>
    <t>https://drive.google.com/file/d/1oYU6sxP9WYFua-tKqKzuVTHSqOsLC54j/view?usp=sharing</t>
  </si>
  <si>
    <t>DÁMARIS NOELIA TERRAZAS VARGAS</t>
  </si>
  <si>
    <t>ING. LIMBERT RAMOS RICALDE</t>
  </si>
  <si>
    <t>PLANDESEGURIDADEHIGIENEOCUPACIONALPARALAIMPRENTAPRODUCCIONESTUNARIENLACIUDADDECOCHABAMBA</t>
  </si>
  <si>
    <t>II-2018</t>
  </si>
  <si>
    <t>damy_cha_8tv@hotmail.com</t>
  </si>
  <si>
    <t>IND-913-2018</t>
  </si>
  <si>
    <t>Imprenta PRODUCCIONES TUNARI, Plan de Seguridad e Higiene Ocupacional, Programas de Seguridad e Higiene Ocupacional.</t>
  </si>
  <si>
    <t>Es importante establecer que la Seguridad e Higiene Ocupacional se convirtió en un tema muy importante en la vida cotidiana, debido a que es parte de la responsabilidad social como imprenta; el cuidado de sus trabajadores, protegerlos contra accidentes y asegurándoles un ambiente de trabajo adecuado, a fin de prevenir daños graves en los trabajadores.Por lo tanto, se vio necesario desarrollar un Plan de Seguridad e Higiene Ocupacional poniendo como base principal la Identificación de Peligros y Evaluación de Riegos (IPER), para determinar los controles necesarios para prevenir a los trabajadores de todo peligro.Para la elaboración del proyecto se usó como base la Ley General de Higiene Seguridad Ocupacional y Bienestar N°16998, Resolución Ministerial N° 038/01 y N° 849, estas permiten a las diferentes empresas disminuir los siniestros laborales y aumentar la productividad.Para elaborar el Plan de Seguridad e Higiene Ocupacional se empezó con un diagnóstico de la situación actual de la imprenta, para conocer las materias primas con la que trabaja, organigrama, datos generales, distribución de planta, equipos de protección personal máquinas, equipos y herramientas existentes en la imprenta, para así determinar las condiciones actuales en la que se encuentra e  identificar así falencias.Posteriormente con la información rescatada del diagnóstico se realizó la IPER, en la imprenta en sus diferentes áreas de trabajo, se realizó mediante el método INSHT (Instituto Nacional de Seguridad e Higiene en el Trabajo), este método sirvió para identificar fuentes de riesgos, procedimientos inadecuados existentes en las distintas áreas de trabajo, que pueden afectar tanto a los trabajadores como a las instalaciones de la imprenta.Posteriormente se elaboró el Plan de Seguridad e Higiene Ocupacional mediante módulos que incluyen: Organización de la Seguridad, Orden y Limpieza, Equipos de Protección Personal, Control de Riesgos Evaluados en los puestos de Trabajo, Manual de Primeros Auxilios, Señalización, Plan de Emergencia, Programas de Capacitación.Finalmente se realizó la estimación de inversión de implementación y funcionamiento del Plan de Seguridad e Higiene Ocupacional, se realizó un pronóstico para 5 años de funcionamiento para el Plan de Seguridad e Higiene Ocupacional  además de ver el Beneficio – Costo de dicha implementación.</t>
  </si>
  <si>
    <t>https://drive.google.com/file/d/1j1tJrCJ3Gnox6wa8HpB2mkG-rpr2VU7i/view?usp=sharing</t>
  </si>
  <si>
    <t>https://drive.google.com/file/d/1KSgbv46iA9h1Bqxs5hc9xJdDCZFwEFFP/view?usp=sharing</t>
  </si>
  <si>
    <t>https://drive.google.com/file/d/1MDuG7Q-nOj3B3F58fF04Ph68WP54m0CB/view?usp=sharing</t>
  </si>
  <si>
    <t>ALVARO RAFAEL LOPEZ REYNAGA</t>
  </si>
  <si>
    <t>ING. ÁNGEL RUDDY REYNAGA NOGALES</t>
  </si>
  <si>
    <t>SISTEMA DE GESTION EN SEGURIDAD INDUSTRIAL Y SALUD OCUPACIONAL PARA LA PLANTA DE FABRICACION DE ENVASES PLASTICOS PILPLAST DEL MUNICIPIO DE COLCAPIRHUA</t>
  </si>
  <si>
    <t>alvaro_123_lopez@hotmail.com</t>
  </si>
  <si>
    <t>IND-914-2018</t>
  </si>
  <si>
    <t>OHSAS, Diseñar, Sistema, Gestión, PILPLAST, Identificación, Peligros, Riesgos, Seguridad industrial, Salud ocupacional</t>
  </si>
  <si>
    <t>No existían procedimientos orientados a la disminución y/o eliminación de riesgos que están asociados a las actividades rutinarias de la planta de fabricación de envases plásticos PILPLAST, no se tenía el conocimiento de la legislación vigente en seguridad y salud ocupacional, Se realizó una descripción de todas las actividades y procesos que se realizan en la planta, además de un diagnóstico del cumplimiento legal aplicable en materia de seguridad y salud ocupacional en base a una lista de verificación y observaciones directas en las diferentes secciones donde también se verificó los peligros y riesgos a los cuales estaban expuestos los trabajadores de PILPLASTSe realizó un estudio de tiempos de los trabajadores de los tres turnos con el fin de ver los tiempos de operación que realizan los mismos en los diferentes procesos de PILPLAST. Para el estudio se utilizó cronómetro y programa de estadística SPSS v.24 También se realizó una matriz de  identificación de peligros y riesgos, que permitió conocer los peligros más significativos dentro las actividades de la planta, las cuales permitieron desarrollar medidas de control para reducirlosSe desarrolló el sistema de gestión de seguridad y salud ocupacional, empezando por la definición de una política de seguridad y salud ocupacional acompañada de objetivos relacionados a la misma.Se estimó el costo para la implementación del sistema de gestión en seguridad industrial y salud ocupacional para los próximos 5 años. Además de realizar un estudio de inversión de campanas de extracción de vapores tóxicos para disminuir la contaminación de las áreas de Flexografía y Soplado 200 ml, el costo monetario fue de BOB 66620.Con el desarrollo de este proyecto se pretendio eliminar los peligros y riesgos, los costos por accidentes, perdidas de activos por sobre todo ambientes labores estables y seguros convirtiendo a la unidad PILPLAST en cero accidentes.</t>
  </si>
  <si>
    <t>https://drive.google.com/file/d/1H44TvFapwQAzFtgwBUVZr_--ivIsjUWS/view?usp=sharing</t>
  </si>
  <si>
    <t>https://drive.google.com/file/d/1WxWhSa9RtrToPCZ5C1DMUc9X0CwsgZ71/view?usp=sharing</t>
  </si>
  <si>
    <t>https://drive.google.com/file/d/1-3TxjH9wzqX_QWZtnVtUv9HStIMAFNC2/view?usp=sharing</t>
  </si>
  <si>
    <t>PAOLA GISEL ANZE FLORES</t>
  </si>
  <si>
    <t>ING. MARÍA ISABEL FLORES ANDRADE</t>
  </si>
  <si>
    <t>DISEÑO DE UN SISTEMA DE GESTIÓN DE CALIDAD PARA LA EMPRESA DELMONTE S.R.L. EN         BASE A LA NORMA ISO 9001:2015</t>
  </si>
  <si>
    <t>gis.anflo@gmail.com</t>
  </si>
  <si>
    <t>IND-915-2018</t>
  </si>
  <si>
    <t>Sistema de gestión de calidad, auditorías, gestión administrativa,                             mejora continua.</t>
  </si>
  <si>
    <t>El diseño del sistema de gestión de calidad desarrollado para la empresa Delmonte S.R.L., se inició con la realización del diagnóstico de la empresa, para ver en qué estado se encontraba respecto al cumplimiento de los requisitos de la Norma ISO 9001: 2015.  Para la realización del diagnóstico se hizo uso de una lista de verificación, donde se evaluó el estado de cada requisito de la norma ISO 9001, este dio como resultado el porcentaje de cumplimiento de Delmonte S.R.L (37%), siendo este el punto de partida para el diseño del sistema de gestión.También se realizó un diagnóstico interno y externo de la empresa, donde a raíz del análisis de sus debilidades, fortalezas se estableció la mejor estrategia a implementar, es decir aprovechar el respaldo de clientes, proveedores y experiencia para diferenciarse de la competencia mediante la provisión de servicios petroleros de calidad.A partir del resultado del diagnóstico se prosiguió con el diseño del sistema de gestión de calidad, se identificaron los procesos de la organización, su relación e interrelación entre ellos. Se tomaron en cuenta todos los requisitos requeridos por la Norma y los necesarios por la empresa</t>
  </si>
  <si>
    <t>https://drive.google.com/file/d/13piLPT-Q5MI39coLJIehLN0gxXpMuIAy/view?usp=sharing</t>
  </si>
  <si>
    <t>https://drive.google.com/file/d/1sPMadgVyNebY7qRXxQ6LTU-G2B__uaeb/view?usp=sharing</t>
  </si>
  <si>
    <t>https://drive.google.com/file/d/1szNEmsbncTx2QoPiglhwaQSY0hbPsOx5/view?usp=sharing</t>
  </si>
  <si>
    <t>ARISPE LARA VANESA</t>
  </si>
  <si>
    <t>CACHACA ALCON ROMER ISRAEL</t>
  </si>
  <si>
    <t>ING. RODRÍGUEZ OSTRIA JUAN CARLOS</t>
  </si>
  <si>
    <t>PROYECTO DE FACTIBILIDAD PARA LA IMPLEMENTACIÓN DE UNA PLANTA PRODUCTORA DE LADRILLOS A PARTIR DE RESIDUOS DE CONSTRUCCIÓN Y DEMOLICIÓN (RCD) EN COCHABAMBA</t>
  </si>
  <si>
    <t>IND-916-2018</t>
  </si>
  <si>
    <t>Ladrillos, residuo de construccion</t>
  </si>
  <si>
    <t>En primer lugar, se identificó como problema central la inexistencia de una alternativa de inversión para el tratamiento de los residuos de construcción y demolición en el departamento de Cochabamba, estos residuos por sus características presentan altos niveles de acumulación y aportan en gran medida a la contaminación ambiental y al deterioro de las condiciones de habitabilidad en sectores urbanos y rurales del departamento.Con el presente proyecto, se brinda una alternativa de inversión para reducir los impactos negativos de este tipo de residuos y re-utilizarlos para la elaboración de ladrillos gambote 18 que es muy utilizado en nuestro medio en el sector de la construcción. Se realizó un estudio de mercado del producto donde se identificaron los requerimientos de demanda y necesidades del mercado, las condiciones de oferta actual, el nivel de competencia en el sector, los canales de distribución y sus diferentes características, además se identificó los diferentes productos sustitutos, variación de precio en los últimos años y las tendencias del mercado ladrillero.Se clasificaron las materias primas por sus propiedades y características, así como los materiales e insumos y la cantidad necesaria para su uso en el proceso productivo del proyecto.Se identificó el tamaño y la localización optima de acuerdo a las necesidades del proyecto. Se identificó la capacidad de la planta en condiciones normales y en condiciones de máxima producción, además se estableció un programa de producción de acuerdo al índice de penetración en el mercado. Se realizó un análisis de los diferentes factores de localización y se evaluó las diferentes alternativas por el método de factores ponderados que permitió incluir consideraciones de carácter cuantitativo y cualitativo.Se realizó un estudio de ingeniería, en el que se identificaron y explicaron de manera técnica los diferentes procesos que intervienen en el proceso productivo del proyecto, desde la obtención de la materia prima, su procesamiento y la obtención de los ladrillos. Se realizó un balance de materia prima en el que se permitió conocer las necesidades de materiales e insumos que intervienen en cada proceso. Se identificó la maquinaria requerida con sus respectivos costos, en el balance de línea se identificó el proceso crítico, la eficiencia de cada una de las maquinarias y sus tiempos estándar en cada proceso. Se estableció además los requerimientos de espacios y la disposición de la planta, mediante la valoración de proximidad de los procesos.Se procedió a la elaboración de la estructura organizacional que le permitirá a la planta de producción de ladrillos tener una adecuada gestión empresarial. Se realizó el cálculo de los costos de mano de obra requerida tanto directa como indirecta.Se desarrolló un plan de ejecución del proyecto, identificando las actividades críticas dentro de cada etapa del proyecto, se indicó el grado de prioridad de cada una de ellas, para determinar la ruta crítica hacia la implementación y puesta en marcha de la planta siguiendo un orden y secuencia lógica mostrados en los diagramas de PERT y GANTTSe realizó un análisis financiero para el proyecto utilizando indicadores financieros como el T.I.R y VAN, también se realizó un análisis de sensibilidad bajo distintos escenarios para demostrar la factibilidad financiera del proyecto.Por último, se realizó una evaluación del impacto ambiental acorde a la ley del medio ambiente N° 1333. Se identificaron los impactos ambientales y su magnitud durante las diferentes etapas del proyecto, siguiendo la metodología ETE basada en la matriz de causa y efecto. Finalmente se estableció la categorización del proyecto de acuerdo a las conclusiones de la evaluación del impacto ambiental.</t>
  </si>
  <si>
    <t>https://drive.google.com/file/d/1uBn95P-uSKCkEP4_UK9Y23b2KPnOpx2l/view?usp=sharing</t>
  </si>
  <si>
    <t>https://drive.google.com/file/d/12g330HSPUnmBB82z4bOa6sTvzvicCj64/view?usp=sharing</t>
  </si>
  <si>
    <t>https://drive.google.com/file/d/1mjWEg3hXcJY2NAk7bbf4PcNcxcoI2tSi/view?usp=sharing</t>
  </si>
  <si>
    <t>GONZALES CHOQUE CARLOS OSMAR</t>
  </si>
  <si>
    <t>ING. ALEX D. FLORES CHOQUE</t>
  </si>
  <si>
    <t>PROYECTO DE FACTIBILIDAD PARA LA IMPLEMENTACIÓN DE UNA PLANTA PRODUCTORA DE CARNE DESHIDRATADA DE BÚFALO EN EL DEPARTAMENTO DE COCHABAMBA</t>
  </si>
  <si>
    <t>ozmarkb70@gmail.com</t>
  </si>
  <si>
    <t>IND-917-2018</t>
  </si>
  <si>
    <t>Demanda del Proyecto, Carne de Búfalo, Planta procesadora, Proceso de deshidratado, Indicadores Financieros</t>
  </si>
  <si>
    <t>La carne de búfalo tiene un alto contenido de proteína, bajo en grasa y colesterol, considerada también como la proteína roja del futuro, siendo esta carne mucho más magra, suave, de buen sabor, además de no contener ningún antibiótico artificial o esteroides en comparación con otro tipo de carnes y con el proceso de deshidratado se logra incrementar la cantidad de proteína debido a la reducción de humedad de este producto, haciéndolo un alimento más resistente que no necesita ser refrigerada y con riesgo mínimo de echarse a perder.Primeramente se realizó una investigación de Mercados en diferentes zonas de residencia (sud, este, norte, oeste) de la ciudad de Cochabamba, se determinó una demanda de 24.438 kg para el primer año de funcionamiento de la planta procesadora.El abastecimiento de la carne de búfalo es del departamento de Santa Cruz de la región de Concepción, se faenaran estos rumiantes en el matadero FRIGOR S.A. y se trasportarán las canales de carne en un vehículo propio de la empresa hasta la planta. Se determinó que la mejor alternativa de localización de la planta es en el Municipio de Sacaba, la capacidad utilizada es del 42% en el primer año de funcionamiento.La planta funcionará 2 ciclos productivos por día, produciendo en cada ciclo 102 envases de 500 gramos de lonjas de carne seca de búfalo en un tiempo aproximado de 420 minutos, del estudio financiero se determinó el precio de venta del producto de 70 Bs/envase, precio competitivo al de la competencia que maneja precios de 75 Bs a 80 Bs el medio kilo de carne seca de primera.Se realizó un estudio organizacional definiendo la estructura orgánica de la empresa, las funciones y responsabilidades del personal de la empresa y las planillas de sueldos y salarios, por otra parte se recabo información de los pasos a seguir para la constitución legal de la empresa.El tiempo de ejecución del proyecto es de 46 semanas, realizando una serie de actividades que van desde la gestión de financiamiento, adquisición de terreno y construcción, adquisición y montaje de las máquinas, contratación y capacitación del personal y montaje e instalación de la planta procesadora.La inversión requerida para la constitución de empresa es de Bs 2.174.603 de los cuales el 40% es de aportes propios y un 60% a través de un préstamo bancario, se obtuvieron los siguientes indicadores financieros: VAN = Bs 1.236.025, TIR = 23%, B/C = 2,43. El periodo de recuperación de la inversión es de 6 años y 1 mes.Del estudio de evaluación de impacto ambiental se determinó que el proyecto pertenece a la categoría III, por lo que se requiere el planteamiento de medidas de mitigación.</t>
  </si>
  <si>
    <t>https://drive.google.com/file/d/1Ko34XG9_Tdy1SjkIMZ_Fs2OeVzokgO27/view?usp=sharing</t>
  </si>
  <si>
    <t>https://drive.google.com/file/d/1tBUYsW2TZhYS6weS4WVnSwsAro_8Ni9a/view?usp=sharing</t>
  </si>
  <si>
    <t>https://drive.google.com/file/d/1dTH10Vy-rm08SgI0EZE-nblyb0pCMsRm/view?usp=sharing</t>
  </si>
  <si>
    <t>MARCO ANTONIO URQUIDI BARBOZA</t>
  </si>
  <si>
    <t>PLANIFICACIÓN Y CONTROL DE LA PRODUCCIÓN PARA LA EMPRESA ECOFIBRA S.R.L. DE LA CIUDAD DE COCHABAMBA</t>
  </si>
  <si>
    <t>marck2305@gmail.com</t>
  </si>
  <si>
    <t>IND-918-2018</t>
  </si>
  <si>
    <t>Placas de fibrocemento, Plan Agregado de producción, Gestión de Inventarios, Control de la Producción, Planificación de la producción, Relación Beneficio/Costo  Regla de Peterson Silver, Modelo Económico a Ordenar, Pronósticos, Análisis FODA</t>
  </si>
  <si>
    <t>Primeramente se realizó un análisis y un diagnóstico de la situación actual en la que se encuentra la misma. Esta fue la única manera de conocer cómo es que funciona dicha empresa, y de establecer que es lo que se debe mejorar o modificar en ella, o bien que es lo que se debe aprovechar o explotar. Entonces se realizó una descripción en el área de producción que permitió conocer los productos que esta produce como ser las placas de fibrocemento, además de la maquinaria y equipos que utiliza en el proceso productivo, planeación y control de la producción actual aprovechando como entradas para el diagnóstico por el método de análisis FODA.En el capítulo de la previsión y análisis de la demanda se realizó el estudio de la previsión de la demanda por lo que se necesitó información de las ventas de las gestiones pasadas para el respectivo análisis y diseño de un modelo de pronósticos, el cual fue una propuesta a ser considerada. También se estudió la capacidad actual del proceso de producción para previsión de las demandas futuras. Debido a la necesidad de generar una estimación con la exactitud necesaria y con la frecuencia mensual de la cantidad de productos a producir en función a las ventas que se obtuvo en las gestiones pasadas.Posteriormente se realizó el análisis y diseño de un modelo de inventarios, el cual fue utilizado para gestionar la materia prima y productos terminados, de tal manera se logró obtener las cantidades optimas de pedido, tiempo y puntos de re-orden adecuados que permitan mejorar la administración del proceso, los resultados obtenidos fueron de gran utilidad para la elaboración de un plan adecuado.Se realizó un plan productivo con el objetivo de nivelar la producción obteniendo el aprovechamiento máximo de la producción donde se hará la distribución de horas en los puestos de trabajo, siendo la nueva tasa de producción para el plan de producción. A través de los datos obtenidos de los anteriores capítulos de pronósticos y gestión de inventarios se pudo elaborar un plan adecuado de producción que sea factible para la empresa Ecofibra S.R.L. El plan que se elaboró en este capítulo tiene el fin de planificar los recursos humanos, materiales necesarios de manera que cumpla con la demanda del mercado. En cuanto al sistema de control se proyectó sobre la base de previsiones del futuro y debe ser suficientemente flexible para permitir adaptaciones y ajustes que se originen en discrepancias entre el resultado previsto y el resultado ocurrido. Esto significa que el control es una función dinámica, no solo porque admite ajustes, sino también por estar presente en cada actividad humana, con la finalidad básica de la modificación del objetivo que controla. Se realizó sugerencias de control de producción que abarco la planificación de producción visto en anteriores capítulos, controlando de esta manera la planificación obtenido por la demanda, plan agregado y control de entrada y salida de materia prima de almacén. Para los aspectos económicos, se comenzó a calcular el flujo de efectivo para posteriormente realizar un análisis de la rentabilidad obteniendo la relación Beneficio/Costo. Viendo de esta manera el impacto que causaría implementar el sistema de Planificación y Control de la Producción propuesta para mejorar la administración de la producción de la empresa Ecofibra S.R.L Ahora bien, un plan de producción no es un trabajo definitivo. Un plan de producción va cambiando constantemente, porque así también lo hace el ambiente de la producción. Dentro de muy poco tiempo las condiciones que se consideraron en la elaboración de este trabajo serán diferentes, por lo tanto se deberá modificar el plan de producción elaborado. Este es un proceso de permanente actualización.Lo que se quiso destacar es que la propuesta que se planteó en este trabajo no es precisamente el plan de producción elaborado, sino más bien la utilización de la Planificación y Control de la Producción como una herramienta fundamental para llevar hacia delante a la empresa Ecofibra S.R.L. Y finalmente algo que se debe tomar en cuenta es que en la actualidad todas las empresas, sin importar el rubro al que corresponden, se desenvuelven en medios en extremo competitivos. Los clientes son cada día más exigentes, y no dan tegua a las empresas que no ofrecen lo que estos buscan, y en el momento en el que lo requieren. En la actualidad todas las empresas buscan ser más competitivas, y las que aún no lo estén haciendo o que no lo hagan, no tendrán más que observar cómo se debilitan gradualmente hasta el punto de desaparecer. No se puede seguir pensando en que en base únicamente a la experiencia y a métodos empíricos se puede construir una empresa líder. Existen nuevas y cada vez mejores técnicas, así como profesional capacitado orientados a alcanzar este objetivo.</t>
  </si>
  <si>
    <t>https://drive.google.com/file/d/12SSu-n9A_NFWvhJfzr8qJDlCY8CrLSdI/view?usp=sharing</t>
  </si>
  <si>
    <t>https://drive.google.com/file/d/1NQAAoeTQvUeutLERZtQaRwuFSvZQtH9q/view?usp=sharing</t>
  </si>
  <si>
    <t>https://drive.google.com/file/d/1zVcYvAS6FxH1zviZcyop1tE9pVsX0RMz/view?usp=sharing</t>
  </si>
  <si>
    <t>JHANIRA ZULEYCA CALIZAYA MAMANI</t>
  </si>
  <si>
    <t>ING. ING. ALEX D. CHOQUE FLORES</t>
  </si>
  <si>
    <t>PLAN PARA LA IMPLEMENTACIÓN DE LAS HERRAMIENTAS DE LA METODOLOGÍA WCM (WORLD CLASS  MANUFACTURING) DEL PILAR DE CALIDAD EN LA PLANTA DE DETERGENTES EN POLVO DE UNILEVER ANDINA BOLIVIA S.A.</t>
  </si>
  <si>
    <t>jhanira.z.c.m.2402@gmail.com</t>
  </si>
  <si>
    <t>IND-919-2018</t>
  </si>
  <si>
    <t>Planta Unilever Andina Bolivia S.A., Plan, World Class Manufacturing (WCM), Pilar de calidad, Herramientas de mejora, Defecto</t>
  </si>
  <si>
    <t>Primeramente se recolectó información acerca de la nueva metodología WCM (World Class Manufacturing) en general y más a fondo sobre el pilar de Mantenimiento de Calidad, todo ello a través de las páginas web propios de la empresa y capacitaciones que se realiza dentro la planta de Unilever Andina Bolivia S.A. Dentro de toda la información reunida, inicialmente se puso énfasis en la herramienta Matriz QA y de todos los datos necesarios para su aplicación.Posterior al estudio teórico de la metodología, se inició el proyecto con la recopilación de los datos necesarios para la aplicación de la herramienta Matriz QA, y para ello se necesitó la siguiente información : Periodo en el cual se realizará el estudio, planillas o reportes de todos los tipos de defectos existentes dentro la planta además de la identificación de aquellos defectos que no eran registrados, cantidad de producción en todas sus presentaciones durante el periodo requerido, líneas y procesos de producción. Con la información básica recolectada se procedió al llenado de la matriz QA en la cual se procede a analizar cada defecto, es decir, lugar de detección, línea o proceso donde se generó el defecto, frecuencia de generación, y demás información remarcando como uno de los puntos clave el cálculo de los costos que ocasionaba la generación de los defectos de calidad, y para ello se trabajó conjuntamente con el área de finanzas determinando fórmulas y alcances de los costos de cada tipo de defectos. Como resultado, esta herramienta devuelve la categorización de los defectos por criticidad de acuerdo al índice de priorización (DPI).Teniendo los defectos clasificados, se determinó trabajar con los dos defectos más críticos: Incidente D por porcentaje de materia activa baja con un DPI de 15000 y CRQS On Shelf por desviación de peso en la unidad del cliente con un DPI 10000.Para el primer defecto con un DPI 15000, se procedió a realizar la investigación de las causas raíces que la originaban utilizando el formulario Q – EWO, una nueva herramienta de la metodología la cual está estructurado sobre el estado PDCA, que a la vez comprende herramientas como: 5G, 5W + 2H, Análisis 4 Ms y análisis WHy? (¿Por qué?). Con la investigación realizada se llegó a una conclusión, donde se atribuye 24% de responsabilidad en la generación del defecto a la mano de obra implementada en el proceso de producción, 32% por el material, 32% máquina y un 12% al método. Además la investigación se la realizó en tres áreas importantes que son: la planta de Sulfonación, el área de elaboración de detergentes y el laboratorio de análisis de calidad. Dentro el plan de acciones para la eliminación de los defectos, el más crítico es la implementación de un nuevo dosificador de ácido sulfónico en el área de elaboración de detergentes, con un costo de 30000 €. De la relación beneficio costo para la implementación de las acciones propuestas resulto ser 1.88, siendo mayor a 1 por lo tanto el plan de acciones es factible.En el caso del segundo defecto con un DPI de 10000 se trabajó del mismo modo con la herramienta Q-EWO dando como resultado 61% de responsabilidad en su generación a la máquina, 15% a la mano de obra empleada y 24 % al método. Viendo que el defecto es en su mayoría causada por la maquinaria empleada, se hizo una investigación más a fondo a este aspecto, aplicando una nueva herramienta que comprende 7 Pasos para el mantenimiento de la calidad-problemas relacionados con la máquina, donde se aplicaron: El paso 1 (Definición de la máquina que generó el problema), paso 2 (Restauración), paso5(establecimiento de las condiciones adecuadas para cero defectos), paso 6 (Mantenimiento de las condiciones adecuadas para cero defectos) y paso7 (Mejora del método de mantenimiento de las condiciones para cero defectos). En este caso se trabajó en el sensor de conteo de unidades de las envasadoras, proponiendo como acción el cambio de direccionamiento de los sensores infrarrojos para evitar el conteo de unidades cuando se interponga el reflectivo del uniforme de los operadores. Aclarar que el salto del paso 2 al paso 5 se lo realiza una vez que el problema es resuelto con la aplicación del paso 2, los demás pasos estandarizan los aspectos relacionados para evitar la reaparición del defecto, así también se estableció los tiempos y los seguimientos por los cuales debe pasar este aspecto. Finalmente al igual que el primer defecto se realizó la relación beneficio costo, resultando 1.42 lo cual indica que las acciones propuestas son factibles.</t>
  </si>
  <si>
    <t>https://drive.google.com/file/d/18UJzM4_JurWGCYQZoCW2cZa8ghUfXjx3/view?usp=sharing</t>
  </si>
  <si>
    <t>https://drive.google.com/file/d/1-9nsr9M6mR7vpSX-eVON0AGYOdvl3cwt/view?usp=sharing</t>
  </si>
  <si>
    <t>https://drive.google.com/file/d/1r5gdTK2eENqRKi0UiLR27yINdklxhyCQ/view?usp=sharing</t>
  </si>
  <si>
    <t>PAOLA ANDREA JIMENEZ ALVAREZ</t>
  </si>
  <si>
    <t>SAYGUA PEREZ MERCEDEZ</t>
  </si>
  <si>
    <t>ING. CESAR PEREZ FERNANDEZ DIEGO</t>
  </si>
  <si>
    <t>PROYECTO DE FACTIBILIDAD PARA LA IMPLEMENTACIÓN DE UNA PLANTA PRODUCTORA DE SALSA DE PALTA PARA EL MERCADO COCHABAMBINO</t>
  </si>
  <si>
    <t>paoandre.jimnezalvarez@gmail.com</t>
  </si>
  <si>
    <t>IND-920-2018</t>
  </si>
  <si>
    <t>Procesadora, palta y salsa</t>
  </si>
  <si>
    <t>La presente tesis proyecta a nivel industrial la elaboración de una salsa a base de pulpa de palta. Se diseñó un concepto del producto acorde a las tendencias del mercado como respuesta a la falta de aprovechamiento de nuevas alternativas alimenticias que apoyen a la industrialización de la palta y a su vez mejoren la calidad alimenticia de la población, en los siguientes once capítulos se estudian la factibilidad técnica y financiera, para poder determinar la viabilidad de la inversión. Inicialmente se realizó un diagnostico situacional, determinando las causas y efectos del problema estudiado, con su respectiva justificación. Posteriormente se realizó el estudio de mercado en los hogares del eje metropolitano Cochabambino, como consumidores directos, y en los restaurantes del municipio de Cercado, como consumidores intermediarios. En base a la información recopilada se determinó la demanda del proyecto, características de la oferta y las estrategias de comercialización, teniendo como principal resultado una demanda estimada de 593.692 kg para el año 2019. Se determinó la formulación del producto a través de bibliografías y pruebas experimentales, para proceder a determinar las características de la materia prima e insumos a utilizar para la elaboración de la salsa de palta. Para la adquisición de la materia prima principal, es decir la palta, se identificó dos zonas de producción: Independencia y Chapare como principales proveedores. El análisis de los mercados consumidores y abastecedores permitió definir el tamaño del proyecto y a a través de la calificación de factores relevantes para la producción se pudo identificar la localización óptima, que resultó ser Chaupisuyu –Sacaba. Posteriormente se realizó la ingeniería del proyecto que determinó el proceso productivo y la tecnología necesaria para la elaboración de la salsa, que permitirá tener una producción anual de 28.517 kg el año 2019. Se determinó la estructura organizacional a través de un plan de recursos humanos que incluye las políticas de reclutamiento y desarrollo del personal de la planta. Así mismo se identificó los requisitos jurídicos y legales para la constitución legal de la planta. Se identificaron todos los costos operativos en los que incurre el proyecto para su operación, siendo necesario para el primer año un total de 1.613.318 Bs. Posteriormente se realizó el análisis financiero que dio como resultado una tasa interna de retorno (TIR) de 17,54 % y la relación B/C de 1,14, razones por las que el proyecto es viable económicamente. La evaluación de impacto ambiental categoriza al proyecto como grado 3 siendo necesario establecer un plan de mitigación de posibles daños y finalmente se realizó la planificación de la ejecución del proyecto siendo necesario para su implementación 30 semanas.</t>
  </si>
  <si>
    <t>https://drive.google.com/file/d/1JX2AxfKvM2_RX83sG6ZT1R6qu91j5ndk/view?usp=sharing</t>
  </si>
  <si>
    <t>https://drive.google.com/file/d/1B-X8T_oJQ_VkmBQBnQmInwWba6m6dwvH/view?usp=sharing</t>
  </si>
  <si>
    <t>https://drive.google.com/file/d/1cG45pJVqA1sk9PA1e5oQ1WDul1kAPwy9/view?usp=sharing</t>
  </si>
  <si>
    <t>PATRICIA TANGARA BARRIENTOS</t>
  </si>
  <si>
    <t>CAPM. MSC. ING. JUAN CARLOS GONZALES QUIROZ</t>
  </si>
  <si>
    <t>ELABORACIÓN DE UN SISTEMA DE GESTIÓN DE PROYECTOS EN BASE A LA NORMA ISO 21500 PARA COBOCE HORMIGÓN COCHABAMBA</t>
  </si>
  <si>
    <t>p_dilan@hotmail.com;  pattydilan22@gmail.com</t>
  </si>
  <si>
    <t>IND-921-2018</t>
  </si>
  <si>
    <t>Dirección, Gestión de Proyectos, Norma ISO 21500</t>
  </si>
  <si>
    <t>La Norma ISO 21500: 2013 proporciona orientación para la dirección y gestión de proyecto y puede usarse por cualquier tipo de organización, ya sea pública, privada u organizaciones civiles sin ánimo de lucro; y para cualquier tipo de proyecto, con independencia de su complejidad, tamaño o duración.Esta norma internacional proporciona una descripción de alto nivel de conceptos y procesos que se consideran que forman parte de las buenas prácticas en dirección y gestión de proyectos. Los proyectos se ubican en el contexto de programas y carteras de proyectos, no obstante, esta norma no proporciona una orientación detallada para la gestión de programas y de carteras de proyectos. Se elaboró del sistema en base a la Norma ISO 21500: 2013, desarrollado en un diagrama de flujo en donde se refleja los procesos propuesto junto a los procesos ya existente en la organización las cuales están enfocados a la dirección y gestión de proyectos, se refleja también las entidades que serán los partícipes en cada uno de los procesos.Se desarrolló los procedimientos de cada uno de los procesos para su mejor comprensión y entendimiento al mismo tiempo que también se realizó las entradas, herramientas y salidas para cada proceso propuesto según Norma ISO 21500: 2013. Cabe mencionar que dichos procedimientos fueron realizados solo para los procesos propuestosEl interesado debe tomar en cuenta un detalle antes de comenzar a utilizar el documento, tener conocimiento previo en Dirección y Gestión de Proyectos de la Norma ISO 21500:2013 o guías en directrices relacionadas a la misma juntamente con términos relacionado como por  ejemplo: buenas practicas, modelo de madurez, ya que el documento está dedicado a asegurar el cumplimiento de cualquier proyecto así mismo el de dar inicio a la dirección y gestión de proyectos. Tomar en cuenta que el sistema de gestión de proyectos  o la propuesta se la realizo a partir de una línea base establecida a través de un modelo de madurez, las cuales a su vez están alineados a la metodología actual de la organización.Para demostrar los resultados positivos al aplicar el sistema propuesto se realizó pruebas piloto en dos proyectos por la diferencia de tiempo en el que se desarrolla cada proyecto cabe decir por la incertidumbre en la variación o cantidad de proyectos existentes en cada año. Los resultados obtenidos de las pruebas piloto se las demostró con la relación Beneficio/Costo, a  razón de que dicho proyecto tiene alcance sobre todas las iniciativas que se enmarquen bajo el concepto de proyecto y no así una evaluación financiera del mismo por ser relevante para el objetivo definido por la organización.</t>
  </si>
  <si>
    <t>https://drive.google.com/file/d/1Y30K8YQEG7Pprww7izIS2XHgLN_Lnf-I/view?usp=sharing</t>
  </si>
  <si>
    <t>https://drive.google.com/file/d/1iuhdx3_oGzkMPCxu6UOwdZfUHPzTSenI/view?usp=sharing</t>
  </si>
  <si>
    <t>https://drive.google.com/file/d/1kXTLIvGvju3DmuBWabPt9PFOIbzWwTcY/view?usp=sharing</t>
  </si>
  <si>
    <t>EMELY DELGADILLO JALDIN</t>
  </si>
  <si>
    <t>CUANTIFICACIÓN Y TRATAMIENTO DE DESECHOS DEL SACRIFICIO DE GANADO BOVINO Y PORCINO EN EL MATADERO DE SACABA</t>
  </si>
  <si>
    <t>emelydelgadillojaldin@outlook.es</t>
  </si>
  <si>
    <t>IND-922-2018</t>
  </si>
  <si>
    <t>Matadero, Residuos sólidos, Aprovechamiento, Biotransformación, Tratamiento efluentes, Biomasa bacteriana, Compostaje, Harina sangre</t>
  </si>
  <si>
    <t>Uno de los productos básicos de la canasta familiar boliviana es la carne de bovinos, pollos y cerdos, sin embargo, en Bolivia la mayoría de los mataderos, tanto públicos como privados, no cumplen normas sanitarias. Uno de los mataderos con graves deficiencias de infraestructura, de equipos y de procesos adecuados de faena es el matadero Municipal de Sacaba, por lo que sus autoridades han visto por conveniente la construcción de un nuevo matadero Municipal, que cumpla con todas las exigencias en cuanto a infraestructura, equipamiento y normas sanitarias, además, será un matadero de categoría II, que pueda cubrir las demandas no solo del Municipio de Sacaba sino también las demandas de Municipios vecinos y de otros departamentos del país. Para que el matadero pueda cumplir con todas las normas sanitarias y medio ambientales, en el presente proyecto se planteó la cuantificación, la biotransformación y el tratamiento de residuos sólidos y líquidos que se generen en el nuevo matadero Municipal de Sacaba. El proyecto dio inicio con la búsqueda, acumulación y tratamiento de la información tecnológica y económica acerca del tema del presente proyecto, posteriormente, se realizó un diagnóstico de la situación del matadero actual de Sacaba, en el que se pudo evidenciar las serias deficiencias que este tiene en cuanto a infraestructura, equipamiento, operaciones de faena y disposición de residuos sólidos y líquidos, resultantes de las dos líneas de faena que existen en este matadero. Concluido el diagnóstico del matadero, se realizó un estudio de mercado para conocer la demanda de carne, tanto de bovinos como de porcinos, en el Municipio de Sacaba. En base a los datos obtenidos del estudio de mercado se definió la capacidad del matadero y el programa de producción del mismo, a su vez, se pudo proyectar la demanda de carne del Municipio de Sacaba, en base al crecimiento proyectado de su población, apoyándonos en datos históricos del crecimiento de la población de Sacaba. Con estos datos se pudo obtener la cantidad de bovinos y porcinos que serán faenados diariamente a medida que crece la demanda. La producción de ganado bovino y porcino en el Municipio de Sacaba, no cubre la demanda de carne que la población de esta ciudad tiene, por tanto, se hizo un estudio de la producción de estos dos tipos de ganado a nivel nacional, en el que se pudo evidenciar que hay excedentes en la producción de bovinos y porcinos, de modo que, la demanda de carne del Municipio de Sacaba será cubierta con ganado procedente de otros departamentos.Mediante un estudio de ubicación y emplazamiento se determinó que el nuevo matadero Municipal de Sacaba debe estar ubicado en la zona de Lava Lava, que cumple con las exigencias de SENASAG para la construcción de mataderos.Los procesos aplicados a la biotransformación de residuos sólidos y líquidos, resultantes de la faena de bovinos y porcinos en el nuevo matadero de Sacaba, son: biomasa bacteriana, compost, harina de sangre y harina de cuernos y pelos. La producción de biomasa bacteriana se la hizo en base a la ruminaza como principal materia prima, a ella se la sumo fuentes de nitrógeno, como la gallinaza, la urea y el fosfato diamónico, y fuentes de azucares como la melaza, que bajo condiciones como: aireación=0, concentración de azúcares, relación carbono/nitrógeno, pH, relación urea/fosfato diamónico y concentración de fósforo, será posible el crecimiento bacteriano, principalmente de las bacterias lácticas, quienes fermentarán y conservarán el sustrato por un lapso de dos meses, tiempo en el que se planea que el sustrato alcance las condiciones óptimas para ser empleado en la alimentación animal. La producción de compost se la hizo en base al contenido estomacal de los porcinos y a los estiércoles tanto de bovinos como de porcinos, y para regular factores como la relación carbono/nitrógeno, densidad y humedad, de los residuos ya mencionados, se optó por mezclarlos con serrín, que bajo condiciones como: humedad, densidad, temperatura y concentración de oxígeno, darán lugar al crecimiento de especies de microrganismos que se suceden unas a otras secuencialmente, en etapas  biológicamente diferentes, denominadas como fases: mesófila, termófila, mesófila y maduración, biotransformando los residuos orgánicos, en productos degradados,  estables e higienizados, que son utilizados como abono o sustrato natural en la fertilización orgánica. La producción de harina de sangre se la hizo con la acumulación diaria de sangre de bovinos y porcinos, con condiciones iniciales como: temperatura y presión otorgadas para coagulación de 119,6 ºC y 2 bares respectivamente. La producción de harina de cuernos y pelos se la hizo con la acumulación diaria de cuernos de bovinos y pelos de porcinos, con condiciones iniciales como: temperatura y presión otorgadas para el hidrolizado, de las materias primas mencionadas, de 151 ºC y 4,133 atm manométricas respectivamente. El matadero en los procesos de faena genera dos tipos de efluentes que son: RIL rojo o agua contaminada con sangre y RIL verde o agua contaminada con estiércoles, contenidos estomacales y ruminaza, los dos tipos de efluentes fueron tratados de forma independiente y con similitud de procesos. El RIL verde recibió pre tratamiento y tratamiento primario, mientras que el RIL verde recibió pre tratamiento, tratamiento primario y tratamiento secundario. En la organización del nuevo matadero Municipal de Sacaba se propuso la existencia de tres niveles que son: nivel estratégico, conformado por el directorio del matadero, nivel táctico, conformado por la gerencia general y los departamentos existentes en el matadero, y nivel operativo, conformado por todos los operarios de los diferentes departamentos.Del análisis financiero del matadero, que está conformado por las plantas de: faena de bovinos y porcinos, producción de biomasa bacteriana, producción de compost, producción de harina de sangre y harina de cuernos y pelos y tratamiento de efluentes, se obtuvo los siguiente indicadores financieros: TIR = 14%, VAN = 5418029,69 Bs, una relación B/C = 1,04 y un período de recuperación de capital de 4 años, indicadores que nos llevan a la conclusión de que el proyecto es rentable financieramente.</t>
  </si>
  <si>
    <t>https://drive.google.com/file/d/1WWXQiQaHh3SIh0zTVlCA-7MbJ8nIgnSg/view?usp=sharing</t>
  </si>
  <si>
    <t>https://drive.google.com/file/d/1T-rtDD2dvtCk9eaf96xBjpGg4O77OxeM/view?usp=sharing</t>
  </si>
  <si>
    <t>https://drive.google.com/file/d/1-RMRd4fTlVunB_pTNM_rRqhEmocV9obj/view?usp=sharing</t>
  </si>
  <si>
    <t>CRUZ UREY MARCELO</t>
  </si>
  <si>
    <t>DELGADO MORALES JESSICA ASTRID</t>
  </si>
  <si>
    <t>ESTUDIO DE FACTIBILIDAD PARA LA PRODUCCIÓN DE COMPOSTADORAS DOMICILIARIAS EN EL   MUNICIPIO DE TIQUIPAYA</t>
  </si>
  <si>
    <t>marcelo_mcu@hotmail.com</t>
  </si>
  <si>
    <t>IND-923-2018</t>
  </si>
  <si>
    <t>Compostadoras Domiciliarias, Factibilidad, Residuos Orgánicos, Recolección diferenciada, Tiquipaya, Evaluación financiera.</t>
  </si>
  <si>
    <t>Se ha desarrollado un equipo que permita procesar los residuos orgánicos en el origen, de manera que se coadyuve en la reducción de dichos residuos con destino al botadero municipal de Tiquipaya, para ello se vio por conveniente realizar un estudio que permita determinar la factibilidad del mismo.Durante la Ingeniería del proyecto, se realizaron los cálculos y dimensionamiento del sistema, para lo cual se analizó la masa y volumen dentro del sistema, cuyos datos se introdujeron al software Ram Elements v8i, el cual tiene por defecto las propiedades mecánicas de los materiales con lo que se pudo determinar el mejor material que se sujete a las necesidades y esfuerzos que presenta el sistema de la Compostadora.El sistema de la Compostadora pretende degradar los residuos orgánicos en un periodo menor a 3 meses, mediante requisitos que el usuario debe tomar en cuenta para la correcta realización de Compost dentro de la Compostadora.Según el estudio de mercado existe aceptación por parte de la población perteneciente a las rutas de clasificación diferenciada dentro del Municipio de Tiquipaya, además de la curiosidad e iniciativa de dicha población por generar recursos extra con sus residuos orgánicos, por lo que se ha generado estrategias de comercialización para el producto principal (Compostadora) y el producto secundario (Compost).La localización de la Planta productora de Compostadoras Domiciliarias se ha definido por el método de factores ponderados, viendo como mejor opción la implementación y equipamiento de dicha Planta en el Municipio de Tiquipaya.Al ser la Compostadora Domiciliaria un producto nuevo, se vió por conveniente aprovechar las capacitaciones periodicas que realiza la Planta Compostera del Municipio, ya que resulta más fácil adentrarse en un mercado que conoce, diferencia y clasifica sus residuos en sus Domicilios.La producción de Compostadora Domiciliaras es amigable con el Medio Ambiente, ya que sus residuos son del tipo plástico HDPE y perfiles metálicos, dando la oportunidad de recuperar costos de los mismos desperdicios de producción mediante el reciclaje con la Empresa Recumet (Recuperadora de Metales y plásticos).La producción de Compostadoras requiere de 6 operaciones, para lo cual se han determinado los trabajadores necesarios para poner en marcha la Planta productora de Compostadoras mediante un Manual de Funciones.Se ha escogido entre los diferentes tipos de personería jurídica existentes, para lo cual se ha determinado que la empresa debe establecerse legalmente como “Sociedad de Responsabilidad Limitada”, teniendo un requerimiento de 8 personas que percibirán un salario de acuerdo a sus funciones y responsabilidades.La utilidad neta que se percibe en el primer año será de 34.814,31 Bs, la cual irá en crecimiento, sin embargo, no logra satisfacer las necesidades de la Empresa y se tendrá una TIR del 10,47 %, un VAN de -799.735 Bs, no dando opción de recuperar la inversión del capital de trabajo, indicando así que el proyecto no es factible.</t>
  </si>
  <si>
    <t>https://drive.google.com/file/d/1lePwTd0js3cFZXpHdgcraHC2GvAWJ3Od/view?usp=sharing</t>
  </si>
  <si>
    <t>https://drive.google.com/file/d/1OStg4TM3zWeKDlJkjr9sN59yo3aE7nVZ/view?usp=sharing</t>
  </si>
  <si>
    <t>https://drive.google.com/file/d/1sWPcU6FpaQ5xIj2ThYPUw3RB9D_Dq2bu/view?usp=sharing</t>
  </si>
  <si>
    <t>ESCOBAR PITA JHANYNA MARGOTH</t>
  </si>
  <si>
    <t>MENDOZA MORALES MARÍA GABRIELA</t>
  </si>
  <si>
    <t>ING. ALEX D’ANCHGELO CHOQUE FLORES</t>
  </si>
  <si>
    <t>PROYECTO DE FACTIBILIDAD PARA LA IMPLEMENTACIÓN DE UNA PLANTA DE PRODUCCIÓN DE JUGO DE CAMU CAMU EN EL DEPARTAMENTO DE COCHABAMBA</t>
  </si>
  <si>
    <t>IND-924-2018</t>
  </si>
  <si>
    <t>Estudio de factibilidad, Estudio de mercado, Ingeniería de proyecto y distribución de una planta procesadora de jugos de Camu Camu, manejo de norma IBNORCA</t>
  </si>
  <si>
    <t>El proyecto de factibilidad para la implementación de una planta de producción de jugos de Camu Camu, nace debido a que existe un desconocimiento y una desvalorización del fruto de Camu Camu, con el proyecto se realizara una industrialización aprovechando las propiedades nutricionales que esta fruta exótica posee.Primeramente, se realizó un diagnóstico sobre la situación actual del sector del rubro de jugos, determinando las causas y efectos del problema estudiado, con su respectiva justificación.La demanda y oferta de jugos en la ciudad de Cochabamba, se obtuvo mediante fuentes primarias, atreves de una investigación de campo se determinó la demanda y la oferta para el proyecto, realizando una proyección para un horizonte de análisis de ocho años, adicionalmente se realizó un análisis de precios y su respectiva comercialización, presentación del producto y la publicidad.El tamaño óptimo de la planta se determinó en función a la demanda pronosticada del mercado en el departamento de Cochabamba.La localización fue obtenida a través de una evaluación cualitativa de puntos donde se analizaron cinco alternativas para gozar de factores favorables para el proyecto.La ingeniería del proyecto se efectuó, seleccionando los procesos y maquinarias adecuadas para la respectiva producción de jugo de Camu camu. En el presente estudio se procedió a pruebas para determinar la cantidad de materia requerida, describiendo balances de masa en cada proceso. Además, se procederá a describir la cantidad de mano de obra requerida.La estructura organizativa se realizó a través de un organigrama del personal y las funciones que cumplen. Posteriormente se procederá a describir los pasos para la constitución legal del proyecto.Se estimaron las inversiones totales y los respectivos costos operativos. Con toda la información de costos se procedió a la preparación de esta información, para realizar el respectivo análisis económico usando indicadores como la TIR (Tasa Interna de Retorno), VAN (Valor Presente Neto) y la relación Beneficio Costo, que además se realizara una evaluación financiera respectivamente.Finalmente se realizó una evaluación de impacto ambiental dividiendo su análisis en las actividades de las etapas de ejecución y operación, concluyendo que el proyecto no requiere de estudio de impactos lo cual hace que sea ecológicamente compatible con el medio ambiente.</t>
  </si>
  <si>
    <t>https://drive.google.com/file/d/1qqcAY3sLCRnVKNgxMXYqchcdwR8MKBoA/view?usp=sharing</t>
  </si>
  <si>
    <t>https://drive.google.com/file/d/1jBvvrGk21NvHPrsFDjYbgVuFGY4vlD2g/view?usp=sharing</t>
  </si>
  <si>
    <t>https://drive.google.com/file/d/1DueneV-HdqEaFisUsuhp1i1qENq7AGZB/view?usp=sharing</t>
  </si>
  <si>
    <t>JUVITZA GABRIELA CRESPO MONTAÑO</t>
  </si>
  <si>
    <t>DISEÑO DE UN SISTEMA INTEGRAL DE INOCUIDAD ALIMENTARIA BASADO EN LA NORMA NB-ISO 22000:2005 PARA LA INDUSTRIA DE ALIMENTOS Y BEBIDAS “FRUTOS DEL SUR</t>
  </si>
  <si>
    <t>juvigaby@gmail.com</t>
  </si>
  <si>
    <t>IND-925-2018</t>
  </si>
  <si>
    <t>Sistema de inocuidad alimentaria, Norma ISO, Control de calidad, Elaboración de alimentos y bebidas</t>
  </si>
  <si>
    <t>En el presente trabajo se desarrolla el Diseño de un Sistema de Gestión de Inocuidad bajo la norma NB-ISO 22000:2005 en una empresa del sector alimentario, para el cual se desarrolló la metodología utilizada, así como los objetivos, justificación y alcance de acuerdo a las características de la empresa.Se realizó un diagnostico a la situación actual de la empresa median un check list (lista de comprobación) de acuerdo a la normativa vigente en el país SENASAG y la Norma NB-ISO 22002-1 programa de prerrequisitos, su análisis estadístico correspondiente y las acciones correctivas para su mejora. Se realizó el plan HACCP para determinar los procesos críticos, y se diseñó medidas de preventivas de control para cada uno de los productos de la empresa, así también se diseñó el sistema de gestión de inocuidad elaborando la documentación necesaria de acuerdo a la empresa para garantizar la inocuidad y eficiencia en los procesos también se plantearon indicadores de control de los procesos.Se realizó la evaluación económica y financiera del proyecto, donde se determinó el presupuesto necesario considerando los costos en infraestructura, tecnología y capital de trabajo para la implementación y mantenimiento del sistema de gestión, así como la relación beneficio/costo.Finalmente, se presentan las conclusiones del proyecto, que incluye la presentación de las principales ventajas y beneficios de implementar el Sistema de Gestión de Inocuidad Alimentaria.</t>
  </si>
  <si>
    <t>https://drive.google.com/file/d/1k7ConcxkrFHe8SAPM4WdlJCtMY-PhGNs/view?usp=sharing</t>
  </si>
  <si>
    <t>https://drive.google.com/file/d/1SdjW2VJ_Jay8wx4MPGxDUZ4bKYKRoRQu/view?usp=sharing</t>
  </si>
  <si>
    <t>https://drive.google.com/file/d/1KEbq1DtL4J3zXxn_-EoiCOQxnFo8eQlp/view?usp=sharing</t>
  </si>
  <si>
    <t>ROJAS FERNANDEZ JAIME ALEJANDRO</t>
  </si>
  <si>
    <t>VALENCIA LOZADA GERSON</t>
  </si>
  <si>
    <t>ING. PÉREZ FUENTES OMAR DAVID</t>
  </si>
  <si>
    <t>PROYECTO DE FACTIBILIDAD PARA LA IMPLEMENTACIÓN DE UNA PLANTA PROCESADORA DE PULPA ASAÍ PARA LA ELABORACIÓN DE JUGO EN EL DEPARTAMENTO DE COCHABAMBA</t>
  </si>
  <si>
    <t>james_31090@hotmail.com</t>
  </si>
  <si>
    <t>IND-926-2018</t>
  </si>
  <si>
    <t>Proyecto, Factibilidad, Rentabilidad, Procesamiento</t>
  </si>
  <si>
    <t>El presente “Proyecto de Factibilidad para la Implementación de una Planta Procesadora de Pulpa de Asaí para la elaboración de jugo en el Departamento de Cochabamba” es una alternativa de emprendimiento para aumentar la producción y comercialización de la baya de AsaíEl estudio de mercado tiene como objetivo detectar y medir las necesidades actuales de denominados bienes y servicios, y las posibilidades o alternativas que pueden tener con el proyecto de colocar cierto volumen del mismo al mercado competente, a diversos niveles de precios y a través del tiempo, contando con los mecanismos de distribuciónRealizar un estudio de factibilidad para el procesamiento  de Asaí  que nos permitirá obtener jugo de Asaí, implica necesariamente llevar adelante un estudio de la materia prima (Asaí) y los insumos que serán utilizados durante el proceso productivo para la elaboración  del producto (azúcar, benzoato de sodio, carboximetil celulosa, ácido cítrico).En el estudio de la localización es necesario realizar dos niveles de estudio: el primero a nivel de macro localización que nos dará la ubicación geográfica conveniente para el proyecto, y el segundo a nivel de micro localización que consiste en la elección precisa del espacio geográfico donde operará la planta de producción. En cuanto al tamaño óptimo del proyecto, este nos dará con la determinación de la capacidad instalada, y se expresa en unidades de producción por un determinado periodoLa ingeniería de proyectos tiene por objetivo aplicar un conjunto de conocimientos de carácter técnico y científico, facilitando la distribución de la planta para el aprovechamiento del espacio disponible en forma óptima, lo cual permite optimizar la operación de la planta mejorando los tiempos y movimientos de los hombres y las máquinas. El estudio de la configuración técnica sirve para establecer los diferentes niveles de producción, se debe analizar aspectos como los procesos, características de operación, los recursos necesarios, así mismo identificando las actividades técnicas relacionadas con el equipo, la planta, dimensiones de las máquinas, capacidad, mantenimiento, materias primas, etcLa organización es la representación de todos y cada uno de los actores, la determinación de sus respectivos roles como también la identificación de sus responsabilidades para cada una de las tareas que se hayan designadoEn lo referente a los aspectos legales, estos buscan determinar la viabilidad de un proyecto que se rigen a ciertas normas en cuanto a localización, utilización de productos, utilización de subproductos y la utilización de patentes.Una vez concluido el estudio de factibilidad previo a la operación del proyecto y tomar decisión de inversión, es necesario desarrollar una serie de actividades que preceden a la fase se operación, funcionamiento y puesta en marcha.El presente capítulo mostrará la rentabilidad y viabilidad del proyecto, de tal manera que se pueda tomar una decisión de inversión conveniente con el mínimo riesgo.La evaluación del impacto ambiental es el estudio destinado a identificar y evaluar los impactos potenciales positivos y negativos, que pueden causar la implementación, operación, mantenimiento y abandono de un proyecto, obra o actividad; y se realiza con el fin de establecer las correspondientes medidas para evitar, mitigar o controlar a aquellos que sean negativos, todo esto dentro del marco de las disposiciones jurídicas que tienen relación con las regulaciones ambientales y normas de calidad ambiental.</t>
  </si>
  <si>
    <t>https://drive.google.com/file/d/1WVQ2_dvrYrBXdYH87R4WgVlmvFdXhpXi/view?usp=sharing</t>
  </si>
  <si>
    <t>https://drive.google.com/file/d/1SHLMdBAtzILqwYBXo41Ut4BJzPhWJeJH/view?usp=sharing</t>
  </si>
  <si>
    <t>https://drive.google.com/file/d/1FUoNvE07DJMWRvcZ8o2K7JDrh59wT-cX/view?usp=sharing</t>
  </si>
  <si>
    <t>CAMILA JESÚS LEDEZMA RODRÍGUEZ</t>
  </si>
  <si>
    <t>PLAN ESTRATÉGICO DE DESARROLLO PARA LA CARRERA DE INGENIERÍA CIVIL DE LA UNIVERSIDAD MAYOR DE SAN SIMÓN</t>
  </si>
  <si>
    <t>camjesledrod@gmail.com</t>
  </si>
  <si>
    <t>IND-927-2018</t>
  </si>
  <si>
    <t>Carrera de Ingeniería Civil, Plan Estratégico, MERCOSUR ARCU-SUR, Misión, Visión, Cuadro de Mando Integral, Sistemas de Control de Gestión</t>
  </si>
  <si>
    <t>El Plan de Desarrollo de la carrera de Ingeniería Civil de la Universidad Mayor de San Simón 2010-2015 culmina su vigencia; de ahí nace la necesidad de elaborar un nuevo Plan Estratégico de Desarrollo que permita organizar y guiar las acciones y decisiones que se tomen en la Carrera los próximos años (2018-2023).La elaboración del Plan de Desarrollo inició con un diagnóstico interno de la Carrera, en el cual se evaluaron: el rendimiento académico estudiantil (tendencia de crecimiento de la población estudiantil, número de titulados y egresados), modalidades de titulación, el plantel docente, los Centros de Investigación y Laboratorios y la formación de Posgrado.Posteriormente se elaboró un análisis externo, ejecutando una revisión de datos y cifras del contexto internacional, nacional y regional referentes a los campos de la Ingeniería Civil. Además se realizó un breve análisis de cómo se desarrolla la Carrera en las mejores universidades latinoamericanas (USP y UNAM) en comparación con la UMSS.La planificación estratégica como tal, requiere la participación de todos los miembros de la organización para que el plan elaborado tenga identidad y representatividad. Es por esta razón que el análisis FODA y el diseño de estrategias se realizaron de manera conjunta.Una vez culminado, se procedió a la elaboración del Cuadro de Mando Integral (CMI), el cual tiene como perspectivas a los cuatro ejes estratégicos establecidos por el Plan de Desarrollo de la Facultad de Ciencias y Tecnología de la Universidad Mayor de San Simón: Formación, Investigación, Interacción y Gestión de Soporte e Infraestructura.Para la implementación del plan estratégico se vio necesario plantear Sistemas de Control que permitan hacer seguimiento a los indicadores de los objetivos operativos establecidos en la matriz de planificación o CMI. Asimismo se establecieron las directrices que guiarán las acciones de las autoridades para la correcta ejecución del Plan.Se concluye entonces, que con el plan estratégico propuesto, se logrará articular el Grado con el Posgrado, la Carrera con los Centros de Investigación y con el sector productivo departamental y nacional. De igual forma se fortalecerán las actividades académicas y de investigación. Por otro lado, se mejorará la interacción dentro y fuera de la carrera.</t>
  </si>
  <si>
    <t>https://drive.google.com/file/d/1btRa42XUMpzuLbO7OgelcaK5hED2iQnL/view?usp=sharing</t>
  </si>
  <si>
    <t>https://drive.google.com/file/d/1a49-5rUVHvOwcadN2EN6uEvNxLHEJvuy/view?usp=sharing</t>
  </si>
  <si>
    <t>https://drive.google.com/file/d/15I0JXKCZdyuRoQ_-8PKUZAmn31Xafegk/view?usp=sharing</t>
  </si>
  <si>
    <t>MARIA CARMEN BERBETTY UREÑA</t>
  </si>
  <si>
    <t>ESTUDIO DE FACTIBILIDA PARA LA INSTALACION DE UNA PLANTA ELABORADORA DE CARAMBOLA EN ALMIBAR PARA EL MERCADO DE COCHABAMBA</t>
  </si>
  <si>
    <t>mariacarmen.berbetty@gmail.com</t>
  </si>
  <si>
    <t>IND-928-2018</t>
  </si>
  <si>
    <t>Estudio de Factibilidad para la Instalación de una Planta Elaboradora de Carambola en Almíbar para el Mercado De Cochabamba</t>
  </si>
  <si>
    <t>Gran parte de la producción frutícola exótica con la que cuenta Bolivia es desaprovechada, ya que se desconoce las propiedades y beneficios, falta de empresas para su producción y comercialización. Por lo cual el presente proyecto está enfocado en desarrollar un estudio de factibilidad para la instalación de una planta elaboradora de carambola en almíbar para el mercado de Cochabamba, como respuesta a la necesidad de darle valor agregado A través del estudio de mercado realizado en la provincia de Cercado y municipio de Sacaba del departamento de Cochabamba, se estableció la demanda potencial de Carambola en almíbar, donde, se identificaron las características principales que el consumidor final busca en una fruta en almíbar.Se desarrolló un estudio de la materia prima, materiales e insumos, en el cual se determinaron disponibilidad de los mismos y se establecieron los proveedores potenciales.La localización fue establecida a través de la técnica cualitativa de puntajes ponderados, realizando un análisis a 3 micro-localizaciones, determinando que la mejor alternativa de ubicación es el municipio de Sacaba, ya que es una zona que permite la accesibilidad a la materia prima, mano de obra y mercado objetivo. El tamaño de la planta fue determinado en base a la demanda del proyecto y la capacidad normal viable.En la ingeniería del proyecto se estableció el proceso productivo, las maquinarias y equipos necesarios para elaboración del producto y la distribución de planta se realizó sobre 343 m2.En el análisis de la organización se determinaron los niveles jerárquicos, los requerimientos de obra y sus respectivos sueldos. El tiempo estimado para realizar la ejecución del proyecto es de 35 semanas, contemplando desde la gestión del establecimiento de la empresa hasta su puesta en marcha.La inversión total que el proyecto requiere para su implementación es de Bs.- 148.684, a través del flujo de caja se determinaron los diferentes indicadores de rentabilidad: un VAN de Bs.- 154578 una relación (B/C) de 1.27 una TIR de 33 % y un periodo de recuperación de la inversión   de 4,8 años y 8 meses, se sometió el flujo a un análisis de sensibilidad para las variables mas influentes, concluyendo que el proyecto es económicamente rentable.El proyecto no presento impactos ambientales de consideración, sin embargo, será necesario la adopción de medidas precisas de mitigación para evitar efectos adversos</t>
  </si>
  <si>
    <t>https://drive.google.com/file/d/1i-qeoe72s4KAGKYtedSjHVo7s9RgdxUv/view?usp=sharing</t>
  </si>
  <si>
    <t>https://drive.google.com/file/d/1EFAjTROnqAfYtg3PUSbhckLJd-ix9k_t/view?usp=sharing</t>
  </si>
  <si>
    <t>https://drive.google.com/file/d/10pVDOQCaSvjwdrGj9Tmo3Xh6vQtEjV1X/view?usp=sharing</t>
  </si>
  <si>
    <t>ROJAS FERNANDEZ PABLO ISAIAS</t>
  </si>
  <si>
    <t>MSC. ROSARIO MONTAÑO M.</t>
  </si>
  <si>
    <t>DISEÑO DE UN PLAN DE OPTIMIZACIÓN DEL CONSUMO DE AGUA EN LA MINIPLANTA DE ENVASADO-TAQUIÑA</t>
  </si>
  <si>
    <t>IND-929-2018</t>
  </si>
  <si>
    <t>Clean in place (CIP), Válvulas neumáticas, Planta de tratamiento de efluentes, control y monitoreo del consumo de agua, Planta Taquiña</t>
  </si>
  <si>
    <t>En el presente trabajo tiene el objetivo de optimizar el consumo de agua en la Miniplanta de envasado de la cervecería boliviana nacional S.A. En una primera etapa se  monitoreó el consumo de agua, en esta etapa se realizaron los diagramas de la planta de tratamiento de agua,  la distribución de las líneas de agua del sector, desagües de agua industrial y de agua pluvial de la planta Taquiña, posteriormente se elaboró una planilla en macros de Excel para obtener el balance de agua por sector y por máquina.Paralelamente se recuperó el agua proveniente de los CIP´s (Sistema de limpieza in situ de las tuberías y maquinas), en esta etapa se realizaron pruebas con ácido fosfórico alimenticio y se planteó reutilizar el agua de los enjuagues finales para los enjuagues previos, como resultado de los ensayos se disminuyó el consumo de agua por cada CIP´S de 13.608 m3 a 3.856 m3, además se disminuyó el tiempo de cada CIP´s de 80 minutos a 58 minutos, asimismo la carga bacteriana disminuyo a 0 UFC (Unidades formadoras de colonias).También se implementó un sistema de válvulas neumáticas que permitió utilizar agua recuperada en vez de agua pura, en esta etapa se realizaron los diagramas del sistema de recuperación y se elaboró el circuito eléctrico-neumático, como  resultado del montaje se disminuyó el consumo diario de agua pura de 8.2 m3 a 0 m3. Por último se realizó una evaluación técnica para reutilizar agua proveniente de la planta de tratamiento de efluentes y se determinó que por el elevado contenido de carga bacteriana no es posible reutilizar esta agua sin un previo tratamiento.Como resultado de la evaluación económica, la inversión realizada por la empresa fue de 206.816,46 Bs.  Se estima que a partir tercer año de implementación del proyecto se recuperara la inversión total, según la evaluación del V.A.N. (23.639,4$) – T.I.R. (28,4%) – y la relación B/C (1,753) el proyecto es viable a largo plazo.</t>
  </si>
  <si>
    <t>https://drive.google.com/file/d/1YjDO8SWVBJS5Av79_FoWZMlRAVwzfXsy/view?usp=sharing</t>
  </si>
  <si>
    <t>https://drive.google.com/file/d/18Ma3-Yn7rZN7BFtMnnYR8D2Uwz_1ZyPV/view?usp=sharing</t>
  </si>
  <si>
    <t>https://drive.google.com/file/d/17f1kKo5tWCzjwqeL6oiyVp8k1clIvm0_/view?usp=sharing</t>
  </si>
  <si>
    <t>CARLOS EDUARDO GOYTIA DOS SANTOS</t>
  </si>
  <si>
    <t>MGR. ING. CHOQUE FLORES ALEX</t>
  </si>
  <si>
    <t>DISEÑO DE UN PLAN DE ACCIÓN DE MEJORA DE LA CONFIABILIDAD DEL FLUJO DE INVENTARIOS FÍSICO VS LÓGICO PARA EL WAREHOUSE DEL CENTRO NACIONAL DE DISTRIBUCIÓN UNILEVER ANDINA S.A</t>
  </si>
  <si>
    <t>eduardo.goytia@outlook.es</t>
  </si>
  <si>
    <t>IND-930-2018</t>
  </si>
  <si>
    <t>Confiabilidad de inventarios, Inventario físico, Inventario lógico, Ciclo de Deming, Mejora continua, Plan de acción</t>
  </si>
  <si>
    <t>El presente Proyecto de Grado nació con el objetivo de incrementar la confiabilidad del flujo de inventarios físico versus inventario lógico en el almacén del Centro Nacional de Distribución de Unilever Andina S.A. que en los últimos años estuvo teniendo un índice bajo a lo permitido, para lo que se identificó el problema central del proyecto de donde se obtuvieron los objetivos a seguir y la justificación de la realización del proyecto.Se realizó la diagnóstico de la situación actual de los diferentes procesos (Control de inventarios, Recepción, Almacenado y Despacho de producto), realizando un seguimiento a los mismos con fin de poder identificar la causas que generan el problema, utilizando como herramienta el “Diagrama de Ishikawa” y posteriormente se llevó todas las causas identificadas a una “Matriz de Priorización” para determinar las causas de mayor relevancia y poder proponer herramientas que vayan a intervenir en estas.Una vez identificadas las causas de mayor relevancia del proyecto se procedió a revisar la bibliografía en aspectos de inventarios, para poder seleccionar las propuestas de mejora. Para el proceso de control de inventarios que resultó como deficiente se propuso un cambio en la modalidad de realizar el mismo, implementada tecnología para realizar los conteos y estos brinden mejores resultados, además de una propuesta de implementación de conteos cíclicos en base a una clasificación ABC por rotación de producto, con la finalidad de tener un eficiente y mejor control de los inventarios. También se propuso realizar una reubicación de los productos en el almacén de igual forma en base a una clasificación ABC y por último realizar procedimientos tanto en control de inventarios como en el orden y limpieza del almacén.Para los procesos de Recepción y Despacho se desarrollaron las siguientes propuestas: Se propuso realizar un cambio en la modalidad de registro de las recepciones, ingreso de las mismas a sistema y la forma como será almacenada la documentación de recepciones, esto con la implementación de lectores de código de barras, con el cual se optimizará el proceso de recepciones, disminuirán los errores en su registro, aumentará el grado de confiabilidad de inventarios. Ya para el proceso de despachos se propuso mejorar la actividad de preparado de producto, donde se realizó un análisis para establecer una mejor ruta para el preparado, con la finalidad de evitar errores en este proceso y además de realizarlo de forma más rápida.Finalmente se realizó un análisis beneficio costo para determinar la viabilidad económica de las propuestas, dando un valor positivo, con lo que se puso a realizar las pruebas e implementaciones de las propuestas.Con todo los mencionado se pudo lograr los objetivos del proyecto además de lograr el incremento de la confiabilidad del flujo de inventarios físico versus lógico.</t>
  </si>
  <si>
    <t>https://drive.google.com/file/d/1VMR0g-yHCM4jmlfjMLu6CSkkYEZYt1X4/view?usp=sharing</t>
  </si>
  <si>
    <t>https://drive.google.com/file/d/17tluzSCiZ8dAn-bA9g7lS350KraAALH9/view?usp=sharing</t>
  </si>
  <si>
    <t>https://drive.google.com/file/d/1f5WONvQs-g2xAz1MRVUp57mn02Eid_6O/view?usp=sharing</t>
  </si>
  <si>
    <t>GIAN PAOLO VARGAS VILAR</t>
  </si>
  <si>
    <t>ING. ANALU TORRICO BURGOS</t>
  </si>
  <si>
    <t>PROPUESTA DE UN PLAN DE SEGURIDAD Y SALUD OCUPACIONAL BASADO EN LA NORMA BOLIVIANA OHSAS 18001:2007 PARA LA EMPRESA ECOFIBRA S.R.L</t>
  </si>
  <si>
    <t>IND-931-2018</t>
  </si>
  <si>
    <t>OHSAS, Seguridad Industrial, Salud Ocupacional, Diagnostico, fibrocemento, SySO, Plan, Diseñar</t>
  </si>
  <si>
    <t>No existían procedimientos orientados a la disminución y/o eliminación de riesgos que están asociados a las actividades rutinarias de la planta de fabricación de tejas de fibrocemento ECOFIBRA S.R.L., no se tenía el conocimiento de la legislación vigente en seguridad y salud ocupacional. Se realizó una descripción de todas las actividades y procesos que se realizan en la planta, además de un diagnóstico del cumplimiento legal aplicable en materia de seguridad y salud ocupacional en base a una lista de verificación y observaciones directas en las diferentes secciones donde también se verificó los peligros y riesgos a los cuales estaban expuestos los trabajadores de ECOFIBRA S.R.L.Se realizó un estudio de medición de ruido en el área de producción para de esta manera evidenciar el nivel de ruido a la que están sometidos los trabajadores.También se realizó una matriz de  identificación de peligros y riesgos, que permitió conocer los peligros más significativos dentro las actividades de la planta, las cuales permitieron desarrollar medidas de control para reducirlos.Se desarrolló el sistema de seguridad y salud ocupacional, empezando por la definición de una política de seguridad y salud ocupacional acompañada de objetivos relacionados a la misma.Se estimó el costo para la implementación del sistema de gestión en seguridad industrial y salud ocupacional para los próximos 5 años. Con el desarrollo de este proyecto se pretendió eliminar los peligros y riesgos, los costos por accidentes, perdidas de activos por sobre todo ambientes labores estables y seguros convirtiendo la empresa ECOFIBRA S.R.L. en cero accidentes.</t>
  </si>
  <si>
    <t>https://drive.google.com/file/d/1ej1YBwTi4cCr6qkwxiHh3kiCtCgX8BQh/view?usp=sharing</t>
  </si>
  <si>
    <t>https://drive.google.com/file/d/1kNkeRkZ9-AdAI2JyLqNLmtt2laqfOsO8/view?usp=sharing</t>
  </si>
  <si>
    <t>https://drive.google.com/file/d/1JHv3pCVO4juakuDdnjmeVNnnUObPkls5/view?usp=sharing</t>
  </si>
  <si>
    <t>JOSÉ ARMANDO RIVERA CÁCERES</t>
  </si>
  <si>
    <t>ING. DENNIS RIVERA CÁCERES</t>
  </si>
  <si>
    <t>ESTUDIO DE FACTIBILIDAD PARA LA PRODUCCIÓN INDUSTRIAL DE CREMA CORPORAL A BASE DE CASCARA DE PLÁTANO EN EL DEPARTAMENTO DE COCHABAMBA</t>
  </si>
  <si>
    <t>IND-932-2018</t>
  </si>
  <si>
    <t>Cascara de plátano, Corporal</t>
  </si>
  <si>
    <t>El sector de la cosmetología ha tenido muchos cambios a lo largo del tiempo, debido a la exigencia de productos naturales e innovadores para el cuidado tratamiento de la piel además nuevas fuentes de utilización de materias aun no explotadas en Cochabamba, mantener estándares naturales y de beneficio a la sociedad conllevaron en la necesidad de elaborar el presente proyecto de estudio de factibilidad para la producción industrial de crema corporal a base de cascara de plátano en el departamento de Cochabamba.Primeramente, se realizó un diagnóstico del mercado actual para poder determinar la existencia de mercados potenciales para el producto, además de las exigencias de mercado que se tendría que cumplir una vez inicia la producción.Una vez determinado el tamaño del mercado al que se quiere llegar, se realizaron las pruebas necesarias para modelar el proceso y diseñar el emplazamiento y puesta en marcha de la producción. Determinando la obtención de la materia prima, la maquinaria y el recurso humano necesarios además de los costos involucradosA partir de simulaciones realizadas mediante software de cálculo se estimaron las posibilidades de producción, además de generar con ello los estados financieros del proyecto de acuerdo a comportamientos establesA partir de la generación de los estados financieros se procedió a la generación de indicadores para el proyecto tasa interna de retorno (TIR), relación beneficio costo (B/C) resultando favorable con márgenes muy pequeñosFinalmente se realizaron simulaciones de actuación del proyecto a lo largo de su tiempo de vida los valores obtenido determinaron posibles rutas estratégicas a seguir.Finalmente se realizó el estudio de impacto ambiental categorizando el proyecto de acuerdo a las leyes del Estado Plurinacional de Bolivia, concluyendo que el proyecto es positivo para el medio ambiente</t>
  </si>
  <si>
    <t>https://drive.google.com/file/d/1wbyip7GKwO6Ju3gHieST-BDYlWLJ9Xk8/view?usp=sharing</t>
  </si>
  <si>
    <t>https://drive.google.com/file/d/1asgMCSuefrsaQ7ck8xbTPS1GwlKzHrgN/view?usp=sharing</t>
  </si>
  <si>
    <t>https://drive.google.com/file/d/1D0QdGQYvV6LzT3QypEYsIw7SZX8TLKth/view?usp=sharing</t>
  </si>
  <si>
    <t>IRVIN MANCILLA CHACÓN</t>
  </si>
  <si>
    <t>ING. HERNÁN FLORES GARCÍA; ING. IVÁN MÉNDEZ VELÁSQUEZ</t>
  </si>
  <si>
    <t>DISEÑO E IMPLEMENTACIÓN DEL PROYECTO AIRLIFT CON LA APLICACIÓN DE EEM (EARLY EQUIPMENT MANAGEMENT) DENTRO LA METODOLOGÍA DE TPM PARA LA PLANTA DE DETERGENTES DE UNILEVER ANDINA BOLIVIA S.A.</t>
  </si>
  <si>
    <t>mancilla.irvin@gmail.com</t>
  </si>
  <si>
    <t>IND-933-2018</t>
  </si>
  <si>
    <t>Reactor – Extractor de micropolvo de detergente, Ingeniería de detalle, Cálculos estructurales y de chapa, Planos de fabricación, modelado matemático para filtración, TPM, Arranque Vertical.</t>
  </si>
  <si>
    <t>Unilever es una empresa multinacional de elevados estándares de producción, los cuales lo llevan a realizar mejoras continuas en su planta productiva. Se encontró algunos problemas referidos a equipos y a procesos durante una etapa de investigación, y mediante el desarrollo de dos niveles de investigación con árbol de problemas se pudo identificar el más crítico; el cual fue: paradas no planificadas de la planta de detergentes, debido a fallos, limpiezas y mantenimientos no planeados del equipo critico Airlift. Juntamente con esto se realizó la elaboración de objetivos para el presente proyecto; el cual tuvo como objetivo específico el de disminuir en 50% las horas de mantenimiento y limpieza del equipo, además de incrementar la producción de la planta de detergentes, y como objetivos generales se planteó la elaboración de los 8 pasos de EEM, una verificación de la instalación y condiciones del equipo nuevo, monitoreo de las condiciones post puesta en marcha , la presentación de un arranque vertical del equipo, elaboración de un manual de funcionamiento, y la ilustración de los beneficios económicos que tuvo este proyecto.Ya habiendo realizado una previa identificación del problema se procedió a utilizar el estándar TPM que maneja la planta Unilever Cochabamba con su Pilar control inicial o EEM, la cual es una metodología que sugiere varios pasos a seguir en los cuales se puede aplicar para la modificación de un equipo o para la implementación de uno nuevo. La metodología sugiere las llamadas herramientas TPM para una investigación más profunda y una toma de decisión acerca del problema, para este proyecto el resultado fue el cambio de equipo, ya que en datos históricos se pudo apreciar que la modificación fue un proyecto a mediano plazo el cual ocasionó problemas tiempo después.Por tanto, después de haber realizado las investigaciones con herramientas TPM llamadas 5W+2H, 5 porque’s y un diagrama de Ishikawa (4M’s) se realizó la siguiente etapa la cual fue la “Ingeniería Básica”. La cual es una etapa en la que se define todos los puntos a cubrir, mediante un equipo de trabajo que incluye profesionales en distintas áreas; los puntos a cubrir fueron:·       Revisión de la ingeniería conceptual.·       Modos de fallo y análisis de efectos.·       Revisión de la constructibilidad.Todo esto para tener una idea básica de lo que será el proyecto y tipo de consideraciones se debe tomar para proceder con un diseño seguro en la ingeniería de detalle. Entonces en esta etapa se concluyó que tipo de análisis y que consideraciones tomar en el nuevo equipo a diferencia del actual.Ya finalizada la etapa de ingeniería básica, este dio paso a la “ingeniería de detalle”, la cual es la base de este proyecto, porque en esta etapa se reflejó varios puntos de la ingeniería como ser datos civiles, cálculos mecánicos, cálculos de resistencia de materiales, esfuerzos y fatigas en materiales (chapa) mediante el uso del software RAM ELEMENTS; además también se realizaron todos los planos mecánicos y planos de la ingeniería de piping para ser considerados en la implementación del proyecto, ya que estos planos también consideraron una maqueta 3D a escala real para no tener errores de posicionamiento de los equipos; dichos planos y elaboración de la maqueta 3D se realizó con la ayuda del software Autocad Mechanical. Finalizada la etapa de cálculo, planos y consideraciones, se procedió a la realización de un documento estándar TPM llamado DR-2 en la cual especifica con detalle la entrega satisfactoria de la etapa de detalle.La siguiente Etapa fue la de contratación de bienes y servicios en la cual se realizó la selección del proveedor adecuado en base a costos y datos técnicos. Para así dar paso a la implementación del proyecto, donde se hizo controles de post puesta en marcha, además de toma de datos del equipo durante 6 meses para entregarlo en óptimas condiciones y con los requerimientos planteados al inicio del proyecto.Con la entrega y la toma de datos del equipo se concluyó que el equipo cumplió con todos los objetivos planteados además de mejorar los tiempos de mantenimiento; reduciéndolos así en un 75%, como también el incremento de la producción fue satisfactorio.Las recomendaciones halladas fueron la de mejorar la disposición del ducto de extracción del ventilador del Airlift, ya que produce algunos desgastes en las mangas filtrantes cercanas a esta. También se recomienda la planificación de nuevos proyectos para los equipos que están relacionados en la línea de producción de forma directa o indirecta con el equipo, ya que el incremento de la producción ocasionó que los otros equipos tuvieran capacidad inadecuada.</t>
  </si>
  <si>
    <t>https://drive.google.com/file/d/1cbKLQEEYoMEcoAoiY2y7OuiiOjl3NIQW/view?usp=sharing</t>
  </si>
  <si>
    <t>https://drive.google.com/file/d/1LTDN73BcewRE-aGjC9zHPDFWoIrisCio/view?usp=sharing</t>
  </si>
  <si>
    <t>https://drive.google.com/file/d/1YKQ3_h72_rovPPsmAShoQZbG2N8Vedtz/view?usp=sharing</t>
  </si>
  <si>
    <t>JHON BADIR GARCÍA AGUAYO</t>
  </si>
  <si>
    <t>ING. FABIO OTÁLORA MURIEL</t>
  </si>
  <si>
    <t>ESTUDIO DE FACTIBILIDAD TÉCNICO ECONÓMICO Y FINANCIERO PARA LA CREACIÓN DE UNA     EMPRESA PRODUCTORA DE LADRILLOS Y PLACAS PREFABRICADAS CON PLÁSTICOS RECICLADOS EN TIQUIPAYA</t>
  </si>
  <si>
    <t>jhonbadirgarcia@gmail.com</t>
  </si>
  <si>
    <t>IND-934-2018</t>
  </si>
  <si>
    <t>Empresa Productora de Ladrillos y Placas de Plástico Reciclado Tiquipaya, Reciclaje de Plásticos, Negocios Verdes, Reciclado Mecánico</t>
  </si>
  <si>
    <t>Se elaboró primeramente análisis de la situación de las empresas de producción de ladrillos comunes de arcilla para así poder comparar tanto económicamente como de manera técnica el producto a presentar para así tomar decisiones en la parte de la posible demanda y oferta que podría tener los productos presentados en el proyecto de grado presente.Una vez habiendo determinado el tamaño o nicho de mercado a atacar tanto para el abastecimiento de materia prima (plásticos de desecho) como para la venta (ladrillos y placas prefabricadas a base plástico reciclado) se elaboró la manera de abastecimiento de materia prima e insumos seguido de la ingeniería del proyecto detallando los procesos que se deben de seguir para obtener los productos, la maquinaria a ser empleada, los canales de distribución, el organigrama de la empresa.Se determinó los costos de mano de obra, materiales directos y los costos indirectos de fabricación para así hacer un cálculo de los costos de producción totales como también el costo de producción unitario que varía con el tiempo de evaluación del proyecto en este caso a diez años y cálculo de precio de venta consumidor final.Con los datos se calculó el análisis financiero de la Taza Interna de Retorno TIR, el Valor Actual Neto VAN y también el Beneficio Costo B/C con los mismos fluctuado valores que no puede controlar las empresas tales salarios básicos demanda y costos de materia prima se procedió también a hacer un análisis de sensibilidad.Teniendo todo esto luego se elaboró el estudio de impacto ambiental (EIA) del proyecto tanto cuantitativamente como cualitativamente detallando el emplazamiento propio del proyecto sus impactos negativos, positivos para el sector  y su clasificación según la norma RASIM como estipula la ley de medio ambiente y la normativa vigente.Se pudo encontrar que el proyecto tiene un gran impacto positivo al medio ambiente más por la parte económica no siendo muy atractivo pudiéndose solucionar llevando este proyecto a niveles de gobernación o alcaldías para elaboración de viviendas sociales y que incentiven proyectos de reciclaje similares al presente y logre ser una alternativa para reciclar el plástico que poco a poco acaba con nuestro planeta tierra.</t>
  </si>
  <si>
    <t>https://drive.google.com/file/d/1tCgGoMgDT_Bnbx1zDqTJ3EOiC1DaKlYS/view?usp=sharing</t>
  </si>
  <si>
    <t>https://drive.google.com/file/d/1rrlqP9_Fu_lIIX53idtY-Hnp-TUto-P8/view?usp=sharing</t>
  </si>
  <si>
    <t>https://drive.google.com/file/d/1iNTFYSVWVUQMwS1IWlrMelQNJrOp25Wv/view?usp=sharing</t>
  </si>
  <si>
    <t>CÉSPEDES GUZMÁN JUAN GABRIEL</t>
  </si>
  <si>
    <t>ING. CHOQUE FLORES ALEX D</t>
  </si>
  <si>
    <t>MEJORA DE LA PLANIFICACIÓN Y CONTROL DE LA PRODUCCIÓN DE LA LÍNEA DE PRODUCCIÓN DE ESPUMA DE POLIESTIRENO EXPANDIDO (EPS) PARA LA EMPRESA TECNOPOR S.A</t>
  </si>
  <si>
    <t>cespedesfgabo54@gmail.com</t>
  </si>
  <si>
    <t>IND-935-2018</t>
  </si>
  <si>
    <t>Planeación de operaciones, PAME, Error, productividad, gestión, costo, EPS,</t>
  </si>
  <si>
    <t>Primeramente se realizó el análisis de la situación en la que se encontraba el área de producción de la línea de poliestireno expandido (EPS), y con ello la detección de los problemas que atravesaba, entre los cuales se pudo evidenciar que la línea de producción trabajaba netamente a pedido lo cual incidía en tener una alta tasa de configuración y una disminución de la tasa de producción de la línea de producción de EPS, debido a una inadecuada integración de los procesos de la cadena de valor, todo ello se debía a que la previsión de la demanda se la realizaba de manera empírica, lo cual dificultaba la planeación de requerimientos a los procesos de producción, despachos y el área de finanzas.Por ello se planteó una estructuración y adecuación de las herramientas de planeación de operaciones a las necesidades de la línea de producción de EPS. La cual consistió en la adecuación de modelos de gestión de la demanda, gestión de inventario y la planeación agregada de producción.La estructuración del modelo de previsión de la demanda, empezó con la determinación de los errores, que presentaban las proyecciones actuales con un PAME de 27,5%, la cual se encontraba fuera de los limites permisibles, considerando el ciclo de vida en el cual se encontraba el producto (etapa de madurez), debido a ello se procedió a realizar un análisis de los datos históricos de la demanda real respecto a los componentes constante, tendencia y estacionalidad, del estudio se determinó que estos productos presentaban estas tres componentes, por lo cual se adecuo los modelos de suavización exponencial, logrando una PAME del 5,1 % y con ello una reducción del 22,5 % del método actual. Estas proyecciones se realizaron a nivel agregado, es decir por grupo de familias, que son datos de entrada al plan agregado de producción y por productos para la gestión de inventarios.Ya teniendo las proyecciones para cada producto, se realizó un análisis de la demanda para determinar aquellos productos que presentaban una demanda irregular o regular a través del método de Peterson Silver. Posterior a ello se tomaron datos acerca de los costos de mantener inventarios 18% del costo de producción y el costo de lazar una orden de producción, con ello se procedió a determinar las cantidades económicas a producir y se definió las políticas de reabastecimiento para el control de inventarios, con los lotes económicos a producir se mejoró la tasa de producción del proceso de corte(proceso cuello de botella) en un 10,94% y el costo total anual en 1,5% y se logró mejorar la disponibilidad de maquinaria.Posterior a ello con los datos de las proyecciones y las restricciones de la gestión de inventarios, se procedió a avaluar varias estrategias de planeación agregada de producción, de la cual se terminó que la que menor costo brindaba era la estrategia de un plan mixto.Por último se comparó la estrategia de planeación agregada propuesta con la del plan actual, mediante la relación beneficio costo, de la cual se concluyó que la propuesta era factible, ya que se obtuvo un RBC de 1,53.Por tanto se puede evidenciar que resulta conveniente realizar una administración basada en las herramientas de planeación de operaciones las cuales nos permiten prever los requerimientos futuros con anticipación y evitar gastos innecesarios.</t>
  </si>
  <si>
    <t>https://drive.google.com/file/d/1FavaNIzXBJ3KaswQFLcOewNOCc0eBDBU/view?usp=sharing</t>
  </si>
  <si>
    <t>https://drive.google.com/file/d/1k_Vt0LRRGsxDQGLz3jYXbdAW8eut__OY/view?usp=sharing</t>
  </si>
  <si>
    <t>https://drive.google.com/file/d/1i43eIOIV5RrDwj8lu_vXzTJol-RikEYF/view?usp=sharing</t>
  </si>
  <si>
    <t>DIEGO VLADIMIR CÉSPEDES TERÁN</t>
  </si>
  <si>
    <t>ING. PEDRO BEJARANO MARTÍNEZ</t>
  </si>
  <si>
    <t>ESTUDIO DE INGENIERÍA DE MÉTODOS PARA LA OPTIMIZACIÓN DEL ÁREA DE CARGA EN LA INDUSTRIA CERÁMICA INBOLTECO S.A</t>
  </si>
  <si>
    <t>diegocespedesteran@gmail.com</t>
  </si>
  <si>
    <t>IND-936-2018</t>
  </si>
  <si>
    <t>Industria Boliviana de Tejas y Complementos INBOLTECO S.A., Ingeniería de Métodos, Productividad, Parámetro de Carga, Análisis Operacional, Muestreo de Trabajo, Tiempo Normal, Tiempo Estándar, Diagrama de Gantt, Eficiencia, Periodo de Recuperación.</t>
  </si>
  <si>
    <t>Primeramente, se recolecto mediante observación directa en planta, toda la información del proceso de fabricación de teja y más a detalle el proceso de carguío de vagones de horno en el Área de carga. La información recopilada se presentó de forma ordenada y estructurada, mediante las herramientas de cursogramas analíticos, sinópticos y diagramas de recorrido.Posteriormente se realizó el análisis operacional mediante la herramienta del interrogatorio para encontrar las actividades con problemas, con esta herramienta se sometió a las actividades del cursograma analítico a dos etapas de análisis: las preguntas preliminares y preguntas de fondo. Con el análisis efectuado se concluyó que existían las siguientes actividades con problemas: Salida de vagones de secadero, Control de producto no conforme, Descarga inicial de tejas, Descarga completa de tejas y Demora al concluir la primera etapa del armado.Luego se procedido a realizar el muestreo de trabajo, para establecer los estándares de tiempo del armado de vagones de horno en el área de carga. Por la inexistente información de registros históricos de tiempo en INBOLTECO S.A., la herramienta que se eligió para el muestreo fue el estudio de tiempos con cronometro y se siguió la metodología siguiente: Se procedido a elegir a los operarios más aptos y con un rendimiento constante, seguidamente con la información de las operaciones recopilada, presentada de forma ordenada se estructuró la división de operaciones en elementos, una vez terminada la división se comenzó la toma de una pequeña muestra de tiempos en campo, con estas se calculó el número de ciclos necesario, también se analizaron el rendimiento y las tolerancias respectivas de cada una de las operaciones. Con todas estas variables y el número de muestras necesario, se calculó el tiempo estándar de cada una de las operaciones. Por ultimo con el diagrama de Gantt se encontró el tiempo en el que se arma un vagón de horno para la producción simple y mixta. Este último valor nos permitió determinar la eficiencia que es del 90,9% y los tiempos ociosos que son iguales a 77 [min/día].Una vez conocida la situación actual del área de carga, junto con los tiempos estándares se presentaron las siguientes propuestas de mejora: 1) Automatismo del transbordador de salida de secadero, que permitió la mejora de la eficiencia en un 18% y la eliminación de la actividad de Demora. 2) Nuevo método de extracción de tejas del vagón de secado permitiendo realizar de mejor forma la inspección de producto no conforme y se determinó que el tiempo requerido para realizar esta propuesta no influye en el tiempo final de armado de un vagón de horno. 3) El aumento de una nueva cinta transportadora, junto con la modificación de la segunda cinta para volverla móvil y el aumento en la altura de la tercera cinta, resultando de esto en un nuevo método de descarga de tejas más rápido, menos agotador para los obreros y mejorando la eficiencia en un 25,37%. Por último, se realizó un análisis económico mediante el cálculo del periodo de recuperación de la inversión, dando como resultado que si se vende toda la capacidad establecida en el método propuesto se recuperaría la inversión en 10.41 [mes] o 0.81 [Años], y desde otro enfoque gracias a la reducción de personal, el periodo de recuperación es igual a 37.5 [mes] o 3.12 [Años].</t>
  </si>
  <si>
    <t>https://drive.google.com/file/d/1vpgYJzqQL_EiH9wjxG1PWbdcY9o7EnKP/view?usp=sharing</t>
  </si>
  <si>
    <t>https://drive.google.com/file/d/1YzuljLacHKpX4wDRh7HLcp9RWCgyjBHN/view?usp=sharing</t>
  </si>
  <si>
    <t>https://drive.google.com/file/d/1b7xoKGeCpTVe6VMrM7hfzhqjTXqyOyBE/view?usp=sharing</t>
  </si>
  <si>
    <t>RICHARD LUIZAGA RODRÍGUEZ</t>
  </si>
  <si>
    <t>ELABORACION DE UN PLAN DE SEGURIDAD, SALUD OCUPACIONAL Y BIENESTAR, BAJO LOS    REQUISITOS DE LA NORMA NB-OHSAS 18001 VERSION 2008, PARA LA FUNDACION INFOCAL CBBA ”AROCAGUA”.</t>
  </si>
  <si>
    <t>IND-937-2018</t>
  </si>
  <si>
    <t>INFOCAL, AROCAGUA</t>
  </si>
  <si>
    <t>La implementación de programas de Seguridad e Higiene en las áreas de prácticas se justifica por el solo hecho de prevenir los riesgos laborales que puedan causar daños al estudiante, ya que de ninguna manera debe considerarse humano él querer obtener una máximo aprendizaje a costa de lesiones, mientras más peligrosa es una operación, mayor debe ser el cuidado y las precauciones que se observen al efectuarla; prevención de accidentes y producción eficiente van de la mano; el procesos académico es mayor y de mejor calidad cuando los accidentes son prevenidos.El implementar y llevar a efecto programas de Seguridad e Higiene para lograr un ambiente seguro en el área de prácticas y que los estudiantes practiquen seguramente y con tranquilidad, es parte integral de la responsabilidad total de todos, ya que haciendo conciencia a todos acarrearía beneficios.Controlar los riesgos y las causas de pérdidas de tiempo relacionadas con la interrupción de la metodología  de  control  de  riesgos  y  peligros  potenciales  mediante  el principio de jerarquía de controles, ajustar la situación actual de la  fundación INFOCAL,  a los requisitos exigidos por la norma NB-OHSAS 18001.Todo esto indica que, no obstante las prevenciones de la ley se requieren un fuerte impulso y una acción coordinada para desarrollar la seguridad e higiene industrial en la Institución. La promoción de política La higiene y Seguridad Industrial, trata sobre los procedimientos para identificar, evaluar y controlar los factores de riesgo, presentes en el ambiente del proceso académico y que, bajo ciertas circunstancias, son capaces de alterar la integridad física y/o psíquica del ser humano; ya que estos procedimientos son reglamentados legalmente.Resumiendo, se puede decir que el campo de acción comprende entre otros, ámbitos como: Se desarrolló los componentes del plan de seguridad, salud ocupacional y bienestar para la fundación INFOCAL Cochabamba basado en la norma Boliviana NB-OHSAS 18001 para su aplicación en la institución, las condiciones de las prácticas y todo lo que se pueda concebir que corresponda al ambiente laboral del proceso académico.s preventivas, sobre todo, permitirá superar los riesgos de las nuevas condiciones de ll Instituto y mejorar en general las condiciones en los ambientes de las prácticas.</t>
  </si>
  <si>
    <t>https://drive.google.com/file/d/1nH__NkuX6kR3CfHkCh3jUmmlbKFUE-kz/view?usp=sharing</t>
  </si>
  <si>
    <t>https://drive.google.com/file/d/1JmL7lepTZP_X4nFl3dEKUqrdCXiFW0kP/view?usp=sharing</t>
  </si>
  <si>
    <t>https://drive.google.com/file/d/1AZDbpTsv85RYcbZEilukiy5J3omIHicA/view?usp=sharing</t>
  </si>
  <si>
    <t>CAMILA LAURA PAREJA YALE</t>
  </si>
  <si>
    <t>MR.SC. INGRID TRIGO ROCHA</t>
  </si>
  <si>
    <t>PROYECTO DE FACTIBILIDAD PARA LA PRODUCCIÓN DE BARRAS ENERGÉTICAS LIBRES DE GLUTEN PARA LAS ASOCIACIONES DE PRODUCTORES DE MANÍ DE MIZQUE Y VILLA SERRANO (APROMAM)</t>
  </si>
  <si>
    <t>camilaparejayale@gmail.com</t>
  </si>
  <si>
    <t>IND-938-2018</t>
  </si>
  <si>
    <t>APROMAM</t>
  </si>
  <si>
    <t>El estudio de factibilidad fue desarrollado como alternativa de negocio para las Asociaciones de Productores de Maní de Mizque y Villa Serrano, para valorizar la materia prima, mediante la producción de barras energéticas libres de gluten en base a maní.Primeramente se identificó dos mercados potenciales, el mercado masivo, que está conformado por personas particulares con capacidad e interés de compra del producto y el mercado de desayuno escolar. La información del mercado masivo se obtuvo a través del estudio de mercado efectuado; en cuanto a la información sobre el mercado de desayuno escolar, fue recopilada de licitaciones lanzadas anualmente por las autoridades de los municipios.A partir de la información obtenida, se procedió a cuantificar la demanda de barras energéticas en el Departamento de Cochabamba, específicamente en los municipios de Cercado, Sacaba, Quillacollo, Tiquipaya y Vinto. Conociendo las características de los mercados meta, fueron desarrolladas estrategias de marketing y publicidad, se establecieron políticas de precios para el producto, se determinaron canales de distribución y puntos de venta para las barras energéticas libres de gluten en base a maní.Se determinó el tamaño optimo del proyecto, en función a la demanda del mercado y fue elaborado el programa de producción anual y diario.Para determinar la composición de las barras energéticas, se realizó a nivel de laboratorio una variedad de mezclas, de las cuales, mediante pruebas organolépticas, se seleccionaron las dos mezclas con mayor aceptación por el público, las que fueron denominadas con el nombre de Chiquina y Mañani, ambas tienen como principal materia prima el maní; Chiquina además contiene quinua y chia, y Mañani es una mezcla del maní con amaranto y cañahua. Estos ingredientes fueron seleccionados por sus excelentes propiedades nutritivas y por ser libres de gluten.El proceso de producción para elaborar las barras energéticas está conformado por las operaciones de: recepción de materia prima, pelado del maní, pesado del maní, tostado del maní, pesado de los otros ingredientes, mezclado, moldeado, horneado, enfriado, pesado del chocolate, fundido del chocolate, vertido del chocolate, enfriado, empacado y almacenado; las operaciones mencionadas son las mismas para el tipo Chiquina y Mañani.Fueron identificados los requerimientos de maquinaria, equipo y otros materiales necesarios para la producción de barras energéticas, y se realizó la correspondiente cotización en el mercado.Se establecieron controles de calidad y microbiológicos del producto, con el fin de cumplir con las expectativas de los consumidores y con las disposiciones legales; además se plantearon medidas de higiene y seguridad para los trabajadores.Para definir la localización del proyecto fue realizado un análisis cualitativo y una evaluación de factores por puntos, obteniendo como mejor alternativa la provincia de Mizque del departamento de Cochabamba, por ofrecer las mejores características en cuanto a la disponibilidad de materia prima y el costo del terreno.Fue propuesta una estructura organizativa, incorporando los puestos de trabajo necesarios para el proyecto a la actual organización de APROMAM. El requerimiento de personal es: una persona para jefe de producción de las barras energéticas y tres operarios para cumplir funciones que intervienen en el proceso productivo, proceso de envasado y manejo de almacenes.Se elaboró un plan de ejecución del proyecto, donde se desarrollarán las actividades a realizar en forma detallada y cronológica, desde la decisión de invertir hasta la puesta en marcha. El tiempo estimado para la ejecución del proyecto es de 32 semanas con una varianza de 0,61 semanas.Fue determinada y sistematizada toda la información económica del proyecto, conformada por inversiones, fuentes de financiamiento, costos de producción, costos de administración, costos comercialización, ingresos e impuestos. Mediante el estado de resultados se obtuvo la utilidad neta del proyecto para un horizonte de 5 años; también se calculó el punto de equilibrio en precio y cantidad, para tener valores referenciales de ventas y precios mínimos para no entrar en perdidas.Se realizó la evaluación financiera desde la perspectiva de un financiamiento propio y financiamiento mixto, calculando los indicadores de rentabilidad del VAN, TIR, relación beneficio - costo y el periodo de recuperación de la inversión, concluyendo que el proyecto es rentable y se tiene mayores beneficios con un financiamiento mixto.Para el análisis de sensibilidad se consideraron cuatro escenarios: disminución del precio de venta del producto, disminución del volumen de ventas, incremento en el costo de materia prima y orientar el total de la producción al mercado masivo. Los resultados obtenidos reflejan la disminución de la rentabilidad y la posibilidad de situaciones de riesgo.Mediante evaluación ambiental, se concluyó que los impactos negativos del proyecto son menores y pueden ser mitigados y controlados con medidas correctivas de fácil implementación.Por lo tanto, la ejecución del proyecto es técnica y financieramente factible.</t>
  </si>
  <si>
    <t>https://drive.google.com/file/d/1TMaXMcmg9YA8paqcAf2500jnqaWvcNCA/view?usp=sharing</t>
  </si>
  <si>
    <t>https://drive.google.com/file/d/1fPP2D6pW_lGUsfFHEy67_RPVkhGyCbBa/view?usp=sharing</t>
  </si>
  <si>
    <t>https://drive.google.com/file/d/1AOtiX1mvkCGlVLhX2LzRE0BotyBTwHec/view?usp=sharing</t>
  </si>
  <si>
    <t>LIZ KAREN ZAMBRANA BUSTAMANTE</t>
  </si>
  <si>
    <t>DISEÑO E IMPLEMENTACIÓN DEL SISTEMA DE ANÁLISIS DE PELIGROS Y PUNTOS CRÍTICOS DE CONTROL (HACCP) PARA EL CENTRO NACIONAL DE DISTRIBUCIÓN DE UNILEVER ANDINA BOLIVIA S.A</t>
  </si>
  <si>
    <t>lizi.k390@gmail.com</t>
  </si>
  <si>
    <t>IND-939-2018</t>
  </si>
  <si>
    <t>HACCP, Programas de pre-requisitos, inocuidad, buenas prácticas de almacenamiento BPA, Buenas prácticas de Higiene BPH.</t>
  </si>
  <si>
    <t>Unilever es una empresa multinacional de elevados estándares de producción, y distribución por lo que siempre está buscando mejoras en todos sus procesos y debido al incremento de producto no conforme, al incumplimiento de Buenas Prácticas de Higiene y buenas prácticas de manipulación se implementó el sistema HACCP, para lo cual se desarrollaron e implementaron los programas de pre-requisitos necesarios según el diagnóstico realizado en base a la resolución administrativa exigida por la entidad SENASAG y la PAS 220:2008, se realiza la evaluación de los 10 pre-requisitos exigidos, para determinar así cuales son los pre-requisitos a ser estudiados de acuerdo a la empresa. Luego de que se realizó el diagnóstico de pre-requisitos y se determinan los planteados para el centro de distribución con un cumplimiento del 31%, se consideran 8 pre-requisitos, Infraestructura, control de los procesos, higiene del personal, Producto terminado (trazabilidad), Servicios: Agua – limpieza, Control de plagas, manejo de residuos o desechos y garantizar adecuado transporte, una vez determinados los programas de pre-requisitos a trabajar se realizó la implementación y el seguimiento a cada uno en cuanto a infraestructura se realizaron tapados de posibles ingresos de plagas (ventilaciones, colocado de gomas a las puertas, cerrado de los desagües, en el tema de control de los procesos se aplicó directamente la capacitación de buenas prácticas de almacenamiento para concientizar al personal en el cuidado al momento de realizar esta práctica, en cuanto a este pre-requisito también se consideró el tema de las buenas prácticas de manipulación del producto terminado, en el tercer pre-requisito se implementó trípticos y afiches informativos para garantizar el comportamiento en el personal en temas de higiene, también se implementó el lavamanos autónomo en las dos áreas productivas que tenemos, se realizó la capacitación y entrega de material, así mismo se desarrolló un plan de capacitación junto al departamento de calidad donde se tienen temas específicos de sistema HACCP y sus pre-requisitos, en cuanto a producto terminado se considera la trazabilidad en los productos con este fin se elaboró el procedimiento de trazabilidad detallando las tareas específicas para esta labor, en el pre-requisito de servicios para el Centro Nacional de Distribución se consideran el agua que tiene un control por parte de un proveedor tercero que realiza un análisis especifico, otorgando así una ficha resumen mensual con los resultados, otro aspecto considerado es la limpieza donde se cuenta con personal tercero que realiza las actividades, de las cuales se capacito para la implementación y se desarrolló un plan de capacitación trimestral, de la misma manera se elaboró instructivos de trabajo para todas las áreas especificando cada tarea a realizar, se entregó el material en forma física en cada área para que lo tengan al alcance ante cualquier duda, para el pre-requisito de control de plagas se elaboró un programa determinando las plagas identificadas en el CND, conjunto a ello se implementó el plano con las ubicaciones de las tramperas, rodenticidas y estaciones de palomas y un cronograma de visitas del proveedor tercero, en cuanto al pre-requisito manejo de desechos es un punto garantizado por el proceso de seguridad en el CND, para garantizar un adecuado transporte se realizó un instructivo para el llenado del Check list y la capacitación al personal para promover el cuidado en transportes.Concluido la implementación y el seguimiento a los programas de pre-requisito se llevaron a cabo el cumplimiento a los 5 pasos preliminares del Sistema HACCP para poder dar lugar a la aplicación de los 7 principios básicos del sistema según norma y el Codex Alimentarius. Se realizó un trabajo exhaustivo para conocer los procesos, para determinar los posibles peligros de la inocuidad de los productos (biológicos, químicos y físicos) que podrían estar presente o surgir a lo largo del proceso de distribución. Considerando la probabilidad de ocurrencia y la severidad de los peligros, se determinó si los peligros en cuestión eran significativos. Los peligros significativos, fueron sometidos a una evaluación para determinar si eran Puntos de Control (PC) o seguirán el estudio como programas de pre-requisitos. Del estudio realizado, se determinó la existencia de dos PC en el proceso de recepción y el proceso de reacondicionamiento de producto que es el almacén PT03. Para cada PC se establecieron límites críticos de control, se creó un sistema de monitoreo programado, se establecieron acciones correctivas y se elaboraron procedimientos de verificación. Las medidas de control de los peligros fueron validadas, comprobando su eficacia en el sistema HACCP. Se logró una completa implementación del sistema HACCP gracias al compromiso de gerencia y todo el personal de la empresa, que aportó con su trabajo y ayuda, y supo entender la relevancia de desarrollar bien su trabajo en la inocuidad en el punto final de la cadena de distribución.</t>
  </si>
  <si>
    <t>https://drive.google.com/file/d/1ev2Fks3T28UNl1v4nECtK7724hy4zoYy/view?usp=sharing</t>
  </si>
  <si>
    <t>https://drive.google.com/file/d/1ahKTmJxL52ikeryuGmZtitNTGTrGPss4/view?usp=sharing</t>
  </si>
  <si>
    <t>https://drive.google.com/file/d/1A3k7hpULstK75GWiimG2l0iZ-GB3kFKK/view?usp=sharing</t>
  </si>
  <si>
    <t>ROSELIO LAVAYEN JHON CRISTIAN</t>
  </si>
  <si>
    <t>TICONA MAMANI JIMENA</t>
  </si>
  <si>
    <t>PROYECTO DE FACTIBILIDAD PARA LA IMPLEMENTACIÓN DE UNA PLANTA DE ELABORACIÓN DE HARINA DE VÍSCERAS DE POLLO</t>
  </si>
  <si>
    <t>Cristianroselio77@gmail.com</t>
  </si>
  <si>
    <t>IND-940-2018</t>
  </si>
  <si>
    <t>Planta de elaboración de harina de vísceras de pollo, Factibilidad, Rentabilidad.</t>
  </si>
  <si>
    <t>El presente estudio de factibilidad para la implementación de una planta de elaboración de harina de vísceras de pollo, surge debido al bajo aprovechamiento económico de las vísceras de pollo las cuales son desechados por las plantas faenadoras, lo cual ocasiona efectos negativos para el medio ambiente y con el objetivo de ser una alternativa para la alimentación de animales de granja (porcinos, bovinos, aves, etc.).La metodología que se siguió fue el método científico la cual llevo a plantear el problema, formular una hipótesis, proponer un diseño metodológico, obteniendo resultados y por ultimo concluir. A partir del bajo aprovechamiento económico de las vísceras de pollo en la provincia de Quillacollo, se realizó un estudio de mercado a través de la técnica de selección de muestreo aleatorio simple para obtener la demanda y oferta, atravez del cual se pudo determinar que existe una demanda insatisfecha del producto harina de vísceras de pollo.Con los datos obtenidos a través de las encuestas y datos estadísticos se procedió a una base de datos, que nos permitieron identificar el mercado objetivo (granjas porcícolas), la categoría que pertenece cada granja, así como también se evidencio la existencia de empresas que se dedican a la elaboración de harina de vísceras en la actualidad. Otra de las técnicas de análisis que se utilizó en dicho proyecto fue el método cualitativo por puntos y la ingeniería de métodos con esto se logró obtener el tamaño óptimo para la producción y localización de la planta de subproductos avícolas (Municipio de Sipe-Sipe). La ingeniería de proyecto detallo la descripción del proceso productivo y el balance de masa para la elaboración del producto, seleccionando la maquinaria y herramientas necesarias y la correcta distribución de la planta fue realizada a través del método SLP (Systematic Layout Planning).La evaluación financiera permitió conocer los indicadores de rentabilidad necesarios como el TIR, VAN, B/C y el periodo de la recuperación de la inversión, los resultados obtenidos fueron favorables.Finalmente se definió la categorización del impacto ambiental del proyecto.</t>
  </si>
  <si>
    <t>https://drive.google.com/file/d/1zkPwtuFh4OR90csi2uj5b6IMnkKLZ7QX/view?usp=sharing</t>
  </si>
  <si>
    <t>https://drive.google.com/file/d/17VK2SzLPoMo2PU2o75kFvv70Fvk0tyy-/view?usp=sharing</t>
  </si>
  <si>
    <t>https://drive.google.com/file/d/1UpoM2gcJUuDRT7JyiB7_mXRVGKum_244/view?usp=sharing</t>
  </si>
  <si>
    <t>EVELIN LETICIA PEÑAFIEL LIA</t>
  </si>
  <si>
    <t>ESTUDIO DE FACTIBILIDAD PARA LA IMPLEMENTACIÓN DE UNA PLANTA PRODUCTORA DE CAJAS DE  CARTÓN CORRUGADO A PARTIR DEL PAPEL KRAFT RECICLADO EN LA CIUDAD DE COCHABAMBA.</t>
  </si>
  <si>
    <t>I-2018</t>
  </si>
  <si>
    <t>evelinleticiapenafiellia@gmail.com</t>
  </si>
  <si>
    <t>IND-941-2018</t>
  </si>
  <si>
    <t>VTFA (Viabilidad Técnica, Financiera y Ambiental)</t>
  </si>
  <si>
    <t>El estudio de Factibilidad  para la Implementación de una planta elaboradora de cajas de cartón corrugado a partir de papel Kraft reciclado en la ciudad de Cochabamba tiene como objetivo fundamental estudiar la factibilidad técnica y financiera, de tal manera que determine la viabilidad de efectuar inversiones en la instalacion y comercialización de una  planta de cajas de cartón corrugado.En primer lugar, se realizó un Estudio de Mercado donde la población consumidora fue la Industrias situadas en las provincias de Cercado, Sacaba y Quillacollo, determinando que existe una demanda por parte de los consumidores. Este estudio permitió calcular la demanda insatisfecha que existe en el mercado y estructurar el perfil del consumidor y las estrategias de comercialización.Posteriormente se realizó un análisis de la Materia Prima e Insumos, determinando la disponibilidad, el proveedor del papel Kraft reciclado, el cual será la empresa “Papelbol” y el precio de cada uno de los materiales.Luego se procedió al estudio para la Localización, donde se estableció que la planta se ubicara en el municipio de Sacaba. El tamaño del proyecto fue estimado de acuerdo a la demanda de la población, el primer año comenzara con una produccion del 50% hasta llegar a su total de capacidad instalada.En la Ingeniería del Proyecto se estableció el proceso productivo del producto, está determinando paso a paso el proceso de produccion de cajas de cartón corrugado convencionales y troqueladas para el sector Industrial. Se determinó la maquinaria necesaria para la elaboración de dichos productos, tomando en cuenta la infraestructura y la distribución de la planta.Asimismo, se ilustro el organigrama de la empresa, expresando la ubicación jerárquica del personal a contratar y las funciones que debe de realizar cada miembro de la empresa.Se realizó la Planificación y Ejecución del Proyecto donde se determinaron 12 actividades importantes para la puesta en marcha de la planta, estimando que tendrán una duración una duración igual a 52 semanas, con un probabilidad de 100%.Se desarrolló una Evaluación Financiera del proyecto, mediante indicadores económicos como el TIR (Tasa Interna de retorno) obteniéndose un 24.72%, VAN (Valor actual neto) el cual en el caso del proyecto se obtuvo un valor de 2.709.674,18 Bs y B/C resulto con 1,10 de Beneficio costo. Concluyendo que el proyecto es factible. Posteriormente se realizó el análisis de sensibilidad determinando las variables más sensibles como el precio de venta, demanda y el precio de materia prima.Y finalmente se realizó el análisis del Medio Ambiente, donde el proyecto se encuentra en la categoría 3 donde no se requiere una evaluación ambiental especifico, los daños ambientales serán en la fase de construcción de la planta, en la fase de operación el desecho de mayor cantidad será el papel kraft marrón que es reciclable.</t>
  </si>
  <si>
    <t>https://drive.google.com/file/d/191PXkqzo0mj-PfYKuU0ZZp7snU-xIZeF/view?usp=sharing</t>
  </si>
  <si>
    <t>https://drive.google.com/file/d/1NEZ4m8RefZf_IiYIlYcDDh-b9q-suJcO/view?usp=sharing</t>
  </si>
  <si>
    <t>https://drive.google.com/file/d/1WZkVnyPG9qRtFKnAbRVhLnPTuAc3Go_m/view?usp=sharing</t>
  </si>
  <si>
    <t>IZARO KATERINE GUTIERREZ ROCHA</t>
  </si>
  <si>
    <t>RUDY CATORCENO</t>
  </si>
  <si>
    <t>MGR. EMIR F. VARGAS PEREDO</t>
  </si>
  <si>
    <t>ESTUDIO DE FACTIBILIDAD PARA LA IMPLEMENTACIÓN DE UNA PLANTA PROCESADORA DE LECHE, YOGURT Y QUESO EN LA PROVINCIA DE CAPINOTA</t>
  </si>
  <si>
    <t>katita_full_19@hotmail.com</t>
  </si>
  <si>
    <t>IND-942-2018</t>
  </si>
  <si>
    <t>Proyecto de factibilidad de lácteos (P.F.L.), Metodología de elaboración de productos lácteos (M.E.P.L)</t>
  </si>
  <si>
    <t>Actualmente existe una gran cantidad de excedente de leche cruda en la provincia de Capinota a causa del cuál los productores lecheros presentan bastante pérdida de materia prima y económica. Por lo cual una alternativa de mejora, es la industrialización de leche cruda, instalando una planta procesadora de leche pasteurizada, yogurt frutado y queso fresco en dicha provincia. La finalidad del siguiente trabajo es demostrar la viabilidad técnica, financiera, para la implementación de una planta procesadora de lácteos.La población objetivo que se estableció para el estudio de mercado son las familias de las provincias Cercado y Capinota del departamento de Cochabamba quienes presentan un promedio de consumo bajo (55 l/año por persona) en comparación a lo recomendado por la organización mundial de la salud (120 l /año por persona). La mejor alternativa de emplazamiento para la planta industrializadora es la comunidad de Playa Ancha – Capinota, por presentar mejores características para el proyecto. La capacidad de la planta procesadora será el 15% de la demanda insatisfecha (46'990.320 l/año), es decir 7'300.000 l/año (20.000 l/día). La tecnología que se consideró para el proyecto es semiautomatizada, debido a que permitirá competir con otras empresas del mismo rubro. La inversión total inicial del proyecto es de 478.453 $, que será financiado por el Banco UNIÓN el 90% (430.608 $) y el 10% (47.845 $) será financiado por dos socios. Para calcular la rentabilidad se consideraron las inversiones, costos y los ingresos que genera el proyecto (Capítulo 9). Obteniendo como resultado un VAN=$ 1'404.700, un TIR=54% y un B/C=1,31. Lo que indica que el proyecto es rentable.En cuanto a la evaluación ambiental la planta procesadora de leche pertenece a la categoría 3, debido a que se hará seguimientos y mitigaciones de los impactos ambientales (tratamiento de aguas residuales y reciclaje de residuos sólidos) minimizando de esta manera el impacto ambiental.La planta procesadora de leche contará con las medidas necesarias de seguridad (prohibición, usos obligatorios, señalización, etc.), además se les instruirá sobre los riesgos y peligros de la misma. Finalmente se concluyó que el proyecto es técnico, económico y financieramente rentable, dentro de las condiciones dadas.</t>
  </si>
  <si>
    <t>https://drive.google.com/file/d/1jZZ7_u4_CWbQWz3sq03eFrmR9zM_iaZw/view?usp=sharing</t>
  </si>
  <si>
    <t>https://drive.google.com/file/d/1qbuGJ53buwoaFvdd4FFk50ewLHqmqR4x/view?usp=sharing</t>
  </si>
  <si>
    <t>https://drive.google.com/file/d/18IgyhhX2EWjqE9RA44WbTzSDeO3WzA80/view?usp=sharing</t>
  </si>
  <si>
    <t>JUAN CARLOS MORALES COLQUE</t>
  </si>
  <si>
    <t>MGR. CHOQUE FLORES ALEX D´ANCHGELO</t>
  </si>
  <si>
    <t>PLANIFICACIÓN ESTRATÉGICA PARA LA EMPRESA PURIFICADORA DE AGUA BAMBU COCHABAMBA</t>
  </si>
  <si>
    <t>juan456morales@gmail.com</t>
  </si>
  <si>
    <t>IND-943-2018</t>
  </si>
  <si>
    <t>Evaluación interna en base a indicadores de productividad, Evaluación externa se consideró fuerzas externas y enfoque de Porter, se Elaboraron estrategias básicas, Planificación estratégica, Planificación operativa y Evaluación financiera</t>
  </si>
  <si>
    <t>Se realizó la evaluación interna mediante la implementación de registros y la mejora de otros básicos para la obtención de datos, se identificaron 5 procesos en la empresa Gerencia, Producción, Comercialización, Almacenes y Finanzas. Se calculó la productividad de cada proceso en base a factores críticos e indicadores de productividad y se finalizó con el total de la empresa, se obtuvo que los procesos más limitantes son Comercialización y Gerencia, el más limitado es Producción resaltando entre las fortalezas la calidad de producto terminado y la atención al cliente, y como debilidades se obtuvo el bajo incremento en las ventas y el mínimo uso de la capacidad de los equipos.Para la evaluación externa se consideraron fuerzas económicas como el desempleo y la inflación de los precios, en fuerzas gubernamentales se consideró a SEMAPA y a SENASAG que se encarga de entregar registro sanitario a las empresas que embotellan agua purificada, fuerzas demográficas se vio que en la población de Bolivia hay crecimiento y fuerzas tecnológicas el incremento en el uso de la web en el país.En análisis de Porter la amenaza más fuerte que se encontró es el alto número de empresa competidores en rubro embotelladoras de agua purificada dándole al cliente un alto poder de negociación para consumir el producto ya que tiene una variedad de opciones. La entra de nuevos competidores baja ya que en el mercado de Cochabamba podemos encontrar marcas ya posicionadas con muchos años de experiencia. El poder de los proveedores es baja ya que la materia prima en el proceso es agua potable que se la adquiere de una cisterna, en mercado se puede encontrar una variedad de proveedores.En la evaluación externa se concluyó que la empresa no aprovecha todas las oportunidades que presenta el mercado siendo la amenaza más fuerte el alto número de empresas competidoras y la oportunidad que aprovechas más en la economía del país ofreciendo al cliente un precio accesible de 10 Bs para la adquirir el producto.Se realizaron estrategias básicas misión y visión, a partir de estas se plantearon objetivos estratégicos para desarrollar el proyecto.Se desarrolló el plan estratégico con la generación de estrategias a partir de la evaluación a la empresa, se utilizó la matriz de perfil competitivo, se procedió a enumerar las estrategias y utilizando la matriz de la planeación estratégica cuantitativa para seleccionar las mejorares estrategias que apoyen a la empresa. Obteniendo 2 planes estratégico.En plan operativo se desarrollaron los 2 planes estratégicos penetración de mercado en Cochabamba y diversificación de producto con lo cual se propone alcanzar un incremento en ventas de 25%. Se realizó las líneas de acción, actividades y tareas para entrar a más detalle al cronograma de inversiones y gastos.Se finalizó con la evaluación financiera de la posible implementación determinado el flujo de efectivo, se calculó la TIR, VAN y B/C. Se concluyó que es viable la implementación del proyecto.</t>
  </si>
  <si>
    <t>https://drive.google.com/file/d/1m75RXKiXeXpsdoFNVL86AX_LvonzOFTb/view?usp=sharing</t>
  </si>
  <si>
    <t>https://drive.google.com/file/d/15qPkyyRJMUv_Q_0Ef6wXrA0oP52XDIrZ/view?usp=sharing</t>
  </si>
  <si>
    <t>https://drive.google.com/file/d/1rNoL3QeH3H-ONm1CQqT6DIEgneL_NCMy/view?usp=sharing</t>
  </si>
  <si>
    <t>VANESSA FLORES CALLE</t>
  </si>
  <si>
    <t>MGR. ING. EMILIO GÓMEZ VARGAS</t>
  </si>
  <si>
    <t>ESTUDIO DE FACTIBILIDAD PARA LA IMPLEMENTACIÓN DE UNA  PLANTA PROCESADORA DE SOPAS INSTANTÁNEAS DE MANÍ EN COCHABAMBA</t>
  </si>
  <si>
    <t>vane_sa.fl@outlook.es</t>
  </si>
  <si>
    <t>IND-944-2018</t>
  </si>
  <si>
    <t>Factibilidad-planta procesadora - sopas instantáneas de maní- Cochabamba</t>
  </si>
  <si>
    <t>El estudio de factibilidad para la implementación de una planta industrializadora de sopa de maní instantánea, nace por la necesidad de la población de tener un alimento de fácil elaboración, sabor tradicional y preferido. Para el estudio de factibilidad en primer lugar se realizó la formulación de objetivos, posteriormente una investigación de mercados, se decidió las estrategias de publicidad, que consiste en publicidad en línea y televisión. Una vez determinada la macro localización se procedió a efectuar el estudio de la  micro localización, para ello se realizó una evaluación cualitativa por ponderación de factores como: “acceso y cercanía a la materia prima”, “acceso  y distancia a zonas de consumo”, existencia de mano de obra”, servicios básicos” y “sistemas  de comunicación”, para así elegir la alternativa más conveniente  para el emplazamiento de la planta procesadora de sopa instantánea de maní, donde la mejor alternativa resultó el parque industrial Santivañez. Se describió las características, cantidades y costos de la materia prima, insumos, materiales auxiliares y suministros, se analizó la disponibilidad de materia prima. Se ilustró en un organigrama del personal y las funciones del equipo trabajador de la planta. Posteriormente se estimaron los costos: de la maquinaria, servicios básicos, seguridad industrial, para la implementación y ejecución de la planta, se describió los procesos necesarios para planta procesadora, se hizo la distribución de planta, se analizó la estructura legal del proyecto. Con toda la información de costos se procedió a la preparación de esta información para realizar el respectivo análisis financiero usando indicadores como: el valor actual neto de  53.196,6 $us, la Tasa interna de retorno de 18,9 %, una relación de beneficio costo de 1,2; indicadores que muestran que el proyecto es económicamente rentable. Finalmente, se realizó una matriz de aspectos e impactos ambientales dividiendo su análisis en las actividades de las etapas de ejecución y operación. Se identificaron y valoraron los impactos ambientales, para el proyecto concluyendo que el proyecto es también viable de manera ambiental, se tomó medidas de control en los impactos ambientales negativos, se categorizo a la empresa en un Categoría 4.</t>
  </si>
  <si>
    <t>https://drive.google.com/file/d/1PLki_BfbvBAcQFamjPkxV0ankLxueEtF/view?usp=sharing</t>
  </si>
  <si>
    <t>https://drive.google.com/file/d/142A3S5nVTmXAAnhaAZS_zhWA50OfglLd/view?usp=sharing</t>
  </si>
  <si>
    <t>https://drive.google.com/file/d/1kj1b23fIoXfnHzxoeEfXSic109cbffW1/view?usp=sharing</t>
  </si>
  <si>
    <t>CRISTHIAN ADHEMAR BAZOALTO ZAMBRANA</t>
  </si>
  <si>
    <t>OPTIMIZACIÓN DE LA PRODUCCIÓN EN EL ÁREA DE CONVERSIÓN DE LA EMPRESA COPELME S.A. MEDIANTE LA INGENIERÍA DE MÉTODOS</t>
  </si>
  <si>
    <t>cris_wwf@hotmail</t>
  </si>
  <si>
    <t>IND-945-2018</t>
  </si>
  <si>
    <t>PRODUCTIVIDAD, Producción, Procedimientos, Análisis de Velocidades</t>
  </si>
  <si>
    <t>El presente proyecto se realizó con la finalidad de optimizar la producción de la planta Copelme S.A., mas propiamente dicha del área de Conversión; haciendo uso de recursos por lo que se vio conveniente la realización de un estudio de métodos.Se realizó como primer paso el árbol de problemas que permitió identificar claramente las causas, efectos y el problema central, en el área de Conversión. Y de esa manera viendo conveniente la realización de un estudio de métodos y operacional de las máquinas.El desarrollo del proyecto comenzó con la realización de un diagnóstico de la situación actual de la línea Automática, a través de una toma de datos, información acerca de la línea Automática (proporcionada por el departamento de Producción - Conversión); como ser datos de las máquinas y algunos tiempos de ciclo.El siguiente paso fue la realización del estudio de métodos, es decir; Diagramas de proceso, diagramas de actividades múltiples-maquina, cursogramas sinóptico, etc. estos estudios permitieron conocer a detalle e identificar el proceso productivo en la línea Automática y a la vez también hallar posibles mejoras.Una vez conocida la situación actual de la línea Automática, se empezara con el desarrollo de las propuestas N°1 y N°2. Posteriormente se realizara el plan de implementación de las propuestas. Y finalmente se realizara el análisis beneficio/costo, conclusiones y recomendaciones.</t>
  </si>
  <si>
    <t>https://drive.google.com/file/d/1HwwIm0zNAwnWs3yf5kgR9Qp-NAB9NViO/view?usp=sharing</t>
  </si>
  <si>
    <t>https://drive.google.com/file/d/1FPy10cGWJMkx39AfKdKVhY1RwRjbcBPl/view?usp=sharing</t>
  </si>
  <si>
    <t>https://drive.google.com/file/d/16RwL98oouZeqiV5Cm2fKw8uFbmk3LU7N/view?usp=sharing</t>
  </si>
  <si>
    <t>JHENNY PAHUASI OMONTE</t>
  </si>
  <si>
    <t>ING. OSVALDO RODRIGO ANTEZANA MAMANI</t>
  </si>
  <si>
    <t>PLANIFICACIÓN ESTRATÉGICA PARA LA EMPRESA “SEASA S.A.” EN LA LÍNEA FRUT-ALL  TETRA BRIK</t>
  </si>
  <si>
    <t>jhepo.98@gmail.com</t>
  </si>
  <si>
    <t>IND-946-2018</t>
  </si>
  <si>
    <t>Plan Estratégico, Diagnostico, Sistemas de control, Matriz Cuantitativa de la Planificación Estratégica (MCPE).</t>
  </si>
  <si>
    <t>Primeramente se recabo toda la información necesaria de la empresa, para poder entender de manera clara cuál era su principal actividad, se desarrolló detalladamente el proceso productivo de la línea frut-all donde se evidencio que tiene 17 procesos desde la recepción de la materia prima hasta la entrega del producto terminado a despachos, para determinar los caracteres fundamentales de la empresa ( Misión, Visión) se realizó una nueva propuesta tomando en cuenta los elementos para el desarrollo de la misión y visión  ya que se debe modificar estos caracteres cada cinco años, y se puso a disposición de los gerentes.Se clasificaron los procesos de la empresa en: Procesos estratégicos (Gerencia y Control de calidad) que están relacionados  con la definición, establecimiento y seguimiento  de las políticas, estrategias y objetivos, así como el establecimiento de la comunicación que permitan a la empresa alcanzar las metas; Procesos de valor (Producción) que dan como resultado, el cumplimiento de la razón de ser de la empresa; Procesos de apoyo (Recursos Humanos, Finanzas, Almacén y Expedición) que proveen los recursos necesarios, para el desarrollo de los procesos estratégicos y de valor, estos procesos facilitan el desarrollo de los procesos de valor, proveen servicios de utilidad para toda la empresa. Después de haber estudiado cada uno de los procesos de la empresa se halló el diagnostico de productividad del sistema, teniendo una deficiencia del 18% y una productividad del 82 % y según los parámetros establecidos fue aceptable.Se realizó un análisis de la empresa y su entorno y se identificaron las fortalezas, debilidades, oportunidades y amenazas las cuales son muy importantes a la hora de establecer estrategias. Para establecer estrategias se utilizaron herramientas y técnicas de análisis de información como: Análisis del ciclo de vida del producto, Matriz de productos y mercados, Matriz FODA estratégico. Así mismo para decidir que estrategias deben priorizarse, se utilizó la Matriz Cuantitativa de la Planificación Estratégica (MCPE).A partir de las estrategias seleccionadas  se decidió formar tres planes estratégicos para la empresa SEASA, los planes fueron: Plan de actualización, Plan de perfección y Plan de innovación, una vez establecidos los planes estratégicos, se procedió a realizar una descripción detallada de los respectivos planes que fueron analizados a través de líneas estratégicas y estas a su vez en principales actuaciones acompañados de un horizonte temporal.Como apoyo para para la toma de decisiones se realizó una evaluación financiera ya que es esta la que determina la capacidad que tiene un proyecto de recuperar los recursos económicos invertidos, se hizo el uso de las herramientas de evaluación de proyectos, como el estado de resultados con sus respectivos indicadores financieros del TIR y VAN, se determinó si el proyecto es o no viable económicamente.Finalmente se demuestro que con la ejecución del proyecto  la empresa es más rentable en un  8 % mas según el TIR y 1.472.512,16 Bs mas de utilidad según el VAN. En consecuencia la ejecución del proyecto traería mas beneficio económico en los posteriores 5 años para la empresa SEASA S.A.</t>
  </si>
  <si>
    <t>https://drive.google.com/file/d/1V69o1Zl-FfNzlfuZvnJeyIVMQdpOK_4x/view?usp=sharing</t>
  </si>
  <si>
    <t>https://drive.google.com/file/d/1muLbYnUMAWRfrNyIW0rNnKd5mR3LO9zR/view?usp=sharing</t>
  </si>
  <si>
    <t>https://drive.google.com/file/d/12ajHGp0RG2RvxkAA7zZG0VjDbt1430Cu/view?usp=sharing</t>
  </si>
  <si>
    <t>ADRIANA SILES CUELLAR</t>
  </si>
  <si>
    <t>PROYECTO DE TRANSFORMACIÓN CURRICULAR PARA LA CARRERA LICENCIATURA EN INGENIERÍA INDUSTRIAL DE LA FACULTAD DE  CIENCIAS Y TECNOLOGÍA DE LA UNIVERSIDAD MAYOR DE SAN SIMÓN</t>
  </si>
  <si>
    <t>adrianasilescuellar@outlook.com</t>
  </si>
  <si>
    <t>IND-947-2018</t>
  </si>
  <si>
    <t>Transformación Curricular, Perfil Académico Profesional, Competencias, Plan de Estudios, Modelo Pedagógico</t>
  </si>
  <si>
    <t>El Proyecto de Transformación Curricular para la Carrera Licenciatura en Ingeniería Industrial surgió a partir de la necesidad de la carrera de cumplir con las recomendaciones que se realizaron durante el proceso de acreditación al Sistema ARCU-SUR del MERCOSUR. Estas observaciones estuvieron principalmente enfocadas a la propuesta formativa: 1) su articulación con la investigación e interacción social, 2) su poca flexibilidad,  3) no contempla contenidos relacionados con el manejo del idioma inglés, comunicación oral y escrita y 4) su pertinencia y correlación con el contexto profesional actual.En ese sentido se inició con la realización del proyecto con base en las “Guías para la renovación curricular y/o creación de programas o carreras de la Universidad Mayor de San Simón”, elaboradas por el Departamento de Desarrollo Curricular (DDC), dependiente de la Dirección de Planificación Académica (DPA), las cuales tienen el propósito de orientar el procedimiento que debe seguir cualquier unidad académica que pretenda asumir alguna de estas tareas.Inicialmente se realizó un diagnostico situacional de la carrera para identificar lar principales necesidades de la misma y determinar los elementos que pueden mejorarse y modificarse a través de la transformación curricular. Para ello se recabó información existente sobre el rendimiento académico, matrícula, tasa de titulación, interacción, investigación, etc. Estos datos arrojaron que la demanda de la carrera tiene una tendencia creciente, sin embargo existe una elevada retención estudiantil debido a la baja tasa de titulación, esta situación trae consigo consecuencias como limitada infraestructura y equipamiento y disminución de la calidad en la formación de los estudiantes, cuyos resultados se observaron en el análisis del rendimiento académico de la carrera.Posteriormente se realizó un análisis del entorno en el que se desarrolla la profesión, para determinar cuáles son las exigencias y necesidades del mercado laboral y la pertinencia y vinculación de la propuesta formativa actual con los mismos. En esta etapa se recurrió a datos sobre la base empresarial del país, estadísticas del PIB, encuestas a empresas del medio y titulados de la carrera.  De esta manera se identificaron las áreas de desarrollo profesional del ingeniero industrial de mayor demanda, las nuevas áreas de trabajo que deben cubrirse con la nueva propuesta curricular y las competencias y habilidades que el medio requiere del profesional.Una vez realizados el diagnóstico de la carrera y el análisis del entorno se elaboró el nuevo Perfil Académico Profesional para el ingeniero industrial de la UMSS, considerando los aspectos encontrados en las etapas anteriores, con todos los elementos establecidos por el Departamento de Desarrollo Curricular de la Universidad, identidad del profesional, áreas de desarrollo profesional, nodos problematizadores y competencias.En colaboración con el equipo de gestión curricular se elaboró una nueva propuesta de Estructura Curricular y Plan de Estudios para la Carrera de Ingeniería Industrial, para ello se consideraron las necesidades y problemas identificados principalmente en el análisis del entorno de la profesión, y las observaciones del proceso de acreditación.Asimismo, se elaboró un Modelo Pedagógico Didáctico que acompañe la propuesta formativa y oriente el proceso de enseñanza aprendizaje en la carrera, el mismo propone metodologías de enseñanza para la formación y evaluación de las competencias que se pretende lograr en el ingeniero industrial de la UMSS.Finalmente, se establecieron los mecanismos que permitirán el funcionamiento de la propuesta formativa, régimen estudiantil, régimen docente, estrategias de evaluación curricular y viabilidad.</t>
  </si>
  <si>
    <t>https://drive.google.com/file/d/13RDzMqKO8Y5gTaX_mtuh_FFEZlu60Ylr/view?usp=sharing</t>
  </si>
  <si>
    <t>https://drive.google.com/file/d/1css8H2KomikPImVlPGB88nt3sWoRP5Lj/view?usp=sharing</t>
  </si>
  <si>
    <t>https://drive.google.com/file/d/1QrscXR5xrRYGotTvXUpptMTnWMOW4Vd0/view?usp=sharing</t>
  </si>
  <si>
    <t>MIGUEL ANGEL CÁCERES ZUNA</t>
  </si>
  <si>
    <t>M. SC. ING. ALEX D´ ANGHELO CHOQUE FLORES</t>
  </si>
  <si>
    <t>PLANIFICACIÓN ESTRATÉGICA PARA LA EMPRESA TEXTIL ISRAEL-COCHABAMBA</t>
  </si>
  <si>
    <t>IND-948-2018</t>
  </si>
  <si>
    <t>Planificación estratégica, Análisis Foda, Mapa de procesos, Indicadores, Cuadro de mando integral, Microempresa</t>
  </si>
  <si>
    <t>La Microempresa ISAREL vio por conveniente la elaboración de una planificación estratégica ya que actualmente la empresa no cuenta con una organización de gestión que pueda llevar de manera satisfactoria cada una de sus actividades y el cumplimiento de sus objetivos.En primer lugar, se realizó un diagnostico actual de los factores externo que permitieron identificar las oportunidades y amenazas, y los factores internos que nos permite conocer las fortalezas y debilidades de la Microempresa ISRAEL.Posteriormente se desarrolló el marco estratégico con la finalidad de brindar una misión, visión y desarrollar los objetivos estratégicos para los cinco años siguientes, de esta manera brindar una razón de ser a la empresa y un ideal de un futuro a conseguir.Con la información obtenida en el diagnóstico de factores internos y externos se procedió a desarrollar, las estrategias a través de la matriz Foda, las cuales ayuden a potenciar las oportunidades y fortalezas, y ayuden a minimizar las amenazas y debilidades. Seguidamente se desarrolló las evaluaciones de las estrategias en la matriz cuantitativa de planificación estratégica, con la cual se obtuvo cuatro estrategias con la mayor puntuación.En base a las estrategias obtenidas de la matriz cuantitativa de planificación estratégica, se desarrolló la planificación estratégica en dos planes; “plan fénix y plan conquista” para que de esta manera la empresa alcance la visión establecida. También se desarrolló el P.O.A. para la gestión 2018.Se desarrollo el cuadro de mando integral apoyado de un sistema de control con indicadores, que servirán de apoyo al adecuado funcionamiento y monitoreo de cada uno de los procesos de la empresa, a fin de garantizar la adecuada operación y cumplimiento de los factores críticos.A su vez se realizó una proyección financiera para decidir si es conveniente para la empresa el mantener su sistema actual de trabajo o implementar el plan propuesto en el presente proyecto, observándose que la implementación de este es lo más conveniente en función a los objetivos empresariales propuestos.</t>
  </si>
  <si>
    <t>https://drive.google.com/file/d/10wq3t-pgt8tjd4G7jzyOSY-zF6lH3aLO/view?usp=sharing</t>
  </si>
  <si>
    <t>https://drive.google.com/file/d/13Q0PL1KVKeRxavL_obUNvIu-bLyuqRkT/view?usp=sharing</t>
  </si>
  <si>
    <t>https://drive.google.com/file/d/1PHcKU-oZWUQo625iVclhowyzek07Y7sV/view?usp=sharing</t>
  </si>
  <si>
    <t>DEYVI ENDAR AGUILAR MEDINA</t>
  </si>
  <si>
    <t>GRACIELA GUEVARA GONZALES</t>
  </si>
  <si>
    <t>ESTUDIO DE FACTIBILIDAD PARA EL ESTABLECIMIENTO DE UNA EMPRESA PRODUCTORA Y COMERCIALIZADORA DE BARRAS DE PROTEÍNA CON FRUTOS SECOS PARA EL MERCADO DE LA CIUDAD DE COCHABAMBA</t>
  </si>
  <si>
    <t>deyvi.aguilar.medina@gmail.com</t>
  </si>
  <si>
    <t>IND-949-2018</t>
  </si>
  <si>
    <t>Planta Procesadora de barras de Proteína, suero de leche, secado por aspersión, Ivirgarzama, LACTEOSBOL, SEDEDE, Diagramas (SLP), Método PERT/GANTT, indicadores financieros, impactos ambientales</t>
  </si>
  <si>
    <t>El presente proyecto implementara una planta procesadora de barras de proteína con frutos secos dirigido al mercado de Cochabamba, ofreciendo a la población deportista un producto con alto contenido proteico; además beneficiará a la sociedad y el medio ambiente haciendo el tratamiento de un desecho de la industria quesera, que es el suero de leche.Durante el estudio de mercado se  cuantifico y proyecto la demanda efectiva del proyecto que es de 721.770 barras/año1, una vez realizado el estudio se realizó un análisis de competencia estableciendo 4 estrategias de marketing mix.Se determinó el requerimiento de materia prima (suero 519.916 L, pasas 2.707 kg y almendra 33.833 kg), insumos (miel 4.511 kg, avena 27.066 kg, coco 8.120 kg, chía 6.315 kg, cacao 5.639 kg, sorbato de potasio 133 kg, benzoato de sodio 133 kg) necesarios para el primer año. Por medio de la ingeniería del proyecto se describió el proceso productivo, el requerimiento de máquinas (amasadora, trituradora, selladora, pasteurizadora, evaporadora, secadora), equipos (tanque de almacenamiento, filtradora, refrigerador, balanzas), utensilios, muebles y equipos de oficina, infraestructura y servicios básicos con sus respectivos costos y la distribución de planta.El estudio de localización demostró que la mejor opción para el establecimiento de la planta es el cantón de Ivirgarzama perteneciente al municipio de Puerto Villarroel, la capacidad utilizada en el primer año será del 61%.Con el estudio organizacional y legal se determinó el organigrama, el costo de mano de obra requerido (Bs. 1.077.096) y los aspectos legales para la constitución de la empresa.En la planificación y ejecución se determinó el tiempo de 41 semanas para la implementación del proyecto con una probabilidad del 94, 96%.En la evaluación financiera se determinó la inversión necesaria de Bs 2.767.101, la rentabilidad del proyecto con un TIR=19% mayor al TMAR= 9,90%, resultado corroborado por el VAN =Bs. 996.834 positivo y B/C= 1,71 superior a 1.En cuanto a la categorización del impacto ambiental, el proyecto se encentra en la Categoría IV, por lo tanto solo requiere de un manifiesto ambiental.</t>
  </si>
  <si>
    <t>https://drive.google.com/file/d/1u40gpA5Xk_n-oDyAVVF1axHpiIro9r6n/view?usp=sharing</t>
  </si>
  <si>
    <t>https://drive.google.com/file/d/1yHIW9X02t7YYFkbCtf41Idoqh8jEhG53/view?usp=sharing</t>
  </si>
  <si>
    <t>https://drive.google.com/file/d/1DP05N-ka3lpkHPPcr2j0yXggKxbtRD31/view?usp=sharing</t>
  </si>
  <si>
    <t>JOHANNA ANTONELLA LINO CORTEZ</t>
  </si>
  <si>
    <t>ING. EMIR VARGAS</t>
  </si>
  <si>
    <t>DISEÑO DE UN SISTEMA DE GESTIÓN DE LA SEGURIDAD Y SALUD OCUPACIONAL BASADO EN LA NB/OHSAS 18001:2008 PARA EMPRESA METALÚRGICA AYLLON</t>
  </si>
  <si>
    <t>joantolico25@gmail.com</t>
  </si>
  <si>
    <t>IND-950-2018</t>
  </si>
  <si>
    <t>METAYLLON: Metalúrgica Ayllon,SG: Sistema de Gestión, SySO: Seguridad y Salud Ocupacional, IBNORCA: Instituto Boliviano de Normalización de Calidad, NB: Norma Boliviana, OHSAS: Occupational Health and Safety Advisory Services, IPER: Identificación de Peligros y Evaluación de Riesgos</t>
  </si>
  <si>
    <t>METAYLLON ha visto por conveniente realizar un Sistema de Gestión de Seguridad y Salud Ocupacional debido a los riesgos que se exponen los operarios en el taller.Primeramente se realizó un diagnóstico de la situación actual de METAYLLON en materia de SySO, y se recabo la información disponible acerca de las actividades, la organización actual, identificación de peligros, evaluación de riesgos e identificación de los requisitos legales aplicables, etc. Todo ello con el fin de diseñar el SG SySO a través del manual de SySO, procedimientos e instructivos del trabajo.En cuanto a la IPER (Investigación de Peligros y Evaluación de riesgos) se registró y se observó las actividades con mayor riesgo y se determinó controles para dichas actividades.En cuento a lo legal se identificó el cumplimiento de la Ley General de Higiene, Seguridad Ocupacional y Bienestar Decreto Ley 16998 de 2 de agosto de 1979. Verificando el cumplimiento actual de la empresa.Mediante un análisis de todos los datos recabados se procedió al diseño del manual de SySO, de los procedimientos de IPER, identificación de Requisitos Legales, Control Operacional, Planes de Emergencia, etc.; y se realizó los instructivos de trabajo para el manejo seguro de herramientas.Con la elaboración del manual, procedimientos e instructivos el personal estará comprometido con la mejora de SG SySO, creara ambientes más seguros, más propicios y más ordenados; mejorara la comunicación interna, reducirá accidentes e incidentes laborales.Se calculó el presupuesto para el SG SySO y se determinó los beneficios que atrae para la empresa y para los trabajadores. Se recomienda a la empresa la implementación de SG SySO.</t>
  </si>
  <si>
    <t>https://drive.google.com/file/d/1EXa3QJza4MNOpAwgCpwBOivpNxciub1i/view?usp=sharing</t>
  </si>
  <si>
    <t>https://drive.google.com/file/d/1bx11vhD_v4Picjb-lc2ILxZlJyRRYS9_/view?usp=sharing</t>
  </si>
  <si>
    <t>https://drive.google.com/file/d/1en7j-bzOHD4HOq3Yg02TVfI3UcOHeGXd/view?usp=sharing</t>
  </si>
  <si>
    <t>WILFREDO PÉREZ AVILÉS</t>
  </si>
  <si>
    <t>DISEÑO DE UN PLAN DE MANTENIMIENTO AUTÓNOMO SEGÚN TPM (TOTAL PRODUCTIVE MAINTENANCE) PARA LA FÁBRICA DE MUEBLES CIMAL</t>
  </si>
  <si>
    <t>wilfrepa8056@hotmail.com</t>
  </si>
  <si>
    <t>IND-951-2018</t>
  </si>
  <si>
    <t>Diseño de un Plan de Mantenimiento Autónomo, TOTAL PRODUCTIVE MAINTENANCE, Mantenimiento Planificado</t>
  </si>
  <si>
    <t>En el Área de laminado de la fábrica de muebles CIMAL  se ha visto por conveniente realizar un Plan de Mantenimiento Autónomo según TPM para mejorar continuamente la productividad con los respectivos diseños de las actividades de los pilares del TPM no dejando de lado al principal motor de las actividades, como ser los operadores, operadores que serán capacitados con temas de las 5S´s, Mantenimiento Autónomo, Mejoras Enfocadas, Mantenimientos Preventivos, etc.En primer lugar se realizó un diagnóstico de las condiciones actuales del área de laminado y se recabo la información disponible acerca de las capacitaciones o charlas que se da en el área, los tipos de mantenimiento que utilizan, la forma de mantener sus equipos y la aceptabilidad de implementar un sistema productivo como el TPM, este último dato es importante porque se observa cuan disponible está el personal de implementar la filosofía Con el cálculo del OEE se tuvo el conocimiento del grado de utilización que se les está dando a la línea piloto, profundizando las causas del bajo grado de utilización del equipo como la velocidad reducida en los equipos y viendo cuan competitiva es la empresa.Con la línea laminado identificada nos da luz verde para su respectivo diseño para la implementación del TPM. Con el mantenimiento autónomo, donde se realizó documentos de capacitaciones como paneles de información, presentaciones en power point, lecciones puntuales, estandarizaciones, auditorias, etc.Con un mantenimiento planificado utilizando las herramientas predictivas, se controla o se evitara las paradas de las máquinas y así las pérdidas de la empresa. Distintas herramientas para un mantenimiento planificado como diseños de planillas en las cuales se identificaron anomalías que presenta las maquinas en el puesto de trabajo para su respectiva solución o corrección del equipo.Las planillas, las capacitaciones, las lecciones puntuales realizados por el personal serán documentas con el único objetivo de seguir un sistema de productividad.Finalmente se determinó los costos y las inversiones que realizara la empresa una vez aprobada el proyecto por el comité de planta. Los beneficios fueron calculados por la cantidad de producción que podría producir si se llega a ser mejoras continuas.</t>
  </si>
  <si>
    <t>https://drive.google.com/file/d/1XcRftg44JPr_HiBWPUNz56x0ovjntAad/view?usp=sharing</t>
  </si>
  <si>
    <t>https://drive.google.com/file/d/1c6VicrCMfbjDytTcV6R7FL-aY82i6lLL/view?usp=sharing</t>
  </si>
  <si>
    <t>https://drive.google.com/file/d/1FnybQJ5wzRHKKs57GUTzv3f6pRTt7KUg/view?usp=sharing</t>
  </si>
  <si>
    <t>JOSE MANUEL ESPADA</t>
  </si>
  <si>
    <t>ING.  ALBERTO CLAURE IBARRA</t>
  </si>
  <si>
    <t>DISEÑO DE UNA PLANTA DE PRODUCCIÓN DE TUBOS DE PVC</t>
  </si>
  <si>
    <t>jmemanu@hotmail.com</t>
  </si>
  <si>
    <t>IND-952-2018</t>
  </si>
  <si>
    <t>Diseño de una planta, tubos de PVC, PVC</t>
  </si>
  <si>
    <t>La necesidad de haber realizado el estudio del proyecto fue de poder introducir al mercado un producto alternativo, que realmente satisfaga las necesidades del cliente respecto a la calidad de fabricación, Distribución y comercialización. El producto es utilizado en proyectos de infraestructura que abarca instalaciones de redes de agua potable, alcantarillado y sistemas de riego.Los clientes que fueron analizados en el proyecto son la empresa EPSAS de la ciudad de La Paz, Semapa de Cochabamba, Saguapac de Santa Cruz, como también las empresas públicas del estado como EMAGUA (Entidad Ejecutadora de Medio Ambiente y Agua) y el MMYA (Ministerio de Medio Ambiente y Agua).La oferta del producto se analizó a partir de la importación de resina de PVC al mercado de Bolivia, que es utilizado en la producción de tubos de PVC y ofertado en los diferentes proyectos mencionados, donde se determinó que existe una demanda insatisfecha de 16% hasta 18%.Es por ello, que se diseñó una planta Industrial que permita la fabricación de tuberías de ½ pulgada hasta 10 pulgadas con una capacidad instalada de 3.240 T. Tendrá una producción para la gestión 2019 de 124.932 tubos a un punto de equilibrio de 29.541 tubos.La materia prima analizada para la fabricación de tubos de PVC será la resina por suspensión de tipo 1 o grado1, los aditivos adecuados para el proceso de preparación del compuesto son Sales de plomo, carbonato de calcio y dióxido de titanio.El producto ofertado en el mercado cumplirá todas las normas de calidad y pruebas de laboratorio vigentes en Bolivia y el precio de venta de los tubos será menor en comparación a los precios de venta de las empresas competidoras como Tigre, Dismat, Proplastic y Plamat, teniendo así un producto altamente competitivo en precio y calidad.La ubicación de la planta será en el parque industrial del municipio de Santivañez del departamento de Cochabamba con una superficie requerida de 3.509 m2 La evaluación financiera, mostro que el proyecto se encuentra dentro de los parámetros de aceptación reportando los siguientes resultados:T.I.R del 30%V.A.N de 2.023.954 $us y un B/C de 1,94Mediante el análisis de sensibilidad se pudo verificar que el proyecto tiene mayor susceptibilidad en el incremento de los costos de materia prima si es que él % se encuentra superior al 17%, también es sensible al descenso de la cantidad vendida si es que existiera un decremento más de 7%. La evaluación de impacto ambiental social concluye que el proyecto es ecológicamente compatible, por lo que tiene impactos negativos en una escala baja, pero sin embargo se realizaran estrategias que permitan subsanar aquellos impactos que pueden afectar al personal d trabajo como el uso inadecuado de materia prima, por lo que se realizaran diferentes planes de manteamiento y uso obligatorio de equipos de protección.</t>
  </si>
  <si>
    <t>https://drive.google.com/file/d/1tRGxj6bHfOw291jBICCyjlfYSJRb6Z_o/view?usp=sharing</t>
  </si>
  <si>
    <t>https://drive.google.com/file/d/1v24wLZvhk0lQ2zFst_hokRujTZG7vRp6/view?usp=sharing</t>
  </si>
  <si>
    <t>https://drive.google.com/file/d/1IqaWhl4PVPieadyehBCqr2cZ6JMTXEMS/view?usp=sharing</t>
  </si>
  <si>
    <t>ROLY ESCOBAR SENZANO</t>
  </si>
  <si>
    <t>PROYECTO DE FACTIBILIDAD PRODUCTIVA Y COMERCIAL PARA LA IMPLEMENTACIÓN DE UNA PLANTA PELADORA DE MAÍZ EN LA PROVINCIA GERMAN JORDÁN – CLIZA</t>
  </si>
  <si>
    <t>roly_esz@hotmail.com</t>
  </si>
  <si>
    <t>IND-953-2018</t>
  </si>
  <si>
    <t>Maíz pelado, Demanda insatisfecha, Análisis de sensibilidad, Evaluación ambiental.</t>
  </si>
  <si>
    <t>Se realizó una investigación en la provincia Andrés Ibañez del departamento de Santa Cruz, estudiando también los mercados distribuidor, competidor y proveedor. Se determinó una demanda insatisfecha, como también se determinó la proyección de demanda de maíz pelado en los 5 sectores de la provincia Andrés Ibañez del departamento de Santa Cruz. Posteriormente se definió el tamaño de la planta considerando que la empresa busca abarcar un 32% de la demanda insatisfecha de maíz pelado produciendo el primer año 350.064 Kg/año. Con el tamaño definido según la capacidad se dimensionó los ambientes para la planta, se calculó de igual manera los equipos, maquinaria, materiales e insumos necesarios para tales volúmenes de producción.Se detalló la localización de la planta, siendo planteada la provincia German Jordán - Cliza del departamento de Cochabamba. Se definió un tamaño de 6.000 mt2 para la planta. El estudio organizacional fue realizado para la planta definiendo el diagrama organizacional, las funciones de cada trabajador y las planillas de salarios.En el estudio de viabilidad técnica se explicó a detalle, tomando en cuenta el proceso productivo necesario para la producción de maíz pelado. Se determinó el subproceso de Secado como Cuello de Botella de todo el proceso productivo.Posteriormente se preparó la información para poder realizar la evaluación financiera determinando un VAN de 1.185.938 Bs, una TIR de 27% y una relación B/C de 1,43. También se realizó un análisis de sensibilidad donde fue mostrado que la disminución de ingresos es la variable más sensible para la producción de maíz pelado. Se determinó una inversión total de 1.963.887 Bs. Para todo el proyecto definiendo un 74% de aporte propio y un 26% de financiamiento.Finalmente se concluyó con una Evaluación de Impacto Ambiental, donde se estudió al proyecto en sus etapas de ejecución y operación. Se concluyó que no existen factores de riesgo negativo considerables y se estableció medidas de mitigación para dichos factores.</t>
  </si>
  <si>
    <t>https://drive.google.com/file/d/1QpI4vEJTkjG-Wi-jHP1DnFulbs9cpYAa/view?usp=sharing</t>
  </si>
  <si>
    <t>https://drive.google.com/file/d/1g0uOC5cR-ADIOd5w0LdKenMi8TS8fL8r/view?usp=sharing</t>
  </si>
  <si>
    <t>https://drive.google.com/file/d/1BxMD3Mk4PFDrza9m09_Tn2YtwPp058rv/view?usp=sharing</t>
  </si>
  <si>
    <t>WILSON GONZALES HIDALGO</t>
  </si>
  <si>
    <t>SISTEMA DE GESTIÓN DE CALIDAD BASADA EN LA NORMA NB ISO 9001:2015 PARA LA DIRECCIÓN DE ADMINISTRACIÓN GEOGRÁFICA Y CATASTRO DEL GOBIERNO AUTÓNOMO MUNICIPAL DE COCHABAMBA (G.A.M.C.)</t>
  </si>
  <si>
    <t>wilson_7766@hotmail.com</t>
  </si>
  <si>
    <t>IND-954-2018</t>
  </si>
  <si>
    <t>Diseño de un Sistema de Gestión de Calidad, NB ISO 9001:2015, Mejora continua, Planes de Calidad</t>
  </si>
  <si>
    <t>Primeramente se realizó un Diagnóstico Inicial en base a la Norma ISO 9001:2015 para identificar el grado de cumplimiento de los requisitos de la Norma en relación a la situación actual de la Unidad realizando una serie de actividades como ser: Entrevista con el personal de la Unidad, Acceso a la Información, Observación In Situ de los procesos que se realiza en la Unidad, Análisis del cumplimiento Normativo y  Presentación de los Resultados del Diagnóstico.Del diagnóstico se pudieron extraer los siguientes resultados: En la Dirección de Administración Geográfica y Catastro se ha observado que cumple con los requisitos en un 12 %  de la Norma ISO 9001:2015, esto debido a la existencia de algunos documentos implementados (Manual de funciones de la secretaría de Servicios al ciudadano) y actividades que se realizan de los cuales no se tiene evidencia documental para su verificación, el restante 88% son requisitos que no se cumple o no son aplicables.Para el diseño del Sistema de Gestión de Calidad de la Dirección de Administración Geografía y catastro, según la Norma Boliviana ISO 9001:2015 ‘‘Sistemas de Gestión de Calidad - Requisitos’’. Se realizó la siguiente secuencia de actividades: Definición de los Procesos que formaran parte del Sistema de Gestión de la Calidad, definición de la Política de la Calidad, definición de Objetivos de la Calidad, redacción del Manual de Calidad, elaboración de los Procedimientos requeridos por la Norma, elaboración de los Procedimientos Operativos, redacción de Registros, redacción de otros documentos, estas actividades llegan a ser la documentación del Sistema de Gestión de Calidad para la implementación definida para la Unidad.Para identificar los procesos que formaran parte del Sistema de Gestión de Calidad y de esa manera cumplir con el primer requisito estipulado en la Norma ISO 9001:2015, se desarrolló primeramente Fichas de procesos que nos permitirá establecer los elementos que forman parte de un proceso, así como su finalidad y para entender su funcionamiento de los distintos procesos, se estableció un Mapa de procesos, se identificaron los requisitos legales, técnicos y del ciudadano, se determinó los procesos que tienen relación con el cumplimiento de estas necesidades convirtiéndolas en requisitos para la Dirección, se aplicaron estos procesos orientados a entregar un servicio que satisfaga las necesidades del cliente.Para el desarrollo de la identificación y la interacción de los principales procesos se contó con la participación del personal de la Unidad, principalmente con los responsables del Área Técnica, Área legal y como resultado final se esquematizo en categorías. Se desarrolló  una  Guía de trámites actualizada del servicio que brinda Administración Geografía y Catastro con el objetivo de facilitar una adecuada información a los ciudadanos.También se elaboró un Plan de implementación considerando las acciones y el área responsable de cada actividad, por otra parte se realizó los siguientes Planes para la Gestión: Plan de Calidad, Plan de Capacitación, Plan  Anual de Auditorías de Calidad que permitirá gestionar eficazmente el mantenimiento del Sistema.Se puede concluir que el diseño de un Sistema de Gestión de Calidad para la Dirección de Administración Geográfica y Catastro del Gobierno Autónomo Municipal de Cochabamba según la norma ISO 9001:2015, como una herramienta que ayudara a administrar sus procesos operativos y permita trabajar bajo un cultura de calidad y mejora continua, brindando un servicio enfocado en la satisfacción del ciudadano.</t>
  </si>
  <si>
    <t>https://drive.google.com/file/d/1zvZq_qwhQDq84jTqR3F7Gu8YoYz7xBT2/view?usp=sharing</t>
  </si>
  <si>
    <t>https://drive.google.com/file/d/1DGw8Fiqk1xKRYPgNph9FZ8NKASP5DA-c/view?usp=sharing</t>
  </si>
  <si>
    <t>https://drive.google.com/file/d/1Nz7bOOcUgEodQ9gQGzFGtymldqRri9pc/view?usp=sharing</t>
  </si>
  <si>
    <t>JOAO ZARAGOZA SUAZNABAR MORALES</t>
  </si>
  <si>
    <t>FÁTIMA TERRAZAS NÚÑEZ</t>
  </si>
  <si>
    <t>ING. DIETER FERNANDO SEJAS LÓPEZ</t>
  </si>
  <si>
    <t>ESTUDIO DE FACTIBILIDAD PARA LA CREACIÓN DE UN CENTRO DE FORMACIÓN EN SOLDADURA DE ESTRUCTURA Y TUBERÍA PARA EL SECTOR PETROLERO</t>
  </si>
  <si>
    <t>zaragoza1248@hotmail.com</t>
  </si>
  <si>
    <t>IND-955-2018</t>
  </si>
  <si>
    <t>Proyecto de Electrificación Rural (P.E.R.), Metodología de elaboración de proyectos en electrificación rural (MEPER), Base de Datos de electrificación Rural (BADER)</t>
  </si>
  <si>
    <t>El presente proyecto tiene como finalidad realizar un estudio de factibilidad para la creación de un Centro de Formación en Soldadura de Estructura y Tubería para el Sector Petrolero en Cochabamba, mediante un análisis técnico, administrativo, comercial y financiero. Para ello se presentan los siguientes resultados, que determinan la factibilidad del proyecto.En el estudio de mercado se realizó el análisis de la demanda y la oferta, encontrando la brecha en el mercado donde el proyecto pueda desarrollarse.Para la localización del centro se determinó mediante el método ponderado por puntos donde se eligió la opción más óptima siendo que se encuentra en el municipio de Quillacollo.El tamaño óptimo del centro de capacitación en soldadura, se analizó el factor principal, que corresponde a la demanda el cual se determinó en función a la brecha de mercado pronosticada en el Departamento de Cochabamba.En la ingeniería de proyecto, se desarrolló el proceso de capacitación, de forma precisa y clara, las maquinarias y equipos requeridos para la formación de soldadores, se identificó los proveedores de insumos, se detalló la distribución de la planta, se detalló él pensum de materias y horarios de clases de acuerdo al ministerio de educación y se identificó la cantidad de mano de obra requerida.Se define la estructura organizacional del centro de formación mediante el organigrama por funciones, el periodo de implementación del proyecto tendrá una duración de 30 semanas que se determinó mediante el diagrama de ruta crítica, durante este periodo se ejecutaran 10 actividades, cuyo desarrollo se puede ver en el Diagrama de Gantt.El proyecto en la evaluación privada desarrollada presenta un flujo de caja con resultados positivos que permiten calcular los indicadores de rentabilidad cuyos valores son: TIR=19%, VAN=23 428 USD y la relación beneficio costo B/C=1,46; concluyendo de esta manera que el proyecto es rentable y atractivo para invertir.El proyecto desde el punto de vista social, se puede verificar que la tasa interno de retorno supera a lo esperado, siendo socialmente factible.En la evaluación ambiental el  proyecto corresponde a la categoría III, es un proyecto ecológicamente compatible.Se realizó la evaluación ex post  la que nos permite tener un mayor dominio y control preventivo y correctivo del presente proyecto.</t>
  </si>
  <si>
    <t>https://drive.google.com/file/d/1zs_c2A3cn1OQqUa54EnrvnJhxwBCFbiR/view?usp=sharing</t>
  </si>
  <si>
    <t>https://drive.google.com/file/d/1-sAIf1lyX5uLBvrTeHQ8Fsb53_BfkaJY/view?usp=sharing</t>
  </si>
  <si>
    <t>https://drive.google.com/file/d/18a6xYD8bW_Tb_Wz35ukDv713DXcQkZZ3/view?usp=sharing</t>
  </si>
  <si>
    <t>JOSÉ ANTONIO ARIAN CRESPO</t>
  </si>
  <si>
    <t>ING. OMAR PÉREZ FUENTES</t>
  </si>
  <si>
    <t>PROYECTO DE FACTIBILIDAD PARA LA IMPLEMENTACIÓN DE UNA PLANTA DESHIDRATADORA DE YESOS PARA USO ODONTOLÓGICO</t>
  </si>
  <si>
    <t>arianjaac@gmail.com</t>
  </si>
  <si>
    <t>IND-956-2018</t>
  </si>
  <si>
    <t>Planta deshidratadora, yeso, Hemihidrato, odontológico, tiempo de fraguado, porosidad, partículas en suspensión, Evaluación financiera, medidas de mitigación, Evaluación de impacto ambiental.</t>
  </si>
  <si>
    <t>Se determinó a partir de un estudio de mercado las características de comercialización que actualmente se manejan, así mismo se cuantifico y proyecto la demanda total, en base a un consumo per cápita de los productos por parte de los odontólogos y a la tasa de crecimiento anual de los mismos. Precisando de esta manera la cantidad, calidad, y tipo de presentación que se debe producir, para el año 2017 la demanda total es de 230Tn. de yeso parís y 115Tn. de yeso piedra.Se definió la capacidad productiva de la planta que será de un 25.03% del total de la demanda actual, en función al comportamiento de la demanda proyectada, la tecnología, el financiamiento y la disponibilidad de la materia prima. Por otro lado también se determinó la localización más adecuada para la planta, la cual es la zona de Suticollo, esto se determinó mediante la calificación de valores cuantitativos.Se precisó la descripción, características y la disponibilidad de la materia prima e insumos necesarios para la producción de ambos productos, y se precisó que las reservas se encuentran en la zona andina del departamento.En el proceso de producción se determinó, la maquinaria y equipos a utilizar, además de calcular las cantidades de materia prima necesarias para los volúmenes de producción fijados y los insumos requeridos como los volúmenes de gas natural, agua y las proporciones de mezcla con otros insumos para lograr la calidad requerida.Se determinó el tipo de organización con la que contara la planta que contara con 3 departamentos y una gerencia general, determinando también los requerimientos de cantidad mano de obra y personal.Se analizó los posibles impactos ambientales tanto positivos como negativos que traen consigo la ejecución y funcionamiento de la planta, según el RASIM el proyecto pertenece a la categoría 3, por lo tanto se plantearon las medidas mitigantes necesarias para minimizar al máximo los impactos considerados como negativos. Finalmente el proyecto se evaluó financieramente a través del uso de indicadores financieros como ser el TIR, VAN y la relación B/C. determinando así que la viabilidad del proyecto es positiva por contar con un VAN positivo, un TIR de 25,18% y una relación B/C de 1,39.</t>
  </si>
  <si>
    <t>https://drive.google.com/file/d/1rYnuRrl-Cfsl0z3KB1FfBrvJ-ZvF6F3s/view?usp=sharing</t>
  </si>
  <si>
    <t>https://drive.google.com/file/d/1K7QQJDJ98MA-T3XK3QZ77MhE_1PqZ1md/view?usp=sharing</t>
  </si>
  <si>
    <t>https://drive.google.com/file/d/1Uk--N8VDveYYa4ZBZ4-KP7wtDcKQ-jpc/view?usp=sharing</t>
  </si>
  <si>
    <t>MARIBEL OLAÑETA CHOQUE</t>
  </si>
  <si>
    <t>ING. ANA MARÍA FERNÁNDEZ CHOQUE</t>
  </si>
  <si>
    <t>DISEÑO DE UN PLAN DE SEGURIDAD E HIGIENE OCUPACIONAL</t>
  </si>
  <si>
    <t>olaneta.choque.maribel@gmail.com</t>
  </si>
  <si>
    <t>IND-957-2018</t>
  </si>
  <si>
    <t>Seguridad Industrial, Higiene Ocupacional, Comité Mixto, Riesgo, Accidente, Peligro, Incendio, Señalización, Medidas de Prevención, Simulacro, Capacitación, Plan de Emergencia, Programa.</t>
  </si>
  <si>
    <t>El desarrollo industrial trajo consigo el incremento de los accidentes, enfermedades profesionales y una serie de riesgos en la actividad productiva lo que obliga a aumentar las medidas de seguridad industrial en los centros de trabajo, es por ello que se vio la necesidad de elaborar el Plan de Seguridad e Higiene Ocupacional para la empresa PROTEX S.R.L.Primeramente se realizó una descripción de los procesos de producción a través de diagramas de flujo de producción, se realizó el análisis del funcionamiento y forma en que se operan los equipos y  máquinas de las áreas de producción de algodón hidrófilo, gasa absorbente y  papel tissue. La metodología utilizada contempló la realización del diagnóstico de la situación actual de la empresa respecto a seguridad industrial, salud e higiene ocupacional, analizando el cumplimiento de  puntos citados en la Ley de Higiene, Seguridad Ocupacional y Bienestar como ser: servicio médico de la empresa, servicios básicos, protección contra caídas, medidas de prevención contra incendios, sistemas de alarmas, realización de simulacros, existencia de señalización, dotación de equipos de protección personal, mediciones de niveles de iluminancia y ruido en el trabajo, servicios higiénicos y facilidades para el aseo personalPosteriormente se procedió a realizar la identificación de peligros y evaluación de los riesgos existentes en las diferentes áreas de trabajo, para ello se empleó el método William Fine, este método sirvió para  identificar las peligros, analizar los riesgos y las consecuencias en caso de materializase dichos riesgos, para posteriormente proponer medidas de control, acciones correctivas y/o preventivas. Por otro lado se determinó el nivel de riesgo intrínseco global para la empresa y sus respectivas áreas de trabajo a través del calculó densidades de carga de fuego haciendo uso de la Norma Boliviana 58005:2007 “Criterios para Determinar la resistencia al fuego de materiales constitutivos y de la carga de fuego ponderada.”Con el objetivo de proponer la implementación de recursos y medidas para en mitigar los riesgos presentes y proteger a los trabajadores en su lugar de empleo, aumentar la  productividad, evitar daños en  patrimonio de la empresa. Se realizó la estructuración del Plan de Seguridad e Higiene Ocupacional, e base a la normativa  Boliviana referente a temas de seguridad industrial, en este sentido se redactó: El Reglamento de seguridad y salud en el trabajo, Medidas de Control y Prevención de Riesgos, Manual de Primeros Auxilios, Medidas de  Lucha y Prevención Contra Incendios, Programa de Orden y Limpieza, Plan de Emergencia, Programa de Capacitación. Finalmente se realizó la  estimación de  los costos  de implementación del Plan de Seguridad e Higiene Ocupacional a través de una descripción del costo de los ítems que deben implementarse. Se elaboró una  estimación de costo de funcionamiento del Plan de Seguridad e Higiene Ocupacional para un periodo de 5 años. Finalmente se concluyó la elaboración de las conclusiones finales del proyecto y recomendaciones acerca de medidas que la empresa debería implementar a la prontitud posible.</t>
  </si>
  <si>
    <t>https://drive.google.com/file/d/15qnj7x5abiuQT-VAOtxHf4-LbnzJmGuX/view?usp=sharing</t>
  </si>
  <si>
    <t>https://drive.google.com/file/d/1HCC-cEqiz1_3s6g7D2EOpd4FbSJWixlE/view?usp=sharing</t>
  </si>
  <si>
    <t>https://drive.google.com/file/d/17btXiUwa02WluauEhpG25dsoa3h1SVQ9/view?usp=sharing</t>
  </si>
  <si>
    <t>DORA STEFANY ROMÁN CUELLAR</t>
  </si>
  <si>
    <t>ESTUDIO DE FACTIBILIDAD PARA COMERCIALIZACIÓN DE BITTER PALMENIA EN EL DEPARTAMENTO DE COCHABAMBA</t>
  </si>
  <si>
    <t>dora260692@gmail.com</t>
  </si>
  <si>
    <t>IND-958-2018</t>
  </si>
  <si>
    <t>Bitter Palmenia, Factibilidad, Mercado, Indicadores de rentabilidad, Plan comercial, encuesta</t>
  </si>
  <si>
    <t>Bitter Palmenia es una empresa que se dedica a la producción de esencia sin alcohol utilizada para la elaboración de refrescos, helados, postres, etc. utilizando una formula netamente alemana heredada de generación en generación a la familia propietaria. Para la elaboración del proyecto se plantearon los siguientes objetivos:Objetivo general*     Realizar un estudio de factibilidad técnico y financiero para la comercialización del bitter Palmenia en el departamento de Cochabamba.Objetivos específicos*     Realizar un diagnóstico situacional de la empresa bitter Palmenia*     Realizar un estudio de mercado para determinar las posibilidades de introducción y comercialización del producto bitter Palmenia, a través de la oferta y demanda.*     Determinar la localización del proyecto para definir la ubicación de la planta.*     Elaborar la ingeniería del proyecto para conocer los procesos, maquinaria y distribución de planta.*     Definir el estudio organizacional y legal de la empresa para establecer la estructura orgánica.*     Planificar la ejecución del proyecto para conocer el cronograma de implementación.*     Realizar el análisis financiero del proyecto y determinar los principales indicadores económico-financieros como TIR, VAN y relación B/C.*     Realizar la evaluación de impacto ambiental para determinar la existencia de efectos nocivos en el proyecto.Una vez establecidos los objetivos se procedió a realizar el estudio en base a la siguiente metodología: Aspectos metodológicosLa metodología a utilizar es de tipo descriptivo y se sustenta en base a los resultados obtenidos en cada uno de los capítulos desarrollados en el proyecto, las etapas generales son:Etapa 1: Estudio de mercado.Los pasos que se seguiron para la obtención de información fue la siguiente:*     Investigar la demanda de refrescos en base a esencias en la provincia Cercado de Cochabamba*     Analizar la oferta de esencias tanto para preparación de refrescos en Cercado – Cochabamba.*     Realizar un análisis de precios para establecer el precio más adecuado para el Bitter Palmenia*     Establecer las estrategias publicitarias y promocionales para el productoDando como resultado que el estudio del mercado para la esencia bitter Palmenia como refresco, obtuvo como resultado una demanda potencial estimada de 4.401.843 Lt/año para este producto, el cual se estimó mediante la realización de encuestas y degustaciones, también se pudo notar que existe un porcentaje de aceptación del 68% hacia este producto. La oferta de esencias para refrescos como el bitter Palmenia es nula en Cochabamba, por lo que se demuestra altas posibilidades de éxito de este producto, al no encontrase ningún competidor directo, aunque existen diversos productos sustitutos, que sin embargo no logran cubrir la demanda potencial estimada.Etapa 2: localizaciónEn la etapa de localización se llevó a cabo lo que es el análisis de macro localización y el de micro localización en el cual se optó por usar el método de factores ponderados para determinar el lugar optimo del proyecto, teniendo en cuenta los factores más importantes y relevantes de manera que se evite entrar en  grandes costos operacionales.El estudio de localización del proyecto permitió encontrar la ubicación más adecuada para emplazar la nueva planta de bitter Palmenia, obteniendo como resultado la ciudad de Cochabamba, específicamente la calle María Auxiliadora entre Matías cotrina y Francisco de Sale - Zona Jayhuayco, por sus mejores condiciones en cuanto a factores de producción.Etapa 3: Estudio de ingenieríaSe realizó la investigación de los procesos necesarios para la producción de la esencia bitter a escala industrial, describiéndose las principales operaciones de transformación, las materias primas, los equipos y herramientas más adecuados y la infraestructura mínima necesaria para poner en funcionamiento la nueva planta de bitter Palmenia en Cochabamba.Etapa 4: Estudio organizacionalLa empresa requiere de una estructura organizacional para que funcione en completa sinergia, por lo cual se determinó el manual de funciones que cada cargo deberá cumplir por consiguiente, se efectuó la planilla de sueldos y salarios para el personal, también se realizó el enfoque organizacional y las políticas institucionales de la empresa que permitirá el funcionamiento óptimo de la planta, estableciendo las interrelaciones entre los puestos.Etapa 5: Planificación del proyectoEtapa 6: Evaluación financieraEn esta etapa se determino todos los costos en los que se incurrirá en la implementación del proyecto (infraestructura, herramientas, equipos, activos diferidos, etc.) y su operación (capital de trabajo), para que después, mediante un análisis de Fuentes y Usos, se pueda determinar  los indicadores de rentabilidad del proyecto que se propone.Para alcanzar los objetivos del proyecto se requiere una inversión de $us.-334.641, donde el 44.82% es aporte de la empresa y el 55,18% es financiado por el banco Mercantil Santa Cruz. Se determinó los indicadores de rentabilidad con el flujo de caja del proyecto obteniendo como resultado: VAN de 1734.038 Bs, TIR de 43,2 % y un B/C de 1,57 lo cual se demuestra la factibilidad económica del proyecto.Etapa 7: Impacto AmbientalEn esta fase se realizó una evaluación Ambiental del estudio, para ver el beneficio o los perjuicios que otorga el proyecto al medio ambiente y salud de la población en nuestro país.El estudio ambiental del proyecto permitió definir los posibles efectos negativos hacia el medio ambiente, también se determinó la categoría ambiental obteniéndose que el proyecto es de categoría 4, con lo que se concluye que no se generara un impacto significativo negativo, ni se requiere un EEIA.</t>
  </si>
  <si>
    <t>https://drive.google.com/file/d/1OCZhA3kLZtnirt1J6z9Cy0EJswFora5i/view?usp=sharing</t>
  </si>
  <si>
    <t>https://drive.google.com/file/d/1OWuNa6HaLIvuPkrYM18viYBv_kC71OxA/view?usp=sharing</t>
  </si>
  <si>
    <t>https://drive.google.com/file/d/1xas2TC8KSFePziufl1g3S8t9kAyqTvQv/view?usp=sharing</t>
  </si>
  <si>
    <t>ANDREA LOBO PARRA</t>
  </si>
  <si>
    <t>ERIK MARK VALDIVIA MORALES</t>
  </si>
  <si>
    <t>ING. JUAN PABLO ARANDIA GARCIA</t>
  </si>
  <si>
    <t>DISEÑO DE UN PLAN ESTRATÉGICO PARA LA LÍNEA DE PRODUCTOS NATURALES TRADICIONALES DEL LABORATORIO UNIONBIO ASOCIADO AL CLUSTER DE ALIMENTOS DE LA UMSS COCHABAMBA</t>
  </si>
  <si>
    <t>andi.lp9317@gmail.com</t>
  </si>
  <si>
    <t>IND-959-2018</t>
  </si>
  <si>
    <t>Plan estratégico, línea, Laboratorio, Cluster, Productos, Cochabamba.</t>
  </si>
  <si>
    <t>El diseño de un Plan estratégico busca la realización del diagnóstico general del entorno y del interior del laboratorio UNIONBIO con ayuda de la matriz PESTAL con respecto a los productos Antidoloríficos, presenta un resultado de 5 y en el caso de los productos Alimenticios medicinales el resultado obtenido es 8,  lo cual nos muestra un entorno externo favorable en ambos casos. En resumen:Los Productos Antidoloríficos: Los factores políticos tienen una tendencia favorable, debido a que por ejemplo se registra un apoyo gubernamental hacia productos tradicionales naturales, además se sabe que el pago de impuestos a este sector es diferente ya que en la Ley 459 de Medicina tradicional se establece un trato especial con respecto al pago de impuestos a fabricantes de Medicina tradicional y en cuanto a la política comercial se evidencia que presenta un carácter neutro debido a que si bien existen tratados de exportación con otros países y aranceles bajos, el ingreso de productos similares a los Antidolorificos al país se incrementó, generando una competencia desleal para con las Mypes existentes.En lo que concierne al aspecto legal se sabe que las leyes existentes que afectan al laboratorio UNIONBIO son favorables ya que ofrecen beneficios y oportunidades.El factor económico es favorable, esto debido a que el acceso a financiamiento para inversión es una realidad, aunque la tasa de inflación del país es negativa.El factor ambiental presenta una inclinación positiva debido a que la ley de protección al medio ambiente y la ley de medicina tradicional van de la mano con la producción del laboratorio, el único factor negativo es el cambio climático cambiante que genera variación en la producción de materia prima.Los Productos Alimenticios medicinales: Los factores políticos tienen una tendencia favorable, debido a que por ejemplo se registra un apoyo gubernamental hacia productos tradicionales naturales, además se sabe que el pago de impuestos a este sector es diferente ya que en la Ley 459 de Medicina tradicional se establece un trato especial con respecto al pago de impuestos a fabricantes de Medicina tradicional y en cuanto a la política comercial se evidencia que presenta un carácter neutro debido a que si bien existen tratados de exportación con otros países y aranceles bajos, el ingreso de productos similares a los Antidolorificos al país se incrementó, generando una competencia desleal para con las Mypes existentes.En lo que concierne al aspecto legal se sabe que las leyes existentes que afectan al laboratorio UNIONBIO son favorables ya que ofrecen beneficios y oportunidades.El factor económico es favorable, esto debido a que el acceso a financiamiento para inversión es una realidad, aunque la tasa de inflación del país es negativa.El factor ambiental presenta una inclinación positiva debido a que la ley de protección al medio ambiente y la ley de medicina tradicional van de la mano con la producción del laboratorio, el único factor negativo es el cambio climático cambiante que genera variación en la producción de materia prima.</t>
  </si>
  <si>
    <t>https://drive.google.com/file/d/1vjiDcLkocUcPX3iLYXkiRRB3S_1jWY41/view?usp=sharing</t>
  </si>
  <si>
    <t>https://drive.google.com/file/d/11DkYHifow5Y5s8SpyAuyYTYCuT6svsDj/view?usp=sharing</t>
  </si>
  <si>
    <t>https://drive.google.com/file/d/1t338iir3mLjqJoZcbXwFILVZ4lfFK6u0/view?usp=sharing</t>
  </si>
  <si>
    <t>ALVARO JOEL MIRANDA COSSIO</t>
  </si>
  <si>
    <t>DISEÑO DE UN PLAN DE SEGURIDAD Y SALUD OCUPACIONAL BASADO EN LA NORMA BOLIVIANA OHSAS 18001-2007 PARA PROYECTOS DE CONSTRUCCIÓN CIVIL EN EL ÁREA DE VIALIDAD (CARRETERAS)</t>
  </si>
  <si>
    <t>alvaro.mcossio@hotmail.com</t>
  </si>
  <si>
    <t>IND-960-2018</t>
  </si>
  <si>
    <t>Seguridad Industrial, carreteras, construcción, identificación de peligros, evaluación de riesgos, diagnostico, plan de se seguridad SySO</t>
  </si>
  <si>
    <t>Se consultó y se clasifico toda la información bibliográfica referente a seguridad industrial que implicaba la información de tipos de riesgos, elementos de protección personal, revisión de normas internacionales, se consultó la normativa nacional referente a seguridad industrial (Ley 16998, Ley 545 seguridad en la construcción, Normas Técnicas de seguridad) también se revisó la bibliografía referente a construcción de carreteras, detalles y  procesos constructivos, maquinaria pesada, herramientas y equipo utilizado.Posteriormente se realizó un diagnóstico para conocer cuáles eran las condiciones de seguridad industrial en diferentes proyectos de construcción, mediante una encuesta que estaba enfocada a conocer puntos específicos sobre las condiciones de seguridad en diferentes proyectos carreteros en el país, los resultados fueron muy importantes porque gracias a ellos se permitió establecer un punto de partida para el desarrollo del proyecto de grado.Se describió el proceso constructivo de una carretera, la maquinaria y equipos utilizados, esto permitió desarrollar las matrices de identificación de peligros y evaluación de riesgos para la maquinaria, los equipos complementarios y para las diferentes etapas de construcción, que es una parte muy importante dentro el plan de seguridad y salud ocupacional, también se presentó un caso real de estudio los datos técnicos se obtuvieron del documento base de contratación (DBC) del proyecto Rehabilitación y Reconstrucción del Tramo Carretero Epizana - Comarapa, Tramo II variante Valle Hermoso  que se encuentra en licitación, esta información permitió desarrollar y estructurar de una manera más exacta el plan de seguridad y salud ocupacional.En base a la Norma OHSAS 18001;2007 se desarrolló el Plan de Seguridad y salud Ocupacional para Construcción de Carreteras, dicho plan está estructurándolo en un documento donde están los puntos que especifica la norma OHSAS 18001:2007, también se desarrolló una serie de programas, instructivos de trabajo (por actividad) y diversos formatos, que son la base teórica y practica en la cual se basa el plan de seguridad para su desarrollo.La estimación del presupuesto de implementación se realizó en base a un supuesto de la cantidad de trabajadores que podrían formar parte del proyecto, el presupuesto total asciende 107,695 Bs. pero se tomó la decisión de incrementar ese presupuesto en un 20% para darle un margen de seguridad al momento de la implementación, el presupuesto total asciende a 129,234 bs.Con la culminación del proyecto se pretendió otorgar un documento que pueda servir como base para la elaboración de planes de seguridad en diversos proyectos de carreteras, ya que las actividades que se realizan son bastante similares.</t>
  </si>
  <si>
    <t>https://drive.google.com/file/d/1recqESLkcgezH9FKU8umDsiO9mzs3w4A/view?usp=sharing</t>
  </si>
  <si>
    <t>https://drive.google.com/file/d/1_awHEbW2eSghLp-aO2EnvHaCz2UJZSwO/view?usp=sharing</t>
  </si>
  <si>
    <t>https://drive.google.com/file/d/1WEhQwtEJwWh1Rw9pNKeQHj4jK8okWm5G/view?usp=sharing</t>
  </si>
  <si>
    <t>KATRIN SELENE HERRERA GARCÍA</t>
  </si>
  <si>
    <t>ESTUDIO PARA LA MEJORA DEL INDICADOR DE MERMA MEDIANTE LA RECUPERACIÓN DE LEVADURA CBN - TAQUIÑA</t>
  </si>
  <si>
    <t>katy_shg@hotmail.com</t>
  </si>
  <si>
    <t>IND-961-2018</t>
  </si>
  <si>
    <t>Taquiña, Recuperación de Levadura, Indicador de Merma, Estandarización, Calidad Microbiológica, Rentabilidad.</t>
  </si>
  <si>
    <t>El presente proyecto está dirigido a reducir  el porcentaje de merma, uno de los indicadores de gestión con los que se evalúa el proceso de elaboración en Cervecería Boliviana Nacional CBN – Taquiña. En el cálculo global de este indicador interviene la Mini Planta de envasado como también todas las áreas pertenecientes a la Mini Planta de Elaboración y Servicios haciendo énfasis en este caso en las áreas de fermentación y filtro. Se observaron varios factores en el proceso de elaboración que afectan al cálculo de este indicador, uno de ellos y el más significativo que se analizo es la posibilidad de aprovechamiento de la levadura recuperada del proceso de fermentación, ya que consigo arrastraba una cierta cantidad de cerveza que para la empresa era significativa porque significaba menos ingresos. En base a parámetros previamente establecidos se consideró levadura óptima para su recuperación. Se caracterizó y cuantifico la levadura cosechada, se analizó la metodología de recuperación del líquido sobrenadante, en base a pruebas de mezcla de levadura y agua carbonatada y así obtener resultados óptimos de extracto y alcohol ya que estos son parámetros importantes en el proceso. Una vez obtenidos estos datos se recuperó el líquido sobrenadante (cerveza) y se lo sometió a un proceso de filtración  por placas, seguido a esto a un proceso de filtración microbiológica, para verificar la calidad de la cerveza filtrada se realizó un análisis microbiológico en base a dos medios de cultivo Yeast and Mould Agar y el Wl Nutrient Broth de los cuales los resultados fueron satisfactorios. Para finalizar se evaluó el indicador mediante una comparación antes de la recuperación y después de la recuperación, se realizó un análisis financiero sin proyecto, un análisis solo del proyecto donde se tomó en cuenta la inversión, los cotos de materia prima, costos de operación. De igual forma se realizó un análisis con proyecto, para conocer la rentabilidad del proyecto aplicando el nuevo proceso, como también para evaluar el diferencial del proyecto el cual dio un proyecto económicamente rentable para la compañía aportando a sus utilidades.</t>
  </si>
  <si>
    <t>https://drive.google.com/file/d/138bQPjfLtt4GSTW7ndbkCkvmYTp8A1-H/view?usp=sharing</t>
  </si>
  <si>
    <t>https://drive.google.com/file/d/18hM59ChAUba5zURzs1NqdmbmkXWJ0S9l/view?usp=sharing</t>
  </si>
  <si>
    <t>https://drive.google.com/file/d/1nIszk94HmO5OYEwl5AQZ5SS56F15W84k/view?usp=sharing</t>
  </si>
  <si>
    <t>CELSO HERBAS COSSIO</t>
  </si>
  <si>
    <t>MODELO MARKOVIANO  PARA EL ESTUDIO DE LA EVOLUCIÓN DE COHORTES  DE ESTUDIANTES DE LA CARRERA DE INGENIERÍA INDUSTRIAL DE LA  FACULTAD DE CIENCIAS Y TECNOLOGÍA  DE LA UNIVERSIDAD MAYOR DE SAN SIMÓN</t>
  </si>
  <si>
    <t>celsoherbas@gmail.com</t>
  </si>
  <si>
    <t>IND-962-2018</t>
  </si>
  <si>
    <t>Cadenas de Markov, Cohorte, estudiantes, probabilidad, proceso estocástico, ingeniería industrial</t>
  </si>
  <si>
    <t>La carrera de Ingeniería Industrial, actualmente acreditada al sistema ARCU-SUR con una vigencia hasta la gestión 2018, requiere de herramientas que contribuyan a la planificación de la gestión académica y al cumplimiento del plan de desarrollo académico, como lo exigido en la dimensión contexto institucional del sistema de acreditación ARCU-SUR.La presente tesis propone el modelamiento matemático markoviano, fundamentado en la teoría de las Cadenas de Markov, para el estudio de los cohortes de los estudiantes de la carrera de Ingeniería Industrial de la Facultad de Ciencias y Tecnología (FCyT) de la UMSS, mismos que siguen con un comportamiento probabilístico mediante las diferentes materias y líneas. Se  plantea una alternativa a la actual debilidad de los mecanismos de evaluación de tipo descriptivo y determinístico.Para el modelamiento se identificaron 32 líneas de materias correspondientes a las 56 materias de la malla curricular vigente hasta la gestión II/2009, que representan el número de Cadenas de Markov; cada una de las materias corresponde a uno de los estados, con la característica de que la última materia de cada línea corresponde a un estado absorbente.El diseño y desarrollo del modelo markoviano, en los que se realizaron estimaciones de los tiempos promedio en cada una de las materias y líneas medidos en semestres(s), se complementó con el cálculo del coeficiente de fricción que coadyuva en la identificación de las líneas con mayor criticidad y complementa la interpretación del estudio de cohortes. La estimación de las probabilidades se realizó mediante la aplicación de la regla de Laplace. La validación del modelo se efectuó con datos del Cohorte I/2002, sobre la base del número de estudiantes inscritos y aprobados, proporcionado por el Centro de Procesamiento de Datos (CPD) de la FCyT.Los resultados de la aplicación del modelo identifican a la línea 32 (Química General), 25 (Computación I, Dibujo Técnico Computarizado), 28 (Física Básica I, Física Básica II, Física Básica III, Electrotecnia Industrial, Control y Automatización Industrial) y 12 (Álgebra I, Estadística I, Estadística II, Investigación Operativa I, Planificación  y Control de la Producción I, Planificación  y Control de la Producción II, Taller de Tesis I, Taller de Tesis II) con coeficientes de fricción de 3.78, 3.54 y 1.12  como las líneas con mayor coeficiente de fricción, es decir, como las líneas más críticas con la absorción de tiempo más alto por unidad de materia en la línea.Por otro lado, las materias con tiempos promedio más altos, antes de la absorción, son: Computación I, Taller de Tesis II,  Física Básica I y Química General con tiempos promedio en semestre de 7.92,  6.00,  5.31 y  4.78.La implementación del modelo en la carrera de Ingeniería Industrial se puede realizar en 25 semanas, siguiendo las siguientes actividades críticas.Según la evaluación económica realizada, la implementación del modelo es factible, debido a que el Índice de Costo Eficiencia (ICE) de 5.10 dólares/estudiante se encuentra por debajo del límite inferior del rango de 17.5 a 64.62 Dólares/Beneficiario establecidos por el Vice Ministerio de Inversión Pública y Financiamiento Externo del Estado Plurinacional de Bolivia para proyectos de ésta tipología.Los argumentos demostrados y expuestos en el presente documento, evidencian que el modelamiento, mediante las Cadenas de Markov Absorbentes para el estudio de cohortes de estudiantes de la carrera de Ingeniería Industrial, es técnicamente aplicable y generalizable. Permite modelar el flujo de los estudiantes en términos de tiempos promedio e identificar las líneas y materias con mayor criticidad.</t>
  </si>
  <si>
    <t>https://drive.google.com/file/d/19ay-TeG8uPS_RU0pPPlfZG_aVCy246aL/view?usp=sharing</t>
  </si>
  <si>
    <t>https://drive.google.com/file/d/15P31mZoB_ugz5j6io_1whZ7LjsX2RU3O/view?usp=sharing</t>
  </si>
  <si>
    <t>https://drive.google.com/file/d/12tzVdhR5mT7Za6PsDjQosBJLqo1D1LtL/view?usp=sharing</t>
  </si>
  <si>
    <t>LIZARAZU RODAS GUILLERMO MARCELO</t>
  </si>
  <si>
    <t>ING. JULIO CESAR DE LOS RIOS</t>
  </si>
  <si>
    <t>OPTIMIZACION DEL PROCESO DE MOLIENDA DE ENGOBES Y ESMALTES PARA CERAMICAS COBOCE</t>
  </si>
  <si>
    <t>gmlr.20@gmail.com</t>
  </si>
  <si>
    <t>IND-963-2018</t>
  </si>
  <si>
    <t>CERAMICAS COBOCE, Optimización, Estudio de tiempos y métodos, simulación EDEM</t>
  </si>
  <si>
    <t>Primeramente se realizó una evaluación de la situación en la que se encontraba los procesos que se desarrollan el departamento de molienda de engobes, esmaltes y pastas serigráficas de cerámicas COBOCE, se cuantifico cualitativamente y cuantitativamente las situación que se encontraban procesos relacionados con la molienda de engobes y esmaltes. Posteriormente se identificó las variables y factores que más afectaban a cada uno de los procesos y como estos afectan al cronograma de trabajo, se formularon e implementaron propuestas para los problemas más urgentes, desde una reorganización de los almacenes hasta la cantidad de agua necesaria para el proceso de molienda.Se implementó un nuevo sistema de control de inventarios, para el mantenimiento y orden de los almacenes, basado en el método PEPS, mediante un reordenamiento y la designación de los espacios correspondientes para cada una de las materias primas e insumos.Se optimizo el proceso de molienda corrigiendo la velocidad con la que operan los molinos, la distribución y la cantidad de medios de molienda.Se realizó una simulación del proceso de molienda esperado mediante el paquete informático EDEM con las propuestas formuladas, con el fin de analizar que el movimiento de los medios de molienda al interior de los molinos.Se evaluó el impacto de las propuestas en los procesos, en tiempos y costos que la empresa estaría reduciendo con la implementación de las mismas. Se redujo en 0,652 [kg./día,] la cantidad de desgaste de medios de molienda se tras la implementación de las propuestas.Se determinó el tamaño óptimo de medios de molienda a partir de las características físicas y reológícas de las materias primas a moler, siendo el tamaño óptimo recomendable para los engobes de 40 mm. y para los esmaltes 50 mm.Se aumentó el tamaño de entrada de los molinos a 40 cm eliminando la saturación del material durante el proceso de carga, reduciendo el tiempo de esta operación en un 25,9%.Se aumentó el caudal de salida de las mezclas durante el proceso de descarga por medio de un aumento de la válvula de salida de la tapa de descarga, reduciendo el tiempo del proceso un 62%.Se redujo el tiempo de almacenamiento de materias primas en 3.14 meses a través de la implementación del método PEPS.Se redujo la cantidad de reposiciones en 1 de los medios de molienda al año. Se redujo el tiempo total de operación de molienda de engobe en 1 hora con 9 minutos, se redujo de la misma forma el tiempo total de operación de molienda de esmalte en 3 horas con 37 minutos. Se determinó que la velocidad óptima de trabajo de los molinos es de 70 % respecto a la velocidad crítica, para moliendas de baja y alta viscosidad.Se estudió el impacto de las propuestas en los motores de los molinos asegurándonos que no sufrieran sobrecargos con la aplicación de las propuestas.Mediante la aplicación de las propuestas implementadas se obtuvo una reducción del costo de producción de 289.107,95 Bs al año manteniendo las propuestas. Se desarrolló una guía para los operadores a fin de optimizar el  funcionamiento de los molinos y controlar las variables que las afectan.</t>
  </si>
  <si>
    <t>https://drive.google.com/file/d/1jlA-xcSBIIIhaT9hRp96r5WKLCLkyTPg/view?usp=sharing</t>
  </si>
  <si>
    <t>https://drive.google.com/file/d/1fTyQn0cl8RvxLFsNkDnhKK7bH0mdDdu7/view?usp=sharing</t>
  </si>
  <si>
    <t>https://drive.google.com/file/d/1WfCKmWCKUQ4l5jRa-_3hj5sr90m8RVz6/view?usp=sharing</t>
  </si>
  <si>
    <t>AIZA CHOQUE MARLENE</t>
  </si>
  <si>
    <t>PROYECTO DE  FACTIBILIDAD  PARA LA FABRICACIÓN DE FIDEOS ENRIQUECIDOS  CON HARINA DE PLÁTANO</t>
  </si>
  <si>
    <t>macmar369@gmail.com</t>
  </si>
  <si>
    <t>IND-964-2018</t>
  </si>
  <si>
    <t>Harina de plátano, Fideos, Proyecto de factibilidad</t>
  </si>
  <si>
    <t>En primera instancia se realizó el estudio de investigación de Mercado tomando en cuenta a la población representativa de estudio a los municipios de Quillacollo, Sacaba y Cercado del departamento de Cochabamba, y se obtuvo que el 96% estarían dispuestos a consumir el fideo enriquecido con harina de plátano, tomando en cuenta este antecedente se realizó la proyección de la demanda propia del proyecto con un 10% de participación en el mercado y la oferta nacional de fideos satisface un consumo per cápita anual de 7,40 kg, siendo los principales oferentes la ciudad de La paz, Santa Cruz y Cochabamba.Posteriormente se definió el tamaño de la planta con una superficie de 5.785 m2, lo cual se determinó  en función de la capacidad productiva de fideos, los cuales son para una producción anual de 650 toneladas y una producción diaria de 5.417 paquetes de fideo. El estudio del proceso productivo de fideos, inicia con la primera fase experimental para determinar los porcentajes de mezcla de la harina de trigo y la harina de plátano, como segunda fase se tiene el proceso de producción de la harina de plátano, se estudió sus propiedades fisicoquímicas y además se realizó el diagrama de procesos y también el flujo grama de máquinas para obtener una producción diaria de 1.200 kg de harina de plátano, y como tercera fase se tiene el proceso productivo del fideo, se estudió sus propiedades fisicoquímicas sometiéndolo a pruebas de laboratorio,  se realizó su respectivo diagrama de procesos y finalmente el flujo grama de máquinas para obtener una producción diaria de 5.417 paquetes de fideo.El estudio de organización y gastos generales propone un organigrama para la empresa definiendo los cargos de manera jerárquica por niveles, los cuales son: nivel Superior, Nivel de responsabilidad productiva y comercial y el nivel operativo. Posteriormente se preparó la información para poder realizar la evaluación financiera determinando un VAN de  61.350 $us, un TIR de 20,9% y una relación B/C de 2,28. También se realizó un análisis de sensibilidad donde fue mostrado que el precio y el volumen de producción son las variables más sensibles para la producción de hongos Ostra. Se definió una inversión total de 127.520 $us. Posteriormente se realizó el análisis financiero al que fue sometido el proyecto y dio los siguientes resultados: T.I.R. =  32%  y V.A.N. = $us 492.731,38, y se determinó que el cálculo de relación Beneficio costo para el proyecto es de 1,15, datos que indican que el proyecto es rentable. También se realizó un análisis de sensibilidad vistos en tres escenarios tomando en cuenta las variables más sensibles como el material directo, precio del producto y disminución de las ventas y se observa que todos los casos el proyecto es rentable. Se determinó que el proyecto requiere una inversión total de 830.202,37 $us.Finalmente se realizó el estudio de Evaluación de Impacto Ambiental, donde primeramente se identificó el entorno donde se ubicara la planta, y también se estudió los impactos ambientales en la producción de fideo, así como se elaboró el plan de mitigación y políticas de emergencias  de acuerdo a ley 1333 y  el Reglamento Ambiental del Sector Industrial Manufacturero  (RASIM), y se concluyó  que no existe ningún tipo de riesgo de contaminación en la fabricación de fideos enriquecidos con harina de plátano.</t>
  </si>
  <si>
    <t>https://drive.google.com/file/d/1Tb0ap0tFe-HuQ0HISRQMZrFdR-U3sSAP/view?usp=sharing</t>
  </si>
  <si>
    <t>https://drive.google.com/file/d/1V7bq_1IpDL__op373xeA3IKB7-af9Cs7/view?usp=sharing</t>
  </si>
  <si>
    <t>https://drive.google.com/file/d/1afKEiT3op6ORi4BSblMNC2mjFNzWZwxw/view?usp=sharing</t>
  </si>
  <si>
    <t>CLAURE ROJAS ARIEL</t>
  </si>
  <si>
    <t>ING. ECHEVERRÍA HERRERA RODRIGO-ING. RENE CABEZAS ALBARRACÍN</t>
  </si>
  <si>
    <t>ESTUDIO DE FACTIBILIDAD TECNICA Y ECONOMICA PARA LA INSTALACION DE UNA LINEA DE PRODUCCION DE TOMATE HIDROPONICO PARA LA EMPRESA PEACH-COCHABAMBA</t>
  </si>
  <si>
    <t>ArielitoYoga@gmail.com</t>
  </si>
  <si>
    <t>IND-965-2018</t>
  </si>
  <si>
    <t>Producción Tomate Hidropónico, Columnas de Producción, Evaluación Financiera, Análisis sensibilidad, Evaluación Impacto Ambiental.</t>
  </si>
  <si>
    <t>Primeramente se realizó una investigación de Mercado a las zonas norte y centro de la provincia cercado del departamento de Cochabamba, estudiando también los mercados distribuidor, competidor y proveedor. Se determinó una demanda insatisfecha de Tomate en época de invierno, como también se determinó la proyección de demanda de tomate para las mayoristas sindicato Primero de mayo de Cochabamba. Posteriormente se definió el tamaño de la planta considerando que la empresa busca abarcar un 12% del mercado inicial de Tomates frescos produciendo el primer año 1100 cajas/temporada. Para el año 2018 la planta planificó ingresar a los mercados de abasto por medio de los mayoristas primero de mayo Cochabamba.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Zona de pampa san miguel del departamento de Cochabamba. Se definió un tamaño de 1700 mt2 para la planta. El estudio organizacional fue realizado para la planta definiendo el diagrama organizacional, las funciones de cada trabajador y las planillas de salarios.El estudio de viabilidad técnica se ha explicado a detalle, consistiendo la producción de tomate en dos etapas importantes: La de Laboratorio y la producción en cosechas de producción controlados. La primera etapa explicó como producir almácigos. En la segunda etapa se explicó como preparar el sustrato, la siembra, cosecha y empaquetado. Se determinó que son 4 los factores más importantes para la producción de Tomate Hidropónico: La iluminación, la temperatura, la humedad y el intercambio de aire.Posteriormente se preparó la información para poder realizar la evaluación financiera determinando un VAN de  287.130,42 bs, un TIR de 8% y una relación B/C de 1,35. También se realizó un análisis de sensibilidad donde fue mostrado que el precio y el volumen de producción no son las variables sensibles para la producción de Tomate. Se definió una inversión total de 219.625,86 bs. Para todo el proyecto definiendo un 50% de aporte propio y un 50% de financiamiento. La recuperación del capital fue determinado en un periodo de 5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</si>
  <si>
    <t>https://drive.google.com/file/d/1EB5nrdbK8McDcTpHHzV4kylKcK8kS_V3/view?usp=sharing</t>
  </si>
  <si>
    <t>https://drive.google.com/file/d/1s_UqRFOjE8xJ7Bt61hcBV5rMKsPNkBm4/view?usp=sharing</t>
  </si>
  <si>
    <t>https://drive.google.com/file/d/1UrjGeI6ZcqGrpSpDPFRdQ39eLwfgp-IU/view?usp=sharing</t>
  </si>
  <si>
    <t>QUISPE SANTOS CHALZ</t>
  </si>
  <si>
    <t>ING. PERICÓN BALDERRAMA ALFREDO</t>
  </si>
  <si>
    <t>PROYECTO DE FACTIBILIDAD TECNICA Y FINANCIERA PARA LA INSTALACION DE UNA PLANTA PROCESADORA DE HARINA DE OCA EN COCHABAMBA</t>
  </si>
  <si>
    <t>chalzquispe@gmail.com</t>
  </si>
  <si>
    <t>IND-966-2018</t>
  </si>
  <si>
    <t>Planta Productora de Harina de Oca, Estudio de Mercado, Ingeniería del Proyecto, Evaluación Financiera, Evaluación Ambiental</t>
  </si>
  <si>
    <t>Realizando el estudio del presente proyecto de factibilidad técnica y financiera para la instalación de una planta procesadora de harina de oca, a continuación se detallan las conclusiones específicas a las que se llegó:En cuanto al análisis de la materia prima, se pudo evidenciar que Cochabamba, es un potencial productor de oca con un 5.173,0 toneladas del total de producción de oca a nivel nacional, por lo que es posible afirmar que no existe en el mercado restricciones para su normal abastecimiento, debiendo simplemente tener presente en la compra de aspectos relacionados con la calidad y precio, lo cual se podrá conseguir a partir de pre acuerdos con los productores de oca. En cuanto a los insumos estos se los puede adquirir en el mercado local ya que estos no son escasos.El estudio de mercado se realizó satisfactoriamente en el municipio de cercado del departamento de Cochabamba, donde se pudo determinar que existe un grado de aceptación del producto aceptable con un 75,16%, este porcentaje corresponde a la cantidad de personas dispuestas a comprar el producto, además se identificaron las siguientes características, con las cuales se ingresara al mercado.a.      Frecuencia de compra en el cual un de harina en el cual un 48.89% compra mensualmente, mientras el 31.85% compra quincenalmente, el 10.74% semanalmente, y en intervalos distintos el 8.52%.b.     Se logró identificar que la cantidad de harina que consume preferente mente es de 3 kg y 12 kg.c.      En cuanto al lugar de compra, el 43.70 % prefiere comprar en el mercado, el 28.90% compra en tienda de barrio, el 24.44% compra en supermercado tiendo así como objetivo ofertar en el mercado.d.     En cuanto a la competencia se pudo identificar que las marcas de las empresas que producen harina de oca no son muy conocidas ya que durante la encuesta se pudo notar que del total de encuestados 14 personas respondieron que conocen algunas marcas como APROKAT, 5 personas, y PROINPA 5 personas y 4 personas indicaron que no recuerdan la marca, por el cual podemos decir que la competencia es muy escasa, por el cual se pretende entrar al mercado con fuerza.e.      Se logró identificar los medios de comunicación por las cuales el cliente prefiere que se publicite el producto para tener un mejor resultado, donde el 34.71% indica por medios televisivos, el 28.03% por medio de redes sociales (Internet), y un 23.55% por medio de la radio, como también un 15.70% por medio del periódico.Con las características identificadas anteriormente se pudo calcular la demanda potencial de la harina de oca, encontrando la brecha de mercado, dato que es tomado en cuenta para la cantidad con la que se entrara al mercado, el primer año con 349 toneladas y para el ultimo año 470, esto según experiencias de personas dedicadas al rubro de harinas.En cuanto al precio de venta tomado en cuenta los precios ofertados en el mercado local y los obtenidos en la encuesta se decidió optar por un precio menor que la competencia da a un precio económico de 9 Bs por kilogramo de harina de oca y así relativamente por cantidad que se requiera.Los canales de distribución propuestos son: Productor – consumidor final y productor – minorista – consumidor final, siendo las formas más comunes.La localización de la planta se propuso en tres lugares estos son: Quillacollo, Sacaba, Tiquipaya, los cuales se evaluó por el método de factor ponderado por puntos y se tuvo como resultado al municipio de Sacaba ya que cuenta con los requerimientos necesarios además que se cuenta con el terreno, disminuyendo así los costos por inversión.El tamaño de la planta, se determinó analizando como primer punto la demanda insatisfecha, determinando así la capacidad de producción para el primer año del proyecto siendo esta de 211 Toneladas con una capacidad de producción del 80% y el último año con 297 Toneladas con una capacidad de producción de 100%, adicionalmente se determinó el programa de producción para los 5 años de operación de la planta.Dentro la ingeniería del proyecto, se analizó el proceso productivo, donde se detallaron los procesos necesarios para la obtención de harina de oca, se analizó a los proveedores de oca, los cuales serán los productores de oca de municipio de Candelaria – Colomi. Se determinó que la cantidad de mano de obra requerida que corresponde a 22 empleados, también de determino la distribución de la planta mediante el método SPL, contamos con un terreno de 545 m2, se determinó también de la maquinaria y equipos requeridos por la planta los cuales serán adquiridos por la empresas locales EQUIMPORT, García &amp; Gaette SRL., y la importadora Lon – Bolivia, llegando a sumar un monto de 408.900 bolivianos, también se determinó la infraestructura requerida para la puesta en marcha de la empresa, llegando a cuantificar un monto de 314.814,72 bolivianos, y por último se determinó los costos por servicios básicos requeridos por la planta.La estructura organizacional de la empresa se definió de la siguiente manera: un gerente, un jefe de producción, un jefe de comercialización, un jefe de administración y finanzas, encargado de control de calidad, almacenero, obreros, chofer, vendedor, chofer, limpieza, vigilante, una vez definida la organización se determinó los sueldos para cada cargo en la empresa. Con respecto a la legalidad de la empresa se detalló todos los tramites vigentes que se debe de seguir para el registro de empresas. La planificación y ejecución del proyecto tiene una duración de 8 meses dado por el diagrama de Gantt.Se determinó que el monto total ce la inversión para la creación de la planta procesadora de harina de oca asciende a un total de  1.346.952  bolivianos, en cual será financiado por un aporte propio que corresponde al 60% y un aporte por préstamo  bancario del 40%, será financiado por el banco de Crédito de Bolivia, con una tasa de interés del 6.63%.El punto de equilibrio esta dado con la producción de 220.327 kilogramos por año, lo que nos indica tener utilidad de la planta procesadora de harina de oca deberá vender una cantidad mayor a la del punto de equilibrio.Mediante la evaluación financiera se determinó que el proyecto es rentable, dados que los indicadores financieros nos muestra que el VAN es de 331.783.23 la tasa de interna de retorno (TIR) es de 17,97%. La relación beneficio costo es de 1,26 lo que indica que por cada boliviano invertido se recupera 0.81 bolivianos y el Periodo de recuperación de capital es de 5.76 años, índices que muestran la viabilidad del proyecto.En cuanto a la evaluación ambiental se determinó que el proyecto en la zona de su implementación, no genera impactos negativos graves o severos, al contrario genera un aumento en el desarrollo de la industria de Cochabamba, provocando de esta manera más fuentes de empleo. En cuanto a la categorización del presente proyecto según el llenado de formulario del Riesgo Ambiental Industrial con la ayuda del RASIM se llegó a la conclusión que la presente empresa se encuentra en la categoría III, por lo que es un proyecto ecológicamente compatible.</t>
  </si>
  <si>
    <t>https://drive.google.com/file/d/1NhmOfueey5N6PFO6a-UlgKWhmvMThO-u/view?usp=sharing</t>
  </si>
  <si>
    <t>https://drive.google.com/file/d/1ZVEd_dKFoJGnnJr0sqCCo1SrX_k0hqz0/view?usp=sharing</t>
  </si>
  <si>
    <t>https://drive.google.com/file/d/1PzcYTYEkPX-0Ul9_LrSDJOK_RupOCebe/view?usp=sharing</t>
  </si>
  <si>
    <t>GUEVARA  ZAMBRANA ISRAEL</t>
  </si>
  <si>
    <t>MGR. ING. ALFREDO PERICÓN BALDERRAMA</t>
  </si>
  <si>
    <t>PLAN PARA LA CONFORMACIÓN DE UN CLÚSTER DE TEXTILES Y CONFECCIONES EN LA FACULTAD DE CIENCIAS Y TECNOLOGÍA DE LA UMSS</t>
  </si>
  <si>
    <t>israelguevarazambrana@gmail.com</t>
  </si>
  <si>
    <t>IND-967-2018</t>
  </si>
  <si>
    <t>Investigación, Desarrollo, Innovación, Universidad, Empresa, Sociedad, Ciencia y Tecnología</t>
  </si>
  <si>
    <t>Primeramente se realizó un diagnóstico situacional del sector de textiles y confecciones en Cochabamba y la Facultad de Ciencias y Tecnología de la UMSS, a partir de información secundaria bibliográfica disponible en: FUNDEMPRESA, INE, CADEPIA, FEDEMYPE, el estudio realizado por COSDEPRO (Consejo de Coordinación Sectorial de Desarrollo Productivo), el taller de planificación estratégico de la facultad de ciencias y tecnología (2017-2021) y la Dirección de Investigación de Ciencia y Tecnología [DICyT] respectivamente, además de información primaria obtenida a través de visitas y entrevistas estructuradas con los actores directamente involucrados, con el objetivo de establecer el estado actual del sector de textiles y confecciones e identificar las capacidades y potencialidades de la FCyT de la UMSS con respecto a la conformación de un clúster de textiles y confecciones. De manera complementaria se realizó un análisis prospectivo sobre el futuro y el desarrollo productivo empresarial e industrial en la región.Posteriormente se realizó un primer taller de planificación estratégica del sector de textiles y confecciones, con el objetivo socializar, capacitar y de establecer el marco estratégico del clúster de textiles y confecciones en la FCyT d la UMSS y un segundo taller de validación y planteamiento de las líneas de acción generales a seguir en el Plan. En ambos talleres se logró reunir a los diferentes actores involucrados para la conformación del clúster de textiles y confecciones.A partir del primer taller de planificación estratégico antes mencionado se logró establecer la misión, visión, políticas y valores del clúster de textiles y confecciones, además de efectuar el análisis y diseño de las estrategias convirtiéndolas en objetivos que serán medidos a través de indicadores de gestión. Con el objetivo de definir con mayor claridad y precisión la consecución de dichos objetivos que garantizan la institucionalidad, supervivencia y desarrollo del clúster de textiles y confecciones se realizó el diseño de un cuadro integral.A través de un estudio de investigación al Instituto de Investigación de Ciencia y Tecnología [IICyT] el cual alberga el clúster productivo de alimentos y el clúster productivo de cuero, se logró plantear la estructura organizacional, la metodología de interacción e intervención y los servicios del clúster de textiles y confecciones.Posteriormente con el objetivo de establecer una adecuada planificación y presupuestación financiera del clúster de textiles y confecciones se realizó un análisis de la liquidez financiera proyectado (2019-2023).Finalmente se propuso un sistema de evaluación y seguimiento del Plan, a través del diseño de indicadores de gestión, desplegado en un horizonte temporal cinco años (2019-2023), con el objetivo de garantizar la conformación y el óptimo desarrollo del clúster de textiles y confecciones.</t>
  </si>
  <si>
    <t>https://drive.google.com/file/d/1h-175St6eB9BMP7yfU7s3MmlAlBoyvyk/view?usp=sharing</t>
  </si>
  <si>
    <t>https://drive.google.com/file/d/1AMZ4XZrwaweijXaBwnL-p0X07yphr1w6/view?usp=sharing</t>
  </si>
  <si>
    <t>https://drive.google.com/file/d/1OVENHenEpXNJNQVU7yZdrgyxMTSUN7QY/view?usp=sharing</t>
  </si>
  <si>
    <t>LÓPEZ ARISPE VANIA MARIEL</t>
  </si>
  <si>
    <t>DISEÑO PARA LA ACTUALIZACION DEL SISTEMA DE GESTION DE CALIDAD, BAJO LOS REQUERIMIENTOS ESTABLECIDOS EN LA NORMA ISO 9001:2015 EN LA EMPRESA DE SERVICIO DE ENVASADO DE BEBIDAS SEASA S.A</t>
  </si>
  <si>
    <t>vlopezarispe@gmail.com</t>
  </si>
  <si>
    <t>IND-968-2018</t>
  </si>
  <si>
    <t>Sistema, gestión, calidad, ISO 9001:2015,  SEASA S.A, envasado, bebidas.</t>
  </si>
  <si>
    <t>El presente proyecto  tiene como objeto el  diseño para la actualización del sistema de gestión de calidad, bajo los requerimientos establecidos en la norma ISO 9001:2015 en la empresa de Servicio de Envasado de Bebidas SEASA S.A. , que le permita establecer una organización basada en procesos, y que a mediano plazo pueda implementarse y llegar a obtener la certificación de la calidad, haciendo que la organización  se enfoque en la satisfacción de las necesidades y expectativas de los clientes y en la mejora continua para poder mantenerse en el negocio de la producción y comercialización de productos relacionados con el sector de Bebidas en Bolivia, y así mismo llegar a ser más competitivos y lograr ser los líderes del mercado. El SGC busco cubrir los requisitos los requisitos que la norma maneja como obligatorios para establecer, implementar y mantener dicho SGC, por lo cual se cubren puntos como la documentación, liderazgo y compromiso de la Alta dirección, la planificación los recursos, la realización del producto y por supuesto la medición, análisis y mejora.Y para ello ha sido necesario realizar varias etapas que son mostradas a continuación:                       Primeramente se realizó un diagnóstico de la situación actual. Usando un cuestionario elaborado en base a los requerimientos de la Norma ISO 9001:2015,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9001:2015 . Como resultado de este diagnóstico, se identificaron las fortalezas, debilidades y oportunidades de mejora de la empresa.En la etapa de planificación y diseño del Sistema de Gestión de Calidad, se inicia con el planteamiento de reestructuración y actualización de los elementos necesarios como ser misión, visión, política de calidad que coadyuven a lograr los objetivos requeridos por la organización. Posteriormente se realiza la conceptualización del sistema, estableciendo los procesos que formaran parte del sistema y la forma en que se dará cumplimiento a los diferentes puntos de la norma ISO 9001:2015•            Construcción del mapa de procesos•            Determinación de las necesidades de documentación•            Elaboración de documentos •            Reestructuración de la política y de los objetivos de calidad•            Identificación de partes interesadasSe elaboró un plan de implementación del Sistema de Gestión de calidad, donde se determinan las actividades, los recursos necesarios y el tiempo programado para dicha implementación. Y por último se presenta la determinacion de los costos para la implementación del SGC y un análisis de los indicadores de productividad. Finalmente se determinaron  los costos de calidad en escenarios distintos, los cuales fueron:·       Sin contar con un Sistema de Gestión de Calidad·       Primer y segundo año de implementación del Sistema de Gestión de CalidadAsí mismo se hizo un breve cálculo del beneficio- costo del proyecto para determinar la factibilidad.</t>
  </si>
  <si>
    <t>https://drive.google.com/file/d/1EOOOTsvd1_bOLBd8CRG7ELuvuPUfuVSW/view?usp=sharing</t>
  </si>
  <si>
    <t>https://drive.google.com/file/d/1a-oo9seubGm5n7nSSbRgScNOhSqnECet/view?usp=sharing</t>
  </si>
  <si>
    <t>https://drive.google.com/file/d/10FmNC_z11qoKmV4-oKybgc0YUkAXJs6B/view?usp=sharing</t>
  </si>
  <si>
    <t>NEYSA ARROYO MONTECINOS</t>
  </si>
  <si>
    <t>RODRIGO LUIS VIDAL PALLE</t>
  </si>
  <si>
    <t>PROYECTO DE FACTIBILIDAD PARA LA PRODUCCIÓN DE TEJAS A PARTIR DE LLANTAS RECICLADAS EN COCHABAMBA</t>
  </si>
  <si>
    <t>ney941005@gmail.com</t>
  </si>
  <si>
    <t>IND-969-2018</t>
  </si>
  <si>
    <t>Producción de tejas a partir de llantas recicladas, Reutilización del grano de caucho reciclado (GCR), Localización, Proceso de producción, Evaluación económica y financiera, Impacto ambiental</t>
  </si>
  <si>
    <t>El estudio de factibilidad para la implementación de una planta productora de tejas a base de llantas recicladas en la ciudad de Cochabamba, tuvo como objetivo fundamental estudiar la factibilidad técnica y financiera. En primer lugar, se realizó un Estudio de Mercado en el eje metropolitano de Cochabamba (Quillacollo, Cercado y Sacaba) mediante el método de muestre probabilístico, determinando que existe una demanda potencial por parte de los consumidores. Este estudio permitió calcular la demanda existente y estructurar el perfil del consumidor y las estrategias de comercialización.Posteriormente se realizó un análisis de la materia prima e insumos, donde se determinó la disponibilidad, el precio y los proveedores. Identificando como proveedores de la materia prima a gomeros y recicladores independientes.Luego se procedió al estudio de Localización, aplicando el método cualitativito por puntos, donde surgió que la planta se ubicará en el municipio de Quillacollo-Ironcollo. En la Ingeniería de Proyectos, se estableció el proceso productivo de la teja a base de llantas recicladas. Se determinó la maquinaria y equipos necesarios para la elaboración de dicho producto, tomando en cuenta las normas de calidad establecidas por IBNORCA, la infraestructura y la distribución de la planta.Asimismo, se ilustró el organigrama de la planta, expresando la ubicación jerárquica del personal a controlar y las funciones que debe realizar cada miembro de la empresa, de igual manera se estableció el marco legal de la empresa estableciéndonos como una empresa S.A.Se realizó la Planificación y Ejecución del Proyecto, donde se determinó 13 actividades importantes para la puesta en marcha de la planta, estimando que tendrán una duración igual a 52 semanas.Se desarrolló una Evaluación Financiera del Proyecto, mediante indicadores económicos como la TIR obteniendo un 18,91%, VAN con un valor de 1.469.741,92 Bs, B/C con 1,9 de beneficio costo y PRI de aproximadamente de 7 años. Concluyendo que el proyecto es factible.Y finalmente se realizó el Análisis de Impacto Ambiental, donde se determinó que el proyecto se encuentra en la categoría 4 según la categorizaron de RASIM, lo que implica que el proyecto no necesita aplicar el instrumento de alcance particular denominado Descripción del Proyecto (DP) y Plan de Manejo Ambiental (PMA).</t>
  </si>
  <si>
    <t>https://drive.google.com/file/d/1LeH5fXaU3NKEpqOQeSgNcu4TpIKCkmiB/view?usp=sharing</t>
  </si>
  <si>
    <t>https://drive.google.com/file/d/1O3a7EK2nHdp70xBMku9FLkFUKLwcCTeI/view?usp=sharing</t>
  </si>
  <si>
    <t>https://drive.google.com/file/d/1hoXx07MO3PhthAYPsaxTmL5TOZhE_7rj/view?usp=sharing</t>
  </si>
  <si>
    <t>EVELYN MORALES NINA</t>
  </si>
  <si>
    <t>CRISTIAN DAVID SIRPA GOMEZ</t>
  </si>
  <si>
    <t>ING. DANIEL HUGO VARGAS GUARDIA</t>
  </si>
  <si>
    <t>DISEÑO DE UN SISTEMA INTEGRADO DE GESTION EN BASE A LAS NORMAS NB ISO 9001:2015 Y NB OSHAS 18001:2007 PARA LA EMPRESA METALCI S.A</t>
  </si>
  <si>
    <t>evelyn2_24@hotmail.com</t>
  </si>
  <si>
    <t>IND-970-2018</t>
  </si>
  <si>
    <t>METALCI, Sistema de Gestión, Calidad, Seguridad y Salud Ocupacional, ISO, OHSAS</t>
  </si>
  <si>
    <t>El presente proyecto tiene por objetivo principal diseñar un Sistema Integrado de Gestión en base a las normas NB OHSAS 18001:2007 y NB ISO 9001:2015 en “Metalci S.A.”.En primera instancia se realizó un diagnóstico inicial en la empresa, para determinar la situación actual de la misma, identificando las no conformidades con referencia al cumplimiento de las Normas NB ISO 9001:2015 y NB OHSAS 18001:2007.Posteriormente, se elaboraron la Política y los Objetivos del Sistema Integrado de Gestión, sobre los cuales se realizó el diseño de todo el Sistema estableciendo los procesos de la empresa a fin de lograr el cumplimiento de dichos objetivos.A continuación, se elaboró el Manual de Sistema Integrado de Gestión, compuesta por  procedimientos y  registros, en función a los requerimientos y necesidades del Sistema Integrado de Gestión. También se elaboró una propuesta del plan de implementación para poner en práctica de manera eficaz y ordenada el Sistema Integrado de Gestión diseñado, para lo cual se plantearon 9 etapas que podrían ser ejecutadas en 7 meses según el cronograma propuesto.Por último, se determinaron los beneficios y costos del proyecto para la implementación del Sistema Integrado de Gestión diseñado para la empresa “Metalci S.A.”.</t>
  </si>
  <si>
    <t>https://drive.google.com/file/d/12efFYHwL6q4ialej7l59fiALFnVFrl11/view?usp=sharing</t>
  </si>
  <si>
    <t>https://drive.google.com/file/d/1E9XIgUsPiM15aLP4zOwemwewBaXLMIoo/view?usp=sharing</t>
  </si>
  <si>
    <t>https://drive.google.com/file/d/1AB3QgW1dYmM8-ivhJO_AZ0fxlcMzxs3c/view?usp=sharing</t>
  </si>
  <si>
    <t>MENA MOLINA ANDREA</t>
  </si>
  <si>
    <t>ING. HENRY ANTEZANA FERNÁNDEZ</t>
  </si>
  <si>
    <t>PROYECTO DE FACTIBILIDAD PARA LA IMPLEMENTACIÓN DE UNA PLANTA PROCESADORA DE YOGURT A BASE DE PULPA DE ALOE VERA EN LA CIUDAD DE COCHABAMBA</t>
  </si>
  <si>
    <t>andymena93@gmail.com</t>
  </si>
  <si>
    <t>IND-971-2018</t>
  </si>
  <si>
    <t>Producción Yogurt Aloe vera, Análisis Sensorial, Evaluación financiera, Análisis de Sensibilidad, Evaluación Impacto Ambiental, RASIM</t>
  </si>
  <si>
    <t>El Estudio de Mercado proporcionó información sobre el perfil del cliente, se identificó la existencia de una necesidad insatisfecha, se analizó el mercado en el que se ofrecerá el producto, ya que, un conocimiento adecuado del mismo permite evaluar las posibilidades de éxito. Se analizó la oferta y la demanda, así como el análisis del producto, los precios, los canales de distribución y las promociones. Al concluir el estudio se obtuvo una idea clara sobre las condiciones actuales del mercado del yogurt de Aloe vera.En el capítulo de Materia Prima e Insumos se analizaron las principales zonas productoras de materia prima, las cuales podrán suministrar materia prima en las cantidades necesarias y en el tiempo requerido. Así mismo se realizó la descripción de toda la materia prima, insumos, servicios y suministros  necesarios en todo el proceso productivo y un análisis de costos de abastecimiento de materia prima, insumos y materiales requeridos según la demanda del producto.Mediante el Estudio Técnico se analizó la ubicación geográfica para la instalación de la planta procesadora, evaluando las posibles alternativas y considerando factores como ser: mercado, materia prima, mano de obra, servicios básicos, costo de terreno, vías de comunicación, de las cuales se determinó la alternativa más conveniente para el proyecto. Así mismo se determinó el tamaño de la planta tomando en cuenta la demanda del proyecto, la capacidad óptima de producción, la capacidad de maquinarias y la disponibilidad de capital.En el capítulo de Ingeniería del proyecto se detalló el proceso productivo para la elaboración de yogurt de Aloe vera, se elaboró el diagrama del proceso y el balance de masa del producto, así mismo se determinaron las maquinarias y herramientas necesarias en todo el proceso productivo. También se analizaron las obras civiles necesarias para el funcionamiento de la empresa, realizando la distribución de planta y la asignación de áreas necesarias, se detallaron los servicios necesarios, muebles y enseres, equipos de protección personal, señalética industrial y control de calidad.Con el Estudio Organizacional y Legal se desarrolló la estructura organizacional de la empresa mediante un organigrama, se realizó la descripción de cargos y funciones, lo cual permite el logro de los objetivos primordiales de la empresa, eliminar la duplicidad de trabajo y establecer canales de comunicación. El aspecto legal  es primordial para que la empresa se encuentre legalmente establecida, cumpliendo con los requisitos y obligaciones que dispone la ley. El Estudio Financiero es una parte fundamental de la evaluación de un proyecto de inversión, en este capítulo se utilizó la información de los anteriores capítulos, por ejemplo costos, inversiones a realizar, estudios de mercado, demanda, costos laborales, costos de financiamiento. En este caso, el estudio financiero estableció que la implementación de una planta procesadora de Yogurt de Aloe vera es económicamente rentable.La elaboración de un Estudio de Impacto Ambiental nace de la necesidad del cumplimiento de las exigencias planteadas dentro las normativas actuales vigentes, con el objetivo de identificar, prevenir e interpretar el impacto ambiental que se podría producir al ejecutar el proyecto. Se identificaron y evaluaron los potenciales impactos positivos y negativos del proyecto durante la fase de implementación y operación de la planta. De esta manera se la categorizo según la legislación ambiental boliviana.</t>
  </si>
  <si>
    <t>https://drive.google.com/file/d/1RJXahzzHH3wwxq5hxDCriDR_1KpNQWmw/view?usp=sharing</t>
  </si>
  <si>
    <t>https://drive.google.com/file/d/1ZN9GXrAMROR9QWP1se07aQVjJ0ZpbL_L/view?usp=sharing</t>
  </si>
  <si>
    <t>https://drive.google.com/file/d/1QWXQdHTLWq98fedtHco4ldu5A4_oJC-y/view?usp=sharing</t>
  </si>
  <si>
    <t>VILLARROEL MEJIA ROLANDO</t>
  </si>
  <si>
    <t>M.SC. ING. CHOQUE FLORES ALEX D´ANCHGELO</t>
  </si>
  <si>
    <t>ESTUDIO DE FACTIBILIDAD PARA LA IMPLEMENTACION DE UNA NUEVA LINEA DE PRODUCCION DE QUESO DE SOYA PARA LA EMPRESA RAMA SANA</t>
  </si>
  <si>
    <t>linkonbo17@gmail.com</t>
  </si>
  <si>
    <t>IND-972-2018</t>
  </si>
  <si>
    <t>Línea producción queso soya, Tofu, Factibilidad, procesos productivos, Evaluación Financiera, Análisis sensibilidad, Evaluación Impacto Ambiental</t>
  </si>
  <si>
    <t>Primeramente se realizó una investigación de Mercado a las zonas norte y centro de la provincia cercado del departamento de Cochabamba, estudiando también los mercados distribuidor, competidor y proveedor. Se determinó una demanda insatisfecha de queso, como también se determinó la proyección de demanda y la oferta de queso de soya para un horizonte de 8 años. Posteriormente se definió el tamaño de la planta considerando que la empresa busca abarcar un 6% del mercado inicial de queso de soya produciendo el primer año 124.579 Kg. De queso de soya, para el año 8 la producción proyectada es de 223.159 Kg. de queso de soya, llegando a una participación de mercado del 11%. Para cubrir esta producción se diseño una planta de producción con una capacidad de 250.000 Kg/año de queso de soya.Se definió la localización de la planta haciendo un análisis cualitativo de puntos ponderados de los factores, en el cual ganó por ponderación la provincia de Cercado del departamento de Cochabamba. El estudio organizacional fue realizado para la planta definiendo el diagrama organizacional, las funciones de cada trabajador y las planillas de salarios.Se realizó el estudio de la ingeniería del proyecto donde se definió doce procesos de transformación del grano de soya en queso, con un tiempo promedio de producción de 8,5 horas, para lo que se seleccionaron máquinas y equipos para cubrir la demanda y alcanzar la capacidad máxima de producción anual, para lo que se determinó una inversión para estas tecnologías de 50.260 $us., también se identificó las materias primas, suministro y servicios de planta adecuadas como los posibles proveedores.Posteriormente se preparó la información para poder realizar la evaluación financiera determinando un TIR de 14.6%, el VAN de 157.462 Bs y una relación B/C de 1,15 concluyendo de que el proyecto es Rentable o Factible. Se definió una inversión total de 82.614 $us. Para todo el proyecto definiendo un 60% de aporte propio y un 40% de financiamiento bancario.Finalmente se concluyó con una Evaluación de Impacto Ambiental de acuerdo a ley 1333, donde se estudió al proyecto en sus etapas de ejecución y operación. Se concluyó que no existen factores de riesgo negativo considerables.</t>
  </si>
  <si>
    <t>https://drive.google.com/file/d/1aZcfMSnl3Cb-hcgxxQya0Il0g8n6IkRW/view?usp=sharing</t>
  </si>
  <si>
    <t>https://drive.google.com/file/d/1wVgA5VujCaBxe1FuA_W--JRZTsMw6Dhj/view?usp=sharing</t>
  </si>
  <si>
    <t>https://drive.google.com/file/d/13kaWuKKWBI8U6JbIM2p7wifQX96AMvFW/view?usp=sharing</t>
  </si>
  <si>
    <t>LEIDY VALLEJOS ZARATE</t>
  </si>
  <si>
    <t>MIGUEL ANGEL TARQUI FLORES</t>
  </si>
  <si>
    <t>PROYECTO DE FACTIBILIDAD PARA LA INSTALACIÓN DE UNA PLANTA PROCESADORA DE CONCENTRADO DE HORCHATA DE ARROZ EN EL EJE TRONCAL DEL DEPARTAMENTO DE COCHABAMBA</t>
  </si>
  <si>
    <t>vallejos.zarate.leidy@gmail.com</t>
  </si>
  <si>
    <t>IND-973-2018</t>
  </si>
  <si>
    <t>Planta Procesadora, Concentrado de Horchata de Arroz, Factibilidad, Eje Troncal de Cochabamba, Proyecto de Factibilidad, Evaluación Financiera</t>
  </si>
  <si>
    <t>El presente proyecto se enfocó en desarrollar un proyecto de factibilidad para la instalación de una planta procesadora de concentrado de horchata de arroz en el departamento de Cochabamba.La horchata es un refresco natural hecho principalmente con arroz blanco, es una bebida tradicional de México. Se prepara mezclando arroz molido, azúcar blanco, canela, leche, vainilla y en ocasiones se puede agregar leche condensada.El concentrado de horchata es una solución densa que debe ser diluida con agua y/o leche para su consumo, además se puede agregar azúcar a gusto.El objetivo general del proyecto es Determinar la factibilidad para la instalación de una planta procesadora de horchata de arroz en el eje troncal del departamento de Cochabamba.Los objetivos específicos del proyecto son: 1) Determinar la oferta, la demanda, el precio y los canales de distribución. 2) Definir la localización de la empresa. 3) Desarrollar la ingeniería del proyecto. 4) Realizar el estudio organizacional, administrativo y legal. 5) Elaborar el estudio financiero. 6) Gestionar el estudio del impacto ambiental.Primeramente, se realizó el estudio de mercado, que fue realizado en el eje troncal del departamento de Cochabamba, se realizó la obtención de datos por medio de una encuesta, haciendo degustaciones por motivo de que la Horchata de arroz es poco conocida. Con los datos obtenidos se determinó la demanda potencial del producto y se realizó un análisis del precio que tendrá el producto.Luego de conocer la demanda del producto se determinó la capacidad de producción que pueda satisfacer dicha demanda. Se realizó un plan de producción que permitirá cubrir entre el 20% y el 27% de la demanda durante los 5 años.Posteriormente se estableció el proceso productivo para la elaboración del concentrado de horchata, los procesos establecidos son: pesado, lavado, remojado, molido, mezclado, pasteurizado, enfriado, envasado y etiquetado.Con los procesos establecidos y el plan de producción se calcularon los diferentes costos del proyecto (producción, administración, comercialización, financiero, etc.). Esto ayudó a poder calcular el precio un precio de venta que cubra tales gastos y genere ganancias atractivas.La localización de la planta fue hecha por el método de ponderación de factores, se tomaron en cuenta tres alternativas en diferentes municipios del eje troncal del departamento, se utilizaron seis variables para evaluar a cada una de las alternativas. La distribución de planta se realizó sobre 380 m2, en un terreno ubicado en la zona Quintanilla del Municipio de Sacaba. La distribución de la planta cuenta con área de producción, área de oficinas y área de almacenes.A través de la evaluación financiera se determinó que el proyecto es rentable, siendo un proyecto atractivo para invertir, además que aporta a la producción nacional. Mediante esta evaluación se determinó que el proyecto es rentable al obtener TIR = 23%, VAN = Bs. 524.553,33 y B/C = 1,44.En el análisis organizacional se determinó la estructura orgánica de la empresa, que contará con once empleados con contrato indefinido y tres con contrato por tiempo limitado para ciertas temporadas del año, también se definió las funciones y requisitos para cada puesto y sus respectivos salarios.Por último, se realizó la evaluación ambiental, con lo cual se determinó que el proyecto es de categoría III, lo cual indica que no presenta impactos ambientales negativos de consideración, sin embargo, se elaboró un plan de mitigación para preservar el medio ambiente de la zona.</t>
  </si>
  <si>
    <t>https://drive.google.com/file/d/1UFFPjUo96S7zhYdZMwL_Lg3pM3doRomy/view?usp=sharing</t>
  </si>
  <si>
    <t>https://drive.google.com/file/d/1TRsHNvUmDsnRgk2OrTIXJ3Php0NDJpmj/view?usp=sharing</t>
  </si>
  <si>
    <t>https://drive.google.com/file/d/1FrgvCvMEXJ4HZCdEhiJWm3MviFcJGsGf/view?usp=sharing</t>
  </si>
  <si>
    <t>SOTO ROJAS PAOLA ADRIANA</t>
  </si>
  <si>
    <t>ING. ESTHELA LÓPEZ CORO</t>
  </si>
  <si>
    <t>ACTUALIZACIÓN DEL SISTEMA DE GESTIÓN DE LA CALIDAD DE LA EMPRESA INCERCO LTDA. BAJO LOS REQUISITOS DE LA NB/ISO 9001:2008 A LA NB/ISO 9001:2015</t>
  </si>
  <si>
    <t>pao_adri_@hotmail.com</t>
  </si>
  <si>
    <t>IND-974-2018</t>
  </si>
  <si>
    <t>Sistema de Gestión de la Calidad, procesos, partes interesadas, gestión del riesgo y oportunidades, gestión del cambio, costos de calidad, costos de no calidad</t>
  </si>
  <si>
    <t>La empresa INCERCO LTDA. se vio en la necesidad de recertificar su Sistema de Gestión de la Calidad, debido a que estaba desarrollado y certificado bajo los requisitos de la NB/ISO 9001:2008 misma que dejo de tener vigencia en septiembre del  año 2018, por otro lado, cabe resaltar que la nueva versión de la norma trae consigo implementaciones de gran importancia que ayudaran al Sistema de Gestión de la Calidad de la empresa a ser más eficaz. El objetivo fundamental del presente proyecto es actualizar el Sistema de Gestión de la Calidad de la empresa INCERCO LTDA. bajo los requisitos de la nueva versión de la norma (NB/ISO 9001:2015) para poder  recertificarse y ser más eficientes y eficaz dentro del entorno en  el que se desarrolla.  El presente proyecto fue desarrollado en base a las siguientes etapas:·       Diagnóstico: se inició con un diagnostico al Sistema de Gestión de la Calidad bajo los requisitos de la NB/ISO 9001:2008, para determinar la distancia que existe en ambas versiones de la norma y poder puntualizar aquellos cambios e  implementaciones que tiene la norma en su nueva versión y desarrollarla de forma satisfactoria  en el presente proyecto. ·       Planeación: una vez puntualizados las implementaciones de la nueva versión de la NB/ISO 9001:2015 a desarrollar en el presente proyecto, se procedió a la determinación de las actividades en base al diagnóstico realizado previamente, como también la asignación de responsabilidades y el tiempo de la ejecución.·       Diseño e implementación: estas etapas  van de la mano, puesto que después del diseño de la herramienta y una vez aprobado fueron implementados en los diferentes procesos que conforman el Sistema de Gestión de la Calidad, siendo la etapa de diseño la determinación de soluciones que hagan frente de forma satisfactoria a las nuevas implementaciones de la NB/ISO 9001:2015.Una vez concluidas las implementaciones de las herramientas se evaluó al sistema para poder apreciar la medida en la que el sistema es conforme con los requisitos de la norma, en esta se pudo determinar que el sistema tiene un cumplimiento del 97,667%, cabe resaltar que al iniciar con el presente proyecto el cumplimiento con los requisitos de la NB/ISO 9001:2015 era del 46,578%. La etapa de reestructuración de los procesos fue fundamental puesto a que se actualizó toda la documentación pertinente a cada proceso que conforma el sistema, adaptándolas a las necesidades actuales de la empresa y a los requisitos que presenta la norma en su versión vigente del año 2015, por otro lado, el desarrollo de los procesos fue plasmado en mapa de procesos de cada uno de los que conforman el sistema, siendo esto la base para la identificación de las partes interesadas y sus necesidades y/o requisitos. Los factores internos y externos a cada proceso, como las partes interesadas y sus requisitos fueron tratados con un enfoque en riesgos y oportunidades, con el fin de actuar oportunamente ante efectos negativos o positivos que podrían tener incidencia en el desarrollo del sistema. La gestión de cambios es muy importante para evitar discrepancias o alterar la integridad del sistema, cabe mencionar que si bien la herramienta desarrolla cumple con los requisitos impuestos por la NB/ISO 9001:2015, esta no tuvo una fácil aceptación por los líderes de procesos; se identificó también que los procesos con mayor probabilidad de cambios, son aquellos que tienen una relación directa con la producción y con el cliente final.La determinación de elementos estratégicos propios de la empresa (misión, visión y política de la calidad) fue en base a los lineamientos corporativos bajo los que se desarrolla, esto con el fin de darse a conocer como Industrias Cerámicas Cochabamba (INCERCO LTDA.) a sus clientes y partes interesadas, no teniendo influencia alguna en los objetivos de gestión definidos, puesto a que ellos están determinados en base a los lineamientos corporativos. Las herramientas desarrollas cumplen el 100% de los requisitos que presenta la norma en su nueva versión. Se recomienda que en lo posible las partes interesadas y sus necesidades y requisitos sean constantemente actualizadas, como también los factores internos y externos a cada procesos que conforma el sistema y ser tratadas con un enfoque en el riesgo y las oportunidades.Por otro lado que los líderes de los procesos tengan presente que la planeación de los cambios puede evitar discrepancias o conflictos dentro del sistema y que este debe ser tratado con cautela antes de implementar los cambios con el objetivo fundamental de no alterar la integridad del Sistema de Gestión de la Calidad.</t>
  </si>
  <si>
    <t>https://drive.google.com/file/d/14AvPmFFu8epHVtHO6Qd4N79SczVS6cZp/view?usp=sharing</t>
  </si>
  <si>
    <t>https://drive.google.com/file/d/1NLLoj4TeakjtZoqW5-moI0CNC_GrNKVR/view?usp=sharing</t>
  </si>
  <si>
    <t>https://drive.google.com/file/d/1i8372i8sCJ9TG1YYezhCJ3nInJiKEzoB/view?usp=sharing</t>
  </si>
  <si>
    <t>LÓPEZ ANAYA ANGÉLICA MARIANA</t>
  </si>
  <si>
    <t>ING. DANIEL SANTA CRUZ TAIDA</t>
  </si>
  <si>
    <t>DISEÑO DE UN SISTEMA DE GESTIÓN DE SEGURIDAD Y SALUD EN EL TRABAJO EN BASE A LA ISO 45001 PARA EL COMITÉ NACIONAL DE DESPACHO DE CARGA –CNDC</t>
  </si>
  <si>
    <t>angy.lo.a@gmail.com</t>
  </si>
  <si>
    <t>IND-975-2018</t>
  </si>
  <si>
    <t>Comité Nacional de Despacho de Carga, ISO 45001, Seguridad y Salud en el Trabajo, Identificación de peligros y evaluación de riesgos</t>
  </si>
  <si>
    <t>El Comité Nacional de Despacho de Carga ha visto por conveniente el implementar un Sistema de Gestión de Seguridad y Salud en el Trabajo con el fin de proporcionar a sus trabajadores condiciones y ambientes más seguros y desprovistos de riesgos. Para este fin, se elaboró el diseño de sistema de gestión en base a la norma ISO 45001 tomando en cuenta tanto el contexto de la organización como las necesidades y expectativas de las partes interesadas. Primeramente, se realizó la compresión del contexto de la organización mediante el análisis de las cuestiones internas y externas del CNDC a través de un análisis FODA.  La planificación estuvo conformada por tres etapas diferentes: la identificación de requisitos legales, la identificación de peligros y evaluación de riesgos y oportunidades y el diseño de los planes de acción.Los procedimientos se elaboraron conforme los requisitos de la norma exigen, además de tomar en cuenta todos los procesos necesarios para que la organización pueda cumplir los objetivos de su sistema de gestión.  Finalmente, se calcularon los costos de implementación del sistema de gestión y los costos de la no seguridad. A partir de estos, se realizó un análisis de inversión con la relación beneficio/costo donde el valor de la relación indica que la inversión para la implementación del sistema de gestión queda justificada.</t>
  </si>
  <si>
    <t>https://drive.google.com/file/d/1UqEgsKTXQqoSn61Rk5_6Dn3LaExC_LoU/view?usp=sharing</t>
  </si>
  <si>
    <t>https://drive.google.com/file/d/1RF6PRMY-BTvAZyU7j6EbDKZAgeCwQtJi/view?usp=sharing</t>
  </si>
  <si>
    <t>https://drive.google.com/file/d/19KehjbvYkVjhgXFfbfJud90yT7mhbblc/view?usp=sharing</t>
  </si>
  <si>
    <t>CONDORI REQUENA NOELIA</t>
  </si>
  <si>
    <t>ING. ALEX D`ANCHGELO CHOQUE FLORES</t>
  </si>
  <si>
    <t>PLAN DE MEJORA CONTINUA MEDIANTE LA GESTIÓN POR PROCESOS PARA EL HOTEL ``SANTIAGO`` - COCHABAMBA</t>
  </si>
  <si>
    <t>noeliacondori2@gmail.com</t>
  </si>
  <si>
    <t>IND-976-2018</t>
  </si>
  <si>
    <t>Plan de mejora continua</t>
  </si>
  <si>
    <t>La presente tesis para plantear un Modelo de Mejora Continua en el hotel Santiago inicia con una etapa diagnostica situacional para el cual se considera la utilización de una lista de verificaciones integrada con la Norma ISO 9001-2015 y una reunión general con todo el personal, para posteriormente proceder a su clasificación conforme a la temática correspondiente.  Una vez determinada las ideas principales y tener la evidencia de las falencias del sistema de procesos con las herramientas antes mencionadas, se desarrolla actividades en torno a la investigación, y constituyen el soporte para la organización y coordinación de las tareas necesarias para llevar adelante el estudio. Para profundizar cada uno de las temáticas a estudiar, lo cual se lleva junto a los resultados obtenidos atreves de la lista de verificación a la recopilación de la información necesaria del manejo del sistema de gestión de calidad dentro de los procesos y procedimientos nos permitirá diagnosticar en primera instancia las necesidades de mejora. Una vez realizada la evaluación a las causales, ya es posible elaborar el planteamiento que recoge los principales puntos de vigilancia y el procesamiento a implementar para lograr una adecuada definición de los procesos y los pasos para la obtención de la eficiencia y eficacia de los procesos preestablecidos para la mejora continua. Finalmente se establece el modelo de mejora continua mediante la gestión por procesos, se contempla el mapa de procesos y registros necesarios para su ejecución, las hojas de análisis de procesos y su medición y los requisitos para el manejo de las informaciones documentadas, su periodicidad.</t>
  </si>
  <si>
    <t>https://drive.google.com/file/d/1O9JmEcwsY_ZDbsHXNY_OY9SZzeTpEh1B/view?usp=sharing</t>
  </si>
  <si>
    <t>https://drive.google.com/file/d/1XPhsOJPt36hbhGWpc1WwuoMVm5gfu0M8/view?usp=sharing</t>
  </si>
  <si>
    <t>https://drive.google.com/file/d/1y6lxG0hphk7KXZCeEZFDaMEWPL3h3dnF/view?usp=sharing</t>
  </si>
  <si>
    <t>BLANCO ROJAS PEPE</t>
  </si>
  <si>
    <t>ING. ALFREDO DELGADILLO COSSÍO-ING. GIAN PAOLO VARGAS VILAR</t>
  </si>
  <si>
    <t>PLAN DE SEGURIDAD INDUSTRIAL Y SALUD OCUPACIONAL PARA LA CURTIEMBRE SAN ANTONIO PUNATA</t>
  </si>
  <si>
    <t>pepebr@gmail.com</t>
  </si>
  <si>
    <t>IND-977-2018</t>
  </si>
  <si>
    <t>Seguridad Industrial, Plan SySO, Curtiembre</t>
  </si>
  <si>
    <t>Se desarrolló un plan de seguridad y salud ocupacional empezando con definiciones de cada punto pertenecientes a dicho tema. Se realizó una descripción completa de todas las áreas de la empresa, sobre todo el proceso productivo, tanto maquinas, materias primas e insumos y productos finales que se obtienen en la cadena de producción de cuero, de la mismo forma también se hizo varias entrevistas  a todo el personal de la empresa.Para la identificación de peligros y evaluación de riesgos se empleara la metodología de WILLIAM FINE SEMICUANTITATIVO, el cual permite el análisis detallado de los riesgos, en cada área de trabajo. Se identificó mediante un mapa de riesgos existentes en el área de producción y en toda la planta.También para las sustancias químicas utilizadas  en el proceso de elaboración de curtiembre, se empleara manejo de derrames químicos según las hojas de seguridad de las sustancias químicas para evitar cualquier infección provocada por dicha sustancias.Se realizó una medición de ruido, en ocho puntos para de esta manera verificar al  nivel de ruido que están sometidos los trabajadores dentro de la empresa.A través del diagnóstico de cada proceso de operación productivo se determinara los impactos de riesgos tanto a los trabajadores como al medio ambiente. También se  incluirá un mapa corporal de riesgos indicando en que puntos del cuerpo humano puede provocar los efectos de salud según los riesgos evaluados. Para su mitigación se propondrá una serie de buenas prácticas de producción más limpia en cada proceso de operación. Por último se estimara el presupuesto y se realizara el análisis costo beneficio del plan de seguridad industrial y salud ocupacional para la empresa curtiembre San Antonio.</t>
  </si>
  <si>
    <t>https://drive.google.com/file/d/1wL3M5EKbKNII1p9snPF8Pf768CWzJEpB/view?usp=sharing</t>
  </si>
  <si>
    <t>https://drive.google.com/file/d/1cWLtFx3tNwdg2cuHC4KlExOaGGtyPSB7/view?usp=sharing</t>
  </si>
  <si>
    <t>https://drive.google.com/file/d/1ecP-gffP0gQf7PycDlU_jum_HRBsens_/view?usp=sharing</t>
  </si>
  <si>
    <t>TORRES BARRIOS KEVIN ALEJANDRO</t>
  </si>
  <si>
    <t>ING. SAUL JIMÉNEZ</t>
  </si>
  <si>
    <t>IMPLEMENTACIÓN DE UN SISTEMA DE RECUPERACIÓN DE CALOR DE HUMOS DE CALDEROS DE LA PLANTA UNILEVER ANDINA BOLIVIA S.A. A TRAVÉS DE LAS HERRAMIENTAS DE PILAR EEM DE WCM (EARLY EQUIPMENT MANAGEMENT DE WORLD CLASS MANUFACTURING</t>
  </si>
  <si>
    <t>kevin.torres.92.katb@gmail.com</t>
  </si>
  <si>
    <t>IND-978-2018</t>
  </si>
  <si>
    <t>Recuperación, calor, calderos, World Class Manufacturin, servos                       controladores, ductos.</t>
  </si>
  <si>
    <t>Unilever como parte de sus servicios internos cuentan con calderos para la generación de vapor utilizables en diferentes secciones, estos mismos por su naturaleza de funcionamiento, desprenden gases de efecto invernadero caliente por sus chimeneas. El cual representa un tipo de energía que se disipa al aire, siendo que puede recuperarse y generar ahorros en consumo de combustible, reconduciendo estos mismos hacia un generador de aire caliente además de cooperar en gran manera con el medio ambiente y el desarrollo de una vida sustentable en Cochabamba.El generador de aire caliente tiene por finalidad mandar calor hacia una torre de detergente para convertir detergente semi liquido en detergente en polvo.El proyecto tiene la finalidad de implementar un sistema de ductos que reconduzcan el calor de humos de las chimeneas de calderos hacia el ingreso del generador de aire caliente, además de implementar servos controladores electromecánicos a las líneas de aire y combustible de calderos que regularan de manera eficiente el consumo de combustible teniendo un control real sobre estos.Para llevar a cabo el proyecto se toma como base la metodología propuesta por World Class Manufacturing (Manufactura de clase mundial) para su departamento de Ingeniería de proyectos. Mismo que indica analizar todos los pormenores tanto técnicos como financieros antes de la puesta en marcha, documentando todo bajo un registro de inicio a fin para culminar con la entrega de los activos al responsable de área.Se elaboró categorización del proyecto según diferentes criterios, diagrama Gantt de ejecución de tiempos, diagrama de flujo de procesos del proyecto, diseño CAD explicativo, además de un análisis financiero detallado, recabando datos técnicos para el cálculo del ahorro esperado obteniendo resultados importantes con indicadores como TIR, VAN, R B/C. Mismos que otorgan un visto bueno para proseguir con el proyecto.Se procedió con la supervisión de la fabricación e instalación de los componentes del proyecto, ejecutado por contratistas expertos en el área, brindado parámetros de seguridad y calidad que merece un proyecto propio de la plantas Unilever.Posterior a la instalación de los componentes del proyecto se realizó un recorrido de prueba demostrando la funcionabilidad del mismo, además de demostrar el ahorro haciendo un análisis comparativo sobre el consumo de combustible en diferentes gestiones.Al culminar el recorrido de prueba se procedió con la recopilación de la documentación necesaria para hacer el traspaso de los activos al responsable de área.De esta manera se implementó con éxito el sistema de recuperación de calor de humos de calderos reduciendo el consumo de combustible y ayudando en gran manera con el medio ambiente, además de implementar por primera vez la metodología World Class Manufacturing en una empresa boliviana.Se recomienda dar seguimiento al proyecto entregado para mantener el ahorro en planta, e incrementar los proyectos bajo el modelo World Class Manufacturing.</t>
  </si>
  <si>
    <t>https://drive.google.com/file/d/1I6iOlIQvjhjOBM4vq8AciYJNgDY2C3SO/view?usp=sharing</t>
  </si>
  <si>
    <t>https://drive.google.com/file/d/1eLkKaroCVu6qHVqTxKo2hu2bj9s7QCm2/view?usp=sharing</t>
  </si>
  <si>
    <t>https://drive.google.com/file/d/1BysUUU971JmCjzfPpouhgCptbqkFWwxz/view?usp=sharing</t>
  </si>
  <si>
    <t>VIDAURRE AVILA GABRIELA NICOL</t>
  </si>
  <si>
    <t>YANA YUJRA JAIME RODRIGO</t>
  </si>
  <si>
    <t>ESTUDIO DE FACTIBILIDAD PARA LA PRODUCCIÓN Y COMERCIALIZACIÓN DE TISANA HECHA A BASE DE JENGIBRE EN COCHABAMBA</t>
  </si>
  <si>
    <t>gavia-16@hotmail.com</t>
  </si>
  <si>
    <t>IND-979-2018</t>
  </si>
  <si>
    <t>Industrialización de jengibre, Tisana a base de jengibre, Estudio de factibilidad, Elaboración y comercialización de infusiones</t>
  </si>
  <si>
    <t>Con el objetivo determinar la factibilidad de la instalación de una planta productora y comercializadora de tisana a base de jengibre se realizaron diferentes estudios los que se explican a continuación:Para la realización del estudio de mercado primeramente se tomó en cuenta a todas las personas mayores de 18 años que viven en la zona metropolitana de la ciudad de Cochabamba ya que estas tienen la facilidad de adquirir el producto que se piensa comercializar, para esta finalidad se preparó una encuesta y un folleto guía en el cual se explica las propiedades del producto, siendo así que de este estudio se obtuvieron resultados bastantes alentadores, debido a que un 92 % de la población desea o tiene curiosidad por consumir el producto.Con el dato proporcionado por las encuestas se procedió a obtener una demanda estimada tanto para el primer año de operación como para el último año, en función a dichas demandas y a todos los resultados del estudio de mercado se procedió a realizar un estudio técnico en el cual se fijó la localización de la planta, la cantidad de materia prima a cultivar y cosechar y finalmente la determinación de las maquinas a adquirir.  Siendo así que la localización de la planta será en la Av. Villazón camino a Sacaba km 6,5 y las maquinas a adquirir serán: una ralladora con capacidad de 200 Kg/hr, una secadora con capacidad de 20 Kg/hr, una moledora con capacidad de 32 Kg/hr, una tamizadora con capacidad de 20 Kg/ hr y una empacadora con capacidad de 13 Kg/hr.Una vez seleccionados todos los equipos principales y auxiliares para el funcionamiento de la planta, se determinó la organización siendo el caso se escogió una mixta por ser la más factible, también hallaron las actividades previas necesarias para la puesta en marcha, estas actividades realizadas en 27 semanas valor hallado con ayuda del cronograma Gantt y el método CPM para hallar ruta crítica.Para la instalación de la planta otro factor importante es el ambiental, debido a que la instalación de una planta genera impactos tanto positivos como negativos en la misma, con este motivo se analizaron los impactos positivos y negativos del proyecto con ayuda de la matriz de leopold, que nos dio un resultado satisfactorio ya que el proyecto no tiene impactos negativos grandes para el ambiente y finalmente con toda la información anterior se realizó un estudio financio el cual nos dio bastante positivo, teniendo un TIR de 28,14 % mayor a la TMAR calculada de 20 %.</t>
  </si>
  <si>
    <t>https://drive.google.com/file/d/10-5ZBnRsN1gDGYzooX1AgiHqR6zYeHav/view?usp=sharing</t>
  </si>
  <si>
    <t>https://drive.google.com/file/d/1m-CbTWIvfdbLcslOzTcG-ez799hNBGVF/view?usp=sharing</t>
  </si>
  <si>
    <t>https://drive.google.com/file/d/1jIoR3CyfocmHdgTpDChRJm50yiENRwDO/view?usp=sharing</t>
  </si>
  <si>
    <t>DANIEL ALEJANDRO MÉRIDA DELGADILLO</t>
  </si>
  <si>
    <t>ALEJANDRO REQUIZ ARISPE</t>
  </si>
  <si>
    <t>ING. MGR. ALFREDO PERICÓN BALDERRAMA</t>
  </si>
  <si>
    <t>PLAN ESTRATÉGICO DE DESARROLLO PARA LA CARRERA DE INGENIERÍA DE SISTEMAS DE LA FACULTAD DE CIENCIAS Y TECNOLOGÍA DE LA UNIVERSIDAD MAYOR DE SAN SIMÓN   2019-2023</t>
  </si>
  <si>
    <t>alejandroleinad0@gmail.com</t>
  </si>
  <si>
    <t>IND-980-2018</t>
  </si>
  <si>
    <t>Carrera de Ingeniería de Sistemas, UMSS, Plan Estratégico, Misión, Visión, Cuadro de Mando Integral, Sistemas de Control de Gestión</t>
  </si>
  <si>
    <t>El Plan de Desarrollo de la carrera de Ingeniería de Sistemas de la Universidad Mayor de San Simón 2011-2016 culmina su vigencia; de ahí nace la necesidad de elaborar un nuevo Plan Estratégico de Desarrollo que permita organizar y guiar las acciones y decisiones que se tomen en la Carrera los próximos años (2019-2023).La elaboración del Plan de Desarrollo inició con un diagnóstico interno de la Carrera, en el cual se evaluaron: el rendimiento académico estudiantil (tendencia de crecimiento de la población estudiantil, número de titulados y egresados), modalidades de titulación, el plantel docente, los Centros de Investigación y Laboratorios y la formación de Posgrado.Posteriormente se elaboró un análisis externo, ejecutando una revisión de datos y cifras del contexto internacional, nacional y regional referentes a los campos de la Ingeniería de Sistemas. Además, se realizó un breve análisis de cómo se desarrolla la Carrera en las mejores universidades latinoamericanas (UBA y UNAM) en comparación con la UMSS.La planificación estratégica como tal, requiere la participación de todos los miembros de la organización para que el plan elaborado tenga identidad y representatividad. Es por esta razón que el análisis FODA y el diseño de estrategias se realizaron de manera conjunta.Una vez culminado, se procedió a la elaboración del Cuadro de Mando Integral (CMI), el cual tiene como perspectivas a los cuatro ejes estratégicos establecidos por el Plan de Desarrollo de la Facultad de Ciencias y Tecnología de la Universidad Mayor de San Simón: Formación, Investigación, Interacción y Gestión de Soporte e Infraestructura.Para la implementación del plan estratégico se vio necesario plantear Sistemas de Control que permitan hacer seguimiento a los indicadores de los objetivos operativos establecidos en la matriz de planificación o CMI. Así mismo se establecieron las directrices que guiarán las acciones de las autoridades para la correcta ejecución del Plan.Se concluye entonces, que, con el plan estratégico propuesto, se logrará articular el Grado con el Posgrado, la Carrera con los Centros de Investigación y con el sector productivo departamental y nacional. De igual forma se fortalecerán las actividades académicas y de investigación. Por otro lado, se mejorará la interacción dentro y fuera de la carrera.</t>
  </si>
  <si>
    <t>https://drive.google.com/file/d/1T2dxREYKrv8snHT__gY3EswjY0qHiJtS/view?usp=sharing</t>
  </si>
  <si>
    <t>https://drive.google.com/file/d/1YSCePlPKu6iL3BlPtwkrgce7OCfXOUDo/view?usp=sharing</t>
  </si>
  <si>
    <t>https://drive.google.com/file/d/1w8xaoQlQZU4Fb_6dqKFHQp_TKrTHm5gA/view?usp=sharing</t>
  </si>
  <si>
    <t>VILLARROEL CAMACHO RICARDO</t>
  </si>
  <si>
    <t>ING. TOMAS PEREDO ROCABADO</t>
  </si>
  <si>
    <t>PROYECTO DE FACTIBILIDAD TÉCNICA Y FINANCIERA PARA LA IMPLEMENTACIÓN DE UNA PLANTA PROCESADORA DE HARINA DE PAPA EN LA COMUNIDAD DE CHAPISIRCA-TIQUIPAYA</t>
  </si>
  <si>
    <t>rvillarroelcamacho@gmail.com</t>
  </si>
  <si>
    <t>IND-981-2018</t>
  </si>
  <si>
    <t>Producción de papa para su industrialización, estudio de potenciales consumidores, proceso productivo, planificación y ejecución, estudio financiero, estudio ambiental</t>
  </si>
  <si>
    <t>La comunidad de Chapisirca Tiquipaya tiene un gran potencial agroindustrial, esto se debe fundamentalmente a las condiciones de clima y suelo favorables, cabe resaltar que los productores tienen muchos años de experiencia en la producción agrícola y agroindustrial a nivel regional, cuyas condiciones socioeconómicas deben ser afrontadas en el corto y mediano plazo, siendo necesario o indispensable para ello, contar con una cartera de proyectos que permitan propiciar la producción de alimentos básicos en la región así como la elaboración de harina de papa aprovechando los siguientes factores: La zona cuenta con una infraestructura básica existente (Vial, urbana), servicios básicos (Energía eléctrica monofásica, agua), la región se caracteriza por ser productora de papa por lo que la materia prima no escasearía, cuenta con un camino accesible a la población de Tiquipaya, es el centro de las comunidades adyacentes.Son estos factores los que permiten que exista un balance positivo entre ventajas y desventajas de la zona. El proyecto asegura al productor de papa un mercado estable para su producto y eliminará los problemas de conservación que existen en la región. Ello conseguirá beneficiar a la población en un incremento de la producción de papa, así como la disminución de las pérdidas ocasionadas por carencias en las facilidades de almacenamiento, transporte y manipulación en general.Mediante la implementación de la planta productora de harina de papa se generará un mejor manejo de los niveles de producción, a corto, mediano y largo plazo, así se logrará un incremento en la producción de papa en la localidad de Chapisirca – Tiquipaya, lo cual es una alternativa que permitirá mejorar el nivel de vida de la comunidad. Es importante aclarar que el proyecto es un emprendimiento comunitario a partir de grupos productores de papa en Chapisirca – Tiquipaya.El presente proyecto contempla todas las instalaciones necesarias para la ejecución de las distintas fases de la planta procesadora de harina de papa, a través del proyecto se dará soluciones a problemas de producción y comercialización de la papa. Como este proyecto es un emprendimiento comunitario, se tiene bastante confianza que los problemas de producción y comercialización van a ser solucionados motivando a mejorar la calidad de producción mediante tecnologías modernas (Riego por aspersión, uso de fungicidas naturales, tractores, etc.).El presente proyecto por las características que tiene no genera ningún tipo de contaminación ambiental que afecte a la zona ya que los componentes utilizados en su desarrollo es el agua.</t>
  </si>
  <si>
    <t>https://drive.google.com/file/d/1yEGVjTcPXxdrMJBPwbSxsKwpQ99Notjs/view?usp=sharing</t>
  </si>
  <si>
    <t>https://drive.google.com/file/d/1PB-hNEgdtQTvP00mmWqDKNq3SpfrCgjQ/view?usp=sharing</t>
  </si>
  <si>
    <t>https://drive.google.com/file/d/18Gg5IxIWd5_vP2eATTPRtFUIoxYaLbTv/view?usp=sharing</t>
  </si>
  <si>
    <t>PIZA CONDE MILENKA NEYDA</t>
  </si>
  <si>
    <t>ING. GUDNAR NUÑEZ VELIZ</t>
  </si>
  <si>
    <t>PLAN ESTRATEGICO Y OPERATIVO PARA LA INICIATIVA DE INNOVACION EN LA INDUSTRIA DE PSEUDOCEREALES ANDINOS DESARROLLADA EN EL CAPN-UMSS</t>
  </si>
  <si>
    <t>neydapiza@gmail.com</t>
  </si>
  <si>
    <t>IND-982-2018</t>
  </si>
  <si>
    <t>Iniciativa de innovación, Pseudocereales, Planeación estratégica, análisis del sector, control de calidad de productos, análisis de laboratorios, investigaciones de laboratorio, mejoramiento de ingresos</t>
  </si>
  <si>
    <t>El primer capítulo contiene los antecedentes que fomentaron a realizar el proyecto de grado, mediante la identificación del problema principal, planteamiento los objetivos, la justificación del proyecto y la propuesta de vinculación. El segundo capítulo especifica las definiciones y conceptos teóricos que sostienen los fundamentos básicos que se tomaron en cuenta para el desarrollo del proyecto, el cual fue dividido en dos partes principales que son el marco teórico global y el marco teórico especifico.El tercer capítulo expone aspectos principales e importantes del CAPN y la relación del Centro con la iniciativa de innovación en pseudocereales, para desarrollar el análisis de la situación actual y finalmente obtener los resultados del análisis interno mediante la elaboración de la Matriz EFI, la cual expone las Fortalezas y Debilidades identificadas. En el cuarto capítulo se analizó de manera general el sector empresarial de pseudocereales de la ciudad, donde se determinaron las fases de la investigación para que se lleve a cabo el trabajo de campo y se determinen los resultados, utilizando el modelo de las cinco fuerzas de Porter se obtuvo una primera parte de las oportunidades y amenazas para el proyecto, las cuales complementaron la matriz EFE al finalizar el análisis externo.En el quinto capítulo se determinaron las oportunidades y amenazas obtenidas mediante el análisis de las fuerzas externas del macroentorno y microentorno, seguidamente se evaluó dichos factores   más los factores del capítulo anterior y finalmente se elaboró la matriz EFE.En el sexto capítulo se elaboró una lluvia de estrategias y la determinación de las más adecuadas, el estudio se apoyó en tres etapas básicamente, basando la primera en la información obtenida en el análisis interno y el análisis externo, en la segunda etapa se planteó las estrategias por cada fortaleza, oportunidad, debilidad y amenaza determinadas, a continuación se elaboró la reflexión estratégica,  para finalmente en la tercera etapa determinar las estrategias más adecuadas para el proyecto mediante una MCPE.    En el capítulo siete se elaboró la descripción de los planes y líneas de acción que propone el proyecto, en el cual se planteó tres planes cada uno dividido en tres líneas estratégicas y cada línea compuesta por sus respectivas actividades, también se determinaron los montos de inversión y gasto que significa para el CAPN la implementación del proyecto.En el octavo capítulo se elaboró la descripción de los recursos necesarios que contempla el desarrollo las actividades y líneas de acción del proyecto mediante un análisis de costos e inversiones, utilizando tablas y gráficos, además de plantear aspectos importantes para la generación de recursos que amortigüen los gastos del proyecto. Finalmente, en el capítulo nueve se elaboró las conclusiones y recomendaciones finales del proyecto.</t>
  </si>
  <si>
    <t>https://drive.google.com/file/d/1XNEH528cudCVBzvfWk5stHTAnFTiMS4-/view?usp=sharing</t>
  </si>
  <si>
    <t>https://drive.google.com/file/d/1r39qVFR9LunJiH_rjIPYbki7RNFqb3zE/view?usp=sharing</t>
  </si>
  <si>
    <t>https://drive.google.com/file/d/1kMlrH0OCU6Ao4AjENLRJ-BUdMe8NQmRe/view?usp=sharing</t>
  </si>
  <si>
    <t>CONDORI BIGABRIEL DANIEL</t>
  </si>
  <si>
    <t>ESTUDIO DE METODOS PARA LA MEJORA DE LA PRODUCTIVIDAD DE LA SECCION DE MONTACARGAS DE LAS LINEAS DE PRODUCCION DE LA EMPRESA EMBOL S.A</t>
  </si>
  <si>
    <t>Danielcb_0907@hotmail.com</t>
  </si>
  <si>
    <t>IND-983-2018</t>
  </si>
  <si>
    <t>Métodos, mejora, productividad, montacargas,  líneas, EMBOL S.A.</t>
  </si>
  <si>
    <t>Uno de los objetivos primordiales de la implementación del estudio de tiempos y movimientos al proceso de almacén de producto terminado de los montacargas, consistía en la minimización de los altos costos de operación, lo cual se alcanzó en un nivel aceptable, ya que, se logró la estandarización de los procesos.Sin duda la implementación del estudio de tiempos y movimientos al proceso de almacén de producto terminado de los montacargas de las líneas de producción de Embol s.a. Ayudará a mantener ese liderazgo de comercialización que la empresa posee dentro del mercado nacional de refrescos carbonatados, pues, como se pudo demostrar con los resultados obtenidos, actualmente, se cuenta con un proceso de almacén en donde cada operación del proceso se desarrolla de una manera más eficiente.Por estas razones, la empresa se ha propuesto implementar un proyecto de estudio del trabajo en la bodega de producto terminado, el cual le permita desarrollar, de una manera más eficiente, las operaciones del proceso de almacén de producto terminado de las respectivas líneas de producción. Como se sabe, durante cualquier proceso en donde intervenga el hombre, se trata de ser lo más eficiente, es por ello que el Estudio del Trabajo presenta varias técnicas para aumentar la productividad.Además, el estudio de tiempos y movimientos ayudó a determinar todas aquellas operaciones y movimientos innecesarios e improductivos identificando, además, uno de los puntos críticos de la operación, era que los montacargas tienen tiempos improductivos, lo que representaba pago por tiempos improductivos.Con la implementación del presente estudio de tiempos se pretende determinar la cantidad de tiempo de trabajo humano, en relación con el rendimiento de carga que se desea alcanzar, para así, de esta manera, optimizar el proceso de almacén de producto terminado, reestructurando tanto los procedimientos como el personal involucrado.</t>
  </si>
  <si>
    <t>https://drive.google.com/file/d/1oZN-5e2AXF3WKtUSlLUS89Rk4-s3vgJt/view?usp=sharing</t>
  </si>
  <si>
    <t>https://drive.google.com/file/d/18TKkNX-MwDFan5goutphDZcBXu1U9g7T/view?usp=sharing</t>
  </si>
  <si>
    <t>https://drive.google.com/file/d/11yKlspUZSn0ljFgUAdizRTdMH-ShYkT2/view?usp=sharing</t>
  </si>
  <si>
    <t>ROLANDO FREDDY ARCE PATIÑO</t>
  </si>
  <si>
    <t>DIAGNOSTICO Y ESTUDIO DE FACTIBILIDAD PARA LA AMPLIACIÓN DE LA PLANTA AGROINDUSTRIAL HIDROVIDA EN EL MUNICIPIO DE COCHABAMBA.</t>
  </si>
  <si>
    <t>rolando_arce_p@hotmail.com</t>
  </si>
  <si>
    <t>IND-984-2018</t>
  </si>
  <si>
    <t>Planta productora de lechuga hidropónica, ampliación de producción, diagnostico situacional.</t>
  </si>
  <si>
    <t>La subutilización de tierras en Bolivia es una de las causas del bajo desarrollo productivo del país, como es el caso del inversionista del presente proyecto. La empresa “Hidrovida” fue creada en noviembre de 2017, compuesta por un gerente y un operario en un área de 70 m2. Se define como problema principal el insuficiente aprovechamiento del terreno.Es por ese motivo que el presente Proyecto de Grado tiene como objetivo realizar en principio un diagnóstico de la situación actual de la empresa y luego un estudio de factibilidad para la ampliación de la planta productora de lechuga hidropónica debido a la creciente demanda de este producto con características diferentes en el mercado.El diagnóstico de la empresa refleja que sus mayores fortalezas son: la calidad del producto,  atención esmerada al cliente; con algunas debilidades como: el precio del producto, falta de publicidad, falta de diversidad de productos. Los diagnósticos comerciales, técnicos, organizacionales y financieros indican una planta de 70 m2, una producción de 43 bolsas/día, a un precio de 5 Bs/bolsa. Actualmente percibe ingresos aproximados de 59340 Bs/año, cuenta con un proceso mixto de sistema flotante y NFT (técnica de película nutriente), solo llevan un libro de ventas como control y es manejada por un gerente y un operario.Se definió  que el mercado está compuesto por: las familias del Municipio de Cochabamba con las necesidades básicas satisfechas, y el segundo segmento son los negocios que se encargan de la comercialización del producto. Se ha calculado una demanda total en el primer año 358603.02 Kg de lechuga de las cuales se cubrirá el 4.46% equivalente a 14.344,00 Kg/año de oferta propia.La localización la planta actual no cumple con los requerimientos. Se analiza mediante técnicas de ponderación de BROWN GIBSON y luego de analizar 3 alternativas de terrenos posibles a similar distancia, se define el terreno del Distrito12, Av. Melchor Pérez. El tamaño de planta está condicionado a factores como la demanda y el  espacio suficiente para la producción de lechugas,  se tendrá una  capacidad nominal de 88.320 bolsas/año. En la ingeniería del proyecto define la instalación de dos nuevas unidades de producción de 200 m2 cada una, con 12 estructuras con sistema NFT (técnica de película nutriente) con una producción de 320 bolsas/día.Se diseñó las áreas de producción en función al desplazamiento, inversión y mantenimiento en 2 áreas de 200m2 cada una, con 12 estructuras con capacidad de producción de 88.320 lechugas/año.Los servicios básicos de mayor importancia para el proyecto son el agua y la energía eléctrica ya que estos principalmente el agua constituye parte de la materia prima para el proceso. Se cuantifico en 12.669,00 Bs el primer año hasta 14.608,00 Bs el quinto año del proyectoSe requieren de  6 personas mínimamente para este objetivo el trabajo comprende las 8 horas diarias y 23 días laborables por mes para generar un costo de mano de obra de 163.404,92 Bs/Año en todas sus áreas de trabajo.  Para que la empresa se constituya de forma legal debe cumplir con los requisitos de ley. Dando como resultado un costo de ejecución 6.850Bs. Para su ejecución y puesta en marcha.Realizada la evaluación de impacto ambiental, se concluye que pertenece a la categoría III La evaluación financiera concluyo una inversión total de 352.173,41 Bs y  la tasa interna de retorno es de 29.10%, el valor actual neto es de 124.445,85 Bs y la relación beneficio / costo es de 1,41. Estos tres indicadores nos demuestran la viabilidad y demuestran la rentabilidad del proyecto a lo largo de su vida. El periodo de recuperación de la inversión será en TRES años y 5 meses. El punto de equilibrio en ventas será de 178.149,78 Bs y en cantidad 35.630 Bolsas/Año.</t>
  </si>
  <si>
    <t>https://drive.google.com/file/d/1c6Ge0OvL1Sct1RIIxEMbtS91Ozw_y-zw/view?usp=sharing</t>
  </si>
  <si>
    <t>https://drive.google.com/file/d/1tV6UuFLcn2ZZOJKajhCfBfNPyZxD-7p1/view?usp=sharing</t>
  </si>
  <si>
    <t>https://drive.google.com/file/d/1-xWNS34FBwe6VOUKdeCrcJUbf380CAA8/view?usp=sharing</t>
  </si>
  <si>
    <t>KELLY CARDONA SALAZAR</t>
  </si>
  <si>
    <t>ING. ENRIQUE PAUL AILLON SOLIZ</t>
  </si>
  <si>
    <t>PLAN DE EMERGENCIA COMUNITARIO PARA LAS COMUNIDADES ALEDAÑAS A LA REFINERÍA “GUALBERTO VILLARROEL</t>
  </si>
  <si>
    <t>kellu.cs.20@gmail.com</t>
  </si>
  <si>
    <t>IND-985-2018</t>
  </si>
  <si>
    <t>Plan de Emergencia Comunitario, PEC, Refinería “Gualberto Villarroel”, Comunidades.</t>
  </si>
  <si>
    <t>En primer lugar se procedió a realizar el análisis y evaluación de riesgos para así estimar la probabilidad de que ocurra un evento no deseado con una determinada severidad o consecuencias en la seguridad, salud  y/o bienestar público, el mismo que permitió determinar que una BLEVE es el escenario de mayor afectación en caso de una emergencia dentro de la refinería “Gualberto Villarroel”.Posteriormente se realizó un diagnóstico de todas aquellas experiencias de emergencia similares de Refinerías en el mundo que afectaron a la población circunvecina con las mismas hipótesis de riesgos. Con todos esos datos se realizó otro diagnostico que permita identificar la situación actual de las leyes en el Estado Plurinacional de Bolivia, la situación actual de la Refinería “Gualberto Villarroel”, los datos sociodemográficos de la población circunvecina, la cantidad de Unidades Educativas, Centros de Salud y Transporte Público que tiene rutas o paradas por el área afectada. Toda la información recabada sirvió de insumo para realizar el Plan de Emergencia Comunitario. A continuación para conocer el actuar de la población ante emergencias y la manera de afrontarlas, se trabajó con la Unidad Educativa Misioneras de Cristo Jesús. Para trabajar en conjunto y conocer la situación de la unidad educativa, se realizó una capacitación con estrategias de evacuación básica, se capacitó a todo el plantel docente, presidentes y vicepresidentes de cada curso y a la junta de padres de familia. Las personas que asistieron a la capacitación tenían la terea de difundir a los estudiantes las estrategias de evacuación básica en las que fueron capacitados. Así mismo, se instaló señalética y una alarma sonora para ver el uso de estos. En fecha 26 de octubre de 2017, se llevó a cabo el simulacro de evacuación de toda la Unidad Educativa.En base a los datos sociodemográficos de la población, la prueba piloto realizada, reuniones con YPFB Refinación Refinería “Gualberto Villarroel” y la Unidad de Gestión de Riesgos de la Gobernación se desarrolló el Plan de Emergencia Comunitario.Se desarrollaron objetivos generales y específicos del plan así como una misión y visón, se determinó el alcance del plan que consta de 1.155 m a la redonda de la Refinería “Gualberto Villarroel”  como las estrategias de respuesta para la comunidad, éstas se dividen en 2 confinamiento y evacuación. Se determinaron las acciones a seguir para la población en general, unidades educativa y centros de salud, discriminando  los roles de todas las personas que actuaran.Debido a que el área de afectación es muy extensa, se dividió el área en 12 secciones, esta división se realizó según los lugares disponibles de los Puntos de Encuentro Parcial y buscando dividir cada sección con una sola calle o avenida recta para no confundir las secciones. Cada sección esta enumerada con números romanos para su reconocimiento, detalla el número de habitantes, la cantidad de manzanos, el área, el Punto de Encuentro Parcial y tiene determinado el área de afectación crítica.Con la metodología ACCEDER, se determinaron el tipo de alerta a usar, se estandarizó la comunicación e información, se discriminaron los roles y funciones de las personas e instituciones que participan y actúan en una emergencia, la forma de realizar una evaluación preliminar, quienes toman las decisiones, la evaluación complementaria y la readecuación del Plan. De igual forma se definieron la frecuencia de revisiones y los tipos de simulacros a realizar.Para el cumplimiento del plan y crear una guía de evacuación en la población, se determinaron los tipos de señalética a utilizar en toda el área de afectación (Puntos de Evacuación Parcial y Señalización Complementaria, así mismo, se definió usar una alarma sonora de 1.5 km de alcance a la redonda).Para la implementación y control se desarrolló material de capacitación y se definieron 5 etapas que se llevaran a cabo según la importancia de la población expuesta. Con este fin, se creó una encuesta que debe ser llenada por la población después de la capacitación estas buscan saber el impacto y el aprendizaje que tuvo la persona capacitada, con las respuestas deben ser llenados 8 indicadores que ayudaran en la toma de decisiones para futuras capacitaciones.Finalmente se realizó el análisis de costos del “Plan de Emergencia Comunitario para las Comunidades Aledañas a la Refinería “Gualberto Villarroel””, estas toman en cuenta una alarma sonora de 1.5 km de alcance, megáfonos, material de capacitación, señalética y barbijos para la población.</t>
  </si>
  <si>
    <t>https://drive.google.com/file/d/1p-2w4LEKmu8-a5T44Nbo4mynvrdtrG_Y/view?usp=sharing</t>
  </si>
  <si>
    <t>https://drive.google.com/file/d/1O_TppeEd03cIOUHE4jpU15AiCQgLuJKp/view?usp=sharing</t>
  </si>
  <si>
    <t>https://drive.google.com/file/d/1hlAywwrjI86-VklckNHZuCRXCN_z4OTm/view?usp=sharing</t>
  </si>
  <si>
    <t>ALDO AYMAYA GUTIERREZ</t>
  </si>
  <si>
    <t>SANTOS TEJADA HURTADO</t>
  </si>
  <si>
    <t>PROYECTO DE FACTIBILIDAD PARA LA IMPLEMENTACIÓN DE UNA PLANTA PARA LA PRODUCCIÓN DE HARINA DE PLÁTANO Y OTROS DERIVADOS EN EL MUNICIPIO DE SACABA</t>
  </si>
  <si>
    <t>aymayaaldo@gmail.com</t>
  </si>
  <si>
    <t>IND-986-2018</t>
  </si>
  <si>
    <t>Proyecto para la implementación de una planta procesadora de harina de plátano y derivados, Metodología de elaboración de proyectos en la producción de harinas, Base de Datos del INE para obtener un segmento a estudiar</t>
  </si>
  <si>
    <t>El presente proyecto de factibilidad para la instalación de una planta procesadora de harina y derivados para la repostería en el municipio de Sacaba de la localidad de Huayllani, nace para coadyuvar los altos índices de desnutrición infantil y el desaprovechamiento en la alimentación de la población en el departamento de Cochabamba, ya que el plátano son el primer paso para formar los hábitos alimenticios.Primeramente, se realizó un diagnostico situacional, determinando las causas y efectos del problema estudiado.En el estudio de mercado se realizó un análisis de  la demanda y oferta de la harina y los productos derivados para la repostería, en vista de que no existe datos históricos de la demanda y oferta se procede a realizar el respectivo estudio mediante encuestas que se realizó a las familias en general del eje troncal de Cochabamba, se definieron las características que debiera contener la harina y los productos derivados mayormente preferenciales para su producción, así mismo se definieron los canales de distribución, presentación de los productos y la publicidad.Se define las propiedades necesarias de la materia prima para la elaboración del producto y derivados, la materia prima será adquirida en el mercado nacional ya que estas tienen la capacidad de abastecimiento necesarios para la proyección de la producción de la planta.El emplazamiento de la planta será en la localidad de Huayllani, esta decisión fue aceptada a través de una evaluación cualitativa por puntos, donde se analizaron tres alternativas tomando en cuenta los factores localizaciones. El tamaño de la planta se determinó a través de los factores de la demanda y la materia prima, estableciendo de esta manera el programa de producción.La ingeniería del proyecto detalla la descripción del proceso productivo y el balance de masas para la elaboración de la harina y productos derivados, seleccionando la maquinaria y herramientas necesarias para el proyecto y la correcta distribución de la planta fue realizada a través del método SLP (Systematic Layout Planning).La organización se define como una Sociedad de Responsabilidad Limitada, se tiene un manual de funciones que permitirá la selección adecuada del personal para un determinado puesto de trabajo.La evaluación financiera permitió conocer los indicadores necesarios como el TIR, VAN, B/C y el periodo de la recuperación de la inversión, los resultados obtenidos son favorables.Finalmente, en la evaluación del impacto ambiental se determinó que el proyecto requiere de pocas medidas de mitigación. Concluyendo la exposición del trabajo de grado con las conclusiones y recomendaciones en la investigación realizada.</t>
  </si>
  <si>
    <t>https://drive.google.com/file/d/1qnAypoWjtSUkF1Y-K2oGzInwJWOmDqf6/view?usp=sharing</t>
  </si>
  <si>
    <t>https://drive.google.com/file/d/14t_40pTfb9p2Nc9EqA8jdjFYov6ajRqX/view?usp=sharing</t>
  </si>
  <si>
    <t>https://drive.google.com/file/d/1DKx7LA4TwD55EPZfFK8AUCHWCNAsBPoe/view?usp=sharing</t>
  </si>
  <si>
    <t>JUAN PABLO MELGAREJO CLAROS</t>
  </si>
  <si>
    <t>ING. DIETER FERNANDO SEJAS LOPEZ</t>
  </si>
  <si>
    <t>DISEÑO DE UN PLAN DE SEGURIDAD Y SALUD OCUPACIONAL BASADO EN LA NORMA NB/ISO 45001: 2018  PARA “MAESTRANZA FUNDICION QUILLACOLLO – MAFUQUI”</t>
  </si>
  <si>
    <t>IND-987-2018</t>
  </si>
  <si>
    <t>Seguridad Industrial, Salud Ocupacional, Diagnostico, fundición, metalmecánica, Plan, identificación de peligros, evaluación de riesgos</t>
  </si>
  <si>
    <t>En el  presente proyecto  se explora las consideraciones pertinentes para mejorar las condiciones de trabajo y brindar un ambiente seguro y saludable realizando   un  diseño de un  Plan de Seguridad y Salud Ocupacional   basado en NB/ISO 45001:2018 para la empresa  MAESTRANZA FUNDICION QUILLACOLLO –MAFUQUI. Esta es una empresa reconocida con más de 50 años de trayectoria, brindando  apoyo constante al desarrollo de las industrias del país, con un sólido posicionamiento en el mercado.En efecto, el marco teórico presenta el sustento de la importancia de seguridad, la base legal boliviana y  el modelo de gestión de Seguridad y Salud en el Trabajo ISO 45001:2018, herramientas que guían para reducir los accidentes y prevenir enfermedades en el trabajo.Primeramente se realizó un diagnostico a la empresa  y se recabo toda la información disponible acerca de las actividades, proceso productivo, estructura orgánica, instalaciones, etc. Toda esta información recabada nos permitió conocer las condiciones actuales de la empresa MAFUQUI en cuanto a seguridad y salud en el trabajo.Con toda la información recabada, se procedió a la identificación de peligros y evaluación de riesgos, la cual se ha llevó adelante mediante un análisis de cada área de la empresa, en cada proceso  como también a la infraestructura con la que cuenta la empresa. Una vez habiendo identificado todos y cada uno de los  peligros existentes en la empresa, se realizó la evaluación de  los riesgos resultantes, proponiendo posteriormente soluciones y acciones correctivas que puedan minimizar los riesgos anteriormente identificados.Con los antecedentes mencionados anteriormente, se procedió a la elaboración del plan de seguridad  y salud ocupacional. Con el desarrollo de este plan se pretende minimizar los riesgos de la empresa, y mejorar el rendimiento del área de producción. Además, dicho plan fue producto de la estructuración de programas concernientes a la seguridad industrial tales como: programas de EPP´s, programa de orden y limpieza, programa de señalización, plan de emergencias, plan de prevención contra incendios, programa de capacitación, manual de primeros auxilios, que permitirán brindar un adecuado control en las actividades de la empresa, como precautelar la salud de cada uno de sus trabajadores. Por último, se estimó el presupuesto total que representaría la aplicación del plan de seguridad y salud  ocupacional en la empresa.</t>
  </si>
  <si>
    <t>https://drive.google.com/file/d/1o1SBGsbVABqofdjDOWsh0_1B8ypPG1Pp/view?usp=sharing</t>
  </si>
  <si>
    <t>https://drive.google.com/file/d/1IwuDrSVSZdHlTRQRugQT8AyjU1HRvGgM/view?usp=sharing</t>
  </si>
  <si>
    <t>https://drive.google.com/file/d/14X_1y8Fdbcy93NmVzeAAPqZZBeJhRHmo/view?usp=sharing</t>
  </si>
  <si>
    <t>ARRAZOLA ANTEZANA WALBER</t>
  </si>
  <si>
    <t>MARCA LAZO CAROLINA MARY</t>
  </si>
  <si>
    <t>DISEÑO E IMPLEMENTACIÓN DE UN SISTEMA DE SEÑALÉTICA Y SEÑALIZACIÓN DE SEGURIDAD PARA LA FACULTAD DE CIENCIAS Y TECNOLOGÍA</t>
  </si>
  <si>
    <t>walber_www@hotmail.com</t>
  </si>
  <si>
    <t>IND-988-2018</t>
  </si>
  <si>
    <t>Señalética, Señalización de seguridad, RM 849/14, Equipos de protección contra incendios, Ruta de evacuación.</t>
  </si>
  <si>
    <t>El Diseño e Implementación de un Sistema de Señalética y Señalización de Seguridad para la Facultad de Ciencias y Tecnología (FCyT) fue planteado a partir de la confusión al identificar ambientes y el riesgo de accidentes dentro de la Facultad. La confusión al identificar ambientes era dada principalmente en estudiantes universitarios de semestres inferiores y personas ajenas a la institución al momento de buscar áreas como aulas, laboratorios, oficinas, etc. El riesgo de accidentes dentro de laboratorios y otros ambientes ocurría debido a la presencia de personas no informadas de sobre los equipos de protección personal (EPP) necesarios para ciertos ambientes y por conductas inadecuadas de las mismas. En base al problema identificado se planteó los siguientes objetivos:·       Realizar el diagnóstico y evaluación de la situación actual de la señalética y señalización de seguridad en la FCyT. ·       Diseñar la señalética y señales de seguridad en base a normas nacionales e internacionales aplicables.·       Determinar los recursos económicos necesarios para la ejecución del proyecto.·       Implementar la señalética y las señales de seguridad. Inicialmente se realizó un diagnóstico y evaluación respecto a cinco aspectos; señalética de identificación exterior, señalética de identificación interior, señalización de seguridad, señales de protección contra incendios y señales de evacuación. Esto con el motivo de establecer las necesidades de la facultad. En función a los resultados se procedió con el diseño de la señalética y señalización de seguridad.El diagnóstico dio como resultado conocer que la señalética de identificación exterior necesitaba de mantenimiento y actualización. Además, se identificó que la mayoría de los ambientes cuenta con señalética de identificación interior, pero no se encuentra actualizada debido a que muchos ambientes fueron modificados o renovados.En cuanto a las señales de seguridad, que incluyen los carteles de prohibición, advertencia, obligación, salvamento, equipos de protección contra incendios y evacuación, se identificó una ausencia significativa en todos los ambientes y que, si bien algunos cuentan con señales, estos no cumplen con las normativas nacionales sobre las mismas.Para el diseño de la señalética de identificación se presentaron diferentes modelos de los cuales fue seleccionado el modelo a implementar por las autoridades de la FCyT. El diseño de la señalización de seguridad fue basado en la RM 849/14 Norma de señalización de seguridad, salud en el trabajo y emergencias de defensa civil, Norma Boliviana NB 58002 Extintores Portátiles contra incendios - Requisitos de selección, instalación, aprobación e inspección - Disposiciones generales y la ISO 16069/2004 Sistemas de Señalización de Rutas de Evacuación. Una vez establecido tanto el diseño de señalética como de señalización de seguridad se determinó el costo para la ejecución del proyecto que fue de 42.552,76 Bs. y se procedió con el proceso de fabricación de los mismos por parte del Programa de Tecnologías de Fabricación (PDTF) junto con la empresa Maldoni Co. y la empresa Ciudad Gráfica respectivamente.Se realizó la implementación de la señalética en conjunto con el PDTF donde se instalaron de las señales de identificación en los lugares establecidos dentro del campus de la FCyT y las señales de seguridad fueron implementadas en los respectivos ambientes por los autores de este proyecto, esto logró disminuir la confusión al identificar ambientes y el riesgo de accidentes dentro de la Facultad.Finalmente se plantearon las siguientes recomendaciones, destinadas al mantenimiento y la mejora continua del sistema de señalética y señalización de seguridad, ·       Difundir y dar a conocer las señales y colores de seguridad utilizados en la Facultad a todos los funcionarios administrativos, estudiantes y docentes. Además de realizar capacitaciones internas constantes referentes al tema.·       No colocar otro tipo de carteles que no sean de seguridad, a los costados, arriba o debajo de los carteles implementados para no disminuir la eficacia de las mismas.·       Retirar las señales de seguridad en caso de que deje de existir la situación justificada.·       Dar mantenimiento y actualizar las señaléticas de identificación en un periodo no mayor a cinco años.Implementar la señalización que sea necesaria a los ambientes que así lo requieran dentro de la Facultad.</t>
  </si>
  <si>
    <t>https://drive.google.com/file/d/1r2KUDgiEUYws77qKMaWM2EhwHEFzo5_1/view?usp=sharing</t>
  </si>
  <si>
    <t>https://drive.google.com/file/d/1eWaT_1BCfIVdk1chGbooqZvixerxVc3p/view?usp=sharing</t>
  </si>
  <si>
    <t>https://drive.google.com/file/d/1qRNJK9URKB1YkXlQBopFto8JEjRcs3uZ/view?usp=sharing</t>
  </si>
  <si>
    <t>VALENCIA LOZADA GIOVANNY</t>
  </si>
  <si>
    <t>ING. MARIEL SOFÍA IPORRE ARISPE</t>
  </si>
  <si>
    <t>IMPLEMENTACIÓN DE UNA SALA DE VÁLVULAS PARA EL MANTENIMIENTO AUTÓNOMO (TPM) DE LAS VÁLVULAS DE LLENADO PARA LA MEJORA DE LA EFICIENCIA Y REDUCCIÓN DE MERMA DE BEBIDA EN LA LÍNEA DE PRODUCCIÓN EN PLANTA SOFT - DRINKS SACABA - PEPSI</t>
  </si>
  <si>
    <t>gio_18_@hotmail.com</t>
  </si>
  <si>
    <t>IND-989-2018</t>
  </si>
  <si>
    <t>Implementación, Mantenimiento autónomo, Eficiencia de línea, Merma de bebida, Estandarización.</t>
  </si>
  <si>
    <t>La implementación de una sala de válvulas para el mantenimiento autónomo de válvulas de llenado se logró satisfactoriamente, se logró una reducción de merma de bebida y mejora de eficiencia de la línea durante producción.Primeramente se realizó un estudio y seguimiento de los desvíos de las válvulas de llenado durante el proceso de envasado de los productos de 3 litros con el fin de conocer la situación actual en la que se encontraba el área de envasado. Según el estudio y seguimiento realizado en la llenadora 2 a través del control diario y semanal de contenido neto se detectó un llenado de bebida variable y un funcionamiento deficiente de las válvulas de llenado debido a la falta de mantenimiento autónomo de las mismas. Estos problemas generaban una baja productividad, baja eficiencia, paradas no programadas, merma de bebida, un llenado y una velocidad variable durante el proceso.Durante este estudio se entrevistó al personal involucrado para recabar información confiable, se procedió a investigar los manuales de procedimiento y herramientas de mejora continua que contribuyan en el trabajo de área, se utilizó la herramienta de diagrama de espina de pescado para desglosar las causas críticas, y finalmente se creó un grupo de mejora con el objetivo de desarrollar planes de acción.Los productos de 3 litros contribuyen entre un 70% a 75 % del total de la producción mensual, por lo cual se decidió enfocar el presente trabajo a este calibre.Una vez enfocados en este calibre se cuantifico la merma de bebida durante la producción de los productos de 3 litros, se encontró que la merma de bebida durante el proceso de llenado contribuye entre un 45 % a 55% de la merma total. En base a la herramienta de Diagrama de Pareto se pudo cuantificar y preseleccionar las causas más importantes con el objetivo de desarrollar planes de acción para la reducción de la merma de bebida.Se implementó un plan de mantenimiento preventivo – correctivo con el apoyo del área de mantenimiento y producción con el objeto de prevenir, corregir las fallas o averías, que afectan el normal funcionamiento de las válvulas de llenado, manteniéndolas en condiciones operativas seguras.Se definió el área designada para la implementación de la sala de válvulas y en base a los lineamientos generales y específicos de AbInbev se determinó y acondiciono con el equipamiento adecuado dicha sala.En base a los resultados obtenidos durante la cuantificación de merma de bebida durante el proceso de llenado se procedió nuevamente al muestreo de contenido neto de los productos de 3 litros, se realizó la estandarización de los tubos de venteo y la velocidad de producción para cada producto de 3 litros, reduciendo de esta manera la merma de bebida y mejorando la eficiencia de la línea de producción.Se logró cuantificar y conocer el impacto económico de este proyecto, obteniendo una ganancia de 44588, 48641 y 52132 dólares por año para los productos Pepsi 3L, Seven Up 3L y Oriental Mirinda Papaya 3L respectivamente.Del mismo modo se pudo observar que con la implementación de sala de válvulas y el cumplimiento del mantenimiento preventivo se logrará la reducción del tiempo de parada del mantenimiento anual de la llenadora, obteniendo una ganancia de 112608.70 dólares por año.Con la implementación de sala de válvulas se logró efectos positivos, ya que se pudo notar y verificar una mejora de la productividad de la línea de producción, así mismo se eliminó las deficiencias encontradas en el proceso, reduciendo costos, mejorando los tiempos de respuestas ante desvíos, ampliando el conocimiento de las personas involucradas y garantizando la calidad de los productos y una imagen de empresa excelente.Se recomienda dar un seguimiento adecuado y correcto al cumplimiento del plan de mantenimiento preventivo – correctivo, a los indicadores de gly y merma de envasado con el objetivo de ir mejorando continuamente y obtener los resultados esperados.</t>
  </si>
  <si>
    <t>https://drive.google.com/file/d/1WZ_adC0MsH3JZtrJutLBE6XVMzG5LmQN/view?usp=sharing</t>
  </si>
  <si>
    <t>https://drive.google.com/file/d/1TcRsjLPfxB5vbbSf9zyL7IgKNXY8B9Fl/view?usp=sharing</t>
  </si>
  <si>
    <t>https://drive.google.com/file/d/12BrFBuRKbVPbkxrXWcOC5TVfLidkHZly/view?usp=sharing</t>
  </si>
  <si>
    <t>ALBARADO RAMOS PAULINA</t>
  </si>
  <si>
    <t>LENIZ AGUILAR SONIA</t>
  </si>
  <si>
    <t>PROYECTO DE FACTIBILIDAD PARA LA IMPLEMENTACIÓN DE UNA PLANTA PRODUCTORA DE QUESO MADURADO EN EL MUNICIPIO DE COLOMI</t>
  </si>
  <si>
    <t>albarado12r@gmail.com</t>
  </si>
  <si>
    <t>IND-990-2018</t>
  </si>
  <si>
    <t>Valor Actual Neto (V.A.N.), Tasa Mínima Atractiva de Retorno  (T.M.A.R.), Tasa Interna de Retorno (T.I.R.), Relación Beneficio Costo (B/C).</t>
  </si>
  <si>
    <t>Actualmente existe una gran cantidad de excedente de Quesillo en el Municipio de Colomi a causa del cual los productores lecheros presentan pérdidas económicas por lo cual una alternativa de mejora es la transformación de la materia prima en otros productos más duraderos para dicha comercializaciónLa finalidad del siguiente trabajo es demostrar la Factibilidad para la Implementación de una Planta Productora de Quesos Madurados en dicho Municipio.La Población Objetivo que se estableció para el estudio de mercado son las familias de la Provincia Cercado (Zona Norte, Zona Sud, Zona Este, Zona Oeste y Zona Central) del departamento de Cochabamba quienes presentan un promedio de consumo de Queso Madurado de 250 gramos/semana.La mejor alternativa de localización para la planta industrializadora en el Municipio de Colomi Provincia Chapare es el Sindicato Liriuni por lo que cuenta con los servicios básicos y las condiciones adecuadas, la Capacidad de la Planta procesadora será de 600 litros/día de leche. La tecnología que se consideró para el Proyecto es semi-industrial.La estructura organizativa definida para la planta es la de agrupación por funciones, donde se definen por niveles jerárquicos (diferenciación horizontal).La inversión total del Proyecto es de 136.042,21 $us, que será financiado por el Banco Mercantil Santa Cruz en 50% (68.021,11 Sus) y el 50% será por aporte propio. Para calcular la rentabilidad se consideraron las inversiones, costos y los ingresos que genera el Proyecto (Capítulo 10). Obteniendo como resultado un VAN DE 35588,89 $us, un TIR =20% y un B/C=1.87. Lo que indica que el proyecto es rentable.En cuento a la Evaluación Ambiental la Planta Procesadora de Leche pertenece a la CATEGORIA 3, debido a que se hará seguimientos y mitigaciones de los Impactos Ambientales minimizando de esta manera el impacto Ambiental.La planta procesadora de leche contará con las medidas necesarias de seguridad (prohibición, usos obligatorios, señalización y etc.) además se les instruirá sobre los riesgos y peligros de la misma.Finalmente se concluyó que el Proyecto es Rentable dentro las condiciones dadas.</t>
  </si>
  <si>
    <t>https://drive.google.com/file/d/1LdAaO1IuDNBgUsy2YpIXVOOi38Xh1gcl/view?usp=sharing</t>
  </si>
  <si>
    <t>https://drive.google.com/file/d/1srQ4Y4Q9-xYv9_3iHhgAYZIOQpRnLcZD/view?usp=sharing</t>
  </si>
  <si>
    <t>https://drive.google.com/file/d/18Iws6o5yfmpYI9u6lNY4IbNp8wJKR9Fo/view?usp=sharing</t>
  </si>
  <si>
    <t>CINTHIA CEREZO FELIPEZ</t>
  </si>
  <si>
    <t>DISEÑO DE UN SISTEMA DE GESTIÓN DE CALIDAD BASADO EN LA NORMA NB/ISO 9001:2015 PARA LA EMPRESA DE MUEBLES PERSONALIZADOS “MERAKI” EN LA CIUDAD DE COCHABAMBA</t>
  </si>
  <si>
    <t>cinthiacf0911@gmail.com</t>
  </si>
  <si>
    <t>IND-991-2018</t>
  </si>
  <si>
    <t>Sistema de Gestión de Calidad (SGC), Empresa de muebles personalizados MERAKI, Competitividad, Mejora continua, Control de Procesos.</t>
  </si>
  <si>
    <t>En este Proyecto de Grado se buscó la forma de mejorar el control de los procesos para aumentar la competitividad de la empresa.La empresa MERAKI ha visto por conveniente contar con un Sistema de Gestión de Calidad en sus instalaciones, debido al control deficiente en los procesos estratégicos y de valor lo cual afecta la Gestión de Calidad y a su vez la competitividad.Primeramente, se realizó el diagnóstico de la empresa para conocer la situación actual y obtener los puntos de partida para el diseño del SGC. Se utilizaron dos métodos, el primero mediante el análisis FODA, determinó necesario contar con un SGC como estrategia para un mayor control de procesos y aseguramiento de la competitividad. Con el segundo método se analizó el cumplimiento de los requisitos de la norma NB/ISO 9001:2015, donde las no conformidades se debieron a la ausencia de documentos que respalden la realización de los procesos.Se realizó la planificación del diseño del SGC, con la asignación de roles y responsabilidades y la elaboración de un plan de comunicación.Se diseñó el SGC, desarrollando varios componentes en función a los requisitos exigidos por la norma NB/ISO 9001: 2015, entre ellos: mapa de procesos, fichas de caracterización, política, objetivos, análisis de partes interesadas, análisis de prevención de riesgos, indicadores de control, procedimientos, registros y planes.Se realizó un plan de implementación del SGC, con un cronograma de actividades y se estimó el costo de implementación. Por otro lado, se calcularon los indicadores VAN, B/C y TIR, los cuales mostraron valores positivos, determinando que la implementación de un SGC beneficiará económicamente a la empresa. En cuanto al cumplimiento de los requisitos exigidos por la norma también se determinó la mejora como consecuencia de la implementación, el cual se realizó comparando el cumplimiento total, parcial e incumplimiento antes y después de la implementación del SGC.Para finalizar, se analizó la mejora competitiva que tendrá la empresa, considerando para ello el estudio del cuadro de mando de los indicadores de calidad, en el que se comparó cada indicador en situación actual y en situación posterior a la implementación del SGC.</t>
  </si>
  <si>
    <t>https://drive.google.com/file/d/1nTSxtF7NO7sZxSMFmU9J7Laqd8jinJEx/view?usp=sharing</t>
  </si>
  <si>
    <t>https://drive.google.com/file/d/1jnclX3I0CLkldCd_GFNclt0WboDo2HDU/view?usp=sharing</t>
  </si>
  <si>
    <t>https://drive.google.com/file/d/1T0bQAR2k_GpGGn6Jjtv7YqZBY8PhC36y/view?usp=sharing</t>
  </si>
  <si>
    <t>JHOEL RODRIGO FERNANDEZ FERRUFINO</t>
  </si>
  <si>
    <t>PROYECTO DE FACTIBILIDAD PARA LA IMPLEMENTACIÓN DE UNA PLANTA PROCESADORA DE MERMELADA  DE CAMOTE CON PIÑA EN EL EJE METROPOLITANO DE COCHABAMBA</t>
  </si>
  <si>
    <t>jfernandezferrufino@gmail.com</t>
  </si>
  <si>
    <t>IND-992-2018</t>
  </si>
  <si>
    <t>Estudio de mercado, Muestreo probabilístico, Estadística inferencial Organización del trabajo, Procesamiento de alimentos, Producto agroindustrial, Gestión del personal, Análisis costes-beneficio, Gestión ambiental, Eje Metropolitano.</t>
  </si>
  <si>
    <t>Primeramente, se analizó el entorno en el cual se desarrolla actualmente la industria de los alimentos procesados y las características del mercado actual realizando un análisis a nivel macro y micro entorno. Para iniciar con la investigación de mercados se establecieron los objetivos de la investigación entre los más importantes se definieron: conocer la demanda actual de mermeladas, el perfil de los consumidores, preferencias y principales competidores en el eje metropolitano del departamento de  Cochabamba (Bolivia).Definido la población (eje metropolitano) que está compuesto por siete principales municipios los cuales son: Cochabamba, Sacaba, Quillacollo, Tiquipaya, Vinto, Sipe Sipe y Colcapirua; donde los primero tres municipios presentan mayor densidad poblacional concentrando el 82 % de la población total convirtiéndose en el foco de análisis de la investigación.Con el diseño del muestreo se estableció que mediante el método del cuestionario para la obtención de datos, encuestar un total de 150 hogares de los municipios de: Cochabamba, Quillacollo y Sacaba; teniendo como unidad de muestreo señoras, esposas, madres de familia y responsables de hogar que se encontraban en los principales centros de compras de alimentos en sus respectivos municipios mediante un muestreo probabilístico aleatorio simple. Obteniendo como resultados la demanda disponible de mermeladas, las preferencias, hábitos de consumo, principales competidores y con todo ello se logró definir la demanda meta del proyecto para los años proyectados; cantidad definida de acuerdo al porcentaje de participación de los cinco principales competidores y un análisis de economía de escala.  Posteriormente se realizaron pruebas experimentales en el laboratorio de cereales y bebidas de la carrera de Ingeniería en Alimentos de la Universidad Mayor de San Simón, como resultado se pudo formular dos variedades de mermelada: Mermelada de camote con piña sin azúcar y con azúcar que tuvieron mayor recibimiento al momento de hacer las degustaciones. Con la formulación definida, se pudo identificar los requerimientos en cuanto a principales materias primas y los desperdicios que presentan durante el proceso, la cantidad de insumos y materiales. De acuerdo a los requerimientos definidos se procedió a investigar los potenciales proveedores definiendo que no existe ninguna restricción en el abastecimiento de materias primas e insumos para poder cumplir con la demanda establecida ya que todos los proveedores son locales. Ya que el abastecimiento de materia prima no presentaba limitantes se procedió a ver el tema de los demás como ser: financiamiento y tecnología. Donde se estableció que la única limitante es en la fase de concentración de la mermelada por el volumen de producción cuando la planta opere cerca al 100 % de su capacidad; es por ello que se estableció un lote de producción de 255 kg de mermelada. Definido el tamaño y capacidad de la planta se vio por conveniente establecer la ubicación del mismo  en el municipio de Cochabamba; bajo un análisis de microlocalización tomando diferentes lugares y factores, evaluados mediante la valoración de puntos ponderados se definió la mejor ubicación en la zona de la Chimba en el municipio de Cochabamba. De acuerdo a las pruebas de laboratorio se definieron los flujos de procesos y balances de masa del producto; además realizando un balance de línea de los tiempos de producción en cada etapa para poder cumplir con la programación de la producción se establecieron las demandas de productividad en cada etapa. Con lo mencionado anteriormente se procedió a dimensionar las capacidades de cada maquinaria y equipo que serían utilizadas en el proceso, que de acuerdo a una serie de cotizaciones recibidas se eligieron las más óptimas en cuanto a costo y rendimiento.Con los tiempos establecidos se realizó un diagrama de Gantt que estableció los tiempo de cada ciclo productivo, definiendo así con un desfase de una hora cumplir con tres ciclos de producción diaria al máximo de la capacidad de la planta.Con los tiempos establecidos y mediante el diagrama de actividades múltiples (DAME) se definió la cantidad de personal en planta para cumplir con las actividades de producción diaria y así generar el mínimo de tiempos muertos en el área.  De acuerdo a las características de la empresa se establecieron la estructura que presentará la organización y el total de personal requerido a lo largo de la vida del proyecto.Es importante definir qué características legales presentara la empresa es por ello que se tomó en cuenta la participación económica de los socios y el nivel de inversión total: definiendo como el tipo de empresa la sociedad colectiva y como razón social “Productos Alimenticios La Viña”.Para una mayor organización de la fase de implementación del proyecto se definieron las actividades a realizar y los tiempos estimados de inicio, generando así un diagrama de red de actividades y su respectivo ruta crítica que indica un total de  43 semanas la duración de la ejecución del proyecto. Definido todas las inversiones, costos de producción, costos pre operativos, etc.; se procedió a evaluar el aspecto financiero del proyecto. Donde los cálculos de corrientes de liquidez sirvieron para definir el monto de capital social y el crédito necesario de las entidades bancarias, además de los cálculos de pago de impuestos. Posteriormente se estructuro un flujo de caja proyectado para los cinco años de vida del proyecto y con esto se pudo calcular los indicadores financieros, teniendo como resultado: un VAN de Bs 1.061.261,3 y una tasa interna de retorno (TIR) del 40,84 % que es superior al TMAR establecido del 17 % y el rendimiento sobre  la inversión es de Bs 1,90 que se obtiene por cada boliviano del capital invertido; lo que indica que el proyecto es rentable económicamente. Por último se evaluó si la ejecución del proyecto presentaría impactos ambientales de consideración; para ello se identificaron las fases y actividades y el impacto ambiental que podrían presentar posteriormente se evaluaron estas actividades mediante la matriz de Leopold, que dio como resultado impacto ambiental positivo. Sin embargo se establecieron las  medidas precisas de mitigación para evitar efectos adversos; adema se estableció la categoría de la empresa y los requisitos para que se pueda registrar en el registro ambiental industrial.</t>
  </si>
  <si>
    <t>https://drive.google.com/file/d/1j7gEw0vK2qumupHqewu2OHlY-_KJJ6l6/view?usp=sharing</t>
  </si>
  <si>
    <t>https://drive.google.com/file/d/1wsCDppsEK8B1DE9LU8T_5Cm9O7qQqtIS/view?usp=sharing</t>
  </si>
  <si>
    <t>https://drive.google.com/file/d/1vD9neNKrGY6mvlfltd3q0cFa94SKjYHe/view?usp=sharing</t>
  </si>
  <si>
    <t>JOSÉ ADRIÁN CATORCENO CARBALLO</t>
  </si>
  <si>
    <t>YESSENIA LOPEZ LOBO</t>
  </si>
  <si>
    <t>PLAN DE DESARROLLO ACADÉMICO DE LA CARRERA DE INGENIERÍA ELECTROMECÁNICA 2019 – 2023</t>
  </si>
  <si>
    <t>adriancatorceno@gmail.com</t>
  </si>
  <si>
    <t>IND-993-2018</t>
  </si>
  <si>
    <t>Carrera de Ingeniería de Electromecánica, UMSS, Plan Estratégico, Educación Superior, Misión, Visión, Cuadro de Mando Integral, Mapa estratégico, Sistemas de Control de Gestión., planificación proactiva, economía del conocimiento, Formación, Investigación, Interacción, Gestión de Soporte e Infraestructura, misión, visión, cultura organizacional, políticas, análisis FODA, matrices EFE y EFI, factor crítico de éxito, matriz de planificación, indicadores, sistemas de control, mejora continua, enfoque sistémico, Diagrama de Contexto y un Diagrama de Flujo de Datos (DFD), ciudad del conocimiento, Parque Científico.</t>
  </si>
  <si>
    <t>El plan de desarrollo académico de la carrera de Ingeniería Electromecánica de la Universidad Mayor de San Simón culmina su vigencia el año 2015, de ahí nace la necesidad de elaborar un nuevo Plan de desarrollo que permita organizar y guiar las acciones y decisiones que se tomen en la carrera los próximos 5 años (2019 - 2023).La elaboración del Plan de Desarrollo inició con un diagnóstico interno de la Carrera, en el cual se evaluaron: el cumplimiento del plan de desarrollo 2010 - 2015, la formación e investigación académica que realiza la carrera, así como su interacción y gestión realizada los últimos años.Posteriormente se realizó un breve análisis prospectivo del Ingeniero Electromecánico, que permitió identificar las necesidades futuras de la sociedad y como la carrera puede contribuir al mismo. La etapa de diagnóstico y planificación estratégica, requería la participación activa de los miembros de la organización, para ello por medio de cuestionarios se estructuró una muestra para permitir la validación y revisión de los resultados obtenidos.Una vez diseñadas y aprobadas las estrategias del Plan basadas en la Misión, Visión y análisis FODA, se procedió a elaborar el Cuadro de mando integral (CMI), bajo el lineamiento del Plan de desarrollo 2019 - 2023, de la Facultad de Ciencias y Tecnología de la Universidad Mayor de San Simón.Para la implementación del Plan, se vio necesario plantear Sistemas de Control, que permitan hacer seguimiento a los indicadores de los objetivos operativos establecidos en la matriz de planificación o CMI. Así mismo se establecieron las directrices que guiarán las acciones de las autoridades para la correcta ejecución del Plan.Se concluye entonces, que con el Plan de desarrollo propuesto, se logrará articular la carrera con la sociedad, el gobierno y el sector productivo departamental, explotando las fortalezas actuales de la carrera, lo que permitirá brindar una formación e investigación académica de alta calidad y mejorar su interacción con su entorno.</t>
  </si>
  <si>
    <t>https://drive.google.com/file/d/19ILVhCfrIaPPoYRYA9AmNl0QgitHs9pD/view?usp=sharing</t>
  </si>
  <si>
    <t>https://drive.google.com/file/d/14ylZG1u00wPjliPcwwfw_QoLhPurqhfR/view?usp=sharing</t>
  </si>
  <si>
    <t>https://drive.google.com/file/d/1gc-7APCyvf9jNlsgTuufy1ulKqnL_VnM/view?usp=sharing</t>
  </si>
  <si>
    <t>MARIO ANDRÉ ANDRADE BIETA</t>
  </si>
  <si>
    <t>ING. MARCEL PARRA ESTRUGO</t>
  </si>
  <si>
    <t>APLICACIÓN DE LA TÉCNICA OVERALL EQUIPMENT EFFECTIVENESS AL ÁREA DE METAL EN LA EMPRESA INDUSTRIAS RAVI S.A.</t>
  </si>
  <si>
    <t>andre_bieta@hotmail.com</t>
  </si>
  <si>
    <t>IND-994-2018</t>
  </si>
  <si>
    <t>Overall Equipment Effectiveness (OEE), Industrias RAVI S.A, líneas de producción del área de metal.</t>
  </si>
  <si>
    <t>En el presente proyecto se realizó un estudio a la parte de producción del área de metal en la empresa Industrias RAVI S.A, para lo cual se utilizó el método del OEE como una herramienta, mejorando y completando el sistema de control de la maquinaria y el personal en el área.El OEE es un indicador que mide la eficacia de la maquinaria industrial y se utiliza como una herramienta clave dentro de la cultura de mejora continua. Sus siglas corresponden al término inglés "Overall Equipment Effectiveness" o "Eficacia Global de Equipos Productivos".Como primera parte se hizo un análisis actual del área de metal en Industrias RAVI S.A. mediante observación de los distintos procesos presentes, además de entrevistas a distintos miembros del personal, obteniendo datos importantes de las planillas que utilizan como la producción diaria, cantidad de operarios presentes, funcionamiento de las máquinas, todo con el fin de tener una perspectiva actual y detallada del área de estudio.Posteriormente se hizo un análisis de las planillas utilizadas en el área de producción y se determinó la elaboración de nuevas planillas, con mayor detalle para la recolección de datos, con el fin de mejorar el control de las 2 líneas de producción, realizando el cálculo de la disponibilidad, rendimiento de las máquinas y el personal, además de la calidad de las piezas elaboradas.Una vez conseguidos los datos de disponibilidad, rendimiento de las máquinas y la calidad de las piezas se realizó el cálculo del OEE, obteniendo datos sobre la actualidad del área de metal en Industrias RAVI S.A. También se identificaron los problemas que inciden y afectan al indicador, con resultados que reflejan la complicada situación de la empresa con una baja competitividad y pérdidas económicas importantes.Por último, se realizó la propuesta de soluciones a los problemas identificados, esperando una mejora, como también el crecimiento del indicador OEE, mejorando la competitividad y minimizando las pérdidas económicas que presenta la empresa.</t>
  </si>
  <si>
    <t>https://drive.google.com/file/d/12Njm1M-lTmzrj_vdkpwaMrux7dy0Romw/view?usp=sharing</t>
  </si>
  <si>
    <t>https://drive.google.com/file/d/1NkWMWOyvML3B2dmFgNMsIsr55AwTMk83/view?usp=sharing</t>
  </si>
  <si>
    <t>https://drive.google.com/file/d/1syYpKqF1EP5aO2zcnsRhW7mfgrDmLktI/view?usp=sharing</t>
  </si>
  <si>
    <t>GABRIELA DAYANA DEL BARCO VALDIVIA</t>
  </si>
  <si>
    <t>ANGELY NICOLE MONTAÑO VIDAL</t>
  </si>
  <si>
    <t>MGR. ING ALFREDO PERICÓN BALDERRAMA</t>
  </si>
  <si>
    <t>PLAN ESTRATÉGICO PARA LA FEDERACIÓN DE LA MICRO Y PEQUEÑA EMPRESA (FEDEMYPE) DEL RUBRO TEXTIL Y CONFECCIONES DEL DEPARTAMENTO DE COCHABAMBA PARA LAS GESTIONES 2019- 2023</t>
  </si>
  <si>
    <t>gddelbarco@gmail.com</t>
  </si>
  <si>
    <t>IND-995-2018</t>
  </si>
  <si>
    <t>Planificación Estratégica, Plan Estratégico, planificación proactiva, gestión de la información, Gestión de soporte, Marco Institucional, Desarrollo empresarial, Investigación, Desarrollo tecnológico, misión, visión, cultura organizacional, políticas, análisis FODA, matrices EFE y EFI, matriz de planificación, indicadores, sistemas de control, mejora continua, enfoque sistémico.</t>
  </si>
  <si>
    <t>En primer lugar se procedió a realizar un diagnóstico interno y externo del  rubro, que permita identificar la situación actual por la que atraviesa  la Federación de la micro y pequeña empresa (FEDEMYPE) rubro textil y confecciones, ya sea en los ámbitos nacional e internacional, para ello se realizó un análisis externo del macro entorno (contexto internacional) y micro entorno (contexto nacional y departamental). También se realizó un análisis interno enfocado en la unidad de análisis del Plan, es decir, FEDEMYPE rubro textil y confecciones,  para dicho análisis se realizó el Taller de Planificación, donde se obtuvo los aportes de los actores del presente Plan Estratégico, esto mediante grupos de trabajo donde toda la información recabada sirvió de insumo para realizar la Planificación Estratégica Institucional. Posteriormente, se presentó un relevamiento de información sobre futuras  tendencias internacionales en la industria textil, que hacen referencia a los principales cambios en materia de insumos y materiales, nuevos diseños y desarrollos textiles, tecnologías de producción y comercialización, como también dinero electrónico, los mismos que sirvieron de insumo para la elaboración del análisis prospectivo.A continuación fue elaborado el FODA de FEDEMYPE rubro textil y confecciones, para el cual se partió de las propuestas que cada grupo planteó en el Taller de Planificación llevado a cabo el 30 de Abril de la presente gestión, en el cual se tuvo una participación activa de los grupos de trabajo, conformados por delegados de FEDEMYPE, asociados del rubro textil y confecciones y estudiantes. Se identificaron los factores internos (fortalezas y debilidades) y externos (oportunidades y amenazas) relevantes de FEDEMYPE rubro textil y confecciones, existentes en cada uno de los ejes, (Gestión de soporte, Desarrollo empresarial, Marco institucional e Investigación y desarrollo tecnológico) para luego evaluar la interrelación existente entre los mismos, seguidamente, en base a estas valoraciones se identificaron las relaciones críticas para las cuales fueron planteadas acciones y/o proyectos a seguir en el Plan Estratégico. Una vez obtenido el FODA de FEDEMYPE rubro textil y confecciones, fueron realizadas las matrices EFE y EFI, que permitió identificar los factores críticos para el éxito. En dicho Taller también se evaluaron la misión y visión propuestas. Seguidamente fue realizado el Taller de Socialización, en fecha 16 de julio del 2018, en el cual se brindó el informe del Taller de Planificación, se presentaron y validaron las declaraciones de misión, visión, valores, FODA, las acciones y/o proyectos propuestas, de la misma manera se presentaron los distintos objetivos estratégicos y se realizaron modificaciones de acuerdo a las sugerencias y recomendaciones consensuadas. Así mismo, de manera unánime se aceptó como estrategia central consolidar el “Clúster de Textiles y Confecciones” a través del presente Plan y se establecieron políticas que incluyan directrices para apoyar los esfuerzos dirigidos al logro de los objetivos.Para la elaboración del mapa estratégico, se definieron los objetivos por perspectivas: perspectiva del cliente, financiera, de procesos y de aprendizaje y desarrollo; estos mapas sirvieron para identificar las relaciones de causa – efecto entre factores que determinarán el éxito del presente Plan, fue elaborado de abajo hacia arriba empezando por la perspectiva de aprendizaje y desarrollo y terminando en la de los clientes. De la misma forma fue elaborado el FODA estratégico en base a los elementos del FODA y las acciones y/o proyectos propuestos por los grupos de trabajo del Taller de Planificación.La elaboración de la matriz estrategia – objetivo, ayudó a mantener un enfoque sistémico de las distintas estrategias planteadas, ya que permite ver cómo éstas contribuyen al cumplimiento de los distintos objetivos que posee el Plan Estratégico.Una vez planteadas las distintas estrategias, se elaboró la matriz de planificación para cada eje respectivo, desglosada en objetivos estratégicos, objetivos operativos, metas a conseguir de dichos objetivos, estrategias que apoyen al alcance de las metas, indicadores que midan el cumplimiento de las estrategias, los responsables de coordinación y periodos que abarca el horizonte temporal de cada objetivo operativo. Consecuentemente, cada uno de los indicadores de dicha matriz, que pueden ser cuantitativos o cualitativos, fueron plasmados en los sistemas de control que proporcionan un seguimiento al cumplimiento de cada uno de estos, durante las gestiones que comprende el horizonte del Plan.Subsecuentemente fue propuesta una nueva estructura organizacional de tipo matricial debido a que esta estructura ofrece un reparto y asignación de tareas especializadas para cada rubro de FEDEMYPE, permitiendo aumentar la eficiencia de la federación.Posteriormente, se elaboró dos mapas de procesos, uno de manera general para FEDEMYPE y otro más específico para FEDEMYPE rubro textil y confecciones, donde fueron identificados de manera general, los elementos de entrada, procesos estratégicos, procesos misionales, procesos de apoyo, procesos de valor y las salidas esperadas de estos procesos.Finalmente, se desarrolló el aspecto financiero del presente Plan, con un  costo aproximado de Bs. 444,186   , el cual contempla en todo su horizonte temporal (gestiones 2018 -2022) la implementación de tecnología, capacitaciones, desarrollo de nuevos productos, campañas de comunicación y otras alternativas planteadas en las distintas  estrategias.</t>
  </si>
  <si>
    <t>https://drive.google.com/file/d/1zDtvwh2GDDfVHMqY2otkWF5vXLmGxvJM/view?usp=sharing</t>
  </si>
  <si>
    <t>https://drive.google.com/file/d/1BpILKZ-lPpo44iGapA1J9GlMQny_m5OJ/view?usp=sharing</t>
  </si>
  <si>
    <t>https://drive.google.com/file/d/1AYXo1W_fHQFsxDRaG-lOzoyG14bGMXhX/view?usp=sharing</t>
  </si>
  <si>
    <t>SURAY AGREDA LAZARTE</t>
  </si>
  <si>
    <t>RE – DISEÑO DE LA ESTRUCTURA ORGANIZACIONAL PARA EL DEPARTAMENTO DE SUBESTACIONES DE LA EMPRESA ENDE TRANSMISIÓN S.A.</t>
  </si>
  <si>
    <t>suray.agreda@gmail.com</t>
  </si>
  <si>
    <t>IND-996-2018</t>
  </si>
  <si>
    <t>Diagnóstico Organizacional, Estructura Organizacional, Direccionamiento Estratégico, Plan de Implementación.</t>
  </si>
  <si>
    <t>El propósito principal del trabajo elaborado fue el de realizar el re-diseño propuesto de la estructura organizacional para el Departamento de Subestaciones dependiente de la Gerencia Técnica de la empresa ENDE Transmisión S.A.Para ello primeramente se realizó un diagnóstico organizacional de la situación actual del Departamento de Subestaciones, recabando información sobre las actividades, funciones y el tipo de organización actual que se tenía, a través de: encuestas, entrevistas, revisión documentaria entre otros disponible, con lo cual se identificó el análisis FODA  para el Departamento de Subestaciones. En función a este análisis FODA se realizó el direccionamiento estratégico, donde se propuso una Misión, Visión, Objetivos y una Planeación Táctica con planes de acción en función a los requerimientos y necesidades detectados mediante el diagnóstico para el Departamento de Subestaciones.A partir del direccionamiento estratégico y el FODA identificado, se vio conveniente iniciar con la estrategia de: Diseño de una estructura organizacional en base a los requerimientos y necesidades del Departamento de Subestaciones, ya que se consideró que a medida que una organización crece su estructura organizacional debe evolucionar con ella, garantizando que cuente con una estructura organizacional que se acomode a las necesidades y exigencias que le demanda su trabajo.Se comenzó diseñando la estructura organizacional óptima e ideal para el tipo de trabajo y la demanda de trabajo que tiene el Departamento de Subestaciones mediante un análisis de los procesos que se desarrollan dentro de la unidad de trabajo, de la cual se vio conveniente seguir con una estructura divida por procesos y funciones con sus trabajadores agrupados por equipos, a partir de este diseño organizacional identificado se elaboró la estructura orgánica propuesta y posteriormente el manual de funciones para el Departamento de Subestaciones, en el que se especifican las funciones, responsabilidades, grado de autoridad y líneas de mando para cada puesto dentro de la unidad de trabajo.Posteriormente se elaboró el plan de implementación del diseño propuesto, en la cual se describen y proponen distintas actividades que ayudarán durante el proceso de adaptación del personal a la nueva estructura organizacional, al fortalecimiento de la comunicación y coordinación de los procesos y actividades dentro del departamento, así mismo se diseñó indicadores de control para los procesos identificados y los objetivos propuesto de modo que se pueda realizar un control y seguimiento a la implementación del diseño propuesto, mediante la evaluación de resultados con los indicadores propuestos, de modo que se pueda garantizar el logro de los objetivos.Por otro lado mediante un diagrama Gantt se realizó el cronograma de las actividades propuestas para el procedimiento de implementación de la nueva estructura organizacional, finalmente se calculó el costo estimado para el diseño de la nueva estructura organizacional y la implementación de la propuesta.</t>
  </si>
  <si>
    <t>https://drive.google.com/file/d/1iVRGw2KJ1vwTXULrjxWmuIB38A815cIq/view?usp=sharing</t>
  </si>
  <si>
    <t>https://drive.google.com/file/d/1qgbj9A5YQ1PLnpQJ2Z-J5jvX77ZuSOaO/view?usp=sharing</t>
  </si>
  <si>
    <t>https://drive.google.com/file/d/1RjVwBifWPqga0B5reMRGnqaoSDWvhyfY/view?usp=sharing</t>
  </si>
  <si>
    <t>ROBERT TERCEROS SOLIZ</t>
  </si>
  <si>
    <t>DISEÑO DE UN PLAN DE SEGURIDAD E HIGIENE INDUSTRIAL PARA LA EMPRESA METALMECÁNICA INPROCO S.R.L.</t>
  </si>
  <si>
    <t>rtercerossoliz@gmail.com</t>
  </si>
  <si>
    <t>IND-997-2018</t>
  </si>
  <si>
    <t>Plan de Seguridad e Higiene Industrial, Plan 5S, IPER, Manual de    Primeros Auxilios, Manual de Procedimientos Seguros, INPROCO S.R.L., Metalmecánica, Resolución Administrativa N° 038/01.</t>
  </si>
  <si>
    <t>Primeramente, se efectuó un análisis de la empresa, mediante el cual se definió la estructura de las instalaciones, la maquinaria y equipos utilizados, el proceso productivo de un caldero, los horarios, la estructura organizativa y las operaciones de los procesos.Posteriormente se realizó una clasificación de las actividades realizadas en las áreas productivas, además de una categorización de los tipos de riesgos encontrados.Seguidamente se desarrolló las matrices IPER, utilizando la Metodología Fine, en las áreas relacionadas directamente con la producción de la empresa, dando resultados mayormente con Grado de Peligrosidad de clasificación media, para los cuales se determinaron controles operacionales.A continuación, se realizó un análisis de las leyes necesarias para que la empresa pueda cumplir con la normativa vigente, haciendo énfasis a la Resolución Administrativa Nº 038/01, la cual define los requisitos mínimos para la aprobación de un Plan de Seguridad e Higiene Industrial en por la Dirección General y Seguridad Ocupacional y Bienestar de Bolivia.Se realizó un estudio de todos los tipos de riesgos en la empresa, tomando en cuenta su situación actual y las medidas preventivas/correctivas, recomendaciones y equipos de protección personal que deben usarse en cada caso señalado.Se efectuaron mediciones dentro de la empresa sobre: ruido, iluminancia, temperatura y humedad y se obtuvieron otros datos de fuentes externas, como el de la vibración. En la mayoría de casos detectados se efectuaron procedimientos, como en los casos de trabajos en altura, trabajos en espacios confinados, mantenimiento eléctrico o levantamiento de cargas.Los equipos de protección personal igualmente se analizaron de tal manera de obtener sus características específicas, tiempo de recambio y uso dentro de las instalaciones de la empresa.Se elaboraron documentos importantes de apoyo como: Plan 5S, Manual de Limpieza, Manual de Primeros Auxilios, Manual de Procedimientos Seguros, Manual de Implementación del Plan 5S, Manual de Procedimientos de Medición del Ruido e Iluminancia, además de varias planillas, fichas y formularios.Se finalizó con el análisis beneficio-costo, del cual se obtuvieron datos superiores a uno, quedando así demostrada la viabilidad del proyecto elaborado sobre seguridad e higiene industrial.</t>
  </si>
  <si>
    <t>https://drive.google.com/file/d/1NssUCrvT5A-191dAxacUqTQXV9HHNw_w/view?usp=sharing</t>
  </si>
  <si>
    <t>https://drive.google.com/file/d/1tma2mWxgs-40t5KZpacnlYQnYQepLvHL/view?usp=sharing</t>
  </si>
  <si>
    <t>https://drive.google.com/file/d/1ficJHyc8oTNiukVgAsXpR1iTTp8ZB5-_/view?usp=sharing</t>
  </si>
  <si>
    <t>CAMACHO CONDORI DANNY FLOR</t>
  </si>
  <si>
    <t>PAREDES ZAMBRANA OSHIN BRIGGITTE</t>
  </si>
  <si>
    <t>TCNL. DIM. ALARCÓN GONZALES JHONNY</t>
  </si>
  <si>
    <t>PROYECTO DE INVERSIÓN PARA LA IMPLEMENTACIÓN DE UNA PLANTA CARROZADORA DE VEHÍCULOS DE TIPO ÓMNIBUS Y CAMIÓN EN LA EMPRESA NACIONAL AUTOMOTRIZ LIDERBUS COMERCIAL – COFADENA (SOCIEDAD ANÓNIMA MIXTA)</t>
  </si>
  <si>
    <t>dannyflorcamachocondori@gmail.com</t>
  </si>
  <si>
    <t>IND-998-2018</t>
  </si>
  <si>
    <t>Proyecto de inversión, Proyecto de factibilidad, Planta carrozadora de vehículos, Empresa Nacional Automotriz.</t>
  </si>
  <si>
    <t>En el presente proyecto de inversión de la planta carrozadora de vehículos del tipo ómnibus y camión, se desarrolló la metodología, el planteamiento de objetivos, general y específico, la justificación y el alcance de acuerdo a las características de la empresa.Se realizó un diagnóstico de la situación actual de la empresa del cual se extrajo las fortalezas, oportunidades y estrategias basadas en las debilidades de la misma, se hizo un análisis de las amenazas.En el estudio de mercado se determinó la demanda y oferta del producto, además de las características y preferencias de los clientes potenciales. Para la localización de la planta carrozadora, se hizo un estudio de macro y micro localización donde se estableció la ubicación que presento mejores condiciones para la instalación de la planta.Se realizó el estudio de Ingeniería de proyectos en el que se especificó las características del producto, se describió el proceso de producción y se determinó la capacidad óptima. Se realizó un diagrama de operaciones para cada vehículo, la simulación del proceso productivo y finalmente la distribución de la planta.Dentro el estudio organizacional y legal de la empresa, se estableció un nuevo organigrama, misión, visión, políticas de la empresa y un manual de funciones de los diferentes cargos, se efectuó una descripción de requisitos legales para la inscripción de la nueva empresa. En el estudio Económico – Financiero se determinó la inversión inicial, los costos de las áreas de producción, comercialización y administración. Se obtuvo el precio unitario de los productos y con los indicadores de evaluación, TIR, VAN y la relación beneficio-costo, además se realizó un análisis de sensibilidad donde se determinó la rentabilidad del proyecto. Posteriormente se efectuó una evaluación económica con precios sombra.Se realizó una evaluación de impacto ambiental, donde se identificó y evaluó los impactos potenciales de la planta, se estableció medidas de mitigación para los impactos negativos.Finalmente se presentó las conclusiones finales del proyecto y se brindó recomendaciones para el mismo.</t>
  </si>
  <si>
    <t>https://drive.google.com/file/d/1obZ_8cui83lwFIhef0kt323sbwIm67yk/view?usp=sharing</t>
  </si>
  <si>
    <t>https://drive.google.com/file/d/1kYyhaFfYFLrwhiYE--nypUDVMX5UUvUB/view?usp=sharing</t>
  </si>
  <si>
    <t>https://drive.google.com/file/d/1bsdxXFcxmATGBufiCmxwT7Q4-s9IAxjS/view?usp=sharing</t>
  </si>
  <si>
    <t>ALEJANDRO RIVERA OROZCO</t>
  </si>
  <si>
    <t>OSCAR GABRIEL RIOJA GARCIA</t>
  </si>
  <si>
    <t>ING. MSC. JUAN CARLOS RODRIGUEZ OSTRIAS</t>
  </si>
  <si>
    <t>PROYECTO DE FACTIBILIDAD PARA LA IMPLEMENTACIÓN DE UNA PLANTA DE PRODUCCIÓN DE HARINA DE PLUMAS HIDROLIZADAS DE POLLO EN COCHABAMBA</t>
  </si>
  <si>
    <t>alejandro.rivera.orozco.20@gmail.com</t>
  </si>
  <si>
    <t>IND-999-2018</t>
  </si>
  <si>
    <t>Harina de plumas hidrolizadas, Hidrolización, Pollo parrillero</t>
  </si>
  <si>
    <t>Para realizar el Proyecto de Factibilidad Para La Implementación De Una Planta De Producción De Harina De Plumas Hidrolizadas De Pollo En Cochabamba, se analizó de la demanda de carne de pollo en los últimos cinco años, del cual se pudo observar un crecimiento en la misma, el cual es proporcional a la producción de plumas como desechos, los cuales son abandonados en terrenos baldíos, ríos, etc. generando contaminación.El cálculo de la demanda se realizó partiendo de una alternativa de fórmula de alimento balaceado para los pollos parrilleros, el cual permitió conocer la cantidad de harina de plumas que consume un pollo parrillero desde su nacimiento hasta el faeneo, posteriormente se proyectó la cantidad de pollos parrilleros el cual se multiplico por la cantidad de harina de plumas que consume un pollo, teniendo así la demanda de este sector.La ubicación del proyecto se realizó iniciando en una macrolocalización y posteriormente, para tener un resultado más concreto se hizo la microlocalización utilizando la metodología por puntos, para la cual se buscaron alternativas y se definieron variables obteniendo así un resultado favorable.Para la producción se definió los siguientes procesos: recolección de la materia prima en un camión tipo volqueta, recepción de las plumas en planta, prensado en un tornillo compresor, hidrolizado en la máquina SHC-300, secado del producto, tamizado para tener un producto homogéneo, embolsado, pesado y almacenado.En la ejecución del proyecto se definieron las actividades que se deben realizar antes de la puesta en marcha, a las cuales se les asigno un tiempo y un orden para conocer el tiempo de esta etapa además de las actividades que pueden generar retrasos, a través del método PERT y para el control de la ejecución se definió el diagrama de GANTT del proyecto.Se definieron los procesos implicados en una empresa industrial de acuerdo a la gestión por procesos, los cuales son: estratégicos, principales y de apoyo, posteriormente se definieron los puestos de trabajo para lograr el cumplimiento de los procesos.Para determinar los indicadores financieros se realizó el flujo de caja, para este se realizó el estado de resultados a través del cálculo de los costos fijos y variables por área, se determinó las inversiones fijas, diferidas, depreciaciones, amortizaciones y el capital de trabajo junto a su incremento anual requerido para el proyecto. Se determinó la relación proyecto – medio ambiente a través de la metodología ETE.</t>
  </si>
  <si>
    <t>https://drive.google.com/file/d/1s9yh5skH-O81e1ig-rT0n2Iyhw-R-7AW/view?usp=sharing</t>
  </si>
  <si>
    <t>https://drive.google.com/file/d/1QvJk3IjPG2KQ6pd-qkLsavQ5eRgmApQh/view?usp=sharing</t>
  </si>
  <si>
    <t>https://drive.google.com/file/d/1kfjmtfc40zm4tgnFQ95SyNGLt-iCjGaf/view?usp=sharing</t>
  </si>
  <si>
    <t>ADRIANA LAIME CLAROS</t>
  </si>
  <si>
    <t>ING. XIMENA TRIVEÑO GUTIERREZ</t>
  </si>
  <si>
    <t>REDUCCIÓN DEL TIEMPO DE CAMBIO DE FORMATO EN LAS MÁQUINAS ENVASADORAS DE DETERGENTES B3 Y T1 DE LA EMPRESA UNILEVER ANDINA BOLIVIA S.A. APLICANDO LA HERRAMIENTA SMED</t>
  </si>
  <si>
    <t>adri.laime@hotmail.com</t>
  </si>
  <si>
    <t>IND-1000-2018</t>
  </si>
  <si>
    <t>Changeover time, Single Minute Exchange of Die, World Class Manufacturing, Productividad, Manufactura, Eficiencia, Costos.</t>
  </si>
  <si>
    <t>La herramienta desarrollada de SMED, permitió reducir el tiempo de cambio de formato en las máquinas envasadoras de detergentes B3 y T1 de la empresa Unilever Andina Bolivia S.A., lo cual ayudó a mejorar la eficiencia de cada máquina y disminuir los costos por parada, mejorando la productividad, tras el desarrollo de los 7 pasos de la herramienta. Primeramente se realizó el paso 0 con el desarrollo de 5 actividades preliminares, donde se analizó la matriz de costos, en la cual se cuantifican las 39 pérdidas que reconoce la filosofía de World Class Manufacturing, donde el changeover time (tiempo de cambio), es identificada como la tercera pérdida más grande. Se estratificaron las pérdidas según su valor monetario, donde se observa que la línea T1 registró la mayor pérdida con 81 814 euros, seguida de la línea T2 con 74 045 euros y posteriormente de la B3 con 19 014 euros, todo durante la gestión 2 017, luego se estratificó la pérdida de changeover time, considerando que se tienen dos tipos de cambio, de formato y de variedad. El área de envasado detergentes, cuenta con 6 máquinas envasadoras, de las cuales 3 realizan el cambio de formato, la línea T1, T2 y B3, y todas realizan el cambio de variedad. En éste proyecto se implementó la herramienta de SMED, para reducir los tiempos en la línea T1 y B3, como la línea T2 tiene el mismo principio de funcionamiento que la T1, todo lo que se desarrolló en la T1 se replicará en la T2. La segunda parte de la estratificación es cuando se identifica el lugar que ocupa la pérdida de cambio en el árbol de pérdidas, en las máquinas envasadoras se generan 21 pérdidas, dentro la cual se tiene a la pérdida 11 de changeover (cambio), que es la tercera pérdida más grande la línea T1, registrando un valor de 3,06%, ésta se subclasifica en cambio de formato con 0,90% y cambio de variedad con 2,16%, en la línea B3, es la quinta pérdida más grande con 2,29%, en cambio de formato con 1,43% y cambio de variedad con 0,86%. Las demás pérdidas son atacadas por otros grupos de mejora.Después, se determinó la secuencia para identificar que formato se realiza con mayor frecuencia en ambas máquinas, en la línea T1 se trabajó con los formatos de 800 y 200 gramos, en la línea B3 con los formatos de 4 y 2,3 kilogramos, se buscaron referencias sobre los estándares de tiempo de cambio de formato, donde según estándares oficializados se tiene a la línea T1 con 90 min de duración del cambio y a la línea B3 con 150 min de duración. Para la validación de éstos tiempos estándares, y conocer a detalle cada una de las tareas que comprende el cambio de formato, se realizó y aplicó el Go to the Gemba (ir a la planta) para culminar el desarrollo de las actividades preliminares.En seguida se desglosan los 7 pasos de SMED, en el paso 1 se definió las líneas a ser estudiadas que son las líneas B3 y T1, como paso 2 se conformó el equipo multidisciplinario de SMED, el cual estuvo compuesto por el supervisor de producción, de mantenimiento, de WCM y 2 operadores de envasado, como paso 3 se mapearon las líneas a estudiar, el paso 4 donde se aplicó las 4 fases de la filosofía de SMED, que es el paso clave para garantizar la reducción del tiempo, se realizó un diagnóstico de la situación actual como fase 0, para verificar los tiempos de duración del cambio en las líneas T1 y B3, donde los tiempos registrados fueron de 158 y 142 min, además de identificarse el número de tareas en cada una, contabilizando 33 y 31 tareas respectivamente, y también cuantificando la distancia que el operador se desplaza. En la fase 1 se externalizaron tareas que pueden ejecutarse mientras las máquinas aún  sigue funcionando, y se separaron las que pueden ejecutarse antes del cambio (Pre-changeover) o después del cambio (Post-changeover), es así que en la línea T1 se externalizaron 10 tareas, 6 Pre-changeover y 4 Post-changeover, quedando 23 tareas como internas del total de 33, reduciendo el tiempo en 30 min por lo que el nuevo tiempo de cambio era de 128 min, en la línea B3 se externalizaron 7 tareas, 5 Pre-changeover y 2 Post-changeover, quedando 24 tareas como internas del total de 31, reduciendo el tiempo en 27 min por lo que el nuevo tiempo de cambio era de 115 min.La fase 2 del streamline de tareas internas y externas usando la metodología ECRS, nos permitió realizar mejoras en cada una de las tareas, para seguir reduciendo el tiempo de las mismas, es así que en la línea T1 se eliminó 1 tarea, se combinaron 11, se redujeron 12 y se simplificaron 10, reduciendo el tiempo en 60 min más al total de 128 min, reduciendo el tiempo de duración del cambio a tan solo 68 min. En la línea B3 se eliminó 2 tareas, se combinaron 6, se redujeron 8 y se simplificaron 11, reduciendo el tiempo en 24 min más al total de 115 min, reduciendo el tiempo de duración del cambio a 91 min. Finalmente se realizaron mejoras en los ajustes de la fase 3, para facilitar las tareas. Luego se desarrolló el panel de SMED, en el que se expuso todo lo desarrollado con la herramienta, una vez culminadas y definidas las mejoras, se realizó el entrenamiento del personal en el nuevo orden. Se monitorearon los cambios, en los cuales se verificó, que el tiempo de cambio de formato en la línea T1 puede realizarse en 71 min, teniendo una reducción total de 87 min con respecto al total de 158 min. La línea B3 puede realizarse en 120 min, y con la continuación de las mejoras puede realizarse hasta en 91 min, teniendo una reducción inicial de 22 min y posteriormente una reducción total de 51 min al total de 142 min, en base al menor registro en el que se realice el cambio de formato, se definieron los nuevos tiempos estándares, garantizando siempre la comodidad y facilidad del desarrollo de las tareas realizadas por el operador. Es así que la inversión total que el proyecto solicitará para su implementación es de 11 030,50 Bs, dentro de los indicadores se tuvo un VAN de 26 620,19 Bs, un TIR de 81,00%, una TMAR de 22,49% y por último el rendimiento sobre la inversión que era de 3,37 Bs, que se obtiene por cada boliviano del capital invertido, todo en la línea T1. La inversión en la línea B3 es de 11 774,00 Bs, dentro de los indicadores se tuvo un VAN de 903,30 Bs, un TIR de 26,00%, una TMAR de 22,49% y por último el rendimiento sobre la inversión que era de 1,08 Bs, que se obtiene por cada boliviano del capital invertido. El costo de implementación fue de 251,29 Bs. La implementación de todo el proyecto permitirá mejorar los indicadores de eficiencia como la OEE% y la productividad en cada máquina.</t>
  </si>
  <si>
    <t>https://drive.google.com/file/d/1uhxzLdQhL2EgVMAS-ye5Jnhv3NjquyiM/view?usp=sharing</t>
  </si>
  <si>
    <t>https://drive.google.com/file/d/1wES_xbCInreu77HIX9LeBl94h-NWJrXK/view?usp=sharing</t>
  </si>
  <si>
    <t>https://drive.google.com/file/d/1BI0ysmxGR54aZmTWkaDfy3nY6FPOURbm/view?usp=sharing</t>
  </si>
  <si>
    <t>GABRIELA SOLEDAD BOLIVAR TORRICO</t>
  </si>
  <si>
    <t>DANITZA ALEJANDRA PASTOR ORDOÑEZ</t>
  </si>
  <si>
    <t>MSC. ING. ALFREDO DELGADILLO COSSIO</t>
  </si>
  <si>
    <t>ESTUDIO DE FACTIBILIDAD PARA LA INSTALACIÓN DE UNA PLANTA DE PROCESAMIENTO DE ACEITE COMESTIBLE Y HAMBURGUESAS VEGANAS EN BASE A SACHA INCHI</t>
  </si>
  <si>
    <t>gabysol2201@gmail.com</t>
  </si>
  <si>
    <t>IND-1001-2018</t>
  </si>
  <si>
    <t>Actualmente la población boliviana está en búsqueda de mejorar su calidad de vida, tanto en el aspecto nutricional como su aspecto físico, por lo que hoy en día tienen la necesidad de alimentarse de la manera más natural posible, como respuesta a esta situación surge la idea de realizar un Estudio de Factibilidad para la instalación de una Planta de procesamiento de Aceite comestible y Hamburguesas veganas en Base a Sacha Inchi, ofreciendo productos con alto valor nutricional.A través del estudio de mercado realizado en la zona urbana (Cercado) del departamento de Cochabamba se determinó la demanda potencial de aceite comestible de Sacha Inchi, considerándose 12 % (22 428 botellas de 500 ml) y para las hamburguesas veganas 8 % (70 250 packs de 200 gr) para el estudio del proyecto.A partir del estudio de mercado se realizó la investigación de la materia prima, insumos y materiales que formarán parte de los productos finales. Se desarrolló el plan de comercialización con el fin de introducir los productos al mercado con un precio de venta al distribuidor de 105 Bs referente al aceite y 13 Bs perteneciente a las hamburguesas. De igual manera se llevó a cabo un estudio técnico para el análisis y determinación de la estructura, organización, tecnología y tamaño óptimo del proyecto. Se desarrolló la planificación del proyecto que muestra de forma detallada y cronológica la secuencia de actividades.Posteriormente se elaboró una evaluación financiera donde se estimó la inversión total del proyecto, misma que requiere para su implementación, el monto de 1. 019.988,00 Bs, en la que el aporte bancario será del 70 %. A través del flujo de caja se determinaron los parámetros de rentabilidad con una TMAR igual a 10,74 % del cual se tiene un VAN de 110.160,95 Bs, una TIR de 15 %, una relación B/C de 1,21, lo que significa que el proyecto es rentable. También se realizó el análisis de sensibilidad para dos escenarios considerando las variables más influyentes, según la cual el proyecto es no es rentable ante ambos escenarios.Finalmente se realizó la evaluación de impacto ambiental, identificándose impactos negativos leves que pueden ser mitigados y controlados a través de medidas correctivas de fácil implementación. Por tanto se concluye que el proyecto pertenece a la categoría 3.</t>
  </si>
  <si>
    <t>https://drive.google.com/file/d/1vf4FFfdXy8O20drNSmx8PBE05PB7QCD5/view?usp=sharing</t>
  </si>
  <si>
    <t>https://drive.google.com/file/d/1iICi2omTPL7tjGzQxrrhrGwMMIfqgmtw/view?usp=sharing</t>
  </si>
  <si>
    <t>https://drive.google.com/file/d/1wk_sQPHAI7ylVWpR94DstjymuAIzw_oP/view?usp=sharing</t>
  </si>
  <si>
    <t>JOSE ROMARIO HUARACHI GÓMEZ</t>
  </si>
  <si>
    <t>ING. JUAN LEÓN CORAJE</t>
  </si>
  <si>
    <t>PROPUESTAS DE MEJORAS DE ADECUACIÓN AMBIENTAL PARA LAS UNIDADES PRODUCTIVAS DEL PARQUE INDUSTRIAL DE SANTIVAÑEZ</t>
  </si>
  <si>
    <t>romariohuarachi@hotmail.com</t>
  </si>
  <si>
    <t>IND-1002-2018</t>
  </si>
  <si>
    <t>Parque Industrial de Santivañez, Factores Ambientales, Impacto ambiental, Adecuación Ambiental, Auditorías Ambientales, Análisis Beneficio Costo</t>
  </si>
  <si>
    <t>Para identificar la situación actual de las industrias lo primero que se hizo fue realizar encuestas y entrevistas mediante censo a todas las empresas en operación al interior del parque industrial, de donde se identificó varios aspectos como el nivel de conocimiento de las normativas ambientales de los trabajadores en las industrias, los rubros asentados actualmente en el Parque Industrial, el sector productivo que más genera residuos y emisiones y las tecnologías que implementan para reducir sus desperdicios en cumplimiento de las normativas vigentes en el país, también se identificó los servicios básicos que existen en la zona y se identificó los beneficios que las empresas obtienen al asentarse en un Parque Industrial, para identificar la afectación a los factores ambientales que genera el parque industrial se inició identificando las afectaciones sociales, socio económicas y para ello se realizó encuestas a las comunidades aledañas al parque industrial de donde se pudo identificar diferentes sectores que gracias a la actividad industrial que genera el Parque Industrial son beneficiados a través de la generación de empleos, ingresos, productos y otros, a si mismo se identificó sectores que se ven afectadas por las contaminaciones que genera el parque industrial y el Municipio de Santivañez, y con el objetivo de identificar las fuentes de estas contaminaciones se realizó trabajo de campo, de donde se evidencio que las fuentes que más contribuyen a la afectaciones de los factores ambientales agua, suelo y aire son las aguas residuales de las plantas de tratamiento del Parque Industrial y del Municipio de Santivañez, la inadecuada gestión de residuos sólidos y crecimiento industrial y poblacional que contribuye a la disminución de perdidas ecológicas, así como se encontró aspectos negativos se identificó aspectos positivos como ser disponibilidad económica por parte de las autoridades municipales para implementar proyectos que coadyuven al mejoramiento ambiental, regulaciones que obligan a las instituciones en realizar planes de mejoramiento ambiental, incentivos por parte del estado a las actividades relacionadas con el cuidado del medio ambiente, y con el objetivo de aprovechar tos aspectos positivos para minimizar lo negativos se planteó estrategias y se seleccionó las estrategias más importantes, estas estrategias se las planteo con un objetivo común que era mejorar de forma sostenible la imagen del Parque Industrial e incentivar al crecimiento del sector productivo mientras minimizan sus impactos negativos y coadyuven a mejorar las calidad de vida de las personas. Estas estrategias se plantearon con información primaria del diagnóstico a nivel pre factibilidad por lo que se recomienda precisar la información a nivel factibilidad para que la implementación de las propuestas de mejoras de adecuación ambiental sea un éxito durante su construcción y operación.Estas propuestas eran las siguientes; implementar una planta Eco-Industrial para optimizar el ciclo completo de los materiales, desde el material virgen al producto terminado, al residuo y por último la disposición final para lograr reducir el consumo de recursos, energía y capital.La construcción de un sistema Biofiltro para reutilizar el 100% de las aguas residuales y reducir la contaminación hídricaEl plan de forestación y reforestación se lo planteo para dar cumplimiento a las normativas vigentes y reducir la contaminación sonora del parque al municipio formando una barrera o amortiguación de ruidos con la plantación de plantas forestales</t>
  </si>
  <si>
    <t>https://drive.google.com/file/d/1sccJjrdgBXwkRlScIu3azQiez9t5zXvy/view?usp=sharing</t>
  </si>
  <si>
    <t>https://drive.google.com/file/d/17CU2POGU7fRdoKz4ovftQNn9s0-ftmoH/view?usp=sharing</t>
  </si>
  <si>
    <t>https://drive.google.com/file/d/1qFxhqs7Fbj02bXi7U22iUzVW0tJkrYoT/view?usp=sharing</t>
  </si>
  <si>
    <t>ÁLVARO ALEJANDRO BAUTISTA VILLARROEL</t>
  </si>
  <si>
    <t>FABIANA SALVATIERRA ORELLANA</t>
  </si>
  <si>
    <t>MSC. ING. ALFREDO PERICÓN BALDERRAMA</t>
  </si>
  <si>
    <t>PLAN ESTRATÉGICO PARA EL CENTRO DE LEVANTAMIENTOS AEROESPACIALES Y APLICACIONES SIG PARA EL DESARROLLO SOSTENIBLE DE LOS RECURSOS NATURALES DE LA UMSS 2019 – 2023</t>
  </si>
  <si>
    <t>alvaro.bautista.v@gmail.com</t>
  </si>
  <si>
    <t>IND-1003-2018</t>
  </si>
  <si>
    <t>Plan Estratégico, Propiedad Intelectual, Recursos Naturales, Sistemas de Información Geográfica, Mapeo Satelital, Levantamientos Aeroespaciales.</t>
  </si>
  <si>
    <t>A partir de la necesidad de contar con un Plan Estratégico que oriente los pasos a tomar por una institución en el tiempo de alcance de éste, se realizó el análisis necesario para establecer el Plan Estratégico del Centro de Levantamientos Aeroespaciales y Aplicaciones SIG para el Desarrollo Sostenible de los Recursos Naturales (CLAS) de la UMSS, con un alcance de 5 años, de 2019 a 2023.Para el desarrollo de este Plan Estratégico se realizó el diagnóstico situacional y prospectivo correspondiente, además un análisis con metodologías de análisis estratégico de negocios, como son el BMS y el CANVAS. En base a esto se identificó los diferentes ejes de acción del CLAS, y se identificó que el alcance de sus servicios de investigación y consultoría pueden expandirse a nivel nacional, y sus servicios de formación pueden llegar a consolidarse a nivel internacional. Posteriormente, se realizó un análisis de Propiedad Intelectual para identificar las líneas de investigación que son tendencia a nivel internacional, para orientar las investigaciones del CLAS a estas mismas.Posteriormente, utilizando esta información, se realizó un taller a través del cual se estableció la Cultura Organizacional o marco estratégico referentes para el presente Plan Estratégico en conjunto con el personal del CLAS.En base a este marco y toda la información generada a través del diagnóstico, se plantearon los Objetivos Estratégicos para cada uno de los ejes estratégicos del CLAS, además de su Matriz de Planificación y Sistemas de Control correspondientes a cada uno de los objetivos operativos y estrategias planteadas dentro de estos objetivos estratégicos. Con esta propuesta, se realizó un segundo taller de divulgación de estrategias para su aprobación por el personal del CLAS.En base a esta Planificación Estratégica, se estableció la Estructura Organizacional y Funcional necesarias para contar con el talento humano adecuado para el desarrollo de los objetivos planteados, además del presupuesto necesario para el cumplimiento de este Plan en cada gestión del alcance de éste.Finalmente, se diseñó un Cuadro de Mando Integral como herramienta de gestión para el control, seguimiento y evaluación del cumplimiento del Plan Estratégico. Adicionalmente se realizó la grabación de un video tutorial sobre el uso de esta herramienta y se establecieron los lineamientos necesarios para el cumplimiento del Plan Estratégico en cuestión.En base a este Plan Estratégico, se considera que el CLAS podrá expandir sus actividades a nivel internacional, contar con programas de formación y servicios actualizados y necesarios por la sociedad, además de poder liderar la colaboración entre instituciones del mismo rubro, con el objetivo de realizar investigaciones y servicios de mayor alcance con un financiamiento y gestión del conocimiento compartido.</t>
  </si>
  <si>
    <t>https://drive.google.com/file/d/1yCGSvQTqNRhidobkuO_1wZ7gMMgOcfGe/view?usp=sharing</t>
  </si>
  <si>
    <t>https://drive.google.com/file/d/1grrTZjJLfWlFUlXCgXKrnrr2WqThIhp6/view?usp=sharing</t>
  </si>
  <si>
    <t>https://drive.google.com/file/d/1_Adn8I63snJnGZXDt5ko7iTZ5nOIvmKI/view?usp=sharing</t>
  </si>
  <si>
    <t>DANIELA ISABEL GARCIA JIMÉNEZ</t>
  </si>
  <si>
    <t>ING. MARIEL ANAHY RAMOS RUIZ</t>
  </si>
  <si>
    <t>DISEÑO DE UN PLAN DE HIGIENE, SEGURIDAD OCUPACIONAL Y BIENESTAR SEGÚN DL 16998/RA 038 PARA LA EMPRESA “A&amp;E”</t>
  </si>
  <si>
    <t>isabel11bel98@gmail.com</t>
  </si>
  <si>
    <t>IND-1004-2018</t>
  </si>
  <si>
    <t>Peligro, Riesgo, Resultados, Diseño, Propuesta, Seguridad.</t>
  </si>
  <si>
    <t>La empresa “A&amp;E” de la ciudad de Cochabamba, dedicada a la elaboración de productos de cosmética natural, cuenta con una pequeña planta de extracción de aceites esenciales y dispone en el mercado una alternativa en cosmética natural, dando a conocer su  línea de cosméticos naturales UNI-K, que está elaborada con materia prima encontrada en la biodiversidad de Bolivia y permite la competencia con otras marcas ya posicionadas en el mercado.El contenido de este documento se divide en 4 capítulos donde se desarrollan los aspectos técnicos y legales relacionados a la higiene y salud ocupacional de los trabajadores. En Introducción, Marco Teórico, Diagnostico de la empresa y el Plan de HigienePrimeramente se realizó un diagnóstico de la situación actual de la empresa en cuanto al cumplimiento legal D.L. N16998/RA 038. Identificando los peligros y riesgos de las actividades que realiza el personal de la empresa, aplicándose la metodología de la matriz IPER. Evaluando y calificando la probabilidad con las que se presentan las situaciones de peligro y la severidad o impacto de daño que producen. Con los resultados obtenidos de la matriz IPER y a partir de los riesgos identificados y evaluados se plantean las medidas de control que se llevaran a cabo para mitigar dichos riesgos, aplicando la jerarquía de control.Se identificó que la mayoría de los riesgos considerados importantes se encuentran en el proceso del aceite de romero. Se realizó el análisis de las condiciones de entorno en la empresa, llevando a cabo la medición de ruido y luminiscencia en cada uno de los 5 ambientes identificados, para comparar los valores obtenidos con aquellos que la ley califica como permisibles.Estos lineamientos permiten el desarrollo de la propuesta de Plan de Higiene y Seguridad Ocupacional detallando las medidas que deben tomarse para satisfacer los requisitos de la norma.Se realizaron las cotizaciones financieras que sugiere la implementación de un plan de seguridad e higiene industrialCon esta propuesta se pretende mitigar y eliminar los factores de riesgo causantes de la inseguridad en la empresa A&amp;E. finalmente se plantean las respectivas conclusiones y recomendaciones.</t>
  </si>
  <si>
    <t>https://drive.google.com/file/d/1HTjrMyAYYXh0xXYhdp5mJmuZ3LLtn09C/view?usp=sharing</t>
  </si>
  <si>
    <t>https://drive.google.com/file/d/19fLh0eDRFqhOX0i7pKflN5Cu23nmXhqF/view?usp=sharing</t>
  </si>
  <si>
    <t>https://drive.google.com/file/d/1E_nDIqSwsnDtkGHFhSflg552lcDpZe_K/view?usp=sharing</t>
  </si>
  <si>
    <t>TATIANA GRAGEDA GUTIERREZ</t>
  </si>
  <si>
    <t>FATIMA VALERIA PALLITI CHOQUE</t>
  </si>
  <si>
    <t>ING. PASCUAL MALDONADO LOPEZ</t>
  </si>
  <si>
    <t>DISEÑO PARA FABRICACIÓN Y MONTAJE DE CAMPAMENTOS MÓVILES CON CAPACIDAD DE 24 PERSONAS CON LA METODOLOGÍA D.F.M.A. PARA LA EMPRESA FADESA METAL S.R.L.</t>
  </si>
  <si>
    <t>tatiana.grageda@hotmail.com</t>
  </si>
  <si>
    <t>IND-1005-2018</t>
  </si>
  <si>
    <t>D.F.M.A. (Diseño para la fabricación y montaje)</t>
  </si>
  <si>
    <t>El desarrollo de las actividades de las empresas grandes, medianas y pequeñas se han convertido en el motor que mueve la economía del país y para ser más competitivos en el mercado se ha decidido desarrollar  la implementación de la metodología D.F.M.A. (Diseño para la fabricación y montaje) para la empresa Fadesa Metal S.R.L. en la ciudad de Cochabamba.El D.F.M.A es una metodología que sigue etapas con la finalidad de diseñar un producto a partir de la fabricación y el montaje para crear un modelo estandarizado que se pueda fabricar en serie.La empresa Fadesa Metal S.R.L se dedica a la fabricación de viviendas móviles con diseño tipo contenedores con estructuras fijas y son transportadas cada vivienda en un tráiler.Con la metodología D.F.M.A propone un diseño de una vivienda móvil totalmente desmontable. Para la fabricación de viviendas móviles se utilizaran plantillas para sub ensambles y piezas  facilitando la fabricación en serie.Por otro parte se realizo una guía de ensamble, que será de mucha utilidad para el operario por que detalla el modo de ensamble de la vivienda móvil. Guía que se podrá usar por cualquier operario.Aplicando esta metodología se reducirá el tiempo de fabricación y costo debido a que reducirá el costo de mano de obra en un 33.3%, también reducirá costo de transporte y montaje en un 78.3% el cual es beneficioso para la empresa.Finalmente se realizara un manual de mantenimiento para la parte de la estructura y paneles de la vivienda móvil.</t>
  </si>
  <si>
    <t>https://drive.google.com/file/d/1bho9v1OICAFwasmC6HYxg47NEQr9Xu6H/view?usp=sharing</t>
  </si>
  <si>
    <t>https://drive.google.com/file/d/17-5qXUgX1l7ZfMbr7eo5JPuKzR1VNM-O/view?usp=sharing</t>
  </si>
  <si>
    <t>https://drive.google.com/file/d/1cozyzngMcy9KAB_WjnB9A7zWOokmgf5Q/view?usp=sharing</t>
  </si>
  <si>
    <t>CARMEN ROSA GUZMAN GARCIA</t>
  </si>
  <si>
    <t>NOELIA LIZETH TERCEROS VILLARROEL</t>
  </si>
  <si>
    <t>LIC. SALINAS OVANDO ANDREA</t>
  </si>
  <si>
    <t>PROYECTO DE FACTIBILIDAD PARA LA IMPLEMENTACIÓN DE UN CRIADERO DE PEJERREY EN EL MUNICIPIO DE VACAS, PROVINCIA DE ARANI.</t>
  </si>
  <si>
    <t>carmenr2g@hotmail.com</t>
  </si>
  <si>
    <t>IND-1006-2018</t>
  </si>
  <si>
    <t>Criadero de pejerrey, Municipio de Vacas, Demanda, Alevín, Análisis de                  sensibilidad, Proceso biológico.</t>
  </si>
  <si>
    <t>Se realizó una investigación de mercado en la provincia de Cercado del departamento de Cochabamba, estudiando la composición de vendedores y compradores potenciales. Se determinó una demanda potencial, como también se determinó la proyección de la demanda de carne de pejerrey mediante el método factor exponencial, Se estableció el precio de venta por medio de la competencia. Se realizó un canal de distribución tomando los parámetros de transporte y distancia.Posteriormente se realizó un análisis de validación de la localización, micro localización del municipio de Vacas, provincia de Arani del departamento de Cochabamba. Se definió un tamaño de 3.000 m2 para la planta.Se definió el tamaño de planta considerando que el criadero busca abarcar un 18% del mercado inicial de carne de pejerrey produciendo el primer año 8.920 Kg/año. Con el tamaño y crecimiento definido se dimensiono los ambientes para la planta. Se elaboró el proceso productivo del pejerrey, se definió el proceso de elaboración del alimento balanceado, Se consideró el control de calidad y seguridad industrial. Se calculó de igual manera los equipos, maquinaria, materia prima, materiales e insumos necesarios para tales volúmenes de producción.El estudio organizacional fue realizado para la planta piscícola definiendo el diagrama del tipo lineal funcional, las funciones de cada trabajador y las planillas de sueldos y salarios.La ejecución del proyecto se dividió en actividades interdependientes en forma simultánea. Se las principales actividades necesarias para el funcionamiento de la estancia piscícola: Obtención de financiamiento, contratación del asesor legal, gestión legal, construcción de obras civiles, adquisición de maquinaria y equipo, contratación del personal, capacitación del personal, pruebas de funcionamiento y puesta en marcha. Mediante el método de camino crítico C.P.M. se determinó que el tiempo de duración para el funcionamiento de la estancia piscícola es de 41 semanas.Posteriormente se preparó la información para poder realizar la evaluación financiera determinando un VAN de 994.738,72 Bs., una  TIR de 25,27%  y una relación de B/C de 5,09.Tambien se realizó un análisis de sensibilidad donde fue mostrado que el precio y la variación combinada son las variables más sensibles para la producción de carne de pejerrey. Se definió una inversión total de 1.324.628,43 Bs. Para todo el proyecto, definiendo un 70 % de aporte propio y 30% de financiamiento bancario escogiendo al banco unión, por los accesibles pagos de interés, se determinó el sistema de amortización constante o sobre saldos a las obligaciones financieras. La recuperación del capital fue determinado en un periodo de 5  años.Finalmente se concluyó con una Evaluación Ambiental de acuerdo a la Ley 1333, donde se estudió al proyecto en sus etapas de ejecución y operación. Se concluyó que  el proyecto se clasifica en la CATEGORIA III, lo que hace que el proyecto sea ecológicamente compatible es decir, que no ocasiona severas consecuencias al medio ambiente, por lo que también se considera ambientalmente factible.</t>
  </si>
  <si>
    <t>https://drive.google.com/file/d/18JEnyEvBnnCo2PkhYzSz6DxSAfl4LM1b/view?usp=sharing</t>
  </si>
  <si>
    <t>https://drive.google.com/file/d/1eVd8tMOqo7q0v6D9gnyh5QRhHwJFfrf9/view?usp=sharing</t>
  </si>
  <si>
    <t>https://drive.google.com/file/d/1T6-Qvj-kggQSeJA9ImBweBSWw0ydsbxC/view?usp=sharing</t>
  </si>
  <si>
    <t>DANIEL MARCELO QUIROGA MORENO</t>
  </si>
  <si>
    <t>DIEGO PEREZ MURIEL</t>
  </si>
  <si>
    <t>MGR. ALFREDO PERICÓN BALDERRAMA</t>
  </si>
  <si>
    <t>PROYECTO DE FACTIBILIDAD PARA LA IMPLEMENTACIÓN DE UNA PLANTA PROCESADORA DE HOJUELAS DE CEREAL A BASE DE MAÍZ Y ALGARROBA PARA EL DEPARTAMENTO DE COCHABAMBA</t>
  </si>
  <si>
    <t>danielquiroga0892@gmail.com</t>
  </si>
  <si>
    <t>IND-1007-2018</t>
  </si>
  <si>
    <t>Planta procesadora de hojuelas de cereal, algarroba, maíz, factibilidad, COCHABAMBA</t>
  </si>
  <si>
    <t>El proyecto de factibilidad para la implementación de una planta procesadora de hojuelas de cereal a base de maíz y algarroba para el departamento de Cochabamba nace a razón de coadyuvar la transformación de algarroba en productos nutricionales potencialmente comercializables.Inicialmente se elaboró un estudio de mercado del proyecto donde se identificó la población objetivo que son las unidades familiares, además de determinar la oferta y demanda de hojuelas en el departamento, se estableció que el producto se comercializara en dos presentaciones de 800 gr y 450 gr.En el estudio de materia prima se determinó al proveedor de harina de maíz el cual es “LA MAICERA DE BOLIVIA”, además se estableció que la harina de algarroba será refinada en la planta procesadora.La localización fue obtenida en base a la evaluación cualitativa de puntos en tres ubicaciones preseleccionadas de las cuales, la que obtuvo mayor puntuación fue el Parque Industrial Santivañez.La ingeniería del proyecto se ejecutó seleccionando los procesos y maquinaria adecuada para la respectiva elaboración de hojuelas, además se determinó la cantidad de materia prima requerida describiendo el balance de masa tanto para refinación de harina como elaboración de hojuelas.Se elaboró el organigrama de la empresa con las respectivas funciones generales correspondientes a cada personal y los aspectos legales que tendrá que tener la empresa.Seguidamente se elaboró el diagrama de Gantt para la planificación y ejecución del proyecto, junto a sus respectivos gastos previos de operación.En cuanto a los aspectos financieros se estimaron las inversiones totales y los respectivos costos operativos, con esto se elaboró la evaluación financiera usando indicadores como la TIR, VAN, B/C y Recuperación de Capital. Finalmente, en cuanto a impactos ambientales se determinó la categoría de la empresa según el RASIM y su valoración ambiental.</t>
  </si>
  <si>
    <t>https://drive.google.com/file/d/1nwNZke6bsEeSUBZbGIizTZtkjerfJ2wK/view?usp=sharing</t>
  </si>
  <si>
    <t>https://drive.google.com/file/d/1tXxDlw8qNlZQ2j7vgYuWwpaFumQwQBJQ/view?usp=sharing</t>
  </si>
  <si>
    <t>https://drive.google.com/file/d/1VCzupUBk0UwdZXQr9GqARcy6Yaptzzy8/view?usp=sharing</t>
  </si>
  <si>
    <t>VERONICA BUSTILLO CLAROS</t>
  </si>
  <si>
    <t>ING. DIEGO W. PAREDEZ CASTRO</t>
  </si>
  <si>
    <t>PROYECTO DE FACTIBILIDAD PARA IMPLEMENTAR UNA PANADERÍA VEGANA EN LA CIUDAD DE COCHABAMBA BOLIVIA</t>
  </si>
  <si>
    <t>vbustillo.claros@gmail.com</t>
  </si>
  <si>
    <t>IND-1008-2018</t>
  </si>
  <si>
    <t>Panadería Vegana, Pan de Batalla Vegano, Pan Integral Vegano Factibilidad, Proyecto de Factibilidad, Evaluación Financiera.</t>
  </si>
  <si>
    <t>El presente proyecto se enfocó en desarrollar un proyecto de factibilidad para la instalación de una panadería vegana en el departamento de Cochabamba.En nuestro país no es fácil encontrar productos de panadería veganos, o al menos una variedad para escoger, pese a que en los últimos años han surgido entre pequeñas y medianas empresas que se dedican a la producción de alimentos saludables, dirigidos a personas enfermas o que tienen conciencia de la importancia del cuidado de la salud, no es fácil encontrarlos, pues se distribuyen en tiendas pequeñas de difícil ubicación. El objetivo general del proyecto es Elaborar un proyecto de factibilidad para implementar una panadería de productos veganos en la ciudad de Cochabamba-Bolivia. Los objetivos específicos del proyecto son: 1) Realizar un estudio de mercado para establecer la oferta y demanda de los productos. 2) Determinar la ubicación y emplazamiento de la empresa. 3) Desarrollar la ingeniería del proyecto. 4) Establecer la estructura organizacional de la empresa. 5) Establecer la estructura de presupuestos e ingresos del negocio. 6) Realizar una evaluación financiera del proyecto. 7) Determinar el impacto ambiental del proyecto.Primeramente, se realizó el estudio de mercado, que fue realizado en la ciudad de Cochabamba, se realizó la obtención de datos por medio de una encuesta, haciendo degustaciones. Con los datos obtenidos se determinó la demanda potencial del producto y se realizó un análisis del precio que tendrá el producto.Luego de conocer la demanda del producto se determinó la capacidad de producción que pueda satisfacer dicha demanda. Se realizó un plan de producción que permitirá cubrir entre el 20% y el 32% de la demanda durante los 5 años.Posteriormente se estableció el proceso productivo para la elaboración del pan de batalla vegano y del pan integral vegano, los procesos establecidos son: preparado de ingredientes, mezclado, amasado, sobado, fermentado, cortado, pesado, boleado, aplanado, horneado, enfriado y almacenado.Con los procesos establecidos y el plan de producción se calcularon los diferentes presupuestos del proyecto (producción, administración, comercialización, financiero, etc.). Esto ayudó a poder calcular el precio un precio de venta que cubra tales gastos y genere ganancias atractivas.La localización de la planta fue hecha por el método de ponderación de factores, se tomaron en cuenta tres alternativas en diferentes municipios del eje troncal del departamento, se utilizaron seis variables para evaluar a cada una de las alternativas. La distribución de planta se realizó sobre 380 m2, en una construcción ubicada en la zona norte de la ciudad de Cochabamba. La distribución de la planta cuenta con área de producción, área de oficinas y área de almacenes.A través de la evaluación financiera se determinó que el proyecto es rentable, siendo un proyecto atractivo para invertir, además que aporta a la producción nacional. Mediante esta evaluación se determinó que el proyecto es rentable al obtener TIR = 26%, VAN = Bs. 142.517,143 y B/C = 1,24.En el análisis organizacional se determinó la estructura orgánica de la empresa, que contará con oocho empleados con contrato indefinido y tres con contrato por tiempo limitado para ciertas temporadas del año, también se definió las funciones y requisitos para cada puesto y sus respectivos salarios.Por último, se realizó la evaluación ambiental, con lo cual se determinó que el proyecto es de categoría IV, lo cual indica que no presenta impactos ambientales negativos de consideración.</t>
  </si>
  <si>
    <t>https://drive.google.com/file/d/1dOhTod0ngVYBCE9cVWjm7fRSH2X3ibBa/view?usp=sharing</t>
  </si>
  <si>
    <t>https://drive.google.com/file/d/1hXbmWxEzGqeVUj4LE0vTLuJAsaiu2XLz/view?usp=sharing</t>
  </si>
  <si>
    <t>https://drive.google.com/file/d/1iUSjcBYa1JoKGMy1DaTHv2WQQAjkF9Sm/view?usp=sharing</t>
  </si>
  <si>
    <t>LOAYZA ZEGARRA SILVER ALEJANDRO</t>
  </si>
  <si>
    <t>MÉRIDA ALAN HUGO</t>
  </si>
  <si>
    <t>ING. RICHARD NOGALES BELTRÁN</t>
  </si>
  <si>
    <t>ESTUDIO DE FACTIBILIDAD PARA LA IMPLEMENTACIÓN DE UNA EMPRESA DE CARBÓN HECHO A PARTIR DE LA CASCARA DE COCO EN EL DEPARTAMENTO DE COCHABAMBA</t>
  </si>
  <si>
    <t>alejo.foxx@gmail.com</t>
  </si>
  <si>
    <t>IND-1009-2018</t>
  </si>
  <si>
    <t>Estudio de Factibilidad, Ecológico, Cascara de coco, Briquetas de carbón. Impacto Ambiental.</t>
  </si>
  <si>
    <t>El estudio de factibilidad para la implementación de una empresa de carbón a partir de la cascara de coco, nace de la necesidad de aprovechar este material considerado un desecho por otras empresas y fomentar la reutilización de subproductos como la cascara de coco, en beneficio del medio ambiente.Inicialmente se realizó un diagnóstico situacional, determinando las causas y efectos del problema estudiado, con su respectiva justificación. Seguidamente se describió y determinó la cantidad de materia prima existente en el departamento de CochabambaEn el estudio de mercado se realizó el análisis de la demanda y oferta del carbón tradicional y así tener una aproximación de estos valores para el carbón ecológico, en el departamento de Cochabamba, en vista de que no existen datos históricos de demanda y oferta se procede a realizar el respectivo estudio mediante encuestas. El tamaño óptimo de la planta se determinó en función a la demanda pronosticada del mercado y tomando en cuenta la capacidad instalada de los equipos involucrados en los procesos. La localización fue obtenida a través de una evaluación cualitativa de puntos, donde se analizaron alternativas, optando por la ciudad de Cochabamba por gozar de factores favorables para el proyecto. La ingeniería del proyecto se ejecutó seleccionando los procesos y maquinaria adecuada para la producción de carbón ecológico, en el presente estudio se procedió a determinar la cantidad de materia prima requerida describiendo el balance de masa. Se ilustro la estructura organizativa a través de un organigrama del personal, las funciones que cumplen y cálculo de salarios. Posteriormente se procedió a describir los requisitos para la constitución legal de la empresa. Se estimaron las inversiones totales y los respectivos costos operativos con esto se realizó el respectivo análisis económico-financiero usando indicadores como la TIR (Tasa Interna de Retorno), VAN (Valor Actualizado Neto), B/C (Beneficio/Costo) y Recuperación de Capital. Se sometió el flujo a un análisis de sensibilidad para las variables más influyentes. Finalmente se realizó una identificación y evaluación de los impactos ambientales y se categorizo a la empresa según el RASIM.</t>
  </si>
  <si>
    <t>https://drive.google.com/file/d/1Fl9oBwpHOvXX_8HV77T33pxs7kQnyPwB/view?usp=sharing</t>
  </si>
  <si>
    <t>https://drive.google.com/file/d/1FVzAkqtPMWRn9jxUkxJYQ71bg9khRvSP/view?usp=sharing</t>
  </si>
  <si>
    <t>https://drive.google.com/file/d/1nBhxo55PjOi6r8AH0nu671FTQG1wF7sU/view?usp=sharing</t>
  </si>
  <si>
    <t>ALEJANDRA CECILIA VARGAS ZAPATA</t>
  </si>
  <si>
    <t>ESTUDIO DE FACTIBILIDAD PARA LA IMPLEMENTACIÓN DE UNA PLANTA DE PRODUCCIÓN DE YOGUR MIX CON GRANOLA</t>
  </si>
  <si>
    <t>alejandravargaszapata@gmail.com</t>
  </si>
  <si>
    <t>IND-1010-2018</t>
  </si>
  <si>
    <t>Yogur mix con Granola, Factibilidad, Cercado, Cochabamba</t>
  </si>
  <si>
    <t>El presente proyecto de grado se desarrolló a partir del problema que tienen las personas ocupadas que permanecen gran parte de su día fuera de casa, por lo cual tienen dificultad en conseguir alimentos para merendar portátiles apetecibles, y que no dañen su salud. Inicialmente reconociendo los diferentes tipos de yogur y las diferentes marcas de granola que existe en la provincia de cercado, se realizó un estudio en el que se determinó la muestra preferida por la población que es yogur batido con granola de la empresa ICOBOL.Seguidamente se realizó el estudio de mercado para la muestra determinada, a la población no pobre mayor de 6 años. Del estudio de mercado se obtuvo las 4P´s del marketing así como la demanda de 31.250 unidades de yogur mix y una oferta actual de cero pero con la existencia de sustitutos. Se determinó la materia prima y los insumos necesarios a partir del desarrollo experimental realizado para la obtención de 50 litros de yogur con lo que se determinó que en la provincia de Cercado se cuenta con todos los insumos y la materia prima suficiente en la cantidad necesaria. La localización del proyecto inicialmente en la macrolocalización se ubica en la provincia de Cercado por tener la mayor cantidad de productores lecheros. La microlocalización analizando diferentes variables que permitieron elegir ubicar en la final Calle Johannes Gutenberg del distrito 4.El estudio técnico permite conocer los aspectos necesarios para la producción del producto, así como la maquinaria necesaria, los utensilios y el requerimiento de servicios básicos, para poder poner en marcha el proyecto.En el análisis financiero se determinaron las inversiones necesarias para que el proyecto se ponga en marcha que es de 511.801,72 $us, se consideró una TREMA para el proyecto de 14,4 % con la cual se obtuvo que el proyecto es viable según los indicadores, el TIR es de 25 %, el VAN es de $us 793.014,97 y el costo beneficio de 1,08. Según el análisis de sensibilidad, si los costos totales varían en más de 11 % el proyecto deja de ser viable. Finalmente, se realizó el estudio de impacto ambiental en el cual se determinaron los impactos positivos y negativos del proyecto. Así mismo según la normativa se determinó que el proyecto corresponde a la categoría 4 por lo que no se debe realizar una evaluación del impacto ambiental ya que el impacto es mínimo.</t>
  </si>
  <si>
    <t>https://drive.google.com/file/d/1VD2nr_US285ZJlT5H7sWUjN21op7frjp/view?usp=sharing</t>
  </si>
  <si>
    <t>https://drive.google.com/file/d/1Tnkh0l9A6wfPdce5QI9crUgY9ag4VbgF/view?usp=sharing</t>
  </si>
  <si>
    <t>https://drive.google.com/file/d/1t3N8UZqdDTV-YqqDb858hpZaIgJ0iCO4/view?usp=sharing</t>
  </si>
  <si>
    <t>DANIELA ALEJANDRA ESPINOZA MENESES</t>
  </si>
  <si>
    <t>MGR. ALEX D. CHOQUE FLORES</t>
  </si>
  <si>
    <t>ANÁLISIS Y OPTIMIZACIÓN DEL CIRCUITO LOGÍSTICO ENFOCADO AL SERVICIO A DISTRIBUIDORES        DE LA CERVECERÍA BOLIVIANA NACIONAL S.A. PLANTA TAQUIÑA</t>
  </si>
  <si>
    <t>I-2019</t>
  </si>
  <si>
    <t>danielae194@gmail.com</t>
  </si>
  <si>
    <t>IND-1011-2019</t>
  </si>
  <si>
    <t>Circuito Logístico, Puntos Críticos, Proceso, Estándar de Calidad, Estudio de tiempos.</t>
  </si>
  <si>
    <t>Los distribuidores ocupan el mayor porcentaje de clientes de Taquiña, son los encargados de la distribución de cerveza en Cochabamba, para lo cual requieren dirigirse a las instalaciones de Taquiña, ubicada en la Av. final Centenario, para realizar la compra de los productos requeridos, posteriormente este realiza la entrega en los diferentes puntos de venta (PDV) que le fueron asignados.Se realizó la evaluación de la atención a los distribuidores, a través de una encuesta, con el cual se pudo determinar que un 75% de los distribuidores se encuentran insatisfechos con la atención que se les brinda en Planta Taquiña.En el área de logística se realizó una evaluación a los procesos del circuito, donde se registraron tiempos de carga, facturación y descarga de envases inadecuados a los estimados para el proceso respectivo. Se registraron numerosos retrasos en los procesos que generan conflictos, congestionamientos, discusiones con clientes y quejas por parte de numerosas personas. De igual manera este punto merece un foco importante, tanto para cumplir con los estándares como para cumplir con los distribuidores de la mejor manera.Se diseñaron capacitaciones que abarcan todos los temas de atención al cliente en los que necesitan refuerzo los soportes y operadores del área de Logística.Los procesos con mayores reclamos por los clientes fueron: la descarga de envases, facturación y la carga de producto, por lo que el proyecto se enfocó en la optimización de los mismos, proponiendo diferentes sistemas de gestión, aplicaciones, planillas de control y herramientas para la optimización en el servicio al cliente como también en los tiempos de cada proceso, que son muy importantes para cada cliente, llegando a reducir la descarga de envases a 0:10:00 hrs, facturación a 0:08:00 hrs y carga de producto a 0:15:00 hrs. Obteniendo un 58% de optimización total en el tiempo del circuito logístico, con lo que podrían llegar a atender 248 distribuidores más en una semana, 992 en un mes y 11901 distribuidores en un año.Se implementaron varios métodos para mejorar la organización y la gestión de reclamos tanto por producto faltante como por alguna disconformidad que se tenga durante el servicio en el recorrido de los procesos logísticos.Se realizaron capacitaciones, implementaciones de normas y modificaciones en aspectos de Calidad de producto terminado en el área de Logística, con el objetivo de reforzar los puntos de control de calidad y así satisfacer las expectativas del cliente.Se recomendó a la Cervecería Taquiña abarcar un estudio completo de los causantes de producto faltante para reducir la cantidad de reclamos sobre este tema, ya que el proyecto solo abarcó el desarrollo de la gestión y atención de reclamos por este motivo, debido a la complejidad del tema.Por ultimo se recomiendó mantener la aplicación de las propuestas de mejora desarrolladas en el proyecto.</t>
  </si>
  <si>
    <t>https://drive.google.com/file/d/1fd8YDll68q044q6fbSA-puytdZf3EYRr/view?usp=sharing</t>
  </si>
  <si>
    <t>https://drive.google.com/file/d/10RDhZ15CiL_1qgzkD0hbJ9_adkfwl-cG/view?usp=sharing</t>
  </si>
  <si>
    <t>https://drive.google.com/file/d/1Mj8uEvTI41JGOiAg66I9UZ6DnV98CDWq/view?usp=sharing</t>
  </si>
  <si>
    <t>PABLO FABIAN BALDERRAMA ROCABADO</t>
  </si>
  <si>
    <t>ING. SERVANDO VÍCTOR FLORENCIO SERRANO HERBAS</t>
  </si>
  <si>
    <t>MEJORA DE LA PRODUCTIVIDAD PARA EL CAMBIO DE PRODUCTO A DETERGENTE BLANCO DE EXPORTACIÓN AL PARAGUAY EN LA PLANTA DE ELABORACIÓN DE DETERGENTES DE UNILEVER ANDINA BOLIVIA S.A.-COCHABAMBA.</t>
  </si>
  <si>
    <t>pablo_fbal05@hotmail.com</t>
  </si>
  <si>
    <t>IND-1012-2019</t>
  </si>
  <si>
    <t>Planta de elaboración de detergentes, UNILEVER Andina Bolivia S.A., FTE, TPM, WCM, Productividad.</t>
  </si>
  <si>
    <t>La planta de elaboración de detergentes de Unilever Andina Bolivia S.A. ha visto por conveniente realizar una mejora en la productividad del proceso para el cambio de producto para la elaboración de detergente OMO blanco de exportación al Paraguay debido a la elevada cantidad de personal empleado en cada uno de los días de limpieza con motivo de este cambio en la producción. Inicialmente se realizó un diagnóstico de la situación actual de todo el proceso de cambio de producto en el Sector de elaboración de detergentes de Unilever Andina Bolivia S.A., y se recabó toda la información disponible acerca de los puntos de contaminación necesarios a limpiar, la organización de estos días de limpieza y los recursos utilizados para este cometido. Todo ello con el fin de establecer los parámetros iniciales de FTE´s necesarios para estos trabajos. En función a este análisis se podrán identificar posibles propuestas de mejora a este proceso. En base al diagnóstico y propuestas recabadas dentro de los días de limpieza se procederío con el análisis para la mejora de la productividad del proceso haciendo uso de los 12 pasos Historia QC para la planificación, control y sobre todo para la exposición de resultados. La mayoría de los problemas tratados tenían incidencia en temas de productividad, seguridad y calidad. En el siguiente paso se procedió a implementar todas las propuestas de mejoras posibles para ver el impacto que éstas generan a la cantidad de FTE´s que se utilizan dentro del proceso esto posible al uso de estudios de tiempos y movimientos de las duraciones de las limpiezas. Con los datos recabados se procedió a la elaboración de los doce pasos de Historia QC para este proceso con el objetivo de disminuir la cantidad de recursos que se necesitan para cumplir con estas tareas de limpieza además se utilizaron todos los datos recabados en los días de limpieza para iniciar con la estandarización de todo el proceso. Con la elaboración de planillas, registros y con la implementación de los instructivos de trabajo para cada una de las limpiezas se aseguró la estandarización de las tareas a ser cumplidas por los operadores asignados a este proceso. Se calculó el costo total de la inversión en las propuestas planteadas y se compararon estos costos con la cantidad de FTE´s que reducirán cada uno de éstas, observándose una reducción en los costos de la mano de obra utilizada en días de limpieza.</t>
  </si>
  <si>
    <t>https://drive.google.com/file/d/1ScMblfKsgAYBXNgzWV2GJwov4-hknqu8/view?usp=sharing</t>
  </si>
  <si>
    <t>https://drive.google.com/file/d/1nCkGq81HWU5N30uiSPI1AVR61gpCRoq_/view?usp=sharing</t>
  </si>
  <si>
    <t>https://drive.google.com/file/d/1QUoiwhcSb_avFakX2-5vjsvPHCEhOS3V/view?usp=sharing</t>
  </si>
  <si>
    <t>LIZ KATHERINE VEGA MIRANDA</t>
  </si>
  <si>
    <t>ROBERTO FUENTES CLAROS</t>
  </si>
  <si>
    <t>PROYECTO DE FACTIBILIDAD PARA LA INSTALACIÓN DE UNA PLANTA PRODUCTORA DE SUPLEMENTO ALIMENTARIO PARA ANIMALES DE GRANJA A PARTIR DE MORINGA (OLEÍFERA)</t>
  </si>
  <si>
    <t>A7_kathy@hotmail.com</t>
  </si>
  <si>
    <t>IND-1013-2019</t>
  </si>
  <si>
    <t>Moringa, Factibilidad, Suplemento alimentario, Animales de granja.</t>
  </si>
  <si>
    <t>El presente trabajo consiste en realizar un estudio de Factibilidad para la Implementación de una planta productora de suplemento alimentario para animales de granja a base de “descartes” de hojas de Moringa Oleífera es concebido al estudiar el problema que atraviesa el sector ganadero vacuno lechero de producción intensiva, al exponerse a la difícil situación de no disponer de fuentes alimentarias con las suficientes características de nutrimentos para la manutención de los animales y para satisfacer los requerimientos de la dieta del grupo consumidor animal.Se comenzó el proyecto con una intensiva investigación de mercado, estudiando el mercado consumidor, proveedor, distribuidor y competidor. Determinando que existe una demanda insatisfecha para el suplemento a base Moringa Oleífera, determinando el perfil del consumidor, la estrategia comercial entre otros objetivos. Con la investigación de mercado se procedió al pronóstico de la demanda del producto a nivel Cochabamba.El tamaño de la planta fue calculado por medio del método Guerchet, método SPL y Diagrama de Hilos, considerando las maquinarias y espacios para áreas que tendrá la planta Productora. Con la información obtenida en el estudio realizado se determinó también todos los materiales e insumos necesarios para la planta. La localización fue obtenida a través de una evaluación cualitativa de puntos, donde se analizaron 3 micro-localizaciones, escogiendo el puntaje mayor correspondiente a la provincia de Chapare (Municipio Sacaba). La Ingeniería del proyecto se la realizó adecuando la tecnología a nuestro medio, los factores de control para producir La Moringa Oleífera son: La humedad, temperatura, intercambio de aire e iluminación.Se ilustró en un organigrama el personal y las funciones del equipo trabajador de la planta.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R B/C y Recuperación del Capital. Se sometió el flujo a un análisis de sensibilidad para las variables más influyentes. Concluyendo que el proyecto es rentable. 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</si>
  <si>
    <t>https://drive.google.com/file/d/1WXEmeRiSw1JJ8y_BCUauA24RoyIGwP3f/view?usp=sharing</t>
  </si>
  <si>
    <t>https://drive.google.com/file/d/1UWVDJLsqUFGgVSpRl38NZ0Xu_ayPEE3C/view?usp=sharing</t>
  </si>
  <si>
    <t>https://drive.google.com/file/d/1XWnzJEJ91bGdW4zNLBi0xHw5yHokh6KZ/view?usp=sharing</t>
  </si>
  <si>
    <t>RODRIGO FABRIZIO ROJAS PASTOR</t>
  </si>
  <si>
    <t>ING. ALEXANDER MORUNO CRESPO</t>
  </si>
  <si>
    <t>PROYECTO DE FACTIBILIDAD DE UNA PLANTA INDUSTRIALIZADORA DEL AJONJOLÍ Y SUS DERIVADOS</t>
  </si>
  <si>
    <t>gallinaveloz93@gmail.com</t>
  </si>
  <si>
    <t>IND-1014-2019</t>
  </si>
  <si>
    <t>Bebida saludable, ajonjolí, propiedades del ajonjolí, Libre de Gluten, Planta Industrializadora, Cochabamba</t>
  </si>
  <si>
    <t>En los últimos años, en Bolivia se esta produciendo un aumento considerable en la producción del ajonjolí en el oriente Boliviano pero existe una decadencia en el producto con valor agregado, ya que este es un país productor. Mediante se pudo concretar que el problema principal de este es que no existen productos en base a ajonjolí con un valor agregado, para esto se elaboró un proyecto para la implementación de una planta productora del ajonjolí y sys derivados en el departamento de Cochabamba ya que este se encuentra en el centro del mercado nacional. Para esto se llegó a realizar encuestas personal para poder cual es el producto que más seria aceptado por el mercado local antes de abarcar al mercado nacional, para este se precisó especificar algunos objetivos específicos tanto como el objetivo general.Para este proyecto se estableció la localización de la planta, para luego hacer la ingeniería del proyecto para que este pueda tener todas las medidas que se requiere para que un producto pueda entrar en el mercado local. Y luego plantear la organización de la empresa para que esta tenga la solvencia legal para que esta pueda funcionar libremente.Como resultado del estudio realizado se emitieron las siguientes conclusiones.v Análisis económico:o   Que el proyecto es comercial, técnica administrativa, financiera y ambientalmente factible.v Análisis de publicidad:o   Se pudo constatar que la población no conoce los beneficios del ajonjolí y los potentes derivados que este puede llegar a tener.o   La mejor estrategia comercial es usar un spot publicitario como también publicidad mediante redes sociales donde se llegar a tener mayor afluencia.v Análisis técnico:o   Dentro de la ingeniería del proyecto se determinó de forma precisa y clara todas las maquinarias y equipos a ser empleadas en el proceso productivo de la leche de ajonjolí, las características de la Materia prima, materiales e insumos.o   El proceso de elaboración de la leche de ajonjolí planteado da como resultado un producto inocuo y nutritivo que es apto para el consumo humano.</t>
  </si>
  <si>
    <t>https://drive.google.com/file/d/1Wx3C8X_LjGkkrUIQcBJW-xnLk9Tr6_o-/view?usp=sharing</t>
  </si>
  <si>
    <t>https://drive.google.com/file/d/1xLzlIYQCu6_0PhCKPYB91KE7vxoTTvLR/view?usp=sharing</t>
  </si>
  <si>
    <t>https://drive.google.com/file/d/1safLSH6Fupd7WSqmCpDx4hxiDgRFtzsd/view?usp=sharing</t>
  </si>
  <si>
    <t>FUENTES MELGAREJO LEIZI</t>
  </si>
  <si>
    <t>ISNADO BATALLANOS LENNY</t>
  </si>
  <si>
    <t>ING. JOSÉ GIL OMONTE OJALVO</t>
  </si>
  <si>
    <t>PROYECTO DE FACTIBILIDAD PARA LA IMPLEMENTACIÓN DE UNA PLANTA PROCESADORA DE ACEITE EN BASE A SEMILLAS DE AJONJOLÍ PARA LA CIUDAD DE COCHABAMBA</t>
  </si>
  <si>
    <t>Deisy_008fuentes@hotmail.com</t>
  </si>
  <si>
    <t>IND-1015-2019</t>
  </si>
  <si>
    <t>Planta Productora Aceite de ajonjolí, Productividad y Comercialización.</t>
  </si>
  <si>
    <t>El presente proyecto plantea la implementación de una planta procesadora de aceite de ajonjolí, para la ciudad de Cochabamba.Los problemas que presenta son los bajos niveles de nutrientes en los productos actuales, todas las características necesarias se identificaron en el estudio de mercado, a partir del cual se determinó la demanda insatisfecha existente, cuantificando la oferta total y estimando la demanda por método de muestreo aleatorio simple (MAS).Los resultados del estudio de mercado permitieron determinar de cierta forma la cuantificación de la demanda insatisfecha, lo cual permitió la proyección de la oferta y demanda para los próximos cinco años que es el alcance temporal del proyecto, posteriormente se determinó la capacidad de producción de la planta condicionada a la demanda insatisfecha, además de realizarse un balance de masa para determinar la producción , después se cotizo la maquinaria de acuerdo a la capacidad de producción de la planta.También se consideró todos los aspectos legales de constitución de la planta, el requerimiento del personal, la determinación de los sueldos y salarios, etc., también es importante mencionar el análisis económico – financiero el cual permitió determinar los costos de producción, los estados de pérdidas y ganancias. Es importante mencionar el impacto medio ambiental del proyecto lo cual no presenta mayor inconveniente, de modo que no causa un daño considerable al medio ambiente, más al contrario los desechos o desperdicios sirven de abono para la tierra, forraje para animales, entre los principales, razón por la cual según la norma RASIM se encuentra dentro de la categoría tres.Se estimaron las inversiones totales y los respectivos costos operativos. Con toda la información de costos se procedió a la preparación de esta información, para realizar el respectivo análisis económico usando indicadores como la TIR (Tasa Interna de Retorno), VAN (Valor Actual Neto) y la relación Beneficio Costo, que además se realizara una evaluación financiera respectivamente.</t>
  </si>
  <si>
    <t>https://drive.google.com/file/d/19i08WdeOpUcwGczwkOOe3KsalCfdgZkR/view?usp=sharing</t>
  </si>
  <si>
    <t>https://drive.google.com/file/d/1TqDciE_4Jr7Jzj-HLRgnEFlpCSGDP3tD/view?usp=sharing</t>
  </si>
  <si>
    <t>https://drive.google.com/file/d/1al2uJPheL-QMTgFM2dgKxDQGY0U9Gveb/view?usp=sharing</t>
  </si>
  <si>
    <t>LUIZAGA CRESPO ELI</t>
  </si>
  <si>
    <t>PÉREZ ÁLVAREZ RUTHWALLY DANA</t>
  </si>
  <si>
    <t>ESTUDIO DE FACTIBILIDAD PARA LA PRODUCCIÓN DE ACEITES ESENCIALES DE CORTEZAS DE FRUTAS PARA LACTEOSBOL VALLE SACTA</t>
  </si>
  <si>
    <t>alfa.eli04@gmail.com</t>
  </si>
  <si>
    <t>IND-1016-2019</t>
  </si>
  <si>
    <t>Factibilidad, Aceite Esencial, Naranja, Mandarina</t>
  </si>
  <si>
    <t>La finalidad de este trabajo de grado es extraer Aceite Esenciales de cortezas de naranja y mandarina para la implementación de una nueva línea de producción en la planta procesadora de frutas LACTEOSBOL Valle Sacta. El objetivo principal del mismo es demostrar técnica, económica, financiera y ambientalmente la implementación de la nueva línea, establecer el alcance del proyecto, así como determinar los procesos tecnológicos a utilizarse para la extracción de estos productos.El trabajo abordo inicialmente la realización de un análisis de mercado, destinada a identificar demanda potencial, mercado objetivo y sus características, competencia y la definición de una estrategia de comercialización para el producto entre otros componentes.Se realizaron pruebas a los aceites esenciales; fisicoquímicas y de perfil cromatográfico, con las que se establecieron los porcentajes correspondientes de rendimiento, densidad, índice de refracción y rotación óptica, todas estas según las normas de calidad de IBNROCA.Posteriormente se procedió a realizar el análisis técnico, dentro del cual se construyeron todos los aspectos relevantes a la extracción del producto y sus características a nivel industrial, materia prima, proceso de producción, los recursos necesarios para su extracción  como ser maquinaria y mano de obra, aspectos de la línea productiva como ser la distribución de la maquinas e instalación, planes de producción y compras.Se establecieron las estructuras administrativas y legales necesarias para la creación de la empresa, incluyendo elementos de planeación estratégica, permisos, trámites y licencias exigidos por el Estado Plurinacional de Bolivia para la producción y comercialización de este tipo de productos y el impacto social y ambiental que podría generar la futura línea puesta en marcha.Finalmente se estableció la viabilidad de la instalación de una nueva línea de producción en LACTEOSBOL Valle Sacta, la cual fue determinada mediante la construcción de una estructura financiera elaborando presupuestos, estados financieros, precisando posibles fuentes de financiación, ingresos y otras herramientas que evidenciaran si existía o no generación de valor para la empresa con esta implementación de la nueva línea productiva.</t>
  </si>
  <si>
    <t>https://drive.google.com/file/d/1FwTGeXvY0jsZwknspM4jXzivfDnc24tX/view?usp=sharing</t>
  </si>
  <si>
    <t>https://drive.google.com/file/d/1xOP8FzXM6JzXnJ3SJpOAxUg33DeL8UJV/view?usp=sharing</t>
  </si>
  <si>
    <t>https://drive.google.com/file/d/1DpkirDaTxpPWhrtlp2lrs88OFbvRkCOy/view?usp=sharing</t>
  </si>
  <si>
    <t>JAQUELINE APAZA TRIFO</t>
  </si>
  <si>
    <t>ING. ALEX D’ANGHELO CHOQUE FLORES</t>
  </si>
  <si>
    <t>PLAN ESTRATÉGICO DE MARKETING PARA LA LÍNEA DE TANQUES CON FILTRO PARA LA EMPRESA METINSERINOX EN LA CIUDAD DE COCHABAMBA</t>
  </si>
  <si>
    <t>jaqui.7874818@gmail.com</t>
  </si>
  <si>
    <t>IND-1017-2019</t>
  </si>
  <si>
    <t>Plan  Estratégico, línea de tanques con filtro, Empresa METINSERINOX</t>
  </si>
  <si>
    <t>El plan estratégico de marketing fue realizado con el objetivo principal de generar crecimiento y estabilidad económica para la empresa de equipos inoxidables METINSERINOX ubicada en Cochabamba. Tras haber realizado un diagnostico empresarial, se detectó que las fortalezas y debilidades que aquejan y truncan a la empresa, proponiendo por tanto la implementación en el corto o mediano plazo de un plan estratégico de marketing. Dentro del diagnóstico interno realizado se descubrió que la empresa cuenta con fortalezas como la capacitación de sus empleados y la calidad en la construcción de equipos, las principales debilidades fueron la falta de capacidad productiva y la desorganización en la producción lo que genera impuntualidad. El diagnostico externo fue concluyente en que existe más oportunidades que amenazas, como el crecimiento económico del país y el crecimiento de la industria alimenticia nacional.Las macro estrategias planteadas para la empresa fueron “penetración de mercados” y “desarrollo de productos” de las que se desglosaron sub estrategias coherente con dichas macro estrategias, se plantearon dos planes estratégicos, el “plan estratégico de marketing de METINSERINOX y el “plan de ampliación empresarial”, que buscan incrementar la participación de mercado de la empresa.La estrategia de posicionamiento fue: calidad, durabilidad y ´precios accesibles, se definió las estrategias de marketing mix adecuadas a este posicionamiento, con lo que se desarrollan 2 sub planes de acción: el sub plan de “desarrollo de la línea de tanques” y el sub plan  de “posicionamiento de la marca METINSERINOX”.El presupuesto de inversión total del plan 145.740 Bs para el primer año, las proyecciones de estados financieros permitieron pronosticar un TIR = 24% que es mucho mayor a un TIR para una situación sin la implementación del plan, lo que demuestra la conveniencia del plan estratégico de marketing para el crecimiento y desarrollo de la empresa.</t>
  </si>
  <si>
    <t>https://drive.google.com/file/d/1rEDvZu8Yt3O8p-1I5zyK3at3SqhCW8OD/view?usp=sharing</t>
  </si>
  <si>
    <t>https://drive.google.com/file/d/17z4IUKTM0gCcdPLHAjXJm0Ox0AQ57mv9/view?usp=sharing</t>
  </si>
  <si>
    <t>https://drive.google.com/file/d/1gTxTPUIflcN4_HBHDCfy1v4OVmw1zvXE/view?usp=sharing</t>
  </si>
  <si>
    <t>MAGALY PATRICIA CHIRILLA CONTRERAS</t>
  </si>
  <si>
    <t>SISTEMA DE PLANIFICACIÓN Y CONTROL DE LA PRODUCCIÓN DE LA EMPRESA CREACIONES ROBERTH</t>
  </si>
  <si>
    <t>magalychirilla_OK@hotmail.com</t>
  </si>
  <si>
    <t>IND-1018-2019</t>
  </si>
  <si>
    <t>Sistema de Producción, Planificacion, Control, Creaciones Roberth.</t>
  </si>
  <si>
    <t>El presente proyecto surgió ante la necesidad de la empresa “Creaciones Roberth”, de realizar un sistema de planificación y control de la producción, que permitió aumentar la competitividad de la empresa mediante la mejora de los diferentes ámbitos.Primeramente, se realizó un diagnóstico del área de producción de la empresa donde se describió su estado actual, detallando los productos procesados, maquinaria utilizada, el proceso productivo, personal de trabajo, tomando esta información para el punto de partida para el análisis interno y externo, y de esta manera se identifico sus fortalezas, debilidades, oportunidades y amenazas, y con esto se generó estrategias mediante la Matriz FODA, con la cual se mejoró la producción, las compras necesarias y el respectivo control.Por medio de los datos históricos de la demanda de cada producto, se analizó su comportamiento, posteriormente se realizó pronósticos que fueron de gran utilidad para una buena planificación. Donde también se calculó la capacidad de producción.Se diseñó un modelo de inventarios con datos históricos de ventas y materia prima, así también se estimó costos de almacenamiento, costos de ordenar, costo de oportunidad, costo del producto, stock de seguridad, etc. Con la finalidad de utilizarlo para gestionar la materia prima y productos terminados, de tal manera se logró obtener las cantidades óptimas de pedido de la materia prima (Q*=574 m/ped.), poleras para niños manga corta (Q*= 1142 unid/ped.), y poleras para niños manga cero (Q*=1135 unid/ped.)Según el análisis de Variabilidad se determino una demanda estable para la materia prima y los productos terminados y por lo tanto se aplicó el modelo de Cantidad Económica a Ordenar.Se realizó un plan de producción, donde fueron planteados tres planes de producción alternativos: Plan de inventario Cero, Plan de mano de obra constante con faltantes y plan de mano de obra constante sin faltantes, obteniendo el aprovechamiento máximo de la producción y del cual se eligió el plan más adecuado para la empresa con un costo mínimo, donde se pudo evidenciar que el modelo más adecuado fue el Plan de inventario Cero, con un costo total de 63.360 Bs. debido a que se obtuvo el menor costo de producción a comparación de los demás modelos.Se elaboró propuestas de control de producción mediante indicadores de gestión en un periodo específico planificado, que nos permitió monitorear el cumplimiento de la planificación de la producción. Donde también se realizó formatos de control mediante Fichas Tecnicas(Orden de Producción, orden de Costura, registro de ingresos y salidas de materia prima y productos terminados, orden de compra de materia prima e insumos, control de asistencia, cáculo salarial, papeleta de pago, planilla de destajo, etc.), que fueron muy importantes diseñarlas y aplicarlas en la empresa adecuadamente, donde fue un inicio de una mejora en todo lo que es el control, desde la materia prima que ingreso a almacén hasta el producto terminado que salio de almacén para su comercialización al cliente.El análisis financiero de una empresa es muy importante, realizando de esta manera el cáculo de flujo de caja del proyecto, donde se analizó el impacto que causo al implementar el sistema de planificación y control de la producción, generado por un escenario con proyecto y otro sin proyecto.Simulamos el flujo de operaciones sin proyecto y con proyecto donde se evidencio que el proyecto de Sistema de Planificación y Control de la Producción fue válido, ya que genero beneficios económicos para la Empresa.Para realizar la evaluación, se utilizó indicadores económicos como el TIR(tasa interna de retorno) que es la tasa de interés o rentabilidad que ofrece una inversión en porcentaje y el VAN (Valor Actual Neto) que ayudo a conocer la rentabilidad del proyecto, dandonos como resultado un valor positivo, donde la mejor alternativa es el escenario con la aplicación del Sistema de Planificación y Control de la Producción  con un TIR= 40% y un VAN= 79.819 bs. ya que muestran mayor rendimiento.</t>
  </si>
  <si>
    <t>https://drive.google.com/file/d/1h02AsSBkJNA-sD2gYPceNGcizkVsykSX/view?usp=sharing</t>
  </si>
  <si>
    <t>https://drive.google.com/file/d/1hm7rewFysPY4XDKKE6T1xePrQJ_ZZwdD/view?usp=sharing</t>
  </si>
  <si>
    <t>https://drive.google.com/file/d/1yjhPq-tgDRx2ag89QHBnCMJio1SPeDSn/view?usp=sharing</t>
  </si>
  <si>
    <t>ERICKA REGINA CRUZ VINCENTI</t>
  </si>
  <si>
    <t>ALEX SANDOVAL MEJIA</t>
  </si>
  <si>
    <t>PROYECTO DE FACTIBILIDAD PARA LA IMPLEMENTACIÓN DE UNA PLANTA PRODUCTORA DE YOGUR BIOLÓGICO ENRIQUECIDO CON QUINUA, PARA CERCADO-COCHABAMBA.</t>
  </si>
  <si>
    <t>erickacvr96@gmail.com</t>
  </si>
  <si>
    <t>IND-1019-2019</t>
  </si>
  <si>
    <t>Planta Productora de Yogur Biológico con Quinua, Estudio de Factibilidad,Granja Modelo Pairumani (GMP), Cercado-Cochabamba.</t>
  </si>
  <si>
    <t>El proyecto de grado pretendió desarrollar la factibilidad de una planta productora de yogur biológico enriquecido con quinua, producto destinado a los habitantes de la provincia de Cercado- Cochabamba.Dentro de la población objetivo para el proyecto se definió una unidad muestral que permita a los evaluadores de la factibilidad la obtención de datos del consumidor final e información acerca de la demanda y oferta de yogur dentro del mercado meta, pudiendo obtener datos importantes para la definición de la presentación del producto y la estimación de una demanda potencial para el proyecto,Estableciendo además un análisis para la determinación de proveedores de las  materias primas (quinua y leche biológica) más importantes; tomándose en cuenta para la quinua la provincia de Tiraque, debido a que en la evaluación el mismo indico ser un proveedor estable que año tras año ha ido invirtiendo en el cultivo de más toneladas de quinua; por otro lado el proveedor  de leche biológica únicamente vendría a ser la Granja Modelo Pairumani de la Fundación Simón I. Patiño, que al ser una institución sin fines de lucro y con programas de apoyo a pequeños emprendedores, la misma representaría una opción viable aunque represente la dependencia del proyecto hacia dicha materia prima. A demás de definir la localización de la planta productor de yogur biológico enriquecido con quinua en Quillacollo –zona Bolívar dándose prioridad a la cercanía a la leche biológica por sus requerimientos en transporte y conservación de la misma, utilizándose la técnica de evaluación por puntos.Para el desarrollo del proceso productivo del yogur biológico enriquecido con quinua se hace uso de un diagrama de procesos y un diagrama analítico, donde se especificaron cantidades, temperaturas y parámetros de control necesarios.Una vez que se obtuvo la localización y el tamaño del proyecto es que se estimaron las necesidades en mano de obra para el mismo, definiéndose una necesidad de 9 trabajadores, además de desarrollar las responsabilidades de cada cargo asignado por medio de un manual de funciones; también se estableció la documentación necesaria para el establecimiento legal de la empresa, tanto en FUNDEMPRESA como a nivel municipal.Las herramientas graficas de GANTT, PERT Y CPM se utilizaron de la siguiente manera; la herramienta gráfica del CPM definió para el proceso una ruta crítica para la ejecución del proyecto en un tiempo total de 38 semanas, la herramienta gráfica y estadística del PERT comprobó dicha ruta crítica además de la estimación de una probabilidad de ejecución del proyecto de un 96,16%  y por último la herramienta grafica GANTT nos permitió mostrar de una manera más clara y sencilla la ejecución de cada actividad según un orden secuencial y cronológico.Entonces una vez definidas todas las necesidades y requerimientos del proyecto, es que se calcularon los parámetros de rentabilidad del TIR, VAN y Beneficio/ Costo tanto para el proyecto puro como para los socios, determinando rentabilidades positivas para ambos del 17% y 20% en tanto a TIR respectivamente.Finalizando con el desarrollo de una evaluación de impacto ambiental para el proyecto, donde se definieron los factores ambientales sobre los cuales la planta afectaría negativamente una vez que la misma sea establecida, en este caso mediante el desarrollo de una matriz de Leopold es que se sabe que la mayor afectación del proyecto sobre el medio ambiente vendrían a ser los residuos de saponina provenientes del remojo de la quinua, que debido a la escala de producción del proyecto, no se hace necesaria la implementación de una planta de tratamiento de aguas sino que únicamente se re direcciona dicha agua a las instalaciones de la planta y dichas aguas vendrían a utilizarse en la limpieza diaria de la planta, como una reutilización de aguas; por otro lado se toma en cuenta el Reglamento  Ambiental del Sector Industrial Manufacturero (RASIM), mediante el cual se posiciono el proyecto dentro de la Clasificación por Riesgo de Contaminación dentro de una Categoría 4, según el rubro y la cantidad de  producción diaria del proyecto que vendría a ser menor a 20.000 litros día, estableciendo para el proyecto únicamente el llenado y presentación del formulario del Reglamento Ambiental Industrial (RAI).</t>
  </si>
  <si>
    <t>https://drive.google.com/file/d/1yUENCCFFX1rbFEMd4mc7N1cmueP_6bov/view?usp=sharing</t>
  </si>
  <si>
    <t>https://drive.google.com/file/d/1F-iV-BXPkdWPT5lNi9U5QG25pw63ZwIe/view?usp=sharing</t>
  </si>
  <si>
    <t>https://drive.google.com/file/d/1cGlnGm1P1GHy-N1TwK8LwhlbBWHaPGIf/view?usp=sharing</t>
  </si>
  <si>
    <t>NOEMÍ SKARLET SOLIZ HEREDIA</t>
  </si>
  <si>
    <t>ESTUDIO DE FACTIBILIDAD PARA LA IMPLEMENTACIÓN DE UNA PLANTA PROCESADORA DE LECHE VEGETAL A BASE DE ALMENDRAS EN EL DEPARTAMENTO DE COCHABAMBA.</t>
  </si>
  <si>
    <t>noemiskarlet22@gmail.com</t>
  </si>
  <si>
    <t>IND-1020-2019</t>
  </si>
  <si>
    <t>Producción de leche de almendra, Almendras, Leches vegetales, Estudio de factibilidad, Estudio de mercado, Evaluación financiera, Evaluación ambiental, Análisis de sensibilidad.</t>
  </si>
  <si>
    <t>El objetivo de este trabajo de grado fue de realizar un estudio de factibilidad para la implementación de una planta procesadora de leche vegetal a base de almendras en el departamento de Cochabamba. Primeramente se comenzó con un estudio de mercado, donde se determinó la demanda y oferta del proyecto, además las estrategias de comercialización con la cual ingresaría el producto para hacer frente a la competencia existente en el mercado.Posteriormente se definió el tamaño de la planta considerando que la empresa busca abarcar un 12% del mercado inicial de leche de almendras, iniciando en el año uno con una producción de 1100 L/día y a partir del tercer año al 100% de su capacidad instalada con una producción de 2000 L/día. La planta además se localizó en Sacaba Av. Chapare km 6 gracias al método cualitativo por puntos.También se realizó una ingeniería del proyecto, haciendo pruebas de dosificaciones para la obtención de la leche de almendras. Y con la ayuda del balance de masas de todo el proceso se procedió a calcular las capacidades necesarias en cuanto a la tecnología utilizada para el proceso.En el estudio organizacional, administrativo y legal de la empresa se definió un organigrama para la empresa con sus respectivos manual de funciones de cada empleado. También se estimó los sueldos que percibirán durante el estudio del proyecto.   En el aspecto financiero se determinó una inversión total del 291.603,33 $us, con indicadores de rentabilidad positivos de un TIR del 30%, un VAN del 146.377,12 y un B/C de 1.11, lo cual indica que el proyecto es factible, rentable y viable.Haciendo además de un análisis de sensibilidad para la empresa, tomando en cuenta tres puntos críticos: Aumento del precio de la materia prima, disminución del precio de ventas y disminución en el volumen de ventas.Finalmente en el estudio financiero se categorizo al proyecto en la categoría III aplicando medidas de mitigación de los impactos negativos que genera la empresa en la fase de construcción y en la fase de operación.</t>
  </si>
  <si>
    <t>https://drive.google.com/file/d/1SbcJAeW1oqVthdtLMsBLdQoUfY2xrxjd/view?usp=sharing</t>
  </si>
  <si>
    <t>https://drive.google.com/file/d/1Soya3tV8mNcL91WnISjFxWaD7mFLEHmB/view?usp=sharing</t>
  </si>
  <si>
    <t>https://drive.google.com/file/d/1f27QXEeQn7TmW0O3vddlxx5iuAxvPNiI/view?usp=sharing</t>
  </si>
  <si>
    <t>MELIZA CLAROS TORRICO</t>
  </si>
  <si>
    <t>ANA ISABEL MAYTA HUAYNOCA</t>
  </si>
  <si>
    <t>ING. CHOQUE ALEX D'ANCHGELO</t>
  </si>
  <si>
    <t>PROYECTO DE FACTIBILIDAD PARA LA INSTALACIÓN INDUSTRIAL DE UNA PLANTA DE RECICLADO MECÁNICO PARA LA OBTENCIÓN DE FIBRA DE POLIÉSTER A PARTIR DE BOTELLAS PLÁSTICAS DE PET EN COCHABAMBA Y SANTA CRUZ</t>
  </si>
  <si>
    <t>melyclaritos5@gmail.com</t>
  </si>
  <si>
    <t>IND-1021-2019</t>
  </si>
  <si>
    <t>Identificación de Impacto Ambiental (IIA), Reglamento Ambiental del Sector Industrial (RASIM)</t>
  </si>
  <si>
    <t>El estudio del presente proyecto, surgió por la problemática del exceso residuos sólidos urbanos y también velar las posibles alternativas que pudieran aplicarse ante una situación latente en la ciudad de Cochabamba y Santa Cruz de Bolivia.Las botellas de tereftalato de polietileno (PET) pueden ser recuperadas y recicladas, con el fin de obtener nuevos productos, dado que los envases de agua, refresco son de este material. La captación de materia prima se realiza por distintos métodos, establecidos estratégicamente, la volatilidad de los precios y cambiar la percepción de los consumidores frente a productos elaborados con estos materiales, se constituyen en los principales desafíos que encuentra el gremio en toda Bolivia para consolidar este negocio. El proyecto propone la instalación de una planta industrial de reciclado mecánico para la obtención de fibra corta de poliéster a partir de botellas PET post consumo. El proceso de reciclaje, que parte con la adecuada selección de las botellas para ser triturado, lavado, fundido y extruido para la fabricación de fibras de poliéster cortas. Para llevar a cabo las etapas previamente dispuestas, se realizará una selección de equipos y maquinarias de fabricación nacional e internacional, preparados y diseñados para cumplimentar, con las capacidades requeridas para el proceso. Para la puesta en marcha del proyecto se vio una inversión total aproximada de Bs 3.913.744,23 con un período promedio de recuperación de 5 años, 11 meses y 16 días con financiamiento propio y línea de crédito. El VAN del proyecto es de Bs 5.834.532,85 y expresa el beneficio que la empresa obtendrá al implementar el proyecto un TIR es de 30 %.Se observó que el proyecto es factible para la fabricación de fibras cortas de poliéster y es una buena manera de contribuir al mejoramiento del medio ambiente y con un futuro prometedor para el aumento de generación de ingresos.</t>
  </si>
  <si>
    <t>https://drive.google.com/file/d/1DY3r0ys0ayUpdQfiyS2Xq9xbMaRWvyOU/view?usp=sharing</t>
  </si>
  <si>
    <t>https://drive.google.com/file/d/1jUx-I3sy_jovzuiWhYNUT7vFPuKk4Ka5/view?usp=sharing</t>
  </si>
  <si>
    <t>https://drive.google.com/file/d/1srgrhTrzdnK6fnJ925BwxOG2h-U9Aqsh/view?usp=sharing</t>
  </si>
  <si>
    <t>JUAN CARLOS ENCINAS MALDONADO</t>
  </si>
  <si>
    <t>ROSAS NINA DIEGO</t>
  </si>
  <si>
    <t>ESTUDIO DE FACTIBILIDAD PARA LA CREACIÓN DE UNA EMPRESA RECOLECTORA Y PROCESADORA DE ACEITES LUBRICANTES USADOS</t>
  </si>
  <si>
    <t>jhackssonn_27@hotmail.com</t>
  </si>
  <si>
    <t>IND-1022-2019</t>
  </si>
  <si>
    <t>Proyecto de Recolección de Aceites (P.R. A.), Re-refinación de Aceites Lubricantes Usados (R.A.L.U.), Factibilidad de Recolección y Procesamiento de Lubricantes (F.R.P.L.)</t>
  </si>
  <si>
    <t>El presente proyecto de investigación está dirigida al “Estudio de Factibilidad para la Creación de una Empresa Procesadora y Recolectora de Aceites Lubricantes Usados en el departamento de Cochabamba”, en vista a la problemática ambiental de la mala disposición de los aceites lubricantes en el mercado local, nos lleva a la elaboración de este proyecto. Mediante un estudio de mercados se determinó que la demanda está constituida por 210542 recipientes de 4 litros, la cantidad que el proyecto abarcara es 145200 recipientes anualmente. El precio unitario de un envase de 4 litros es de 80 Bs.El acopio del aceite lubricante usado será directamente es decir que la realizaremos nosotros mismos, la cantidad de recolección es de 12072 tambores de 55 litros anual, que abastece la cantidad requerida para nuestra producción.La planta de procesamiento de aceites lubricantes usados estará ubicada en el departamento de Cochabamba, al sur de la ciudad, en la zona alalay sur ya que este lugar cuenta con los requerimientos del proyecto, además de ser una zona casi industrial.La tecnología para la obtención de un aceite base lubricante, está dada por el método acido-arcilla con la NTP 900.053.2009, así mismo se muestra un control en el proceso de tratamiento para prevenir la contaminación ambiental.El trabajo de investigación nos muestra la ingeniería de proceso, ingeniería de diseño de detalles, evaluación económica demostrando la efectividad y rentabilidad del proyecto obteniendo como resultado un VAN de 6.173.709,46 Bs y un TIR de 80% en un horizonte de 6 años, lo cual nos demuestra la aceptación y rentabilidad del proyecto.</t>
  </si>
  <si>
    <t>https://drive.google.com/file/d/1IN7R0DbkwXzbQEVmVuEpQ8Jj8DWL1IN9/view?usp=sharing</t>
  </si>
  <si>
    <t>https://drive.google.com/file/d/1cYAHyr1sLTkijyOiiAMy80X4QCqJw--S/view?usp=sharing</t>
  </si>
  <si>
    <t>https://drive.google.com/file/d/1smGlTjhvL-bY1Smil1_bu1dDXBvx7_nr/view?usp=sharing</t>
  </si>
  <si>
    <t>NAYDA GALARZA GONZALES</t>
  </si>
  <si>
    <t>ESTUDIO DE INGENIERÍA DE MÉTODOS PARA MEJORAR LA PRODUCTIVIDAD EN LA EMPRESA FRUTIJUGO DE COCHABAMBA.</t>
  </si>
  <si>
    <t>nayda.g.ngg@gmail.com</t>
  </si>
  <si>
    <t>IND-1023-2019</t>
  </si>
  <si>
    <t>Empresa Frutijugo, Codex Alimentarius. Elaboración, Jugos, Néctares, Ingeniería de Métodos, Estudio de métodos, Cursogramas, Diagramas, Proceso, Operación, Estudio de tiempos, Tiempo estándar, Valoración, Suplementos, Estructura de costos, Productividad, Índice.</t>
  </si>
  <si>
    <t>Frutijugo ubicada en el departamento de Cochabamba, es una empresa dedicada a la producción de jugos de cítricos, néctar de frutas y los mix de néctares (mezcla de dos néctares de diferente fruta) para el consumo de todo el grupo familiar por los beneficios que tienen al ser elaborados con fruta fresca de temporada.     El problema central detectado dentro la empresa fue el bajo aprovechamiento de sus recursos materiales, humanos y técnicos que se disponen en los procesos de elaboración de sus productos. Es entonces que se realizó el Estudio de Ingeniería de Métodos, mediante el desarrollo de las técnicas que lo caracterizan como son: el Estudio de Métodos y el Estudio de Tiempos aplicados a estos procesos productivos, junto con un análisis detallado de los costos vinculados a los mismos, ya que se desconocían, y no se contaba con registros históricos de costos, además de tener una deficiente planificación de la producción.La metodología ejecutada en base a los objetivos específicos del proyecto fue la siguiente:     Diagnóstico general de la empresa y de los procesos productivos: donde se describió la organización y manejo de las áreas de trabajo, así como las características que presentan los productos y el flujo de la producción por proceso con el método actual.     Registro de las actividades realizadas en los procesos: Se registraron todas las actividades realizadas mediante cursogramas sinópticos, analíticos y diagramas; para luego se proceder con análisis de cada actividad registrada mediante la técnica del interrogatorio, propios del Estudio de métodos; y se determinaron los tiempos estándares para las diferentes actividades y así para las operaciones de cada proceso según las etapas que corresponden al Estudio de tiempos.     Se determinaron los índices de productividad por proceso productivo según las condiciones actuales.     Estructuración según el análisis de costos: Se realizó un análisis de todos los costos vinculados a los procesos productivos para poder estructuralos en planillas electrónicas que permitieron analizar variaciones y conocer el estado actual de la empresa y poder hacer un seguimiento y control continuo luego de las mejoras implementadas.     Propuestas de mejora: Se desarrollaron las propuestas para mejorar los aspectos identificados en la empresa en general y para los procesos productivos, describiendo los beneficios que podrían conseguirse con la implementación de las propuestas.     Informe final, conclusiones y recomendaciones: Se elaboraron las conclusiones y recomendaciones sobre los resultados obtenidos en el trabajo realizado.     El resultado del estudio otorgó a la empresa herramientas para la planificación y control de su producción, así como para el control de los costos relacionados a los procesos productivos y para la medición de los índices de productividad de forma mensual como trimestral, también  propone mejoras a las deficiencias detectadas en los procesos estudiados, otorga bases y fundamentos para realizar el seguimiento y control de la materia prima e insumos, aumentando la capacidad de producción con el método de trabajo propuesto, reduce el costo de producción  y logra mantener un ritmo de trabajo continuo de jornada a jornada según las posibilidades de la empresa para incrementar su productividad.     La aplicación del método propuesto se llevará a cabalidad en todos los puntos analizados para su correcto funcionamiento con el compromiso de la Gerente de la empresa y de los operarios.</t>
  </si>
  <si>
    <t>https://drive.google.com/file/d/1yVOGUB_a6WRKGkbKrLJvpqd8wycdRcWW/view?usp=sharing</t>
  </si>
  <si>
    <t>https://drive.google.com/file/d/1mtt431IhZI7U8tYVMqLTYe_prKmg5tKN/view?usp=sharing</t>
  </si>
  <si>
    <t>https://drive.google.com/file/d/1dWu1mlzCJtZ7pk1Zb_d7dRgPWOUP8Zdx/view?usp=sharing</t>
  </si>
  <si>
    <t>MARIBEL LINARES TENORIO</t>
  </si>
  <si>
    <t>CARLOS MAURICIO LOPEZ GONZALES</t>
  </si>
  <si>
    <t>ESTUDIO DE *FACTIBILIDAD PARA LA IMPLEMENTACIÓN DE UNA PLANTA PRODUCTORA DE ABONO ORGÁNICO A BASE DE RESIDUOS SÓLIDOS ORGÁNICOS EN EL MUNICIPIO DE SANTIVAÑEZ</t>
  </si>
  <si>
    <t>mlt_mari_bel@hotmail.com</t>
  </si>
  <si>
    <t>IND-1024-2019</t>
  </si>
  <si>
    <t>Estudio de factibilidad, Abono orgánico, Residuos orgánicos – Tratamiento y reciclaje, Compost, Humus de lombriz, Viabilidad financiera.</t>
  </si>
  <si>
    <t>El problema del cual surge la realización del estudio fue el deficiente manejo de residuos orgánicos en las comunidades de Santivañez, para el cual se propone utilizar esos desechos para la elaboración de un abono totalmente orgánico. El humus de lombriz ofrece un abono de alta riqueza orgánica, de nutrientes, carente de fitotoxicidades y con efectos positivos a los suelos donde se le aplique.El producto fue elaborado a partir de residuos de origen vegetal sin importar su nivel de descomposición, tomando en cuenta materias orgánicas adicionales como estiércol de animales no carnívoros y rastrojos secos, además de procesos de compostaje y lombricultura, requeridos para incrementar su calidad como Humus de lombriz.El 26% de la superficie agropecuaria en el municipio de Santivañez es destinada a la actividad agrícola, por lo que se lo consideró como población objetivo para el proyecto. El precio al que se ofrecerá el producto está comprendido entre 55 a 140 bolivianos, esto de acuerdo a las diferentes presentaciones de los empaques de 10 y 25 kilogramos respectivamente.Posteriormente se definió el tamaño de la planta considerando que la cantidad disponible de material orgánicos fresco en el municipio es de 0,4 toneladas diarias alcanzando una producción de 144 toneladas al año cuando utilice toda su capacidad en sus distintos procesos de elaboración. Con el tamaño definido se dimensionó los ambientes para la planta, se calculó de igual manera los equipos, materiales e insumos necesarios para tales volúmenes de producción.Se definió la localización de la planta haciendo un análisis cualitativo de puntos, en el cual ganóla comunidad de Caya Cayani Convento del municipio de Santivañez. El estudio organizacional fue realizado para la planta definiendo un diagrama organizacional, las funciones de cada puesto de trabajo y las planillas de salarios.El estudio de viabilidad técnica se explicó a detalle, consistiendo la producción de humus de lombriz en dos etapas: la descomposición mediante un sistema de aireación forzada y la producción en lechos de lombricultura controlados. La primera etapa explicó como producir compost, que será el alimento que se brindará a las lombrices. En la segunda etapa se explicó cómo preparar el sustrato, la siembra, cosecha y empaquetado del producto. Se determinó que los factores más importantes para la producción de humus de lombriz: el pH, la iluminación, la temperatura, la humedad y el intercambio de aire.Posteriormente la evaluación financiera reporto un VAN de 2.067.642 Bs, un TIR de 55,12% y una relación B/C de 2,04. Se definió una inversión total de 127.520 $us. Para todo el proyecto definiendo un 25,5% de aporte propio y un 74,5% de financiamiento. La recuperación del capital fue determinada en un periodo de 2,55 años.Mediante el análisis de sensibilidad se pudo verificar que el proyecto tiene susceptibilidad en la cantidad de residuos que se procese anualmente si es que en restos orgánicos frescos y rastrojos secos se disponen menos de 90 toneladas y 60 toneladas respectivamente.Finalmente se concluyó con una Evaluación de Impacto Ambiental de acuerdo a ley 1333, dondese estudió al proyecto en base a sus actividades. Se concluyó que no existen factoresde riesgo negativo considerables, por lo que proyecto es ambientalmente factible.</t>
  </si>
  <si>
    <t>https://drive.google.com/file/d/19X-rj-eZmUBDtOarSB4Z77vSXXXVLDsc/view?usp=sharing</t>
  </si>
  <si>
    <t>https://drive.google.com/file/d/129kX6TmiGukBfVhlHKxZS3pR0VxHPoeD/view?usp=sharing</t>
  </si>
  <si>
    <t>https://drive.google.com/file/d/1lvYKBXW8ugtTswMatk67HJb2ntiRdM2E/view?usp=sharing</t>
  </si>
  <si>
    <t>SCARLET FLORES FLORES</t>
  </si>
  <si>
    <t>PROYECTO DE FACTIBILIDAD PARA LA IMPLEMENTACIÓN DE UNA PLANTA PARA LA ELABORACIÒN DE QUESOS EN LA PROVINCIA DE PUNATA-COCHABAMBA</t>
  </si>
  <si>
    <t>rosa.floresflores@hotmail.com</t>
  </si>
  <si>
    <t>IND-1025-2019</t>
  </si>
  <si>
    <t>Planta para la elaboración de quesos, Comercialización.</t>
  </si>
  <si>
    <t>La producción de leche en la provincia de Punata no es aprovechada en su totalidad, debido a la falta de industrialización de este producto. Por lo cual el presente proyecto está enfocado en desarrollar un proyecto de factibilidad para la implementación de una planta para la elaboración de quesos en la provincia de Punata del departamento de Cochabamba, para el cual se realizó una trabajo de campo, con el cual se conoció la demanda insatisfecha existente, mismo que nos ofrece más oportunidades en el mercado, así mismo se determinó la línea de comercialización más adecuada para el proyecto,  teniendo en cuenta que inicialmente la planta se dedicará a la producción de un solo tipo de queso madurado, el cual es el queso de tipo TILSIT, la capacidad instalada de la planta permitirá la producción diaria de 150 Kg de queso, ya que la maquinaria de la planta será semi industrial, pero se consideró abarcar el 13% de la demanda insatisfecha anual, teniendo una producción de 26000 kg/año y el precio de venta de 72 Bs/kgSe planteó una estructura organizacional el cual está encabezado por los socios seguido del jefe de planta, los operarios y como apoyo una secretaria, también se revisó los trámites para la formación de la empresa, con el fin de realizar la apertura de la empresa de forma legal y habilitarse para la actividad comercial, por otra parte se desarrolló las actividades a realizar previos a la puesta en marcha del proyecto.Con toda la información mencionada se definió el presupuesto de inversiones, fuentes de financiamiento, costos y el presupuesto de ingresos del proyecto, donde se calcularon los parámetros de rentabilidad (TIR, VAN y relación B/C) dando a conocer que el periodo de recuperación será el año 3 y 9 meses, teniendo como resultado que el proyecto es factible tanto financiero como socialmente. Una vez realizada el análisis financiero y social, también se hizo un análisis de sensibilidad para tomar decisiones de acuerdo a los cambios que se pueden efectuar durante la producción como ser: disminución o incremento de costos, baja de precios y un escenario combinado de incremento de costos y baja de precios.Posteriormente se realizó el estudio de impacto ambiental que concluyo que el proyecto se encuentra en la categoría III, para lo cual se deben realizar medidas de prevención y mitigación con el fin de reducir el impacto ambientales, ya que al procesar la leche se tiene como subproductos la cuajada y el suero, subproductos que al ser desechados en el alcantarillado municipal sin previo tratamiento, se puede producir daños nocivos haciendo que los suelos se vuelvan infértiles y alterar los cuerpos del agua.Se recomienda generar acuerdos a largo plazo con proveedores (en especial con los proveedores de leche) y con los intermediarios dado que los quesos madurados son poco conocidos, para ello también se debe realizar una fuerte promoción, utilizando los medios de comunicación, realizar pruebas de degustación en los puntos de venta y así el producto pueda ingresar al mercado con mayor facilidad, por otra parte se debe realizar un estudio para el aprovechamiento de los residuos (reutilización o venta del suero), para generar mayores ingresos al proyecto.</t>
  </si>
  <si>
    <t>https://drive.google.com/file/d/1hnNVnYMaY-M7hm8vbgd-KRpHwcQ8elDT/view?usp=sharing</t>
  </si>
  <si>
    <t>https://drive.google.com/file/d/1WJbhksSqtho-FD78QpOBQOuWaIpwciDX/view?usp=sharing</t>
  </si>
  <si>
    <t>https://drive.google.com/file/d/175a43dLq-vl4R2RZDkOenSS2OQzj9UZx/view?usp=sharing</t>
  </si>
  <si>
    <t>LIDIA FERNANDA PARI RAMOS</t>
  </si>
  <si>
    <t>ITAMAR DANIELA VILLAFUERTE LEDEZMA</t>
  </si>
  <si>
    <t>ING. EMILIO NELSON GÓMEZ</t>
  </si>
  <si>
    <t>PROYECTO DE FACTIBILIDAD PARA LA IMPLEMENTACIÓN DE UNA PLANTA PROCESADORA DE MERMELADA A PARTIR DE PENCA DE TUNA (OPUNTIA FICUS – INDICA) EN EL MUNICIPIO DE SANTIVAÑEZ</t>
  </si>
  <si>
    <t>lidia_pari@hotmail.com</t>
  </si>
  <si>
    <t>IND-1026-2019</t>
  </si>
  <si>
    <t>Planta Procesadora de Mermelada de penca (P.P.M.P.), Proceso de Productivo de Mermelada de tuna (P.P.M.T.), Metodología de Elaboración de Mermelada de Penca (M.E.M.P.)</t>
  </si>
  <si>
    <t>A partir de los datos obtenidos del municipio de Santivañez para despertar la explotación del sector productivo de las pencas de tuna se aplicó para la elaboración de un producto de consumo masivo como ser la mermelada, el mismo permitió la generación de fuentes de trabajo para los comunitarios del municipio y para esto se realizó un análisis de la demanda en el municipio de Cercado, se adecuo el tipo de mercado según el cliente como mercado consumidor referente a personas que compran productos de uso diario o personal, al igual de ser un mercado de competencia perfecta ya que los consumidores y vendedores son numerosos.Para la adquisición de la materia prima se determinó que el abastecedor más próximo será la comunidad de Chojtoma ya que cuenta con terrazas extensas de producción de la misma para su comercialización de su fruto (tuna), llegando a un acuerdo con el proveedor de los requisitos para el ingreso de la materia prima a la planta y el precio.La localización de la planta se determinó mediante el método de puntos ponderados tomando una decisión en función a resultado final de la ponderación, se concluyó que la comunidad de Convento es el lugar óptimo para la instalación de la planta procesadora por su excelente comunicación vial y el acceso a los servicios básicos.Se analizó el proceso productivo de la mermelada de penca utilizando el diagrama de bloques y el cursograma sinóptico para el detalle de las operaciones y la obtención del producto final a escala semindustrial y posteriormente ser comercializado. Al ser un producto semindustrial se hizo uso de maquinarias en solo algunas de las operaciones como el licuado, cocción y esterilización de frascos de vidrio estableciendo que las demás operaciones serán de forma manual, para esto se requirió la necesidad de contratar un total de 11 trabajadores tanto mano de obra directa e indirecta y el tipo de sociedad seleccionada para el proyecto fue la sociedad de responsabilidad limitada (S.R.L) debido que en este tipo de sociedad no existe un mínimo de capital requerido y las responsabilidades de los socios se limitan a su aporte societario.El análisis financiero del proyecto indicó la inversión que se requirió y los costos totales para la producción de la mermelada, al igual que se hizo un análisis de precios en función a los costos fijos y variables estableciendo que el primer año solo tendrá un margen de ganancia de 2% por la introducción al mercado de este producto masivo con alta competencia y un ascenso en el margen de ganancia por el incremento de producción en los demás años y la última gestion con un margen de ganancia del 70% siendo así que en el primer año se obtuvo un valor negativo en cuanto a ganancias recuperando está perdida el segundo año. Los valores de rentabilidad definieron que el proyecto es altamente rentable hasta el incremento un 200% del costo de la materia prima y el descenso del 25% del precio de venta, es ahí en donde el proyecto dejo de ser rentable.En la evaluación de impacto ambiental el nivel de evaluación del proyecto se clasifico como una categoría III el cual no requirió un estudio de impacto ambiental pero por su revisión conceptual se  permitió determinar los impactos positivos y negativos del proyecto en cuanto a las interacciones entre la sociedad, la naturaleza o cualquier acción humana, el cual se aplicó ciertas medidas de mitigación para la prevención y control del ruido que generó las máquinas en el proceso de licuado, dotando al personal equipos de protección auditiva, la entrega de los residuos a empresas que se dedican al compostaje y la reutilización del agua que se generó en el proceso de lavado de las pencas para el riego agrícola.</t>
  </si>
  <si>
    <t>https://drive.google.com/file/d/1ZScruRQblFUaFtRhd2XGhfTCx3KjxYLp/view?usp=sharing</t>
  </si>
  <si>
    <t>https://drive.google.com/file/d/1S5EJXSe4ygVx2JWOQAdJLfVmHqY9hrQY/view?usp=sharing</t>
  </si>
  <si>
    <t>https://drive.google.com/file/d/1qUlnmHQScBKMSrLz6yeVNpihSSpWhqAa/view?usp=sharing</t>
  </si>
  <si>
    <t>DIEGO OMAR LAURA BRAÑEZ</t>
  </si>
  <si>
    <t>ESTUDIO DE FACTIBILIDAD PARA LA PRODUCCIÓN DE CAFÉ DE HIGO PARA EL DEPARTAMENTO DE COCHABAMBA</t>
  </si>
  <si>
    <t>dieg14931@gmail.com</t>
  </si>
  <si>
    <t>IND-1027-2019</t>
  </si>
  <si>
    <t>Café sin cafeína, deshidratación, proyecto de factibilidad, oferta, demanda, pérdida de peso liquido-solido a sólido.</t>
  </si>
  <si>
    <t>Primero se consultó toda la información bibliográfica al respecto, para poder elaborar una encuesta que pueda permitir extraer toda la información requerida para este estudio, la información perseguida se basó en recolectar el porcentaje de consumidores de café y los posibles consumidores del producto estudiado con las características esenciales que hacen del café un producto comercializado a nivel mundial, además de los precios de mercado, la disponibilidad de pago, información de abastecimiento de materia prima, grado de satisfacción después de la degustación. Posteriormente se realizó el levantamiento de información extrayendo todos los aspectos mencionados anteriormente, realizando el estudio en el eje metropolitano en el que se encuentran Cercado, Quillacollo, Sacaba, Vinto, Sipe Sipe, Colcapirhua y Tiquipaya con personas mayores a los 17 años según la encuesta diseñada De las encuestas se pudieron extraer los siguientes resultados: que el 79,71% de las personas en el eje metropolita consumen café de todo el café consumido proviene de los principales comercializadores de café como Nescafe y Copacabana, encontrando la aceptación de las presentaciones del producto en 25 gramos, 50 gramos y 100 gramos a precios por debajo de la competencia obtenidos como demanda anual de 1.321.185 kilogramos de café en el que el abastecimiento de materia prima limita la producción de café de higo, serán abastecidas por el municipio de Sahagui quienes son los principales proveedores de la materia prima requerida.Se definió el tamaño de la planta considerando que la empresa busca abarcar el 10% del mercado por el abastecimiento de materia prima produciendo el primer año 134 Toneladas. Con el tamaño y crecimiento definido se dimensiono los ambientes para la planta, de igual manera se calculó los equipos, materiales e insumos necesarios para los volúmenes requeridos.Se definió la localización de la planta haciendo un análisis por puntajes ponderados en el que salió como mejor opción el cantón de San Joaquín de Itocta con un tamaño de 500mt2. El estudio organización fue realizado para la planta definiendo la estructura organizacional, las funciones de cada trabajador y las planillas de sueldos.Posteriormente se preparó la información para poder realizar la evaluación financiera determinando un VAN de Bs 3.801.843,25, un TIR 51,03% y un periodo de recuperación de 2,91 años, se definió como inversión total de Bs 1.106.928 en un 70% de financiamiento y 30% de aporte propio.En la evaluación económica y social se definió los indicadores que ascienden a VANE Bs 38.310.809,28, TIRE a 424% y un VANN a 18.631.351,31 y como externalidad positiva se encontró que ayuda a tratar la diabetes.Finalmente se concluyó con la evaluación ambiental en el que se estudió al proyecto en sus etapas de ejecución y operación. Se concluyó que no existen factores de riesgo negativo que requiera medidas de mitigación para dichos factores.</t>
  </si>
  <si>
    <t>https://drive.google.com/file/d/1V9F_pXCXoulTy35zbQedBVIGlu3o9U70/view?usp=sharing</t>
  </si>
  <si>
    <t>https://drive.google.com/file/d/1p1kfwh_tRdhB_5FYI-pln2ooHzMSrEeQ/view?usp=sharing</t>
  </si>
  <si>
    <t>https://drive.google.com/file/d/1DaMVf9vvxhZApM8JsvnpvwimBuWvl0L6/view?usp=sharing</t>
  </si>
  <si>
    <t>BRAYAN ALEJANDRO ESTEVEZ MENDOZA</t>
  </si>
  <si>
    <t>ING. RONALD GONZALO MUÑOZ VILLARROEL</t>
  </si>
  <si>
    <t>ESTUDIO DE FACTIBILIDAD PARA LA IMPLEMENTACION DE UNA PLANTA DE PELLETS A PARTIR DEL RECICLAJE DE PLASTICOS EN LA CIUDAD DE COCHABAMBA</t>
  </si>
  <si>
    <t>estevez1686@hotmail.com</t>
  </si>
  <si>
    <t>IND-1028-2019</t>
  </si>
  <si>
    <t>Planta para la elaboración de pellets, Comercialización.</t>
  </si>
  <si>
    <t>El presente proyecto de factibilidad contempla la creación de una empresa de producción de pellets reciclados a partir de bolsas desechadas de PEBD y Termocontraible, es importante destacar que el plástico está presente en sus más diversas formas en todos los momentos de la vida cotidiana, dentro la sociedad en la que vivimos. El Plástico es indispensable en el estilo de vida moderno y cambio radicalmente a la sociedad en que se vive, las bolsas plásticas que se utilizan a diario parecen inofensivas, sin embargo, se han convertido en un problema mundial debido al enorme impacto ambiental en su estado de desecho y su posterior descomposición, es por tal motivo que el presente proyecto contempla un aspecto importante que es el reciclado de bolsas plásticas para obtener el pellet reciclado y su posterior reutilización y así se minimice de alguna forma la contaminación ambiental.Los denominados pellets reciclados del presente proyecto están dirigidos hacia el siguiente mercado contemplado por las industrias manufactureras del departamento de Cochabamba registradas que ascienden a un total de 28, dicha cantidad refleja un mercado potencial y atractivo.El sistema de abastecimiento de materia prima para la producción de pellets reciclados consta de dos fuentes las cuales son: 5 centros de abastecimiento con 2 operarios cada uno, cada centro abastecerá a la planta con 112 Kg/día a 1,20 Bs/Kg; y la otra fuente está constituida por 90 pequeñas y medianas  empresas recicladoras que abastecerán a la planta con 560 Kg/día a 1,7 Bs/Kg, por tanto el total de materia prima requerida es 1120 Kg/día para producir 870 Kg/día de pellets reciclados. El requerimiento total de materia prima el primer año es de 309.120 Kg, a 64.400 $, el requerimiento de empaques el primer año es 9.660 bolsas a 2.028,6 Bs (0,21 $/bolsa) para los siguientes años el requerimiento y el costo  incrementara en un 7%.Se determinó que el total de días trabajados es 276 días en un año calendario para el proyecto, la capacidad normal viable es 35 bolsas de 25 Kg. en un turno. El programa de producción  contempla 10 años de vida útil del proyecto, el primer año comienza con la producción de 870 Kg/día de pellets reciclados utilizando solamente el 54,4% de capacidad de la línea productiva, lo cual para los siguientes años incrementara en 7% llegando el último año a su capacidad máxima. De acuerdo al estudio de factibilidad se llegó que la implementación de la Planta de reciclaje de Polietileno de baja densidad y Termocontraible es rentable, con una TIR de 29%, VAN 202.332,95 (USD), y una relación B/C igual a 1.2 con financiamiento.Posteriormente se realizó el estudio de impacto ambiental que concluyo que el proyecto se encuentra en la categoría IV, para lo cual no hay impactos ambientales de gran consideración, ya que se trabaja recolectando bolsas de plástico (basura).Se recomienda hacer énfasis en en realizar un estudio Realizar un estudio de Métodos en la línea productiva de reciclaje primordialmente en la etapa de selección de materia prima, para de esta manera estandarizar tiempos de trabajo y optimizar la producción.</t>
  </si>
  <si>
    <t>https://drive.google.com/file/d/1MITBoJJO0CtS1xl_rPqm3DBFkSrNbqld/view?usp=sharing</t>
  </si>
  <si>
    <t>https://drive.google.com/file/d/1QIZXn39uQqt0fYxmccqbYhl-DUBgNv2Z/view?usp=sharing</t>
  </si>
  <si>
    <t>https://drive.google.com/file/d/1PwuB76IWy-YTlDd9QeMLu0Zxv3f_4_Oe/view?usp=sharing</t>
  </si>
  <si>
    <t>RODRIGO JURGEN PINEDO NAVA</t>
  </si>
  <si>
    <t>PHD. BORIS CHRISTIAN HERBAS TORRICO</t>
  </si>
  <si>
    <t>DISEÑO E IMPLEMENTACIÓN DE UN SISTEMA DE GESTIÓN DE CALIDAD ISO 9001:2015 PARA EL ÁREA DE PRODUCCIÓN DE EPS PARA LA EMPRESA TECNOPOR S.A. – REGIONAL COCHABAMBA</t>
  </si>
  <si>
    <t>rodrigo.j.pinedo@gmail.com</t>
  </si>
  <si>
    <t>IND-1029-2019</t>
  </si>
  <si>
    <t>TECNOPOR S.A., Industria de materiales para construcción, Poliestireno expandido, Sistema de gestión de calidad, ISO 9001:2015. Deming.</t>
  </si>
  <si>
    <t>Un sistema de gestión de calidad es una herramienta recomendada, por los beneficios que consiguen las empresas al utilizarlo. Esta herramienta permite organizar y orientar eficazmente los procesos, personal y otros recursos de la empresa, alineándolos con la estrategia general. En este caso el objetivo principal del sistema es que la empresa logre los estándares de calidad que se fijaron o planificaron, de esta manera asegurando el cumplimiento de sus metas propuestas.La nueva versión (2015) de la norma ISO 9001, impulsa fuertemente algunos cambios, orientados a considerar con mayor detalle, los siguientes puntos: la estrategia de la empresa, el contexto de la organización, gestión por procesos, liderazgo, gestión de riesgos y oportunidades y la gestión de cambios. De esta manera el sistema toma un mejor norte permitiendo alinearse de manera mucho más simple y sistémica con la estrategia de la empresa no descuidando los elementos importantes que dan la razón de ser a los sistemas de gestión.Previo a comenzar con el diseño del sistema de gestión de calidad, se estudió a nivel macro a la empresa. Siendo así que se llegó a comprender su situación actual de ese entonces conforme a su postura en el mercado, objetivos estratégicos, las partes interesadas con las que trabaja, recursos con los que contaba, sus productos/servicios y la sistematización de sus procesos. Del estudio realizado se identificaron oportunidades de mejora, intenciones de cambios, falencias y debilidades, que fueron trabajadas en el diseño del sistema de gestión de calidad.Cada una de las herramientas y metodologías diseñadas pasaron por un proceso que cumple con el ciclo PHVA (planificar, hacer, verificar y actuar). De esta manera se realizaron experimentos, que ayudaron a verificar su factibilidad, funcionalidad y eficacia de toda la información documentada. Para este hecho se trabajó de la mano con el personal y los experimentos no fueron simulaciones, más por el contrario se pusieron a prueba en los puestos de trabajo, mientras se cumplían los procesos.El sistema de gestión de calidad se alinea con la estrategia de la empresa a través de la política y objetivos de calidad que se determinaron. El organigrama, mapa de procesos, mapa de partes interesadas, se utilizaron para estructurar a la organización. La estructura documental permite el desglose adecuado de los objetivos de calidad hacia los procedimientos e instructivos. Los indicadores para cada objetivo son determinados para controlar el cumplimiento de las metas planificadas y para poder tomar acciones en caso de desviaciones en los procesos.Previo a la implementación del sistema de gestión de calidad diseñado, se evaluó el proyecto, con la ayuda del análisis de costo/beneficio. Se demostró a la empresa que, con controlar adecuadamente el proceso de producción, significaría un aumento sustancial de su productividad. Implementar y mantener este tipo de herramienta trae consigo otros beneficios, como ser el aumento de: ventas, imagen corporativa, cultura de calidad, satisfacción de los clientes, entre otros. Estos beneficios son logrados a largo plazo y por el buen resultado del análisis de costo/beneficio, no fue necesario cuantificarlos.La estrategia de implementación fue concientizar a los lideres de cada proceso y a través de ellos impulsar al personal a adaptarse a los cambios. Por haber invertido los esfuerzos necesarios para someter a prueba las herramientas y metodologías diseñadas, no se encontraron observaciones o falencias mayores al momento de implementar.La auditoria interna es el último paso para verificar que el sistema de gestión de calidad cumple con los requisitos de la norma NB/ISO 9001:2015, siendo necesaria la espera de tres meses en el cual se cumplió un ciclo completo del sistema. Se aplicó el procedimiento de auditoria interna y como resultado se encontraron oportunidades de mejora, no conformidades menores y mayores que fueron subsanadas, de acuerdo a lo que dicta el procedimiento de acciones correctivas. Este primer ciclo fue muy corto y se espera que para su próxima revisión la empresa mayor información del resultado del ciclo de mejora continua.</t>
  </si>
  <si>
    <t>https://drive.google.com/file/d/1x4gFucQ4SjEgwr0sygNIR8o_XFWZhYxT/view?usp=sharing</t>
  </si>
  <si>
    <t>https://drive.google.com/file/d/1jCsVfvClQNrXC_ORUwIbm2asJkm1DVCe/view?usp=sharing</t>
  </si>
  <si>
    <t>https://drive.google.com/file/d/1YrFIklI1zHQ2PoHuysiVQuA_KCV2q79N/view?usp=sharing</t>
  </si>
  <si>
    <t>LIMBERTH MAMANI FERNÁNDEZ</t>
  </si>
  <si>
    <t>PROYECTO DE FACTIBILIDAD TÉCNICO Y FINANCIERO PARA LA CRIANZA, FAENEO Y COMERCIALIZACIÓN DE PAVOS DE ENGORDE EN LA CIUDAD DE COCHABAMBA (CARCAJE)</t>
  </si>
  <si>
    <t>limberth_m_f@hotmail.com</t>
  </si>
  <si>
    <t>IND-1030-2019</t>
  </si>
  <si>
    <t>Producción, faeneo y comercialización.</t>
  </si>
  <si>
    <t>El presente proyecto de factibilidad contempla la creación de una empresa criadora, faeneo y además comercialización de carne de pavo al mercado de Cochabamba, específicamente a los ejes troncales (Cercado, Quillacollo y Sacaba). El negocio de la comercialización de los derivados del pavo en Bolivia es algo que no se llega a realizar en cantidades y son pocas las que lo hacen, por tal motivo existe poca oferta del producto en el mercado, siendo así la demanda elevada e insatisfecha.Por el estudio de mercado realizado, existe una demanda para el desarrollo del proyecto de aproximadamente 86 048 Kilogramos para la gestión 2018, además se estimó que el proyecto podría producir más de 56 000 kilogramos de carne por año al 100% de su capacidad para el mercado interno y ver la opción de exportar la carne restante.Durante la generación de información se definió como población a todo tipo de personas para el consumo de la carne de pavo, desde los niños, adolescentes y personas mayores, ya que es una carne blanda. Se pudo evidenciar los precios que ofertan las tres empresas conocidas: Sofía, Santa Rosa y Santa Claus que oscilan entre los 45 y 55 Bs el kilo.Respecto al canal de comercialización que se utilizará, el mismo implica utilizar el “canal de distribución indirecto de nivel UNO”  ya que serán vendidos a los supermercados como canales principales. También se pueden participar en las ferias locales para la promoción de los productos.Con respecto a la tecnología utilizada, cabe mencionar que no se necesita mucho tiempo del operario manipular las máquinas ya que son automáticas. El aprovisionamiento de materia prima es algo que no habrá mucho problema ya que se contará con proveedores y si es que hubiese algún problema, se cuenta con el alfalfa y maíz sembrado en la granja.En cuanto al suministro de agua para los diferentes procesos, se utilizará agua potable del servicio municipal de Carcaje Central, además de contar con un pozo. Por otro lado el monto de inversión para todo el proyecto es de 2 036 916,01 Bs, mismo que será con aporte propio del 55% (1 120 303,81) y un financiamiento bancario del 45% (916 612, 21).Con respecto al medio ambiente por los antecedentes establecidos, la categoría según la misma mencionada, corresponde a la categoría III y IV, debido a que las acciones que se llevarán a cabo no son de impacto ambiental elevado y pueden ser disminuidos si se realizan medidas correctivas para cada fase.Finalmente se debe considerar a mediano plazo un contrato con un restaurante donde se ofrezcan productos con carne de pavo, lo cual representa una alternativa para el segmento de personas que busca comida diferente y saludable. Además que se debe hacer una fuerte promoción, utilizando medios de comunicación y hacer degustaciones gratis en los supermercados para promocionar y dar a conocer el producto (carne de pavo).</t>
  </si>
  <si>
    <t>https://drive.google.com/file/d/1LDlch9LqaNFyqOWUpj9mzw8d32iJgPZV/view?usp=sharing</t>
  </si>
  <si>
    <t>https://drive.google.com/file/d/1u1HGqDtDTgDvhGDfOTXV4SLMa-IJSxz9/view?usp=sharing</t>
  </si>
  <si>
    <t>https://drive.google.com/file/d/1Qn57FTzr7DZ1EmtlLSb__xayJo4Ma9qU/view?usp=sharing</t>
  </si>
  <si>
    <t>DARIO COLQUE REA</t>
  </si>
  <si>
    <t>ING. PAOLA SCHEREZADA VALDEZ</t>
  </si>
  <si>
    <t>DISEÑO DE UN SISTEMA DE GESTIÓN DE SEGURIDAD Y SALUD OCUPACIONAL EN BASE A LA NORMA OHSAS 18001:2007 PARA COBOCE HORMIGÓN EN LA CIUDAD DE COCHABAMBA</t>
  </si>
  <si>
    <t>dari-cr@hotmail.com</t>
  </si>
  <si>
    <t>IND-1031-2019</t>
  </si>
  <si>
    <t>Sistema de Gestión de Seguridad y Salud Ocupacional OHSAS 18001:2007, seguridad y salud ocupacional, seguridad industrial, Norma OHSAS 18001:2007, procedimientos, instructivos, registros.</t>
  </si>
  <si>
    <t>El diseño de la estructura del Sistema de Gestión de SySO se realizó en la empresa COBOCE HORMIGÓN ubicado en la ciudad de Cochabamba, en la Av. Capitán Víctor Ustariz esq. Avenida  Cuarta. Específicamente en los departamentos de Producción, Mantenimiento, Control de Calidad, Logística y áreas Administrativas.El presente proyecto se basó bajo el objetivo general de Diseñar la estructura de un Sistema de Gestión de Seguridad y Salud Ocupacional basado en la norma OHSAS 18001:2007 para la empresa COBOCE HORMIGÓN. Para lograr cumplir con el objetivo general se plantearon  los siguientes objetivos específicos de: 1) Realizar un diagnóstico de las condiciones actuales de operación de la empresa en cuanto a Seguridad y Salud Ocupacional, evaluándola con la ley 16998 y la norma OHSAS 18001. 2) Realizar la identificación de peligros, clasificación y evaluación de riesgos en la empresa. 3)Para Cumplir con los objetivos propuestos el proyecto se realizó en 4 fases, con los cuales se logró cumplir con todos los objetivos planteados.En la Fase 1, se describió a la empresa y sus condiciones iniciales de operación evaluándola con las ley 16998 y la norma OHSAS 18001, utilizando una lista de chequeo (Check list) se logró determinar que la planta contaba con un cumplimento del 84,07% respecto a la Ley General de higiene, seguridad ocupacional y bienestar D.L.16998.  El cual al ser una ley debía ser cumplida al 100%, también se analizó respecto a la norma OHSAS 18001:2007 con un resultado de 31,28% que es la base con la que se iniciara el diseño de la estructura de un Sistema de Gestión de Salud y Seguridad Ocupacional.Fase 2, En esta fase fue donde se identificó los peligros para su posterior  evaluación y control de los riesgos que estaban perjudicando la Seguridad y Salud Ocupacional dentro la planta, para ello se utilizó la planilla IPER (Identificación de Peligros y Evaluación de Riesgos) con la cual se pudo determinar los riesgos más críticos existentes. Fase 3, Con los resultados obtenidos en la fase 1 diagnóstico de las condiciones iniciales y la fase 2 donde se realizó la identificación de peligros y evaluación de riesgos se crearon, de la mano de la Coordinadora de Sistemas Integrados de Gestión la política, objetivos, el manual de Seguridad y Salud Ocupacional, los procedimientos e instructivos y registros. Todo orientado a prevenir y preservar la salud y seguridad de los trabajadores. La documentación fue creada en base a los requisitos que estipula la norma OHSAS 18001:2007 cumpliendo a cabalidad cada acápite y subtitulo.Fase 4, En esta fase se logró determinar los gastos que implicaría  la implementación del sistema, en este punto cabe recalcar que los beneficios mayores no son económicos y que el mayor beneficio que trae el implementar este sistema es el de bienestar, la salud y la seguridad de los trabajadores además de crear una cultura de mejora continua.Con el desarrollo de las 4 fases se cumplió satisfactoriamente con los objetivos planteados quedando como recomendación principal que la implementación debe hacerse paulatinamente, con bastante socialización y capacitación, los trabajadores deben entender la importancia del sistema y cuanto puede mejorar sus condiciones laborales cuidando siempre su salud y bienestar.</t>
  </si>
  <si>
    <t>https://drive.google.com/file/d/1DqZw86UtVmXw4H-0srKHv6UFB3igQdTK/view?usp=sharing</t>
  </si>
  <si>
    <t>https://drive.google.com/file/d/1W7FoZHXXud72BVN7jnzmtO6PTm-tXXSa/view?usp=sharing</t>
  </si>
  <si>
    <t>https://drive.google.com/file/d/11IVbV3qOdXdLlkaEV_9M8pFdnvIgOKMF/view?usp=sharing</t>
  </si>
  <si>
    <t>GROVER ALEX BAUTISTA MURAÑA</t>
  </si>
  <si>
    <t>ESTUDIO DE INGENIERÍA DE MÉTODOS PARA LA OPTIMIZACIÓN DEL PROCESO PRODUCTIVO EN EL ÁREA DE RECUPERADO DE MATERIA PRIMA DE LA FÁBRICA ECOLÓGICA DE PLÁSTICOS “ECOPLASTIC S.R.L.</t>
  </si>
  <si>
    <t>alex1003_bautista@hotmail.com</t>
  </si>
  <si>
    <t>IND-1032-2019</t>
  </si>
  <si>
    <t>Recuperado de materia prima, Ingeniería de métodos, fabrica ecológica de plásticos.</t>
  </si>
  <si>
    <t>Primeramente para desarrollar el presente proyecto de grado, inicialmente se realizó un análisis y diagnóstico del área de recuperado de materia prima de la empresa “ECOPLASTIC SRL”, en el cual se identificaron las debilidades, fortalezas, amenazas, oportunidades y el grado de impacto que tiene cada factor en el área en estudio.Seguidamente se procedió a realizar el estudio de los métodos actuales del proceso productivo donde se identificó y registro de forma detallada y clara los métodos actuales de trabajo para los productos de polietileno de alta densidad (PEAD) y polietileno de baja densidad (PEBD) mediante cursogramas sinóptico, cursogramas analíticos, diagramas de flujo y diagramas de recorrido donde se pudo observar que las distancias que ocurren tanto los materiales y como los operarios son considerables largas.Por otro lado también se realizó el estudio de tiempos, cálculo de factor de nivelación donde se hallaron los tiempos normales, y las tolerancias o suplementos para cada operación, mediante el cual se determinó los tiempos estándar de producción del método actual tanto para el material de polietileno de alta densidad y baja densidad.Una vez realizados el estudio de los métodos y tiempos actuales, se desarrolló las propuestas de mejora o avance del método propuesto analizando todas las operaciones que intervienen en el proceso productivo de los dos productos en estudio mediante la técnica de análisis operacional.Posteriormente se realizó una evaluación del método propuesto tomando como parámetros de comparación los métodos y tiempos de producción actuales, en el que se evaluaron la cantidad de operación, inspección, transporte y demora, los tiempos de operación, tiempos de inspección, tiempos de transporte de maquina a otra, las distancias recorridas y los tiempos estándar de producción de ambos métodos y para los dos productos, del cual todos los parámetros analizados son menores en los métodos propuestos de ambos productos lo cual es favorable para el estudio realizado. Mediante el balanceo de línea se logró realizar un análisis de requerimiento ideal de mano de obra en operación. En la parte final se realizó el análisis de beneficio-costo de la implementación del proyecto sobre la inversión de las mejoras en las maquinas, donde se demuestra que la inversión es factible.</t>
  </si>
  <si>
    <t>https://drive.google.com/file/d/1w9TUWnSxrb0YuhhPTH9ipGIXc70AQvoT/view?usp=sharing</t>
  </si>
  <si>
    <t>https://drive.google.com/file/d/18ppnZZ6saFAO4veqXqdfGbo-nOAhhxB_/view?usp=sharing</t>
  </si>
  <si>
    <t>https://drive.google.com/file/d/1U86x_jt4UuXNXZeOb47IstlCk3wQyq8p/view?usp=sharing</t>
  </si>
  <si>
    <t>ALDO FRANCO ALEXIS FIORILO</t>
  </si>
  <si>
    <t>ELVIS RAMOS CALDERÓN</t>
  </si>
  <si>
    <t>ING. ROSCEL MONTAÑO GARCÍA</t>
  </si>
  <si>
    <t>ESTUDIO DE VIABILIDAD PARA LA IMPLEMENTACIÓN DE UNA PLANTA PROCESADORA DE LECHE DE ALMENDRA, DIRIGIDO AL MERCADO DE COCHABAMBA</t>
  </si>
  <si>
    <t>aldofiorilo777@gmail.com</t>
  </si>
  <si>
    <t>TRABAJO DE GRADO</t>
  </si>
  <si>
    <t>IND-1033-2019</t>
  </si>
  <si>
    <t>Valor Actual Neto (V.A.N), Tasa Interna de Retorno (T.I.R), Benéfico/Costo (B/C), Método Cualitativos por Puntos (M.C.P), Sociedad de Responsabilidad Limitada (S.R.L)</t>
  </si>
  <si>
    <t>Para realizar el estudio de viabilidad de un planta procesadora de leche de almendra, se empezó por el Estudio de Mercado donde realizamos una encuesta con la que se verificó, cuantificó y proyectó, la existencia de una demanda insatisfecha de leche en el eje conurbano del departamento de Cochabamba, específicamente: Provincia Cercado, Municipio de Quillacollo y Municipio de Sacaba.Con los datos de la encuesta se proyectó la demanda efectiva del proyecto. Se comprobó la aceptación del producto y se realizó un plan de comercialización.Posteriormente, se estimó el requerimiento de materia prima y materiales auxiliares necesarios para el proyecto, luego se determinó  a los  proveedores para el abastecimiento.Se realizó la localización del proyecto con la técnica “método cualitativo por puntos”, donde se determinó que la planta estará ubicada en el Km 9,5 de la  avenida Cap. Víctor Ustariz.   Luego con la ingeniería del proyecto, determinamos el proceso productivo y los balances de masa para la elaborar leche de almendra. También se determinó el requerimiento de diferentes equipos, maquinaria, infraestructura, servicios con sus respectivos costos. Se mostró todo lo referente con el control de calidad, seguridad e higiene industrial e inocuidad alimentaria. Y se hizo una distribución de planta. Luego se realizó un estudio organizacional en la cual se mostró la representación gráfica de la estructura organizacional de la empresa mediante el organigrama lineo-funcional, se detalló las funciones de cada uno de los cargos  y se determinó el número de trabajadores el cual es de 24  y también se estimó el costo de mano de obra requerida.En el estudio legal la empresa se constituyó como S.R.L. (Sociedad de Responsabilidad Limitada), mostró los pasos y los costos para la constitución legal de la empresa.En la planificación y ejecución del proyecto, se realizó el Diagrama CPM y Diagrama de Gantt en la cual se muestran y detallan todas las actividades para ejecutar el proyecto el cual se concluira en un periodo de 44 semanas.En la evaluación financiera, se calculó y se analizó los principales indicadores financieros de rentabilidad, como son: el Valor Actual Neto (VAN), Tasa Interna de Retorno (TIR) y relación Beneficio-Costo, con los siguientes resultados.VAN= Bs 4.664.646,85TIR= 53%B/C= 1,32Donde se comprobó que el proyecto es muy rentable, además se realizó el análisis de sensibilidad y se determinó el precio de venta del producto el cual es de Bs 7,80.Por último se realizó la evaluación ambiental del proyecto, en la cual cae en la categoría 3, por lo que solo requiere medidas de mitigación y seguimiento.</t>
  </si>
  <si>
    <t>https://drive.google.com/file/d/1IfwjWiP52_WIyNB0hnU2MDeA7XTPi0FI/view?usp=sharing</t>
  </si>
  <si>
    <t>https://drive.google.com/file/d/1Ur0zIIuvu8jbx3tCCfqTJ67VkXeP4qbe/view?usp=sharing</t>
  </si>
  <si>
    <t>https://drive.google.com/file/d/12174D8phwans-PZzDaLh-RD5HJlwcQgd/view?usp=sharing</t>
  </si>
  <si>
    <t>INGRID ALARCÓN ALVAREZ</t>
  </si>
  <si>
    <t>ING. RUSLAN ALARCÓN ALVAREZ</t>
  </si>
  <si>
    <t>PROYECTO DE FACTIBILIDAD PARA LA IMPLEMENTACIÓN DE UNA PLANTA DE PRODUCCIÓN DE ROCA FOSFÓRICA PARA USO AGRÍCOLA EN EL PARQUE INDUSTRIAL DE SANTIVAÑEZ</t>
  </si>
  <si>
    <t>ingrid_1aa@gmail.com</t>
  </si>
  <si>
    <t>IND-1034-2019</t>
  </si>
  <si>
    <t>Roca Fosfórica, nutrientes, fosforo, suelos ácidos.</t>
  </si>
  <si>
    <t>La necesidad de haber realizado el estudio fue de ver la posibilidad de introducir al mercado de Santa Cruz un producto que mejore el nutriente de fosforo a los suelos ácidos. La Roca Fosfórica ofrecerá al consumidor una buena alternativa económica para sus cultivos, de manera tal, que su obtención repercuta desde los proveedores de materia prima, así también los obtienen en el producto final, dando lugar a un incremento de fuentes de empleo, desarrollo de la región y ganancia de recursos económicos de ambos sectores.El producto fue elaborado a partir de la roca fosfórica que contiene un 22% de fosforo, para mejorar la fertilidad en los suelos, entregando fosforo a la planta de manera permanente y continua.La soya, el maíz, el sorgo, la caña de azúcar tienen la mayor parte de la superficie cultivada y son los principales cultivos que requieren de fosforo, por lo que se consideró como segmentación del mercado para el proyecto. El precio del producto tendrá un precio muy atractivo en comparación a los del mercado será de 650 Bs/Tm.La empresa elaborará 6.624 TM al año por lo que utiliza toda su capacidad de producción en sus distintos procesos de elaboración.La evaluación financiera, mostro que el producto es viable siempre y cuando los concentrados a aplicar cumplan con las exigencias necesarias. La empresa adquirirá equipos y maquinaria de acuerdo con las características necesarias para la producción del Roca Fosfórica Molida, Por ser una empresa nueva se realizaron inversiones de activo fijo, activo diferido y se consideró las depreciaciones correspondientes para cada activo.En la evaluación financiera realizada, se pudo constatar que el proyecto es rentable, reportando los siguientes resultados.TIR=19,56 %VAN= 92.136,19 B/C=1,25. Mediante el análisis de sensibilidad se pudo verificar que el proyecto tiene mayor susceptibilidad a la rebaja del precio de vente, el precio límite de venta del producto es de 555 Bs/TM. Con el proyecto se pretendió ofrecer otra alternativa para que los agricultores puedan fertilizar sus cultivos y otorgarle el fosforo que requieren, también generar más empleos y ayudar con la recursos económicos del consumidor y del departamento.</t>
  </si>
  <si>
    <t>https://drive.google.com/file/d/1nFZHHloV0vi8bBHy9iiJNcnUTPtk2Ft6/view?usp=sharing</t>
  </si>
  <si>
    <r>
      <rPr>
        <rFont val="Arial"/>
        <color rgb="FF0000FF"/>
        <u/>
      </rPr>
      <t xml:space="preserve"> </t>
    </r>
    <r>
      <rPr>
        <rFont val="Arial"/>
        <color rgb="FF1155CC"/>
        <u/>
      </rPr>
      <t>https://drive.google.com/file/d/17C7qenwhmNbn8mfKmXfVrBrjniAUhTDQ/view?usp=sharing</t>
    </r>
  </si>
  <si>
    <t>https://drive.google.com/file/d/1uLP7RnDhFFycWXnkysA5_rAZUtO-fbfE/view?usp=sharing</t>
  </si>
  <si>
    <t>DORADO CRUZ DAYANA MARIELA</t>
  </si>
  <si>
    <t>JUAN JOSÉ VIDAL MILÁN</t>
  </si>
  <si>
    <t>ESTUDIO DE FACTIBILIDAD TÉCNICO-ECONÓMICO PARA LA IMPLEMENTACIÓN DE UNA PLANTA PROCESADORA DE LOS DERIVADOS DE ALMENDRA (BERTHOLLETIA EXCELSA) EN COCHABAMBA.</t>
  </si>
  <si>
    <t>IND-1035-2019</t>
  </si>
  <si>
    <t>Leche, mantequilla, factibilidad, almendra, cercado.</t>
  </si>
  <si>
    <t>ESTUDIO DE MERCADO El estudio de mercado tiene la finalidad de cuantificar, analizar la demanda y la oferta del producto, que no existen datos de referencia ni comparación sobre los derivados de la almendra, mediante los cuales se determinará la capacidad de la planta y las condiciones de mercado en las que introducirá los productos del proyecto. El mercado objetivo del proyecto son los hogares de la región urbana de la provincia Cercado del Departamento de Cochabamba.Demanda Se determinó que actualmente el 19,29% de la población consume leche, el 13,93 % consume la mantequilla de almendra, ambos productos 3.93% y el 62,86 % no consume ninguno de estos dos productos por las siguientes razones; la falta de costumbre, el poco conocimiento del producto y sus características, cuestiones de salud y un gran segmento buscan el producto y no lo encuentra en el mercado. La demanda para el primer año del proyecto de la leche de almendra es de 182096 L/año, los cuales el proyecto cubrirá inicialmente el 40% e irá incrementando en 2% en el mercado hasta llegar a cubrir el 42% de la demanda total por la capacidad de la planta al 100%. La demanda de la mantequilla de almendra para el primer año será de 168081 Kg/año, los cuales el proyecto cubrirá inicialmente el 25% e irá incrementando en 2% cada año hasta llegar a cubrir el 27% de la demanda total por la capacidad de la planta al 100%. OfertaLa oferta de la leche de almendra está compuesta básicamente por las siguientes marcas que es el By Happy, Enjoy life, artesanal y productos importados como Almond Breeze y Silk Almond, obteniendo un precio promedio de las diferentes marcas de 15 Bs por cada Litro. Se determinó que la cantidad de oferta en el mercado para el primer año proyectado es de 72838 L/año La oferta de la mantequilla de almendra está compuesta con las marcas de By happy, Enjoy life, otras marcas importadas y otras artesanales, de la misma manera teniendo un precio promedio de venta de 19 Bs cada 250 g, se determinó que la oferta de mantequilla de almendra en el primer año del proyecto es de 42020 Kg/año</t>
  </si>
  <si>
    <t>https://drive.google.com/file/d/1i5lzkppG8TlMaV2Hq-fWXpQKE3NvyoJv/view?usp=sharing</t>
  </si>
  <si>
    <t>https://drive.google.com/file/d/1E_3KqWXeaHRv7ENkTNaju7rJG370wxAa/view?usp=sharing</t>
  </si>
  <si>
    <t>https://drive.google.com/file/d/1Y8xBA3T9iOJ1lPrFxCC5Bx5ixJK1SJwP/view?usp=sharing</t>
  </si>
  <si>
    <t>ENCINAS GARCIA RICHARD</t>
  </si>
  <si>
    <t>ING. ENCINAS GARCIA LAURA</t>
  </si>
  <si>
    <t>PROYECTO DE FACTIBILIDAD PARA LA APERTURA DE GABINETES DE NUTRICIÓN Y VENTA DE  PRODUCTOS SALUDABLES</t>
  </si>
  <si>
    <t>richard.encinas.g@gmail.com</t>
  </si>
  <si>
    <t>IND-1036-2019</t>
  </si>
  <si>
    <t>Factibilidad, Gabinete, Nutrición, Saludable, Eficiente, Eficaz, Guia nutricional.</t>
  </si>
  <si>
    <t>Un proyecto de factibilidad orienta a la toma de decisiones en la evaluación del proyecto que produce un producto o servicio permitiendo medir la posibilidad de éxito o fracaso en un proyecto de inversión y proceder o no con su implementación mediante el uso óptimo de recursos técnicos, humanos y tecnológicos.Se realizó un estudio de factibilidad para verificar que el proyecto que recibe el nombre de proyecto de factibilidad para la  apertura de gabinetes de nutrición y venta de productos saludables es viable y rentable en el tiempo, ofreciendo un sistema de atención optimo, eficiente y eficaz analizando el mercado y su comportamiento y cumplir con sus requerimientos y persiguiendo el objetivo principal de mejorar la calidad de vida del contexto que este abarca.El comportamiento del  mercado ante el estudio realizado presenta un comportamiento similar que es la  insostenibilidad del servicio de forma económica y ejecutable ante esto se propuso  la solución a dichas variables utilizando métodos de nutrición actualizados reflejado en guías de nutrición que es el historial individual de cada individuo proponiendo también productos para consumo que ayude al cumplimiento de su objetivo.Las principales variables encontradas son falta de tiempo, elevados precios, inseguridad en su funcionamiento. Se propuso canales de comercialización, análisis de precios de empresas que ofrecen estos servicios y la posibilidad máxima de disminución de este acorde al promedio de ingresos económicos de los clientes  y la verificación de eficiencia del servicio mediante pruebas con personas de distintas características antes estas variables respectivamente. Posteriormente se analizó los productos considerados saludables dados la definición de la real academia española verificando sus propiedades (valor nutricional), disponibilidad (Proveedor) y preferencias (Precio y calidad). Se proporciona un servicio abierto que no se restringe a lo que ofrece mediante el diseño de un sistema donde empresas exteriores se asocien con el proyecto buscando fomentar la cultura de simplicidad del servicio que fomenta el proyecto.El servicio realizado que recibe el usuario final es personalizado dado que toma todas la variables necesarias para conseguir el objetivo que persigue y pueda ser cubierto por el ámbito de la nutrición con el apoyo de guías de nutrición diseñadas internamente tomando en cuenta todo lo mencionado anteriormente para dos tipos de personas:  diario vivir normal y atlético clasificados así por la variable de disponibilidad de tiempo que es de gran importancia para el consumidor final tras el análisis respectivo.Se propuso un método de organización empresarial (Administración de recurso humano) capaz de satisfacer la demanda y sus necesidades y que se encuentre bajo la normativa de ley de estado cumpliendo todo el marco legal.El estudio de recursos necesarios que se realizó para poder ofrecer el servicio son de alta disponibilidad en el mercado asegurando la disponibilidad de estos ante el crecimiento desbalanceado que se presente.La evaluación realizada  a indicadores financieros apoya al éxito del proyecto dado un análisis de inversión requerida, costos, ingresos ,tributaciones resumidos bajo el diseño de flujos de efectivo realizados que engloban dichos factores  y proporcionan resultados beneficiosos ante la situación mencionada y la variación de estas ante escenarios alternos(disminución exagerada de precios y demanda) siguen a favor del proyecto.El análisis realizado proporciona la posibilidad de que el usuario que opte por recibir este servicio no requiere experiencia de ningún tipo.</t>
  </si>
  <si>
    <t>https://drive.google.com/file/d/1TbSExaQh6p3gz5gQu_jw7Jv1oS4D3egj/view?usp=sharing</t>
  </si>
  <si>
    <t>https://drive.google.com/file/d/1I4Q2VLsASpjOS9Fjnp0kF54q08g_k-q2/view?usp=sharing</t>
  </si>
  <si>
    <t>https://drive.google.com/file/d/1POpER9RF5mI9R7P7VPzr9glaobBEuKo1/view?usp=sharing</t>
  </si>
  <si>
    <t>ANA VIRGINIA ZURITA FRANCO</t>
  </si>
  <si>
    <t>ING. LUZ MAYA REVOLLO TERÁN</t>
  </si>
  <si>
    <t>PROYECTO DE FACTIBILIDAD PARA LA IMPLEMENTACIÓN DE UNA PLANTA DE PRODUCCIÓN DE ZUMO DE NARANJA EMBOTELLADA EN LA CIUDAD DE COCHABAMBA</t>
  </si>
  <si>
    <t>ana.zurita.franco@gmail.com</t>
  </si>
  <si>
    <t>IND-1037-2019</t>
  </si>
  <si>
    <t>Elaboración de Zumo (E.Z.), Factibilidad de Procesamiento de Zumo de Naranja (F.P.Z.N.).</t>
  </si>
  <si>
    <t>El presente proyecto (proyecto de factibilidad para la implementación de una planta de producción de zumo de naranja embotellada en la ciudad de Cochabamba), consiste en analizar y evaluar la viabilidad técnica de elaboración de zumo de naranja embotellada.Inicialmente se realizó un diagnostico situacional, determinando las causas y efectos del problema que se estudia; ya que, existe un limitado aprovechamiento de la naranja.En el estudio de mercado se identificó demanda y oferta del producto, cantidad estimada que mayormente consume el mercado en litros y las estrategias de comercialización más apropiados para este proyecto.Se observo la disponibilidad de materia prima e insumos que se tendrá durante la vida útil del proyecto y los respectivos gastos que se incurren para el óptimo funcionamiento del proceso; además, de acuerdo a criterios apropiados se pudo identificar la localización óptima Sacaba (km 11 zona Huallani)Posteriormente se determinó la ingeniería de proyecto que determinó el proceso productivo y la tecnología necesaria para la elaboración del zumo, que se tendrá una producción de 451.100 litros el primer año.También se planteó la estructura organizacional para el tamaño del proyecto, las políticas de reclutamiento y su respectiva capacitación del personal de acuerdo al cargo postulado. Asimismo, se identificó los requerimientos legales para la implementación de la planta. Se identificaron todos los costos operativos del proyecto para la su operación, obteniendo como resultado: VAN de 3.174.192 Bs, TIR de 33,42% y una relación B/C del 1,64, rozones por la cual el proyecto es viable económicamente.La planificación de la ejecución del proyecto se necesita para la implementación de 37 semanas y finalmente se realizó la evaluación de impacto ambiental, el proyecto se encuentra con Categoría III de impacto ambiental, al pertenecer a esta categoría el proyecto no requiere de evaluación de Impacto ambiental analítica específica, sin embargo, requiere de medidas precisas para evitar, mitigar o compensar efectos adversos.</t>
  </si>
  <si>
    <t>https://drive.google.com/file/d/1LLaU1-3HEQzu1FJecuY22p4w0cRmWWtf/view?usp=sharing</t>
  </si>
  <si>
    <t>https://drive.google.com/file/d/1NfHHTl9bj0E_nceIs5RNu2dJ7Beg7zrI/view?usp=sharing</t>
  </si>
  <si>
    <t>https://drive.google.com/file/d/1bASCyGj_GmOvUNqVQl8F-F1jCVG9sYls/view?usp=sharing</t>
  </si>
  <si>
    <t>KATHERINE SENAIDA PALACIOS NACHO</t>
  </si>
  <si>
    <t>ESTUDIO DE FACTIBILIDAD PARA LA IMPLEMENTACIÓN DE UNA PLANTA PROCESADORA DE YOGURT ESTILO GRIEGO CON VEGETALES Y FRUTAS EN LA PROVINCIA CERCADO DEL DEPARTAMENTO DE COCHABAMBA</t>
  </si>
  <si>
    <t>katherin_senaida@yahoo.es</t>
  </si>
  <si>
    <t>IND-1038-2019</t>
  </si>
  <si>
    <t>PSST programa de seguridad y salud en el trabajo, RAI registro ambiental industrial.</t>
  </si>
  <si>
    <t>Se realizó el estudio de factibilidad para la implementación de una planta procesadora de yogurt estilo griego con vegetales y frutas en la provincia cercado del departamento de Cochabamba, por el creciente consumo de productos lácteos por la población que beneficia a la salud de la población y la tendencia elevada que surgió por consumir y adoptar buenos hábitos alimenticios por la población, con el fin de acopiar y reducir los excedentes de leche cruda a los productores lecheros cochabambinos y con el objetivo de generar beneficios económicos. Como primer paso se realizó un estudio de mercado que ayudó a determinar la demanda del producto en el mercado cochabambino, por lo que del 100 % de la población objetivo, el 96 % está dispuesto a consumir yogurt griego con vegetales y frutas. Al momento de concluir el estudio de mercado se definió: el mercado potencial, el perfil de consumidor, las estrategias comerciales y las estrategias de promoción. Para el estudio de mercado se hizo uso de instrumentos de investigación que fueron: encuestas, observación directa y degustaciones, siendo este último el más importante por lo que nos ayudó a determinar el tiempo de fermentación del yogurt. En el estudio de materia prima e ingeniería de proyectos se analizó y determinó de forma minuciosa los requerimientos necesarios en cuanto a materia prima e insumos, servicios básicos y otros materiales. Adicionalmente, también se determinó el proceso productivo, maquinaria, equipos, vehículos, infraestructura e instalaciones para ingeniera del proyecto.Con el estudio de localización y tamaño óptimo de la planta se determinó la producción máxima que tendrá la empresa, los días laborales trabajados.La macro localización y micro localización de la planta fue evaluada por el método cualitativo por puntos, por lo que se seleccionó a la mejor alternativa  la provincia de Quillacollo del departamento de Cochabamba, debido a las características en cuanto al acopio en materia prima y servicios básicos.Se determinó el personal necesario que intervendrá en el proceso  productivo y sus respectivas funciones en cada cargo dentro de la empresa, gracias al proceso productivo seleccionado y principalmente a los manuales de funciones con las que cuenta cada puesto de trabajo.  Con la evaluación financiera se calcularon las  inversiones totales y los costos operativos para la producción de yogurt griego combinado con frutas y verduras; así mismo, con dicha información y los parámetros ya establecidos, se logró obtener la evaluación financiera del proyecto mediante los indicadores como ser el valor actual neto (VAN), la tasa interna de retorno (TIR) y la relación beneficio costo (B/C), que ayudaron a concluir y determinar que el proyecto de implementación de una planta procesadora de yogurt estilo griego con frutas y verduras es económicamente atractivo.</t>
  </si>
  <si>
    <t>https://drive.google.com/file/d/1iJ_eRZcPggahan1rMpFYr03zAPeaNKxZ/view?usp=sharing</t>
  </si>
  <si>
    <t>https://drive.google.com/file/d/1vFDgyugtpfs4hByrBSr2BYX5Kp8DDRiY/view?usp=sharing</t>
  </si>
  <si>
    <t>https://drive.google.com/file/d/1mMS26zjVvAtWhHoZkPeRByfUC91-U7Zi/view?usp=sharing</t>
  </si>
  <si>
    <t>WILMA PAMELA PINELL HURTADO</t>
  </si>
  <si>
    <t>ING. HERNAN QUIROZ ARCE</t>
  </si>
  <si>
    <t>PLAN DE MARKETING PARA LA EMPRESA EL ELYON</t>
  </si>
  <si>
    <t>pame658@hotmail.com</t>
  </si>
  <si>
    <t>IND-1039-2019</t>
  </si>
  <si>
    <t>Marketing, mercadotecnia, investigación de mercados, distribución de cosméticos</t>
  </si>
  <si>
    <t>El Elyon es una empresa que se dedica a la distribución de cosméticos naturales de la línea    tokalan en las farmacias de la provincia cercado en Cochabamba, mediante la venta directa al por mayor a través de visitas periódicas que se realiza a las farmacias, además de realizar la venta directa al consumidor final en las oficinas encontradas en la avenida heroínas n° 0667Primeramente, se realizó una investigación de Mercado a las zonas norte, centro y sud de la provincia cercado del departamento de Cochabamba, estudiando también los mercados distribuidor, competidor y proveedor. Se determinó una demanda insatisfecha cosméticos naturales, se pudo evidenciar una creciente aceptación hacia lo natural, orgánico y ecológico en el mercado, además también se determinó la proyección de demanda de cosméticos tokalan para las zonas norte, centro y sud del departamento de Cochabamba. Se hizo el análisis interno, externo y también el análisis de la situación y posición en la que se encuentra con respecto a sus competidores más fuertes, mediante las siguientes matrices: Matriz de factores internos EFI, matriz de factores externos EFE, matriz de perfil competitivo, matriz pestal y matriz BCG, también se hizo el análisis de las fuerzas de porter y se realizó con las 6P´s del marketing mix (producto, precio, plaza, promoción, personal y post venta) para el análisis de la empresa. En donde se pudo que ver que a la actualidad empresa no cuenta con su visón y misión respectivas.Se realizaron estrategias para poder recuperar la cuota de mercado perdida a través de los años y por las malas políticas aplicadas por la empresa y la fábrica en Santa Cruz, como ser la negativa a realizar promociones o campañas publicitarias en cualquier medio, la resolución de quitar el cambo de productos con vencimientos próximos a la fecha indicada, etc. Posteriormente se preparó la información para poder realizar la evaluación financiera determinando un VAN de 7.189,55 Bs, un TIR del 13.54%, una relación B/C DE 2.34 y un periodo de recuperación de 5 años. Para llegar a estos resultados u poder implementar las estrategias será necesario adquirir un préstamo bancario, la opción que se romo es d en la entidad financiera Crecer por un monto total de 55.000 Bs con una tasa de interés anual del 19% anual, teniendo que pagar mensualmente el monto de 1.426 BsSe plantearon estrategias de marketing en las redes sociales como ser publicidad, campañas y promociones, participar en eventos de bastante afluencia publica como auspiciadores, capacitar contantemente al personal de la empresa, así como también realizar las capacitaciones a las licenciadas farmacéuticas que realizan la venta de productos de la línea tokalan, implementar nuevas líneas de distribución para poder ofrecer una mayor variedad de productos y dar más alternativas a la clientela.</t>
  </si>
  <si>
    <t>https://drive.google.com/file/d/1_Rm3JPuEFaOjCztuV-gUG2jieYdiy5za/view?usp=sharing</t>
  </si>
  <si>
    <t>https://drive.google.com/file/d/1glFw2d1_f3xV5D9A95O-9tMOCny-xFHu/view?usp=sharing</t>
  </si>
  <si>
    <t>https://drive.google.com/file/d/1dJFtyV9XlEfqTub82KHeu5QQZVixRJpK/view?usp=sharing</t>
  </si>
  <si>
    <t>JOSE ANTONIO GARCIA CAMACHO</t>
  </si>
  <si>
    <t>PROYECTO DE FACTIBILIDAD PARA LA IMPLEMENTAR Y DIVERSIFICAR LA PRODUCCIÓN DE BOTELLONES PARA AGUA DE MESA A BASE DE POLIPROPILENO EN LA EMPRESA INPROMAT</t>
  </si>
  <si>
    <t>jsgrccmch@gmail.com</t>
  </si>
  <si>
    <t>IND-1040-2019</t>
  </si>
  <si>
    <t>Botellones, Polipropileno, Producción, Agua de mesa, Inpromat, Masterbatch, Factibilidad.</t>
  </si>
  <si>
    <t>Para conocer mejor el comportamiento del mercado en cuanto a botellones de 20 litros para agua de mesa se realizó el análisis de las 5 fuerzas de Porter, como también una investigación de Mercado en el eje metropolitano de Cochabamba, segmentado en cuatro zonas según la ubicación de las empresas embotelladoras de agua de mesa de la siguiente manera; Zona Este “Sacaba”, Norte y Sur “Cercado” y Oeste “Provincia de Quillacollo”, de conde se conoció las características de los clientes actuales y poténciales. Para alcanzar los objetivos comerciales y la demanda efectiva del proyecto se pretende usar las estrategias de marketing más conocidas como los cuatro P (Producto, Precio, Plaza o distribución, Promoción o Publicidad)La materia prima se seleccionó según las propiedades que presenta según el material que se usan en su elaboración, siendo el polipropileno Copolimero Random virgen con mejores propiedades para la producción de botellones para agua de mesa.El proyecto proporciona información necesaria para la implementación de la línea de producción de botellones a base de polipropileno, en donde se describió el proceso productivo, seguidamente se determinó la capacidad de producción en base a la máquina sopladora, considerando que la maquina trabaje 250 días según los días hábiles de trabajo al año de lunes a viernes las 24 horas y la programación de producción se realizó de forma mensual según la demanda efectiva promedio. En cuanto a la distribución de planta se estableció de acuerdo al requerimiento de los espacios por la maquinaria y equipos influentes, así mismos los sectores involucrados como el almacén de materias primas e insumos, almacén de productos terminados y sector de molienda de los Scraps.Se realizó la propuesta de un organigrama que considero algunas mejoras al actual y que se relaciona mejor con la nueva línea de producción y crecimiento de la empresa, en tal sentido se incorporó nuevos cargos en la parte administrativa y en la planta, cuyas funciones de cada área se describió. Se realizó la planificación y programación de las actividades usando el método de PERT y diagrama de GANTT que es igual a 22 semanas hasta su puesta en marcha.Se estableció la inversión en los activos, siendo un total de 2.311.154,9 Bs que pretende financiar el 50% con aporte delos socios y la otra parte con financiamiento bancario, siendo el costo unitario de producción de 18 Bs/Und, que se pretende comercializar a 27 Bs cada botellón, posteriormente se determinó los indicadores financieros un VAN de 885.497,93 Bs, un TIR de 30% y una relación B/C de 1,22. Así mismo se analizó el análisis de sensibilidad en cuanto a disminución del precio de venta hasta un 11% e incremento en costo de la materia prima hasta un 15 % que pueden presentare en el futuro.De acuerdo a ley 1333 del medio ambiente para industrias en operación de categoría 3 se requiere realizar un manifiesto ambiental industrial y un plan de manejo ambiental para controlar o mitigar los impactos negativos generados.</t>
  </si>
  <si>
    <t>https://drive.google.com/file/d/1rjS0dEFVlsDsP_ByjjBsL8hAqta7pwtB/view?usp=sharing</t>
  </si>
  <si>
    <t>https://drive.google.com/file/d/1W51BmQ_xqRGTWgbG9ELr9qVK5zVI6uye/view?usp=sharing</t>
  </si>
  <si>
    <t>https://drive.google.com/file/d/1J0WB3iJjlk6AMesW3k3gM7dyboxGolHr/view?usp=sharing</t>
  </si>
  <si>
    <t>DORA MAYRA OPORTO CHAIRA</t>
  </si>
  <si>
    <t>ANGELA VELIZ GARCÍA</t>
  </si>
  <si>
    <t>DISEÑO DE UN PLAN ESTRATÉGICO PARA EL CLÚSTER DE ALIMENTOS COCHABAMBA DEL PROYECTO INNOVA-UMSS 2019-2023</t>
  </si>
  <si>
    <t>II-2019</t>
  </si>
  <si>
    <t>arod.moc@gmail.com</t>
  </si>
  <si>
    <t>IND-1041-2019</t>
  </si>
  <si>
    <t>Planificación Estratégica, Plan Estratégico, Clúster de Alimentos, Proyecto INNOVA-UMSS, sistemas de innovación, Investigación, Formación, Interacción, Gestión de Soporte, misión, visión, análisis FODA, matrices EFE y EFI, Matriz de planificación, Indicadores, sistemas de control, Triple hélice, trabajo colaborativo, Sector Académico, Sector Empresarial, Sector Gubernamental, Espacio universitario de innovación y aprendizaje interactivo.</t>
  </si>
  <si>
    <t>Primeramente, se procedió a realizar un diagnóstico que permita identificar la situación actual por la que atraviesa el Clúster de Alimentos Cochabamba, para ello se realizó un análisis externo del macro entorno (contexto internacional) y micro entorno (contexto nacional). También se realizó un análisis interno enfocado en el funcionamiento del Clúster, basado en cuatro ejes (Investigación, Formación, Interacción y Gestión de Soporte), en dicho análisis se realizó una evaluación del sector académico, empresarial y gubernamental. Toda la información recabada sirvió de insumo para realizar la Planificación Estratégica para el Clúster de Alimentos Cochabamba.Posteriormente, se realizó un análisis que permita determinar el escenario futuro de la industria alimentaria, el mismo que permitió identificar el desarrollo industrial, científico y tecnológico en el mundo y en el país, para seguidamente realizar la reflexión estratégica del Plan.A continuación, fue elaborado el FODA del Clúster de Alimentos, para lo cual se partió de las propuestas que se presentó en los dos grupos focales, el primero se llevó a cabo el 17 de agosto de la gestión 2018, en el cual se tuvo una participación activa de ocho empresarios. El segundo grupo focal fue el 23 de agosto de la gestión 2018, conformado por los miembros del proyecto INNOVA-UMSS. Se identificaron los factores internos (fortalezas y debilidades) y externos (oportunidades y amenazas), existentes en cada uno de los ejes, para luego evaluar la interrelación existente entre los mismos, seguidamente, en base a estas valoraciones se identificaron las relaciones críticas para las cuales fueron planteadas acciones y/o proyectos a seguir en el Plan Estratégico. Una vez obtenido el FODA del Clúster de Alimentos, fueron realizadas las matrices EFE y EFI, que permitió identificar los factores críticos para el éxito. En dichos grupos focales también se evaluaron la misión, visión y valores propuestas. Para la elaboración del mapa estratégico, se definieron los objetivos por perspectivas: perspectiva del cliente, financiera, de procesos y de aprendizaje y desarrollo; este mapa sirvió para identificar las relaciones de causa – efecto entre factores que determinarán el éxito del presente Plan, fue elaborado de abajo hacia arriba empezando por la perspectiva de aprendizaje y desarrollo y terminando en la de los clientes. De la misma forma fue elaborado el FODA estratégico en base a los elementos del FODA, las acciones y/o proyectos propuestos.La elaboración de la matriz estrategia – objetivo, ayudó a mantener un enfoque sistémico de las distintas estrategias planteadas, ya que permite ver cómo éstas contribuyen al cumplimiento de los distintos objetivos que posee el Plan Estratégico.Una vez planteadas las distintas estrategias, se elaboró la matriz de planificación para cada eje respectivo, desglosada en objetivos estratégicos, objetivos operativos, metas a conseguir de dichos objetivos, estrategias que apoyen al alcance de las metas, indicadores que midan el cumplimiento de las estrategias, los responsables de coordinación y periodos que abarca el horizonte temporal de cada objetivo operativo. Consecuentemente, cada uno de los indicadores de dicha matriz, que pueden ser cuantitativos o cualitativos, fueron plasmados en los sistemas de control que proporcionan un seguimiento al cumplimiento de cada uno de estos, durante las gestiones que comprende el horizonte del Plan.Subsecuentemente fue propuesta una estructura organizacional, para la cual fue planteada la inclusión de dos unidades: Unidad de Interacción y Unidad de Planificación y control.Para la elaboración del mapa de procesos, fueron identificados de manera general, los elementos de entrada, procesos estratégicos, procesos de calidad y mejora, procesos de valor y procesos de apoyo, las salidas esperadas de estos procesos y las partes interesadas pertinentes que son: estudiantes, empresas, gobierno y sociedad.Finalmente, se realizó los requerimientos presupuestarios, donde se tomó en cuenta cada una de las estrategias planteadas en cada uno de los ejes. En base a los resultados se calculó el requerimiento aproximado para la implementación del Plan en todo su horizonte temporal (gestiones 2019 -2023), siendo este de Bs.612.000.</t>
  </si>
  <si>
    <t>https://drive.google.com/file/d/1QOnHmBpPyn77dFBGVLMfMDDex54hX7lj/view?usp=sharing</t>
  </si>
  <si>
    <t>https://drive.google.com/file/d/12RFiVQ3Y3YiL_dsMgoto0hIvfWYq_UtU/view?usp=sharing</t>
  </si>
  <si>
    <t>https://drive.google.com/file/d/19khJAVCEdrhWVZba1AJVTWddd6qTPQkM/view?usp=sharing</t>
  </si>
  <si>
    <t>WILDER PAHUASI OMONTE</t>
  </si>
  <si>
    <t>PLANIFICACIÓN ESTRATÉGICA PARA LA EMPRESA “BOMBORI”</t>
  </si>
  <si>
    <t>wilescor1417@gmail.com</t>
  </si>
  <si>
    <t>IND-1042-2019</t>
  </si>
  <si>
    <t>Primeramente se recabo toda la información necesaria de la empresa, para poder entender de manera clara cuál era su principal actividad, se desarrolló detalladamente el proceso productivo del yeso donde se evidencio que tiene 8 procesos desde la extracción de la materia prima hasta el embolsado del producto final, para determinar los caracteres fundamentales de la empresa ( Misión, Visión) se realizó una nueva propuesta tomando en cuenta los elementos para el desarrollo de la misión y visión  ya que se debe modificar estos caracteres cada cinco años, y se puso a disposición del gerente.Se clasificaron los procesos de la empresa en: Procesos estratégicos (Gerencia) que están relacionados  con la definición, establecimiento y seguimiento  de las políticas, estrategias y objetivos, así como el establecimiento de la comunicación que permitan a la empresa alcanzar las metas; Procesos de valor (Producción) que dan como resultado, el cumplimiento de la razón de ser de la empresa; Procesos de apoyo (Finanzas) que proveen los recursos necesarios, para el desarrollo de los procesos estratégicos y de valor, estos procesos facilitan el desarrollo de los procesos de valor, proveen servicios de utilidad para toda la empresa. Después de haber estudiado cada uno de los procesos de la empresa se halló el diagnostico de productividad del sistema, teniendo una deficiencia del 35% y una productividad del 65 % y según los parámetros establecidos fue limitada.Se realizó un análisis de la empresa y su entorno y se identificaron las fortalezas, debilidades, oportunidades y amenazas las cuales son muy importantes a la hora de establecer estrategias. Para establecer estrategias se utilizaron herramientas y técnicas de análisis de información como: Análisis del ciclo de vida del producto, Matriz de productos y mercados, Matriz FODA estratégico. Así mismo para decidir que estrategias deben priorizarse, se utilizó la Matriz Cuantitativa de la Planificación Estratégica (MCPE).A partir de las estrategias seleccionadas  se decidió formar tres planes estratégicos para la empresa BOMBORI, los planes fueron: Plan de actualización, Plan de perfección y Plan de innovación, una vez establecidos los planes estratégicos, se procedió a realizar una descripción detallada de los respectivos planes que fueron analizados a través de líneas estratégicas y estas a su vez en principales actuaciones acompañados de un horizonte temporal.Como apoyo para para la toma de decisiones se realizó una evaluación financiera ya que es esta la que determina la capacidad que tiene un proyecto de recuperar los recursos económicos invertidos, se hizo el uso de las herramientas de evaluación de proyectos, como el estado de resultados con sus respectivos indicadores financieros del TIR y VAN, se determinó si el proyecto es o no viable económicamente.Finalmente se demuestro que con la ejecución del proyecto  la empresa es más rentable en un  6 % mas según el TIR y 152.242,31 Bs mas de utilidad según el VAN. En consecuencia la ejecución del proyecto traería mas beneficio económico en los posteriores 5 años para la empresa BOMBORI.</t>
  </si>
  <si>
    <t>https://drive.google.com/file/d/1AEnTP16Kf3warEJpiYhH7mt9D51Y_mTE/view?usp=sharing</t>
  </si>
  <si>
    <t>https://drive.google.com/file/d/1M0n53qQ25LiL-ADIOKK2a_5B8yGwOrlN/view?usp=sharing</t>
  </si>
  <si>
    <t>https://drive.google.com/file/d/1F_xJrP1IVQ8LMlX51cIFbO3HZoeOrqXz/view?usp=sharing</t>
  </si>
  <si>
    <t>DANIELA PATRICIA DEL CARPIO</t>
  </si>
  <si>
    <t>APLICACIÓN DE LA METODOLOGÍA SMED AL CAMBIO DE FORMATO EN LA LÍNEA DE ENVASADO JABONERÍA DE UNILEVER ANDINA BOLIVIA S.A.</t>
  </si>
  <si>
    <t>ing-ind-delcarpio@outlook.com</t>
  </si>
  <si>
    <t>IND-1043-2019</t>
  </si>
  <si>
    <t>Smed, Tareas, Spaguetti, Gantt, Ajustes, Externalización, ECRS, Quick Kaizen</t>
  </si>
  <si>
    <t>La línea de envasado jabonería, se encuentra en el segundo lugar de las pérdidas más significativas de la matriz financiera, es decir es la línea con mayores mermas en dinero, identificando a su vez las 21 pérdidas de tiempo por las cuales genera este resultante de deficiencia monetaria, analizando posteriormente que el proceso de cambio de formato (Pérdida Número 11), es la segunda entre las más significativas de pérdidas de tiempo, por lo que la herramienta como la más adecuada para contrarrestar la problemática es la metodología SMED (Single Minute Exchange of Die, Cambio de formato en un solo minuto). Las demás pérdidas son atacadas por otros grupos de mejora.La implementación de la metodología inicia con el desarrollo de las 5 actividades preliminares, en el primer paso se realiza el inicio de despliegue de costos con la matriz C, de esa forma se identifica que la línea de envasado jabonería es la segunda con mayor pérdida como se había comentado a un inicio; posteriormente el segundo paso es la estratificación de las pérdidas de la línea donde se identifica que la eficiencia global de la línea es de 63,04% y las pérdidas 36,96%, de las cuales a su vez se subdividen y se identifica que la pérdida Número 11, cambio de formato (Línea parada, incapaz de producir) es la segunda pérdida más significativa con 5,5%; el tercer paso identifica dos cambios de variedad de OMO a PUMA y viceversa, con un tiempo de 480 minutos en ambos; el cuarto paso es verificar el procedimiento de la planta, por lo cual si se identifica que no existe un procedimiento para el proceso de cambio de formato; y por último el quinto paso es ir al lugar, identificando que la línea se encuentra parada durante 480 minutos, sumando 1433 min en serie con 3 manos de obra de los operadores durante el cambio de formato de los productos OMO a PUMA.En una fase inicial se identifica que las pérdidas en serie de las 3 manos de obra de los operadores son: Torre de atomizado 305 min, Robocop 176 min, Compresor (1) 176 min, Comida 172 min, Compresor (2) 170 min, Cinta doble 63 min, Cintas (5 y 6) 60 min, Ciclones 55 min, Compresor (3) 54 min, Cinta (1) 47 min, Reproceso 45 min, Cortadora 43 min, Tareas de layout 24 min, Tareas extras 20 min, Emergencia personal 18 min y limpieza tableros 5 min, sumando un total de 1433 minutos con 94 dificultades. De las cuales se espera que por la fase de Externalización se elimine del proceso de cambio de formato 127 minutos acomodándolas a un inicio o final del mismo (otros procesos donde la máquina esté en funcionamiento). Continuando con la aplicación de la fase de ECRS se espera reducir 220 minutos y con la misma eliminar 49 dificultades. Por tanto, se espera que con la implementación de la metodología los resultados en serie de las 3 manos de obra sean de: Torre de atomizado 155 min, Robocop 116 min, Compresor (1) 77 min, Comida 180 min, Compresor (2) 95 min, Cinta doble 32 min, Cintas (5 y 6) 49 min, Ciclones 42 min, Compresor (3) 42 min, Cinta (1) 22 min, Reproceso 4 min, Cortadora 18 min y Tareas de layout 24 min sumando un total de 680 minutos con 45 dificultades.Lo cual significa que esta suma en serie de 680 minutos, en paralelo son 312 minutos incluyendo las 3 manos de obra de línea parada, por tanto, se ganaría 168 minutos, de cuyo tiempo se invertirá 103 minutos para la producción de jabón Puma, lo que significa una ganancia en dinero por este tiempo de 404654,04 Bolivianos.</t>
  </si>
  <si>
    <t>https://drive.google.com/file/d/1rqtfR-A7pR6iuEXrWFBgDqVyeq8tI0q3/view?usp=sharing</t>
  </si>
  <si>
    <t>https://drive.google.com/file/d/1b90Ag5ayc1J-9Ynxg2wl0ujU218_mKV1/view?usp=sharing</t>
  </si>
  <si>
    <t>https://drive.google.com/file/d/1iCFKDvIys4CW2VYVllbbcSWWMHJPf2fo/view?usp=sharing</t>
  </si>
  <si>
    <t>ERCILIA CAERO CANDIA</t>
  </si>
  <si>
    <t>ING. JOSÉ GABRIEL MARCA AQUINO</t>
  </si>
  <si>
    <t>DISEÑO DE UN SISTEMA DE GESTION DE HIGIENE Y SALUD OCUPACIONAL EN CERVERCERIA BOLIVIANA NACIONAL S.A.- PLANTA TAQUIÑA</t>
  </si>
  <si>
    <t>ercaero@gmail.com</t>
  </si>
  <si>
    <t>IND-1044-2019</t>
  </si>
  <si>
    <t>Planta Taquiña, Sistema de Gestión, Salud Ocupacional, HSMA (Higiene, Seguridad y Medio Ambiente, Médico de planta, Enfermedades Ocupacionales.</t>
  </si>
  <si>
    <t>El sistema de Gestión de Higiene y Salud Ocupacional diseñado para la empresa CBN Planta Taquiña, se diseñó con el objetivo de garantizar el cumplimiento legal y de requisitos en materia de salud ocupacional así también, garantizar la atención primaria y el servicio médico de emergencias en caso de accidentes, promover así mismo hábitos saludables conforme a la estrategia de la OMS, soportar desde la especialidad a las disciplinas de Higiene y Salubridad en comedores y sanitarios y proponer medidas de control a los riesgos higiénicos.Primeramente, se realizó la evaluación de la empresa en cuanto a la materia de salud ocupacional y el cumplimiento legal del mismo, a través de análisis FODA el cual permitió plantear estrategias que ayudaron a estructurar el sistema. A continuación, se diseñó la estructura del sistema, el contenido del mismo y el modo de manejo del mismo con herramientas de apoyo para la sustentabilidad del sistema y su evaluación de mejora continua para que el departamento de salud de la empresa y pueda alcanzar los objetivos específicos de la especialidad.En el flujo del proceso como entradas tenemos las políticas, misión, visión y valores par que el sistema no desvié la mirada de del cuidado de la salud del trabajo; así también como proceso se diseñó herramientas de seguimiento de cada producto del sistema de salud legal, atención primaria, trabajos de alto riesgo, salud preventiva y promoción de la salud y finalizando las salidas tenemos el cumplimiento legal en cuanto a temas de salud ocuapcional.Para finalizar, se realizó una valoración económica del beneficio de implementación del SGSO en la operación mediante un análisis del costo anual de ausentismo por enfermedad comparado con el retorno de la inversión de la propuesta.En conclusión, se puede destacar la importancia de aplicar criterios de sistemas de gestión a cualquier ámbito, en este caso la salud, con la única finalidad de garantizar que los resultados que se deseen alcanzar se logren de forma metodológica, ordenada, estándar y promuevan la mejora continua; con la implementación piloto en Planta Taquiña, se pretende replicar a futuro en el resto de las plantas.</t>
  </si>
  <si>
    <t>https://drive.google.com/file/d/1mdXrePOj46tmgxr-sXlna0gM2idsnzMh/view?usp=sharing</t>
  </si>
  <si>
    <t>https://drive.google.com/file/d/1X2MNzOvwObsqG3aTx97mginkNaSLpIVU/view?usp=sharing</t>
  </si>
  <si>
    <t>https://drive.google.com/file/d/1pRE7oGhouDPO8guxEFihNv8T9jE86BKi/view?usp=sharing</t>
  </si>
  <si>
    <t>PAOLA ALEJANDRA CAMPERO CLAROS</t>
  </si>
  <si>
    <t>ING. MARY ROCÍO LARUTA QUIROZ</t>
  </si>
  <si>
    <t>DISEÑO DE UN PROGRAMA DE SEGURIDAD Y SALUD EN EL TRABAJO PARA LA EMPRESA “LA MODERNA” S.R.L. – PLANTA DE PRODUCCIÓN DE PARQUE INDUSTRIAL DE SANTIVAÑEZ</t>
  </si>
  <si>
    <t>alecamperoclaros@gmail.com</t>
  </si>
  <si>
    <t>IND-1045-2019</t>
  </si>
  <si>
    <t>Seguridad industrial, salud ocupacional, plan de emergencias, fabricación de pasta corta.</t>
  </si>
  <si>
    <t>Inicialmente se realizó un diagnostico a la empresa y la planta de producción de Santivañez, para conocer la situación en el ámbito de seguridad y salud ocupacional. Realizando un check list de la ley Nº 169998 se verificó un 45% de cumplimiento legal, 34% no es acatado y el restante 21% es de cumplido parcialmente.Para la identificación de peligro se empleó la observación directa y cuestionario al personal, para conocer los peligros existentes en los puestos de trabajo. La falta de orden y limpieza se percibió en la mayor parte de los lugares. La evaluación de riesgos se realizó mediante la matriz IPER, dando como resultado un 50% de riesgos importantes, 26% riesgo moderados, 20% riesgos bajos y 4% de riesgos triviales. Acorde a los riesgos identificados, se plantearon medidas de control mitigatorias y preventivas, con la finalidad de reducir el riesgo de materialización de los riesgos presentes.Se desarrolló los requisitos presentes en la norma Técnica de Seguridad NTS 009/18 que el Ministerio de trabajo exige a toda empresa como declaración de su situación actual en el ámbito de seguridad.Se asignaron funciones y actividades para el Gerente de Seguridad y Salud en el Trabajo, con la responsabilidad de controlar la seguridad y mejorar las condiciones para garantizar la calidad de vida de los trabajadores.El plan de emergencias se realizó acorde a la Norma Boliviana NB 517002:2014, donde se identificaron cinco amenazas que pueden convertirse en emergencia dentro la planta. Se desarrollaron medidas de prevención y combate. Se asignaron responsabilidades para la brigada industrial.El programa de señalización se desarrolló según la Resolución Administrativa Nº 038, determinando las medidas y señales necesarias para transmitir mensajes a los trabajadores. Se asignaron áreas de circulación vial dentro la planta, para delimitar su tránsito y conservar la seguridad de los trabajadores.Posteriormente, el programa de salud ocupacional se presentó con la finalidad de evaluar e implementar medidas preventivas para conservar la calidad de vida de los trabajadores.El programa de capacitaciones desarrolla las temáticas esenciales para la formación del personal, se desarrollaron formularios de control de asistencia y retroalimentación de las capacitaciones.Finalmente, la estimación de costos revelo el presupuesto de Bs. 42.145,43 que se requiere para implementar el PSST. Un análisis económico demostró la factibilidad y los beneficios económicos que la empresa obtendrá.</t>
  </si>
  <si>
    <t>https://drive.google.com/file/d/1M5QWxv40S-THFTpKyjWHe3kiX-SVlweq/view?usp=sharing</t>
  </si>
  <si>
    <t>https://drive.google.com/file/d/18m145hXiEmNbZzqUAWwl4WXcq9P0Pcoh/view?usp=sharing</t>
  </si>
  <si>
    <t>https://drive.google.com/file/d/13cIhBSFLExAUx_5J2Hbtd64NtCYO44M9/view?usp=sharing</t>
  </si>
  <si>
    <t>ANA GABRIELA TERAN ARNEZ</t>
  </si>
  <si>
    <t>ROSALVA ALVARADO ARCE</t>
  </si>
  <si>
    <t>REDISEÑO ORGANIZACIONAL PARA LA FACULTAD DE CIENCIAS Y TECNOLOGÍA (FCYT) DE LA UNIVERSIDAD MAYOR DE SAN SIMÓN</t>
  </si>
  <si>
    <t>3992anita@gmail.com</t>
  </si>
  <si>
    <t>IND-1046-2019</t>
  </si>
  <si>
    <t>Rediseño organizacional, organigrama, estructura organizacional, unidades académicas, unidades administrativas, manuales de organización, manuales de descripción de puestos, propuesta de estructura organizacional,  análisis FODA, Modelo propuesto, diagnostico situacional, descripción de puestos, comunicaci’on organizacional, integración, diferenciación, diseño organizacional, tramo de control, formalización, manuales administrativos.</t>
  </si>
  <si>
    <t>Primeramente, se realizó un relevamiento de información sobre la documentación vigente de las Unidades Académicas, Administrativas y de Investigación en la Facultad de Ciencias y Tecnología, datos históricos de la Facultad y el respectivo uso de los Manuales de Organización y Descripción de Cargos en las Unidades de la Facultad hasta la fecha, los mismos que servirían de insumo para la elaboración del análisis y el diagnóstico situacional.Se efectuó la sistematización de la información recolectada para ser detallada y analizada en el diagnóstico de la situación actual de la Facultad, en el cual se determinó, la actual estructura organizacional, documentación con la que cuenta, interrelación, sus necesidades, recursos humanos; plasmando los resultados y estrategias sugeridas en la Matriz FODA.Luego de la revisión de documentos se procedió a mandar los manuales de descripción de cargos y los manuales de organización a las respectivas unidades de la Facultad y se continuó con entrevistas a los responsables de Unidad de acuerdo a los requerimientos de información del diagnóstico.Se aplicó los manuales de relevamiento con el propósito de identificar los sistemas que intervienen, analizar las relaciones existentes entre las distintas unidades y detectar de esta manera los principales datos para elaborar los manuales de descripción de cargos y manuales de organización faltantes.Posteriormente se realizó un análisis interno para conocer la situación actual de la Facultad de Ciencias y Tecnología, se analizó la estructura actual identificando los elementos que la componen, la jerarquía, la línea de mando, la comunicación y la cantidad de manuales de funciones actualizados y por actualizar.Después del análisis, se concluyó que es necesaria una estructura organizacional formal nueva y con el propósito de corregir las deficiencias que tiene la Facultad y que la propuesta debía estar de acuerdo al tamaño y función de la institución pública como a las exigencias actuales y su necesidad de crecimiento a futuro.Posteriormente, se presentó el modelo propuesto de la nueva estructura organizacional en la que se realizó algunas adecuaciones, acorde a las necesidades actuales para una mejor gestión de la Facultad de Ciencias y Tecnología, se propuso nuevas Unidades y nuevos cargos.Finalmente, se realizó el rediseño y actualización de los Manuales de Organización y Descripción de Cargos, que fue elaborada según el modelo propuesto por el Departamento de Organización y Métodos, la misma busca efectivizar la comunicación y coordinación que permiten registrar y transmitir en forma ordenada y sistemática, información de una organización.</t>
  </si>
  <si>
    <t>https://drive.google.com/file/d/1xBd5xsy8Y3C-stzsK5sY2oP339kLFHd5/view?usp=sharing</t>
  </si>
  <si>
    <t>https://drive.google.com/file/d/1DxxxoABC_mU1UwLhAnv63X__jLiKS84l/view?usp=sharing</t>
  </si>
  <si>
    <t>CLAROS PEÑARRIETA MIGUEL</t>
  </si>
  <si>
    <t>QUIROGA VARGAS NATALY</t>
  </si>
  <si>
    <t>PROPUESTA TÉCNICA Y FINANCIERA PARA MEJORAR LA PRODUCTIVIDAD DE EUCALIPTOL EN EL CENTRO DE TECNOLOGÍA AGROINDUSTRIAL DE LA FCYT - UMSS</t>
  </si>
  <si>
    <t>miguel.claros01@gmail.com</t>
  </si>
  <si>
    <t>IND-1047-2019</t>
  </si>
  <si>
    <t>CTA, Propuesta Técnica y Financiera, Investigación de mercados, Producción de aceite, Evaluación financiera.</t>
  </si>
  <si>
    <t>En Bolivia, la actividad productiva es principalmente de tipo extractiva, presentando una reducida participación del sector industrial de alto valor agregado. En este contexto, hay un creciente interés por parte diversos sectores para incursionar en la producción de aceites esenciales de diversas especies vegetales.En el CTA se desarrolla el proyecto “Eucaliptol” desde el año 1983, el cual inició operaciones con una planta piloto ubicada en la Facultad de Ciencias y Tecnología de la Universidad Mayor de San Simón. En junio de 1985 entró en operación semi-comercial mediante la instalación de extractores de aceite crudo en varias comunidades. Al pasar los años aumentaron más extractores que se diversificaron en diferentes bosques que abastecían las demandas de la planta central en el CTA.En la propuesta técnica y financiera se realiza el estudio del proceso de producción de Eucaliptol desde los extractores rurales (material prima) hasta la comercialización del Eucaliptol.Primeramente se realiza un diagnóstico en dos áreas específicas: Extractores rurales (aceite crudo de eucalipto) y Planta de refinación del CTA, para realizar el diagnóstico en el área rural se visitó las comunidades donde están en funcionamiento los extractores, con los datos obtenidos se identificó los problemas y las causas que afectan al abastecimiento de materia prima a la Planta de Refinación del CTA.Analizando la producción de Eucaliptol dentro de la planta de refinación del CTA se realizó un estudio de tiempos y movimientos para identificar el tiempo empleado en el proceso de refinación, se identificó los procesos empleados, se utilizó la herramienta de ingeniería el diagrama hombre – máquina para calcular el tiempo empleado del operario en el proceso de refinación ya que cumple varias funciones complementarias en otros proyectos dentro del CTA, en la parte comercial se evaluó los datos anteriores de ventas y producción del Eucaliptol donde se observó que existe perdidas de clientes por falta cumplimiento de Eucaliptol por causa del abastecimiento de materia prima.Tomando en cuenta esta propuesta se realizó la evaluación financiera donde demuestran que son rentables y la aplicación de la misma mejorara la productividad y comercialización de Eucaliptol.</t>
  </si>
  <si>
    <t>https://drive.google.com/file/d/1CdmGKO1ye40Nup6ReeVPEx2WojBX8s6P/view?usp=sharing</t>
  </si>
  <si>
    <t>https://drive.google.com/file/d/1-RXMPaQd1iNS-sR8bzxWlEShlkGSjIRT/view?usp=sharing</t>
  </si>
  <si>
    <t>https://drive.google.com/file/d/1a2QZU9yH6EsAvsDJW_EQpIPfnmn8iu3a/view?usp=sharing</t>
  </si>
  <si>
    <t>NOGALES HERMOSO YESMI</t>
  </si>
  <si>
    <t>RUCK TORRICO DIEGO SANDRO</t>
  </si>
  <si>
    <t>ING. ALEX D`ANCHGELO CHOQUE FLORES.</t>
  </si>
  <si>
    <t>PROYECTO DE FACTIBILIDAD TÉCNICO Y COMERCIAL PARA UNA NUEVA LÍNEA INDUSTRIAL DE MERMELADA PARA TUFRU S.R.L</t>
  </si>
  <si>
    <t>yesmihermoso@gmail.com</t>
  </si>
  <si>
    <t>IND-1048-2019</t>
  </si>
  <si>
    <t>Línea de Producción de mermelada, Productividad, Análisis FODA, Oferta/Demanda, P´s del Marketing, Balance de masa, Diagrama de Proceso, Cursograma Analítico, VAN, TIR, B/C, Matriz de Leopold</t>
  </si>
  <si>
    <t>La empresa TuFru S.R.L. actualmente se dedica a la producción y comercialización de mermelada únicamente en el sabor de frutilla. Su producción artesanal y rudimentaria, además de la baja oferta de alternativas en cuanto a sabores y la baja innovación de sus productos, provoca una baja productividad a la empresa y por ende genera poca utilidad a los socios. Analizando esta situación, TuFru vio por conveniente realizar la implementación de una nueva línea de producción que tenga la capacidad de producir tres diferentes sabores. Para ello, habría que realizar una renovación completa de sus equipos, invirtiendo en tecnología apropiada para cumplir la demanda del mercado y poder cubrir las debilidades de la empresa Para la ejecución del proyecto, se realizó un diagnóstico de la empresa, se analizó las diferentes fortalezas y debilidades actuales.Se llevó a cabo un estudio de mercado donde se obtuvieron diferentes datos del mercado potencial, la demanda y la oferta.Se desarrolló un plan comercial fundamentado en estrategias de comercialización.Se llevó a cabo la ingeniería del proyecto, donde se detalla la cantidad de materia prima e insumos requeridos para la producción de mermeladas, se hizo una descripción de las operaciones necesarias, el tipo de máquinas, herramientas a utilizar y la capacidad de estas.Se determinó el tamaño de la planta necesario para el correcto funcionamiento del proceso de producción, con un análisis cuantitativo, donde se estableció la secuencia tecnológica en base a las capacidades de cada máquina y las operaciones del proceso.Se llevó a cabo un estudio de localización, tomando en cuenta factores cuantitativos y cualitativos, así como diferentes aspectos socioeconómicos, de logística y productivos.Se llevó a cabo la evaluación ambiental del proyecto, donde se midieron los efectos positivos y negativos que el proyecto ocasionaría al medio ambiente, y en función a estas, se realizaron planes de gestión ambiental donde se aplicarán políticas de mitigación de los impactos ambientales provocados por el proyecto.Se hizo la evaluación financiera, donde se analizó la rentabilidad que genera el proyecto y la viabilidad financiera desde el punto de vista del inversionista. A partir de estos, se pudo determinar que la implementación de una nueva línea de producción para la empresa TuFru S.R.L. desde el punto de vista financiero y técnico es factible.</t>
  </si>
  <si>
    <t>https://drive.google.com/file/d/1WdNwhocWh3a4eUYQf8IiyH1y86QY-zX9/view?usp=sharing</t>
  </si>
  <si>
    <t>https://drive.google.com/file/d/1Z---TpMylkENoArJIidCS4qXRTBxMqiR/view?usp=sharing</t>
  </si>
  <si>
    <t>https://drive.google.com/file/d/1g8i9lgIufhfNoGxBt7UiAQqZuTldJ3i6/view?usp=sharing</t>
  </si>
  <si>
    <t>NILDA ACOSTA LEDEZMA</t>
  </si>
  <si>
    <t>ESTUDIO DE FACTIBILIDAD TÉCNICA Y ECONÓMICA PARA LA INSTALACIÓN DE UNA ESTACIÓN DE SERVICIO EN EL DISTRITO DE BULO BULO</t>
  </si>
  <si>
    <t>nildaacostaledezma@gmail.com</t>
  </si>
  <si>
    <t>IND-1049-2019</t>
  </si>
  <si>
    <t>Evaluación Financiera, Evaluación Impacto Ambiental</t>
  </si>
  <si>
    <t>Primeramente se aclara que el proyecto esta netamente financiado por el Sindicato Transportes Bulo Bulo. Se realizó estudio de mercado,  para determinar la  demanda de cuantos litros dia requieren los asociados del auto transporte Bulo Bulo.Se definió  también la cantidad de Distribuidores que se requiere, la capacidad de la estación de servicio es de 20.380 litros/ dia de Gasolina y 20.570 Litros /dia de Diesel. No se realizó la ponderación, porque os asociados de transporte Bulo Bulo ya contaba con lugar fijo. Por tanto la estación de servicio esta ubicado  Municipio de Entre Rios, Distrito Bulo Bulo  antes de llegar al peaje del mismo distrito.. El estudio organizacional fue realizado para la estación de servicio  definiendo el diagrama organizacional, las funciones de cada trabajador y las planillas de salarios.Posteriormente se preparó la información para poder realizar la evaluación financiera determinando un VAN de  1.286.691.98 $us, un TIR de 33,24 y una relación B/C de 1,94. También se realizó un análisis de sensibilidad donde fue mostrado que el precio y el volumen de producción son las variables más sensibles para la producción de hongos Ostra. Se definió una inversión total de 687.548,69 $us. Finalmente se concluyó con una Evaluación de Impacto Ambiental de acuerdo a ley 1333, y decreto supremo 3856 aprobado el 2 de abril 2019,  estudió al proyecto en sus etapas de ejecución y operación. Se concluyó que el proyecto pertenece a categoría 3, por tanto se debe presentar el Formulario de Nivel de categorización y posteriormente presentar el documento Plan de Prevención y Mitigación y Plan de Adecuación y Seguimiento  Ambiental.</t>
  </si>
  <si>
    <t>https://drive.google.com/file/d/1WiAT71vaUv0Nacu8vEJnERxHuUYPbfF5/view?usp=sharing</t>
  </si>
  <si>
    <t>https://drive.google.com/file/d/1CNeZC7JmwpbuNAs-urlhgSoKdq8Ag_4v/view?usp=sharing</t>
  </si>
  <si>
    <t>https://drive.google.com/file/d/1vcT-WTvSslfaqMvWyjTetV-jYSmOx_q8/view?usp=sharing</t>
  </si>
  <si>
    <t>MARCELA DEL ROSARIO SOLIZ UREÑA</t>
  </si>
  <si>
    <t>MGR. ING. NANCY TAPIAS</t>
  </si>
  <si>
    <t>PROGRAMA DE SEGURIDAD Y SALUD EN EL TRABAJO PARA LA PLANTA DE ALIMENTO                                       BALANCEADO DE LA ASOCIACIÓN DE PRODUCTORES DE LECHE DEL VALLE DE COCHABAMBA (APL) VINCULADOS AL CLÚSTER LÁCTEOS DE LA UMSS.</t>
  </si>
  <si>
    <t>marce_2704_rsu@hotmail.com</t>
  </si>
  <si>
    <t>IND-1050-2019</t>
  </si>
  <si>
    <t>Asociación de Productores Leche, Diagnostico, Programa, Monitoreo, Registros, Prevención, Beneficios.</t>
  </si>
  <si>
    <t>El programa de Seguridad y Salud en el Trabajo (PSST) desarrollado en el presente trabajo para la planta de alimento balanceado de la Asociación de Productores de Leche  del valle de Cochabamba (APL), tiene el propósito de minimizar los accidentes y enfermedades laborales  en base a las normativas legales vigentes.La primera actividad que se realizó fue el diagnóstico en temas de seguridad y salud en el trabajo realizado en las instalaciones de la planta mediante listas de verificación, monitoreo de las condiciones ambientales, encuestas y entrevistas al personal. Lo cual permitió identificar los riesgos existentes. Posteriormente, se identificó que existen riesgos de tipos físicos, químicos, biológicos, mecánicos, ergonómicos, psicosociales y respecto al orden y limpieza dentro del proceso productivo del alimento balanceado basándonos en la Ley General de Higiene y Seguridad Ocupacional y Bienestar y en la NTS-009, el proceso productivo. Seguidamente, se aplicó el método William Fine, con el cual se realizó la evaluación de los riesgos correspondientes a cada peligro, en los cuales se demostró que el riesgo más alto es la expulsión de nocivos, el cual indica la detención inmediata de la actividad. Consecutivamente  se propuso medidas correctivas basadas en la Normativa vigente a cada uno de estos, para lograr de esta manera, mejorar su calificación a niveles de riesgo moderado o aceptable.Seguidamente se elaboró una matriz de requisitos legales en la cual se exponen las normativas y sus respectivos artículos que la planta debe dar cumplimiento. Al mismo tiempo, se desarrolló la propuesta para la conformación de la unidad especializada en Seguridad y Salud en el Trabajo y sus respectivas funciones dentro la estructura organizativa de la empresa basada en el Reglamento para la conformación de comités mixtos de higiene y seguridad ocupacional. Se desarrollaron también un plan contra incendios, un manual de primeros auxilios, un programa de señalización y un programa de capacitación en temas de seguridad y salud en el trabajo, los cuales, impulsaran a la estandarización de las medidas que se adoptarán para la minimización de riesgos y prevención de accidentes.Por último se realizó una propuesta de implementación y un análisis financiero de la implementación del programa de seguridad y salud en el trabajo, el cual indica que el proyecto es factible debido a que la inversión de este reducirá los gastos por accidente.</t>
  </si>
  <si>
    <t>https://drive.google.com/file/d/1f-SVOfJv4jgWEan1K23MgikEdmE-AW4U/view?usp=sharing</t>
  </si>
  <si>
    <t>https://drive.google.com/file/d/1kGH6LF5XCzwwKy68p1gR4u2975Lmbu-E/view?usp=sharing</t>
  </si>
  <si>
    <t>https://drive.google.com/file/d/1Mi-ToRV2Pqhnk0Jan0nZSmHb8v4UvOZ0/view?usp=sharing</t>
  </si>
  <si>
    <t>DAYANA ANDRADE ROCHA</t>
  </si>
  <si>
    <t>TORIBIO TRUJILLO LÓPEZ</t>
  </si>
  <si>
    <t>DISEÑO DE UN PLAN DE ANÁLISIS DE PELIGROS Y PUNTOS CRÍTICOS DE CONTROL Y UN PROGRAMA DE SEGURIDAD Y SALUD EN EL TRABAJO (PSST) PARA INDUSTRIAS YACOBS S.R.L</t>
  </si>
  <si>
    <t>dayan.dar95@gmail.com</t>
  </si>
  <si>
    <t>IND-1051-2019</t>
  </si>
  <si>
    <t>Análisis de Peligros y Puntos Críticos de Control (APPCC-HACCP) Programa de Pre-requisitos (PPR), Buenas Prácticas de Manufactura (BPM), Buenas Practicas de Higiene (BPH), Procedimientos Operativos Estandarizados (POE’s), Norma Tecnica de Seguridad (NTS), Programas de Seguridad y Salud en el Trabajo (PSST), Plan de Higiene, Seguridad Ocupacional y Bienestar (PHSOB), Identificación de peligros y Evaluación de Riesgos (IPER)</t>
  </si>
  <si>
    <t>El presente proyecto tiene como objetivo presentar el desarrollo de diseño de un plan de análisis de peligros y puntos críticos de control (HACCP) y un programa de seguridad y salud en el trabajo (PSST) para una industria de alimentos en conserva. Es indispensable que las industrias cuenten con el PSST tal y cual es declarado en la ley general del trabajo y exigid por el Ministerio de Trabajo, así mismo es importante para las industrias de alimentos tengan un sistema HACCP para asegurar la inocuidad alimentaria de sus productos.Para ello inicialmente se realizó un diagnóstico de los pre-requisitos de inocuidad alimentaria establecidos en la NB/ISO/TS 22002-1:2010, Programas  de  prerrequisitos  sobre  inocuidad alimentaria -Parte 1: Fabricación  de  alimentos (correspondiente a la norma ISO/TS 22002-1:2009) en el cual se determinó el grado de cumplimiento que a empresa tiene, siendo este un nivel de cumplimiento bajo.Se diseñaron manuales, instructivos, programas, registros que involucran las BPM’s, BPM’s, POE’s entre otros; según mencionados en la NB/ISO/TS/22002-1:2010, siendo este un paso anterior para realizar un análisis HACCP.Se procedió a realizar un análisis HACCP, que consta de 7 principios, 12 etapas, realizando inicialmente la descripción de todos los productos involucrados, diseñando diagramas de operación del producto y su respectiva verificación, así comenzar con la matriz de análisis de peligros, identificando los peligros recurrentes, continuamente determinando si dichos procesos son o no puntos de control para luego establecer límites de control y así mismo medidas de control que puedan reducir o eliminar dichos peligros.Para el análisis de Seguridad, inicialmente, se realizó un diagnóstico del estado de la empresa, teniendo como documento base el Decreto Ley 16998, Ley de Higiene, Seguridad Ocupacional y Bienestar así como lo establece la NTS 009/18, Elaboración y Aprobación de Programas de Seguridad y Salud en el Trabajo, con el cual se obtuvo un nivel bajo de cumplimiento.Luego se procedió con la elaboración de la matriz de identificación de peligros y evaluación de riesgos por determinadas líneas de producción, y así poder establecer medidas de control que puedan eliminar o reducir los riesgos identificados. Junto con ello, se realizaron monitoreos de Ruido Iluminación, temperatura y Carga de Fuego.Finalmente se realizó la propuesta del Programa de Seguridad y Salud en el trabajo considerando todos los apartados mencionados en la NTS 009/18, Elaboración y Aprobación de Programas de Seguridad y Salud en el Trabajo, teniendo como corazón la matriz de Identificación de peligros y Evaluación de riesgos (IPER), ya que de este dependerá la correcta trazabilidad de todos los apartados, entre ellos se consideran (manuales de primeros auxilios, programa de Equipo de Protección Personal, plan de emergencia, planillas de investigación de accidentes, Registro de Inspecciones; otros programas complementarios, programas de señalización, orden y limpieza, lucha y combate contra incendios, entre otros).Es bueno resaltar que tanto como el Plan HACCP y el PSST elaborados antes de ser implementados deberán ser previamente, estudiados y evaluados por un personal competente y especializado en las respectivas áreas.</t>
  </si>
  <si>
    <t>https://drive.google.com/file/d/1XXxDJPFbaQHQBwC-zBWVopfZHsQm7Pvr/view?usp=sharing</t>
  </si>
  <si>
    <t>https://drive.google.com/file/d/1b1qm7JombQ0rBIB08niGSBsIGx7kXqrT/view?usp=sharing</t>
  </si>
  <si>
    <t>https://drive.google.com/file/d/1Av007B-TNAwF2WAY2T4SAIG9VORNhp9h/view?usp=sharing</t>
  </si>
  <si>
    <t>DELGADILLO LAIME ROXANA</t>
  </si>
  <si>
    <t>PROYECTO DE FACTIBILIDAD TÉCNICO Y FINANCIERO PARA LA IMPLEMENTACIÓN DE UNA LÍNEA DE PRODUCCIÓN DE MARGARINA VEGETAL CON AJO Y ESPECIAS PARA LA EMPRESA HACEMOS-BOLIVIA</t>
  </si>
  <si>
    <t>IND-1052-2019</t>
  </si>
  <si>
    <t>Proyecto, Factibilidad Técnico y Financiero, Implementación, Línea Producción  Margarina, Vegetal, Ajo,  Especias, Empresa, Hacemos-Bolivia.</t>
  </si>
  <si>
    <t>El presente proyecto que se realizó tenía como objetivo general determinar la factibilidad técnica, y financiera de la instalación y funcionamiento de una línea de producción de margarina vegetal con ajo y especias para la empresa HACEMOS BOLIVIA, dirigida a la población Cercado - Cochabamba.Para el presente proyecto se realizó una investigación de mercado en la provincia de Cercado – Cochabamba, el cual permitió establecer el nivel de oferta y demanda del producto, la población y posibles consumidores del mismo.Posteriormente se procedió al desarrollo de muestras del nuevo producto, por medio del cual se obtuvo una muestra final (producto final), que cumplió con las expectativas del consumidor y mediante el cual se realizó la ingeniería del proyecto.El estudio técnico se enfocó en procedimientos, tecnología y maquinaria necesarios para la elaboración del producto, además se determinó el layout del área para la producción de margarina vegetal con ajo y especias y se detalló los arreglos necesarios para la implementación de la nueva línea de producción.Para obtener el máximo rendimiento técnico económico de la planta, se determinó la estructura de la organización para el correcto funcionamiento de los departamentos, así mismo se determinó todos los trámites necesarios para su funcionamiento dentro del marco legal.La evaluación del impacto ambiental determinó que la ejecución del proyecto no presenta mayor inconveniente, de modo que no causa un daño considerable al medio ambiente, según la norma RASIM se encuentra dentro de la categoría tres.Se estimaron las inversiones totales y los respectivos costos operativos. Con toda la información de costos se procedió a la preparación de esta información, para realizar el respectivo análisis económico usando indicadores como la TIR (Tasa Interna de Retorno), VAN (Valor Actual Neto) y la relación Beneficio Costo, que además se realizó una evaluación financiera respectivamente.</t>
  </si>
  <si>
    <t>https://drive.google.com/file/d/1MHudfB8nj6Cuau_tSvOxc8iA_Ei9BboV/view?usp=sharing</t>
  </si>
  <si>
    <t>https://drive.google.com/file/d/147Gl-xy6z7zS4ZvZW-HJBBv_uevlXnnv/view?usp=sharing</t>
  </si>
  <si>
    <t>https://drive.google.com/file/d/1iTurkClXCJFQowLmVCPCDqdoF9ONmM6j/view?usp=sharing</t>
  </si>
  <si>
    <t>NELSON WILGE JIMENEZ GUEVARA</t>
  </si>
  <si>
    <t>NELVIA MAIZO VEIZAN</t>
  </si>
  <si>
    <t>ING. DIETER FERNANDO SEJAS LÓPEZ.</t>
  </si>
  <si>
    <t>PROYECTO DE FACTIBILIDAD PARA LA IMPLEMENTACIÓN DE UNA PLANTA DE MUEBLES MINIMALISTAS PARA LOS MERCADOS DE COCHABAMBA Y ORURO</t>
  </si>
  <si>
    <t>nelsonjimenezg94 @gmail.com</t>
  </si>
  <si>
    <t>IND-1053-2019</t>
  </si>
  <si>
    <t>Proyecto de factibilidad, Muebles, Minimalistas, Estudio técnico, Diseño de planta</t>
  </si>
  <si>
    <t>En Bolivia actualmente existe un estancamiento en cuanto a la diversidad de nuevos modelos de muebles, ya que gran parte de este rubro se incorporó directamente a las pymes, y gran parte de sus procesos y modelos que ofrecen son tradicionales y de gran tamaño, como respuesta a esta problemática surge la idea de realizar un Proyecto de Factibilidad para la implementación de una Planta de Muebles Minimalistas para los departamentos de Cochabamba y Oruro, ofreciendo al mercado muebles modernos funcionales y resistentes hechos a base de madera.A través del estudio de mercado realizado en la zona urbana de ciudad de Cochabamba y Oruro, se determinó la demanda potencial de muebles minimalistas. Así mismo, se identificaron las principales características que busca el consumidor final en estos, también se determinó que los muebles con los que se trabajará y ofrecerá serán camas de dos plazas y comedores de ocho sillas.Se realizó la investigación de la materia prima, insumos y materiales que formarán parte del producto final, como también los proveedores con los que se contara. Se diseñaron estrategias de mercado para determinar la viabilidad del flujo de comercialización. De igual manera se llevó a cabo un estudio técnico para el análisis y determinación de la estructura, organización, tecnología y tamaño óptimo del proyecto. Se desarrolló la planificación del proyecto que muestre de forma detallada y cronológica la secuencia de actividades.Posteriormente se elaboró una evaluación financiera donde se estimó la inversión total que el proyecto requiere para su implementación, el cual corresponde a Bs. 625 023,20 en la que el aporte bancario será del 30 % y el restante será cubierto por el aporte propio de los inversores. A través del flujo de caja se determinaron los parámetros de rentabilidad con una TMAR igual a 14,95% del cual se tiene un VAN igual a Bs 249 196, una TIR de 23,97%, una relación B/C de 1,22 y el periodo de recuperación de la inversión será en el tercer año de la vida útil del proyecto, todos estos parámetros dan a concluir que el proyecto es rentable. También se realizó el análisis de sensibilidad para tres escenarios considerando las variables más influyentes, como ser el incremento de materia prima, disminución de ingresos y un escenario combinado donde se da el aumento de costes de materia prima y disminución de ingresos, sometiendo el proyecto a estos parámetros se vio que es rentable y que la variable más sensible a él, es a la disminución de ingresos del producto, por los costos de inventarios.Finalmente se realizó la evaluación del impacto ambiental, identificándose impactos negativos leves que pueden ser mitigados y controlados a través de medidas correctivas de fácil implementación. Por tanto, se concluye que el proyecto pertenece a la categoría 3.</t>
  </si>
  <si>
    <t>https://drive.google.com/file/d/1UC2Um-tinwoDSQmIc_s6MYoeewxgF2nf/view?usp=sharing</t>
  </si>
  <si>
    <t>https://drive.google.com/file/d/1RHOwqjZmYolevBcW8I9EWB_1JvAhqJfu/view?usp=sharing</t>
  </si>
  <si>
    <t>https://drive.google.com/file/d/1s-0pMZ1hu0mtxxPAFFf9dldr2uz0zP7T/view?usp=sharing</t>
  </si>
  <si>
    <t>DANIELA COCA HURTADO</t>
  </si>
  <si>
    <t>ING. ALEX D´ANGHELO CHOQUE FLORES</t>
  </si>
  <si>
    <t>PROYECTO DE FACTIBILIDAD TECNICA Y FINANCIERA PARA LA IMPLEMENTACION DE UNA NUEVA LINEA DE PRODUCCION DE CARNE (HAMBURGUESA) VEGANA A BASE DE OKARA PARA LA EMPRESA NORDLAND LTDA. EN LA CIUDAD DE COCHABAMBA</t>
  </si>
  <si>
    <t>daniela.95.29mush@gmail.com</t>
  </si>
  <si>
    <t>IND-1054-2019</t>
  </si>
  <si>
    <t>Carne de soya a base de okara, carne vegana, eficiencia, aprovechamiento de materia prima de la materia prima.</t>
  </si>
  <si>
    <t>El proyecto que se realizo tuvo como objeto el desarrollo de la empresa NORDLAND que al desaprovechar  lo que es la okara teniendo esta un porcentaje de proteína aun después de la extracción no se lo daba valor agregado ya que su mercado y productos realizados se lo limitan, siendo este el motivo de desarrollo del proyecto de factibilidad técnica y financiera para la implementación de una nueva línea de producción de carne (hamburguesa) vegana a base de okara para la empresa NORDLAND LTDA. en la ciudad de Cochabamba. Para mayor diversificación de sus productos y aprovechar segmentos de mercados nuevos y hacer que la empresa tenga más presencia en el mercado con mayor productos ofrecidos y ser registrada como una marca conocida  lo  que se realizó fueron el diagnóstico de la empresa actualmente para proponer estrategias de aprovechamiento de okara, estudio de mercado para determinar la oferta y demanda del producto, efectuar un estudio de negociación para obtención de  materia prima e insumos, se determinó las etapas de transformación para la obtención del producto con la maquinaria necesaria y finalmente realizar  un estudio financiero para demostrar la rentabilidad de proyecto.Facultad de Ciencias y Tecnología (UMSS)Cochabamba – BoliviaPrimeramente se realizó la investigación de estrategias a ser planteadas  para el mayor y mejor desarrollo de la empresa aprovechando así la materia prima a un 100% basándose en los factores de análisis interno y externo que definen las fortalezas, debilidades, oportunidades y amenazas dando a conocer que al emplear la nueva línea a la vez de obtener nuevos ingresos mejora su situación en el desarrollo de la misma. El proyecto  realizado, fue de ayuda para el desarrollo de la empresa impulsando a la diversificación de producción reconociendo como ventaja el lanzamiento de un  producto nutritivo y contenido nutricional comparativo con la de su competencia, teniendo en cuenta que los productos de la competencia son poco conocidos por la población, ya que al realizar un estudio de mercado se obtuvo mayor aceptación por el nuevo producto SOYLAND hamburguesas de soya de la empresa NORDLAND donde también se llegó a conocer la frecuencia de consumo, preferencia de canales de distribución, su interés por el producto ya sea el precio, calidad,sabor,cantidad; impulsando así las ventas del producto para mayor conocimiento de la misma con promociones y muestras gratuitas para su masivo consumo. Dado que la nueva línea se realizó en ambientes actuales de la empresa siendo más factible por la cercanía al mercado meta, para reducción de costos, para aprovechar los ambientes disponibles de la empresa dándole las refacciones requeridas para habilitar la nueva línea de producción  ,para mayor facilidad de control por la misma empresa Para la producción del nuevo producto se realizó lo que es el aprovisionamiento de materia prima que se la obtiene de la empresa NORDLAND e insumos de diversos proveedores para poder obtener el de mejor  calidad para así ofrecer un producto inocuo, realizando acuerdos con los mismos para el aprovisionamiento de insumos para el trayecto del proyecto, también se  determinó los posibles peligros que estaría propenso a sufrir el producto hamburguesa de soya para así tener el debido cuidado por el personal que lo realiza con el uso de EPPS(Equipos de Protección Personal)y BPM(Buenas Prácticas de Manufactura), siendo así  un producto de calidad para el mercado meta, también  se realizó la definición específica de las etapas a realizarse para la producción de carne de soya a base de okara teniendo en cuenta toda la maquinaria, equipos, insumos y materia prima necesarios para realizar las operaciones productivas, recursos humanos requeridos y capacitados para la realización de sus obligaciones para mejor seguridad en la elaboración del producto. Facultad de Ciencias y Tecnología (UMSS)Cochabamba - Bolivia</t>
  </si>
  <si>
    <t>https://drive.google.com/file/d/1Tgc-tTmIKa5qFTo9hNnrAhEFPKvzl2Xo/view?usp=sharing</t>
  </si>
  <si>
    <t>https://drive.google.com/file/d/1fAIcRkx8Ruqkx1G0SJv7gqis6VqGAAGr/view?usp=sharing</t>
  </si>
  <si>
    <t>https://drive.google.com/file/d/1fmDe7NRuDP4Dvf3woETiT678VnGOjxDo/view?usp=sharing</t>
  </si>
  <si>
    <t>GARCÍA PARDO JOHANA</t>
  </si>
  <si>
    <t>LENIS     AYLLÓN   FELIPE</t>
  </si>
  <si>
    <t>PLAN DE SEGURIDAD INDUSTRIAL Y SALUD EN EL TRABAJO PARA LA EMPRESA CONSTRUCTORA WIFERA S.R.L SEGÚN LA NORMA ISO 45001:2016 DE LA CIUDAD DE COCHABAMBA</t>
  </si>
  <si>
    <t>jhiogarciapardo@gmail.com</t>
  </si>
  <si>
    <t>IND-1055-2019</t>
  </si>
  <si>
    <t>Diagnostico, Programa, Monitoreo, Registros, Prevención, Riesgos, Beneficios.</t>
  </si>
  <si>
    <t>El Plan de Seguridad y Salud en el Trabajo (SST) desarrollado en el presente trabajo para la Empresa Constructora WIFERA S.R.L tiene el propósito de minimizar los accidentes y enfermedades laborales en base a las normativas legales vigentes y bajo la Norma ISO 45001:2016.La primera actividad que se realizó fue el diagnóstico en temas de Seguridad y Salud en el Trabajo realizado en las instalaciones de la Empresa mediante listas de verificación, monitoreo de las condiciones ambientales, encuestas y entrevistas al personal. Lo cual permitió identificar los riesgos existentes. Posteriormente, se identificó que existen riesgos de tipos físicos, químicos, biológicos, mecánicos, ergonómicos, psicosociales y respecto al orden y limpieza dentro de la Empresa basándonos en la Ley General de Higiene y Seguridad Seguidamente, se aplicó el método William Fine, con el cual se realizó la evaluación de los riesgos correspondientes a cada peligro, en los cuales se demostró que el riesgo más alto es la expulsión de nocivos. Consecutivamente  se propuso medidas correctivas basadas en la Normativa vigente a cada uno de estos, para lograr de esta manera, mejorar su calificación a niveles de riesgo moderado o aceptable.Seguidamente se elaboró una matriz de requisitos legales en la cual se exponen las normativas y sus respectivos artículos que la Empresa debe dar cumplimiento. Al mismo tiempo, se desarrolló la propuesta para la conformación de la unidad especializada en Seguridad y Salud en el Trabajo y sus respectivas funciones dentro la estructura organizativa de la empresa basada en el Reglamento para la conformación de comités mixtos de higiene y seguridad ocupacional. Se desarrollaron también un plan contra incendios, un manual de primeros auxilios, un programa de señalización y un programa de capacitación en temas de Seguridad y Salud en el Trabajo, los cuales, impulsarán a la estandarización de las medidas que se adoptarán para la minimización de riesgos y prevención de accidentes.Por último, se realizó una propuesta de implementación y un análisis financiero de la implementación del Plan de Seguridad y Salud en el Trabajo, el cual indica que el proyecto es factible debido a que la inversión de este reducirá los gastos por accidente.</t>
  </si>
  <si>
    <t>https://drive.google.com/file/d/1z-Lvw9_3Y5w775YN0znmVWtULm_OLNsO/view?usp=sharing</t>
  </si>
  <si>
    <t>https://drive.google.com/file/d/1iuW8dcEuuFMfzLeyyJhE1AWn-483LYc1/view?usp=sharing</t>
  </si>
  <si>
    <t>https://drive.google.com/file/d/1g5QAO6PMBqx_deff850CjcqK7lEOOYVT/view?usp=sharing</t>
  </si>
  <si>
    <t>VERONICA MIRANDA VALDEZ</t>
  </si>
  <si>
    <t>PROYECTO DE FACTIBILIDAD PARA LA IMPLEMENTACIÓN DE UNA NUEVA LÍNEA DE PRODUCCIÓN PARA LA EMPRESA BODEGA DOLZ</t>
  </si>
  <si>
    <t>IND-1056-2019</t>
  </si>
  <si>
    <t>Factibilidad, factores cualitativos, factores cuantitativos, INE, Layout, análisis FODA, ruta crítica y diagrama de Gantt.</t>
  </si>
  <si>
    <t>Para poder desarrollar el estudio de factibilidad primero se analizó cual podría ser el nuevo producto para la empresa Bodega Dolz, se definió y se desarrolló una nueva Bebida Gasificada de frutilla tomando en cuenta factores cualitativos y cuantitativos para su elaboración.Para poder obtener la demanda insatisfecha de la bebida en el departamento de Cochabamba se recopilo información mediante encuestas de las cuales se obtuvo datos como ser la frecuencia de consumo, la marca que prefieren, la cantidad de botellas que consumen por persona, el precio, etc.Se demostró mediante datos del INE que la frutilla se produce en gran cantidad en el departamento de Cochabamba por lo cual abastece para realizar el nuevo producto, se detalló los insumos necesarios como ser la botella, el tapón de plástico, el bozal, etc.De acuerdo a la demanda insatisfecha se calculó el programa de producción y la capacidad de planta a ser instalado, con lo cual se calculó la cantidad de materia prima e insumos para cada año evaluado. Se diseñó un Layout del área de producción de la nueva línea de producción, que consiste en una representación mediante un plano donde se muestra la distribución del área de trabajo, además se realizó el mismo en 3D para una mejor visualización.Se realizó un análisis FODA con el cual se desarrolló estrategias para poder alcanzar el éxito del nuevo producto, además se realizó un análisis de Porter donde se desarrolló y analizo la competencia actual, productos sustitutos, nuevos entrantes, proveedores y poder del cliente.Además, se especificó la maquinaria y equipos a implementar para poder producir las cantidades propuestas, con lo cual se calculó el total de inversión en equipos y maquinaria; se explicó los equipos de protección personal que se usan para poder trabajar dentro de la fábrica.Se definió el organigrama de la empresa que sigue una estructura jerárquica piramidal y se estableció la cantidad de operarios a implementar para que se pueda realizar la producción.Se diseñó el diagrama de la ruta crítica y el diagrama de Gantt donde se observó que el proyecto tendrá una duración se treinta y tres semanas.Se calculó la inversión total del proyecto que comprende de los activos fijos, activos diferidos y el capital de trabajo, también se calculó el costo de las obras civiles debido a que el área donde se implementara la nueva línea de producción necesita construirse, se elaboró un estado de resultados del proyecto y se determinó los indicadores de rentabilidad, el B/C y el periodo de reposición; como conclusión se estableció que el proyecto es rentable y factible.</t>
  </si>
  <si>
    <t>https://drive.google.com/file/d/1BKQ0gijK6tifeiQqj3Ce8Vpso2ga7voP/view?usp=sharing</t>
  </si>
  <si>
    <t>https://drive.google.com/file/d/1mrJGNM7yIYodgi33jQ992nuqCXzgTTfB/view?usp=sharing</t>
  </si>
  <si>
    <t>https://drive.google.com/file/d/17I6Kcgx82Z9qTrg6oFlxD2YBFkR6xSLK/view?usp=sharing</t>
  </si>
  <si>
    <t>IVAN GUILLERMO TORRES MONTAÑO</t>
  </si>
  <si>
    <t>ING. JHENNY JESHICA HUAÑARRAYA CLEMENTE</t>
  </si>
  <si>
    <t>PLAN ESTRATÉGICO DE MARKETING PARA LA NUEVA LÍNEA DE LUBRICANTES INDUSTRIALES YPFB.</t>
  </si>
  <si>
    <t>pacho_t1@hotmail.com</t>
  </si>
  <si>
    <t>IND-1057-2019</t>
  </si>
  <si>
    <t>Marketing, Estrategias, Análisis, Mercado, Posicionamiento, Evaluación estratégica.</t>
  </si>
  <si>
    <t>Se analizó los factores internos de YPFB lubricantes industriales con el fin de obtener las fortalezas y las debilidades más influyentes para el análisis y evaluación en los capítulos posteriores. En cuanto a las fortalezas la línea de lubricantes industriales se encuentra en un ambiente muy favorable ya que posee características muy competitivas que le permitirán ingresar y posicionarse en el mercado y tener ventajas que aran la diferencia con otras marcas.En las debilidades más significativas encontramos la carencia de un sistema de distribución propio, falta de información del mercado y la ausencia de publicidad como los factores más importantes.A través macro entorno se analizaron los factores externos que afectan y están involucrados con el sector de los lubricantes industriales:  factores económicos, factores político-legales, factores socioculturales, factor demográfico, factor tecnológico, factor ambiental. Para obtener varias oportunidades y amenazas.Posteriormente halló los aspectos necesarios para reconocer y elegir las oportunidades y las amenazas. Se realizó el estudio de mercado para determinar las características de la competencia y del consumidor, se realizó un análisis PORTER y por ultimo un análisis del mercado meta para la evaluación estratégica y la elaboración de los planes. La evaluación y planificación estratégica de marketing se realizó en tres etapas 1. Etapa de Recolección de datosSe analizó el comportamiento del mercado actual a través de la Matriz de perfil competitivo.2. Etapa de análisis estratégico interno y adecuación3. etapa de decisión Se realizó la matriz cuantitativa de la planificación estratégica MCPE donde se evaluaron las estrategias del FODA y se estableció las 10 estrategias más influyentes para la elaboración de los planes.Posterior mente agrupando y combinando las estrategias de la matriz MPCE y las estrategias del marketing mix se formularon tres planes:PLAN: 1 EXPANSIÓN AL MERCADO INDUSTRIALObjetivo: Preparación y capacitación para el ingreso estratégico al mercado de lubricantes industriales.PLAN: 2 MONITOREO Y CONTROL DEL MERCADOObjetivo: Mantener un registro del comportamiento del mercado  PLAN: 3 PUBLICIDAD Objetivo: Generar atracción del consumidor hacia la marcaFinalmente se asignaron los indicadores de control para cada plan que permiten evaluar y analizar el cumplimiento del plan, los cuales permitirán tomar acciones correctivas y preventivas a su vez se realizó un análisis financiero evaluando la rentabilidad del proyecto.</t>
  </si>
  <si>
    <t>https://drive.google.com/file/d/1KMXEShJCmpKqcMhYORCH_z1TT_Y1b_wt/view?usp=sharing</t>
  </si>
  <si>
    <t>https://drive.google.com/file/d/1Nd3sG8OZBsGiOXCudDlS_Do3tXPz0d2R/view?usp=sharing</t>
  </si>
  <si>
    <t>https://drive.google.com/file/d/1HMXWshrOUOc5Y-JdAWxikih0Y_nYMTPH/view?usp=sharing</t>
  </si>
  <si>
    <t>CHRISTIAN REYNALDO CHUNGARA COPA</t>
  </si>
  <si>
    <t>PLAN ESTRATÉGICO PARA EL PROGRAMA DE DESARROLLO DE TECNOLOGÍAS DE FABRICACIÓN DE LA FACULTAD DE CIENCIAS Y TECNOLOGÍA DE LA UMSS</t>
  </si>
  <si>
    <t>christian.chungara.copa@gmail.com</t>
  </si>
  <si>
    <t>IND-1058-2019</t>
  </si>
  <si>
    <t>Matriz Cualitativa de Planificación Estratégica (MCPE), ARES, COSUDE, ASDI.</t>
  </si>
  <si>
    <t>Como primer paso se realizó un diagnostico interno del Programa de Desarrollo de Tecnologías de Fabricación, donde se realizó un estudio de la infraestructura, los recursos económicos, los recursos humanos y las líneas con las que cuenta el programa, y se puedo evidenciar que el programa se encuentra en una situación interna desfavorable, el diagnóstico realizado cuenta con una Matriz de Evaluación de Factores Internos (MEFI) dando una puntuación de 2,22 la matriz  sirve como respaldo del diagnóstico. Los factores internos que componen la matriz (MEFI) fueron  socializados  con todos los miembros del programa.Posteriormente se definió el tamaño de muestra de las empresas del sector metalmecánico, dando como muestra un total de 60 empresas. Pero debido a problemas de desconfianza por parte de las empresas hacia entidades externas que recaban información sobre sus actividades, solo se pudo realizar el análisis a un total de 20 empresas. Para  elaborar una diagnóstico situacional de las empresas, el análisis se basó en encuestas con preguntas sencillas pero relevantes para el proyecto. Se determinó situación actual de las metalmecánicas, el tamaño según el número de trabajadores, el área al cual pertenece y sus principales necesidades. Según el número de trabajadores más del 50% de las empresas se clasifican como MyPE, como principales necesidades se detectó capacitación para los miembros de sus empresas y también la investigación en maquinaria CNC.Se elaboró un análisis prospectivo, un análisis PESTAL, para mejorar el análisis externo y obtener información verídica. Estas herramientas facilitaron la elaboración de la Matriz de Evaluación de Factores Externos (MEFE) que dio un resultado de 2,10 por tanto la matriz califico al programa como débil externamente, dejando al PDTF como un programa que no aprovecha el entorno externo. Los factores internos que componen la matriz (MEFI) fue socializada con todos los miembros del programa.La elaboración del perfil estratégico conto con la participación de todos los miembros del programa, la metodología que se planteo es la siguiente: propuesta de perfil estratégico, socialización,  observaciones y correcciones. El perfil estratégico define la misión, visón, principios, valores y políticas para el programa. El perfil estratégico permitirá al programa reconocer lo que es en el presente y dónde quiere llegar en un plazo de 5 años.Posteriormente se realizó la reflexión estratégica, donde se elaboró el mapa estratégico, el cuadro de mando integral, las estrategias y los planes de acción. Para la selección de las estrategias madre se elaboró una evaluación cuantitativa  y se obtuvieron 5 estrategias, posteriormente en base a las estrategias se crearon 3 planes de acción: plan crecimiento, plan vinculación y plan propagación, los cuales a su vez constan de líneas de acción detallando las actividades que debe seguir el programa y también detallan las inversiones y gastos que conllevan cada una de las líneas, los cuales serán como una guía en las decisiones que tome a futuro el programa. Finalmente, se analizó la estructura organizacional desactualizada y  se concluyó con la elaboración de una propuesta de estructura organizacional para programa, la estructura propuesta para el programa es una estructura organizacional lineal, tiene la característica de ser jerárquica que mantiene con claridad las tareas de cada miembro del programa, dicha estructura cuenta con 13 cargos. Cada cargo que muestra el organigrama, tiene su respectivo manual de funciones, elaborados en base a la documentación proporcionada por la OyM Organización y Métodos de la UMSS.</t>
  </si>
  <si>
    <t>https://drive.google.com/file/d/1xVdHktR4IxutaNfMI9khP9uqttHgiugf/view?usp=sharing</t>
  </si>
  <si>
    <t>https://drive.google.com/file/d/1BpoIqobAxRAS7J1jvfuOp2Co9Is3TaHt/view?usp=sharing</t>
  </si>
  <si>
    <t>https://drive.google.com/file/d/10ew-Br87mHHtqw2jwcqm0gG_nRXcrgcl/view?usp=sharing</t>
  </si>
  <si>
    <t>JAZMÍN FABIOLA GONZALES COSCIO</t>
  </si>
  <si>
    <t>ALISON LETICIA ROCHA CHAVEZ</t>
  </si>
  <si>
    <t>M.SC. ING. CHOQUE FLORES ALEX D’ANGHELO</t>
  </si>
  <si>
    <t>ESTUDIO DE FACTIBILIDAD PARA LA IMPLEMENTACIÓN DE UNA PLANTA PRODUCTORA Y COMERCIALIZADORA DE COMPOTAS DE QUINUA Y FRUTAS PARA BEBES DE 6 A 24 MESES</t>
  </si>
  <si>
    <t>fabi.gonzalesc@gmail.com</t>
  </si>
  <si>
    <t>IND-1059-2019</t>
  </si>
  <si>
    <t>Producción compotas de quinua y frutas, Estratificación implícita con muestreo sistemático, Evaluación Financiera, Análisis sensibilidad, Evaluación Impacto Ambiental.</t>
  </si>
  <si>
    <t>Primeramente, se realizó una investigación de Mercado en el Municipio de Cercado, Quillacollo y Sacaba del departamento de Cochabamba, estudiando también los mercados distribuidor, competidor y proveedor. Se determinó una demanda insatisfecha de compotas de quinua y frutas, como también se determinó la proyección de demanda de compotas de quinua y frutas para el Municipio de Cercado, Quillacollo y Sacaba del departamento de Cochabamba.Posteriormente se definió el tamaño de la planta considerando que la empresa busca abarcar el mercado de compotas de quinua y frutas produciendo el primer año 8.581,08 Kg/mes.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Quillacollo del departamento de Cochabamba. Se definió un tamaño de 840 mt2 para la planta. El estudio organizacional fue realizado para la planta definiendo el diagrama organizacional, las funciones de cada trabajador y las planillas de salarios.El estudio de viabilidad técnica se explica a detalle, consistiendo la producción de Compotas de quinua y frutas, en dos etapas importantes: Los 12 procesos productivos controlados y la de laboratorio. Las 12 etapas productivas explican el proceso por el que pasan las matrerías primas e insumos, empezando desde la recepción del mismo, seleccionado, lavado, despulpado, escaldado/ cocción, refinado, mezclado, concentrado, envasado, esterilizado, enfriado, etiquetado y almacenado obteniendo la creación de las compotas, En la segunda etapa se explicó las pruebas de laboratorio que se realizan mediante muestreo al azar para observar el color, sabor, olor, viscosidad y saber si el producto está en óptimas condiciones.Posteriormente se preparó la información para poder realizar la evaluación financiera determinando un VAN de 1,518,118.09 $us, un TIR de 30% y una relación B/C de 1,36. También se realizó un análisis de sensibilidad donde fue mostrado que el precio es la variable más sensible para la producción de compotas de quinua y frutas. Se definió una inversión total de 2.146.016,06 $us. Para todo el proyecto definiendo un 40% de aporte propio y un 60% de financiamiento. La recuperación del capital fue determinada en un periodo de 3,8 años.Finalmente se concluyó con una Evaluación de Impacto Ambiental de acuerdo a ley 1333, donde se estudió al proyecto en sus etapas de ejecución y operación. Se concluyó que el proyecto es de categoría 4 es decir no existen factores de riesgo negativo considerables y se estableció medidas de mitigación para dichos factores.</t>
  </si>
  <si>
    <t>https://drive.google.com/file/d/1A01un5XTa2zofwcGZ1GyG132OJKgInA_/view?usp=sharing</t>
  </si>
  <si>
    <t>https://drive.google.com/file/d/1LIZIwANZcAYCSCe083TkWxMQXQJPc5V_/view?usp=sharing</t>
  </si>
  <si>
    <t>https://drive.google.com/file/d/1Su1l5tMbOuW0VStBBtOiiMHgmnyTmR9O/view?usp=sharing</t>
  </si>
  <si>
    <t>VILMA AMBROCIO HUARACHI</t>
  </si>
  <si>
    <t>PLANIFICACIÓN ESTRATÉGICA PARA LA EMPRESA INDUSTRIAL EN MADERA RAMOS</t>
  </si>
  <si>
    <t>ambrociovilma11@gmail.com</t>
  </si>
  <si>
    <t>IND-1060-2019</t>
  </si>
  <si>
    <t>Planificación estratégica, Enfoque basado en procesos, Sistemas de control, Indicadores, Estrategias.</t>
  </si>
  <si>
    <t>Planeación estratégica es el proceso por el cual los miembros guía de una organización prevén su futuro y desarrollan los procedimientos y operaciones necesarias para alcanzarlo.Se realizó una planificación estratégica para el desarrollo de la empresa Industrial en Madera Ramos, a base de las herramientas y metodologías de las diez fases planteados por Guzmán Orellana para una correcta gestión estratégica, seguido de una análisis financiero para dicho estudio, finalizando con un plan operativo para la primera gestión del plan estratégico elaborado.Se realizó un diagnostico externo que nos permitió identificar los factores claves que incluyen directamente en el comportamiento de la organización, un diagnostico interno donde se realizó una determinación de procesos que se observa en la organización, procesos identificados en el mapa de procesos que están relacionados entre sí con la metodología de enfoque basado en procesos para desarrollar sus operaciones de manera eficiente y eficaz mejorando la competitividad empresarial.Se elaboró las diez fases para la Formulacion del plan estratégico donde se desarrolló de la siguiente manera: la primera fase consta del marco estratégico donde en colaboración del propietario y el personal se desarrolló la misión, visión, cultura, estrategias básicas, finalidades, políticas, objetivos, factores críticos de éxito, relación de objetivos en el mapa estratégico, restricciones y limitaciones. Como segunda fase se tiene la evaluación de la empresa que a través de la matriz de Evaluación de los Factores Internos se obtuvo las fortalezas y debilidades de mayor impacto en la empresa y con la matriz de Evaluación de los Factores Externos obtuvo los factores que se presentan en el entorno. Con la tercera fase se desarrolló las cinco fuerzas de Porter y se determinó a las principales competencias con la Matriz de Perfil Competitivo. Como cuarta fase se tuvo a las previsiones y escenarios. Quinta fase productos y mercados; donde se determinó la posición de la empresa respecto a la empresa líder del mismo rubro. Sexta fase alternativas estratégicas; donde se emplearon las diferentes estrategias que se utilizaran según el horizonte temporal. Séptima fase reflexión estratégica; donde se desarrolló estrategias para corregir defectos, afrontar amenazas, mejorar fortalezas y explotar oportunidades a través del FODA Estrategico. Octava fase planes contingentes; se realizó un sistema de indicadores anticipados de alarma con la Formulacion de estrategias cautelares, preventivas y reactivas. Novena fase evaluación de las estrategias; donde a través de la matriz cuantitativa de la planificación estratégica se obtuvo las estrategias seleccionadas y de qué manera los agentes (dueño, empleado, cliente, competencia proveedores) son afectados. Como decima fase se tiene la planificación estratégica donde a partir de las estrategias seleccionadas en la novena fase se desarrolla planes que conforman el plan Estrategico a largo plazo.La planificación estratégica se realizó por medio de fichas descriptivas de los planes estratégicos con la identificación de líneas estratégicas, y resultados a conseguir, donde se determinó el nombramiento de responsables, asignación de recursos y el establecimiento de calendario para el plan que tiene un horizonte temporal de cinco años.Se realizó el análisis financiero para que se lleve a cabo dicho plan estratégico, donde se tiene los estados financieros (balance general, estado de resultados y flujo de fondos) sin y con proyecto con la proyección hasta la gestión 2024 que se realizó con datos históricos que proporciono la empresa.; este análisis se realiza a través de indicadores financieros.Se definió el plan operativo a ser emprendido durante la primera gestión del plan estratégico, así como los objetivos a alcanzar y responsables en cada plan. También se analizó la coherencia estratégica y la propuesta de valor que permitirá tener un juicio sobre su importancia relativa.Se concluye que la empresa Industrial en Madera Ramos decidió adoptar en su gestión una herramienta útil que es la planificación estratégica, que busca alcanzar objetivos a largo plazo y estar preparados para enfrentar el entorno de exigencias que tiene el ambiente de negocios en la actualidad.La infraestructura, implementación de maquinaria, capacitación del personal, certificación ISO 9001, desarrollo de nuevos productos y expansión de nuevos mercados son estrategias desarrolladas para el plan estratégico que tiene una inversión total de Bs 1’108.420,00.Considerando la importancia que tiene el plan estratégico se realiza las siguientes recomendaciones-        Recomendar la regularización de los documentos e informes en la empresa.-        Encomendar a la directiva respecto del conocimiento que debe tener el personal sobre los objetivos planteados.-        Tomar en cuenta el presupuesto asignado al plan, de manera que no se superen.-        Elaborar plan de seguridad y salud ocupacional en el trabajo.</t>
  </si>
  <si>
    <t>https://drive.google.com/file/d/1nxDyNb71oP9-cST19UscF8XRSXu2GRjK/view?usp=sharing</t>
  </si>
  <si>
    <t>https://drive.google.com/file/d/1FMaThdWhUxocrWEZTaXsA1ewTHblz-Ww/view?usp=sharing</t>
  </si>
  <si>
    <t>https://drive.google.com/file/d/10X9JznjR8mrHDKPz3z45Wr_scxfWgeXv/view?usp=sharing</t>
  </si>
  <si>
    <t>DANIELA CASANDRA ARAOZ JALDIN</t>
  </si>
  <si>
    <t>ING. DIEGO WILDO PAREDEZ CASTRO</t>
  </si>
  <si>
    <t>DISEÑO DE UN SISTEMA DE GESTIÓN DE SEGURIDAD Y SALUD OCUPACIONAL PARA LA EMPRESA “CAHOI SRL.” BASADO EN LA NORMA ISO 45001</t>
  </si>
  <si>
    <t>daniela.araoz.jaldin@gmail.com</t>
  </si>
  <si>
    <t>IND-1061-2019</t>
  </si>
  <si>
    <t>Seguridad, Salud, Diseño, Incidentes, Riesgo, sistema, ISO 45001, 16998 Ley General de Higiene, Seguridad Ocupacional y Bienestar.</t>
  </si>
  <si>
    <t>Primeramente, se explica el estado actual de la empresa Cahoi SRL. analizando sus diferentes procesos, lo cual determina que existe una falta de normas de seguridad e ineficiente control en el sector de obras civiles con 52.38 % de incumplimiento a la ley de Higiene y Seguridad vigente. Posteriormente se identifica y evalúa cada riesgo a los que están expuestos los trabajadores, uno de ellos es el riesgo biológico, donde se encontró diferentes microorganismos (ej. Hymenolepis nana) que afectan la salud del trabajador. Se definió el diseño el sistema de seguridad y salud ocupacional basada en la norma 45001 adaptando cada uno de los requisitos en la empresa Cahoi SRL. Donde se identificó en primera instancia que la empresa tenía un 50.48 % de incumplimiento a la norma, para posteriormente ascender a un 87.62 % de cumplimiento, esto después de haber aplicado el sistema. Posteriormente se proporciona los manuales de seguridad y el plan de seguridad, el cual muestra toda la información necesaria para capacitar a los trabajadores ante cualquier incidente. Se analizó los costos de implementación del sistema de seguridad y salud ocupacional el cual reportó que el costo mínimo es de Bs. 18.255. Finalmente se realizó a las recomendaciones necesarias para la empresa; entre ella está el Sistema de Gestión de Seguridad y Salud en el trabajo es un proceso en el cual deben estar comprometidos todos los niveles jerárquicos de la empresa, facilitando mecanismos de participación a los trabajadores, haciendo que el sistema se retroalimente y que las medidas tomadas cada vez sean más efectivas. Así también se determinó que la empresa Cahoi SRL debe poner mayor importancia al requisito 4.4 para incrementar el porcentaje de implementación y operación del sistema.Las normas utilizadas para este proyecto de grado fueron: Norma ISO 45001, Sistemas de gestión de la seguridad y la salud ocupacional. D.L.N° 16998 Ley General de Higiene, Seguridad Ocupacional y Bienestar. Norma NB 55001, Símbolos gráficos – Colores, señales y carteles de seguridad.</t>
  </si>
  <si>
    <t>https://drive.google.com/file/d/1bR6KvyvNPOVjlgE3CJWdNz7jpQFbBxsw/view?usp=sharing</t>
  </si>
  <si>
    <t>https://drive.google.com/file/d/1AIYiXdmxqkSmM3wuotXb6-5hPp4Qf_K7/view?usp=sharing</t>
  </si>
  <si>
    <t>https://drive.google.com/file/d/1EfKlPOd2A5oldwYJOyvp01tIe3rl8hbp/view?usp=sharing</t>
  </si>
  <si>
    <t>CARLA LIGIA CHOQUE HIDALGO</t>
  </si>
  <si>
    <t>PROPUESTA PARA LA OPTIMIZACIÓN DE LA CADENA DE SUMINISTRO PARA LA EMPRESA HAMMER JEANS BAJO LA METODOLOGÍA DEL MODELO SUPPLY CHAIN OPERATIONS REFERENCE (SCOR), ASISTIDA POR TECNOLOGÍAS DE LA INFORMACIÓN Y COMUNICACIÓN (TIC)</t>
  </si>
  <si>
    <t>carlachh.cc@gmail.com</t>
  </si>
  <si>
    <t>IND-1062-2019</t>
  </si>
  <si>
    <t>Elaboración de Zumo (E.Z.), Factibilidad de Procesamiento de Zumo de Naranja (F.P.Z.N.).Hammer Jeans, Cadena de suministro, Modelo SCOR, TIC</t>
  </si>
  <si>
    <t>El presente proyecto (proyecto de factibilidad para la implementación de una planta de producción de zumo de naranja embotellada en la ciudad de Cochabamba), consiste en analizar y evaluar la viabilidad técnica de elaboración de zumo de naranja embotellada.El presente trabajo comprende el análisis y evaluación de las operaciones relacionadas con la cadena de suministro en una pequeña empresa del sector de confecciones de ropa industrial para ofrecer un diagnóstico sobre los factores relevantes que afectan la gestión adecuada de la cadena de suministro del caso de estudio.  Para el desarrollo del trabajo, se analizó la situación actual de la cadena de suministro, basados en el Modelo SCOR, identificando los indicadores más relevantes de los diferentes niveles del modelo. Con esta configuración y con el análisis de los resultados esperados, se propone un plan de mejora para lograr alinear los procesos de la cadena de suministro, identificando todos los beneficios que traería la implementación del modelo a los procesos de la cadena.Posteriormente, se identificaron los costos y beneficios que trae la propuesta, y se realizó un análisis del flujo de caja incremental con proyecto y sin proyecto, obteniendo como resultado un VAN mayor a 0, un TIR mayor a la tasa mínima atractiva y una relación beneficio-costo mayor a 1, razones que llevan a concluir que el proyecto es rentable.Finalmente, se detallan las conclusiones y recomendaciones obtenidas por el desarrollo de la presente tesis, que nacen principalmente del análisis y diagnósticos realizados, así como del detalle en la descripción de las iniciativas que conforman la propuesta de mejora de la gestión.</t>
  </si>
  <si>
    <t>https://drive.google.com/file/d/1WwxClx7B6gvCfC2vLqC30EeOCGVNMFvc/view?usp=sharing</t>
  </si>
  <si>
    <t>https://drive.google.com/file/d/1He-worubYIrg8AUt8P4ESq5UPuZOYCLW/view?usp=sharing</t>
  </si>
  <si>
    <t>https://drive.google.com/file/d/1NpuyWmYpaOoomlhCU63U0IQg7dsuwzoh/view?usp=sharing</t>
  </si>
  <si>
    <t>ADRIANA CANDIDA LAFUENTE FERNANDEZ</t>
  </si>
  <si>
    <t>ING. PAOLA VALDEZ</t>
  </si>
  <si>
    <t>DISEÑO DEL SISTEMA DE GESTIÓN EN SEGURIDAD INDUSTRIAL Y SALUD EN EL TRABAJO EN BASE A LA NB/ISO 45001:2018 PARA LA EMPRESA COBOCE HORMIGÓN DE LA CIUDAD DE COCHABAMBA.</t>
  </si>
  <si>
    <t>candyalf@hotmail.com</t>
  </si>
  <si>
    <t>IND-1063-2019</t>
  </si>
  <si>
    <t>Seguridad y Salud en el Trabajo, Certificación, Implementos de seguridad, Controles e inspecciones, Sistema diseñado e implementado.</t>
  </si>
  <si>
    <t>La ISO 45001:2018 es una norma aplicable al área de Seguridad y Salud en el Trabajo para cualquier empresa enfocada en la protección de los trabajadores y de las partes interesadas, teniendo en cuenta como base estructural con la ISO 9001 de Calidad y la ISO 14001 de Ambiental, buscando una complementariedad y mejor manejo del sistema.Se analizó la estructura de la norma y los puntos esenciales de obligatoriedad para el cumplimiento al momento de una certificación en base al tema.Posteriormente se realizó un análisis a través del método de encuestas, observación y recabando información documentada de nivel de cumplimiento en el tema de seguridad y salud en el trabajo de la empresa COBOCE Hormigón, así mismo se ha analizado en el tema de Salud Ocupacional y enfermedades laborales que se tienen dentro de la empresa, teniendo como resultado un cumplimiento al 40% en seguridad y viendo que existen diferentes tipos desde leves a graves enfermedades por las cuales los trabajadores se encuentran expuestos.Este diseño es de vital importancia ya que maneja y controla los niveles de seguridad que debe tener la empresa con los trabajadores al momento de realizar sus labores, viendo cada punto de acuerdo al ciclo planteado por la norma se identificaron como puntos esenciales el contexto, las partes interesadas, la identificación de peligros y la evaluación de riesgos y oportunidades, consulta y participación de los trabajadores y preparación y respuestas ante emergencias.  Se determinaron los métodos para realizar el análisis para la determinación del contexto en el que se encuentra la empresa, identificando las cuestiones internas y externas que son aplicables y pertinentes a la empresa, considerando el nivel de importancia que se tiene para las decisiones estratégicas futuras que puedan afectar al sistema de seguridad; para el tema de partes interesadas se determinaron los integrantes que afectan al sistema dentro de las cuales se identificaron los más significativos, o sea los que afectan en mayor medida al sistema de SST siendo considerados como pertinentes.Se realizó una inspección general a la planta de la cual se obtuvo datos e información de los peligros existentes en cada área dentro de la empresa considerando su nivel de riesgo de que ocurran incidentes.Para situaciones en que ocurran accidentes dentro de la empresa se toman en cuenta la preparación que se tiene para la respuesta ante emergencias controladas como deben ser a través de simulacros organizados dentro de la empresa, considerados como un programa anual que debe  manejarse dentro del sistema de SST en la empresa..También se vio de vital importancia el manejo de los requisitos legales y otros requisitos que son exigidos por las normativas bolivianas referentes a seguridad en el trabajo y al rubro que se encuentra la empresa, elaborando una matriz que maneje y controle los puntos exigidos y el nivel de cumplimiento que se tenga con la norma.Posteriormente se plantean el análisis financiero para una futura implementación del diseño del sistema identificando así los costos más relevantes e importantes para cumplir con los requisitos legales y de la norma, así mismo velando por cada trabajador en sus labores diarias, teniendo también en cuenta los beneficios que trae el sistema de la empresa.Podemos mencionar varios aspectos que son relevantes para creer que este diseño es de vital importancia para la incorporación en el sistema de la empresa considerando que se juega un punto muy esencial que es la vida de las personas que nos ayudan y apoyan dia a dia al progreso de la empresa y la economía del país.Se recomendó una pronta implementación y adecuación del sistema en la empresa tomando en cuenta como puntos esenciales la comunicación y la cultura de seguridad que se deben tener en el sistema y en la organización, como punto determinante para la mejora de la empresa en su producción e imagen.</t>
  </si>
  <si>
    <t>https://drive.google.com/file/d/1YD45I_xzVoh0Iv_lJDcu7fPCaMbmcctN/view?usp=sharing</t>
  </si>
  <si>
    <t>https://drive.google.com/file/d/11rJGcJzRPNhEVAVyzeV477uOrhKskr0d/view?usp=sharing</t>
  </si>
  <si>
    <t>https://drive.google.com/file/d/1RPYNgUpz9DtFAQ_z7v6-aID_TYX2qJYC/view?usp=sharing</t>
  </si>
  <si>
    <t>VIQUI ROQUE MAMANI</t>
  </si>
  <si>
    <t>ESTUDIO DE FACTIBILIDAD PARA LA IMPLEMENTACIÓN DE UNA PLANTA PROCESADORA DE MANZANAS EN ALMÍBAR EN KEWIÑA PAMPA-POCONA</t>
  </si>
  <si>
    <t>viqui.roque.rm @gmail.com</t>
  </si>
  <si>
    <t>IND-1064-2019</t>
  </si>
  <si>
    <t>Almíbar, Kewiña Pampa, Pocona, Factibilidad, implementación, organigrama, Valor Actual Neto, Tasa Interna de Retorno,  impacto ambiental</t>
  </si>
  <si>
    <t>Las conservas de manzanas en almíbar son una opción saludable para estar presentes en las mesas de las familias cochabambinas, pues son nutritivas y además se fomenta el cultivo de frutas en el campo pues la fruta tendrá una gran demanda por la industria.Primeramente se realizó el estudio de mercado para ver la aceptación de este producto, siendo los resultados positivos y muy prometedores. Luego se estableció la imagen de la marca para introducir al mercado cochabambino. La publicidad de las manzanas en almíbar se realizara por televisión pero se utilizara más la publicidad por Facebook y páginas web.Una vez determinada la macro localización se procedió a efectuar el estudio de la micro localización, donde se evaluó tres posibles alternativas de localización: Kewiña Pampa, parque industrial de Santiváñez y Cercado, se realizó una evaluación cualitativa por ponderación de factores, dando como mejor alternativa a Kewiña Pampa.Se ilustró en un organigrama el personal y las funciones del equipo trabajador de la planta. Posteriormente se estimaron los costos para la implementación y ejecución de la planta. Con toda la información de costos se procedió a la preparación de esta información para realizar el respectivo análisis financiero usando indicadores como: el valor actual neto de 368.389,66 $, la Tasa interna de retorno de 24,53 %, una relación de beneficio costo de 1,30; indicadores que muestran que el proyecto es rentable.Finalmente,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</si>
  <si>
    <t>https://drive.google.com/file/d/1HJYISKmJ832cltmEISdxT73j2q_pPALW/view?usp=sharing</t>
  </si>
  <si>
    <t>https://drive.google.com/file/d/1XwiSP26OiEJdFm_YweLOHjEoSEntg_1v/view?usp=sharing</t>
  </si>
  <si>
    <t>https://drive.google.com/file/d/1DhD8ndaW1VhP-icaMZv1d68XISDC7-2t/view?usp=sharing</t>
  </si>
  <si>
    <t>VALERIA REGINA ALCON VERASTEGUI</t>
  </si>
  <si>
    <t>ING. RUSTAN ROCA SUBIRANA</t>
  </si>
  <si>
    <t>PLAN ESTRATÉGICO DE MARKETING PARA LA INTRODUCCIÓN DEL PRODUCTO ROPA JUVENIL PARA CONFECCIONES ALCON FREE PARA EL MERCADO DE COCHABAMBA CERCADO</t>
  </si>
  <si>
    <t>alconverastegui@gmail.com</t>
  </si>
  <si>
    <t>IND-1065-2019</t>
  </si>
  <si>
    <t>Investigación de mercados, análisis marketing mix estrategia de marketing, incremento de utilidades.</t>
  </si>
  <si>
    <t>Objetivo general  Se Desarrolló un plan estratégico de marketing para la introducción de la línea ropa juvenil en la empresa confecciones textiles  alcon free en el mercado de Cercado Cochabamba.Objetivos específicos Se realizó:1.     Un diagnóstico de la situación actual de la empresa 2.     Un estudio de mercado para el producto ropa juvenil 3.     Análisis de las variables de marketing mix4.     Plan estratégico de marketing 5.     Presupuesto para el plan de marketing en base estado de resultados y se analizó  comparativamente con y sin proyecto.Metodología: Se Realizó:FASE 1: Diagnóstico de situación actual y el análisis estratégica de la empresa: en esta fase se realizó un análisis INTERNO, análisis EXTERNO, considerando todas la variables relevantes para un buen diagnóstico real de la situación actual de empresa.FASE 2: Investigación de mercados para la línea de producto ropa juvenil, se hizo debidamente metodología de la investigación, y el analizó e interpreto de los resultados de la investigación de mercadosFASE 3: Se Realizó el análisis de las variables del mix de marketing, de igual forma se hizo el análisis de las cuatro PFASE 4: Elaboro el plan estratégico de marketing, dentro de esta fase  tenemos: planeación de marketing estratégico, objetivos estratégicos de marketing, planeación de marketing operativo FASE 5: Se realizó un presupuesto del plan de marketing en base al estado de resultados con y sin proyecto efectuando un análisis comparativo.Los resultados: 1.     Incremento de utilidades,2.     Mayor participación en el mercado3.     posicionamiento de la marca.Conclusiones:1.     Sector textil altamente competitivo 2.     La empresa cuenta con buena imagen corporativa 3.     De la investigación de mercado este segmento consume ropa de confección nacional, y se desconoce la marca4.     Existe un incremento de utilidades con la realización del proyectoRecomendaciones Poner en marcha el presente proyecto.</t>
  </si>
  <si>
    <t>https://drive.google.com/file/d/1ykW4ISIRcqnUhAle_ePTcZdHg5wmW1A6/view?usp=sharing</t>
  </si>
  <si>
    <t>https://drive.google.com/file/d/1-DuwNZhBKNAgDpIp5a5VFtB-dKNyD8ll/view?usp=sharing</t>
  </si>
  <si>
    <t>https://drive.google.com/file/d/1V8B2YZA59xCdM7T4Q6JnLVhUbyJ2nX0z/view?usp=sharing</t>
  </si>
  <si>
    <t>VILLARROEL MAIDA DAVID GUERY</t>
  </si>
  <si>
    <t>VILLCA CACERES ENRRIQUE</t>
  </si>
  <si>
    <t>ING. ROSCEL MONTAÑO GARCIA</t>
  </si>
  <si>
    <t>ESTUDIO DE VIABILIDAD PARA LA IMPLEMENTACIÓN DE UNA PLANTA PROCESADORA DE EMBUTIDOS A PARTIR DE LA CARNE DE LLAMA Y PAVO, DIRIGIDO AL MERCADO DE COCHABAMBA</t>
  </si>
  <si>
    <t>dvm.nvm@gmail.com</t>
  </si>
  <si>
    <t>IND-1066-2019</t>
  </si>
  <si>
    <t>Investigación de mercado, Método (PROMEDIOS PONDERADOS), Organización lineal funcional, Indicadores financieros, embutidos de Llama y Pavo.</t>
  </si>
  <si>
    <t>Actualmente en el departamento de Cochabamba, los embutidos son muy aceptados por las familias Cochabambinas especialmente en el área urbana. Hoy en día existe gran cantidad de materia prima en cuanto a carne de Llama y Pavo, que las familias desconocen su valor nutricional y hace que la demanda de estos productos sean considerablemente bajos. Por lo cual una buena alternativa para que su consumo se eleve, es elaborando este estudio para hacer conocer el valor nutricional que puede aportar a las familias Cochabambinas y los beneficios que pueda traer consigo. El presente proyecto busca implementar una planta procesadora de embutidos a partir de la carne de Llama y Pavo, dirigido al mercado de Cochabamba. El objetivo principal del mismo es demostrar desde el punto de vista del mercado, técnico, financiero y ambiental, la implementación de la planta. Durante el Estudio de Mercado se verificó, cuantificó y proyectó, la existencia de una demanda insatisfecha de embutidos en el eje conurbano del departamento de Cochabamba, específicamente: Provincia Cercado, Municipio de Quillacollo y Municipio de Sacaba, para luego determinar la demanda efectiva del proyecto. Se comprobó la aceptación del producto por parte del consumidor de embutidos y se realizó un plan de comercialización. A continuación, se estimó el requerimiento de materia prima, insumos y materiales auxiliares necesarios para el proyecto, luego se identificó a los principales proveedores para el abastecimiento. Para la localización y emplazamiento del proyecto se hizo un análisis de macrolocalización, microlocalización y se utilizó la técnica “método cualitativo por puntos”. Por medio de la ingeniería del proyecto, se determinó y describió el proceso productivo y los balances de masa para la elaboración de chorizo parrillero. También se determinó el requerimiento de diferentes equipos, maquinaria, infraestructura, servicios con su respectiva inversión y su costo. Se mostró todo lo referente con el control de calidad, seguridad e higiene industrial, inocuidad alimentaria. Y se hizo una distribución de planta, en base a los requerimientos de la misma. Luego se realizó un estudio organizacional y legal, en la cual se mostró la representación gráfica de la estructura organizacional de la empresa mediante el organigrama lineo-funcional y se detalló las funciones de cada uno de los cargos atribuidos al organigrama. También se estimó el costo de mano de obra requerida. Después se dieron los pasos para la constitución legal de la empresa, con su respectivo gasto. En la planificación y ejecución del proyecto, se realizó el Diagrama PERT y Diagrama de Gantt en la cual se muestran y detallan un conjunto de actividades que se ejecutan en cierto orden cronológico en un determinado tiempo. Después, en la evaluación financiera, se determinaron y analizaron los principales indicadores financieros de rentabilidad, como son: el Valor Actual Neto (VAN), Tasa Interna de Retorno (TIR) y relación Beneficio-Costo, además se realizó el análisis de sensibilidad. Por último se realizó la evaluación ambiental del proyecto, en la cual se hace la identificación de la categoría de impacto ambiental.</t>
  </si>
  <si>
    <t>https://drive.google.com/file/d/15ROXqroGo6aU28GZkF2maS1i9qHI-T2n/view?usp=sharing</t>
  </si>
  <si>
    <t>https://drive.google.com/file/d/1xiFd-ouRn0CbScyMPk4gTZxPwBexYXsI/view?usp=sharing</t>
  </si>
  <si>
    <t>https://drive.google.com/file/d/1bNfLUvimnuRyP3iA4yAU5F1TujR-3M9t/view?usp=sharing</t>
  </si>
  <si>
    <t>MÉRIDA CLAURE ABEL</t>
  </si>
  <si>
    <t>VICENTE HUALLPA FREDDY</t>
  </si>
  <si>
    <t>PROYECTO DE VIABILIDAD PARA LA IMPLEMENTACIÓN DE UNA PLANTA PROCESADORA DE VINO DE UVA EN LA LOCALIDAD DE MIZQUE - COCHABAMBA</t>
  </si>
  <si>
    <t>abel_inge@hotmail.com</t>
  </si>
  <si>
    <t>IND-1067-2019</t>
  </si>
  <si>
    <t>Investigación de mercado, Método (PROMEDIOS PONDERADOS), Organización lineal funcional, indicadores financieros.</t>
  </si>
  <si>
    <t>El presente proyecto busca implementar una planta procesadora de vino de uva, dirigido al mercado de Cochabamba. El objetivo principal del mismo es demostrar desde el punto de vista del mercado, técnico, financiero y ambiental, la implementación de la planta.Durante el Estudio de Mercado se verificó, cuantificó y proyectó, la existencia de una demanda insatisfecha de vino en el eje conurbano del departamento de Cochabamba, específicamente: Provincia Cercado, Municipio de Quillacollo y Municipio de Sacaba, para luego determinar la demanda efectiva del proyecto. Se comprobó la aceptación del producto por parte del consumidor de vino y se realizó un plan de comercialización.A continuación, se estimó el requerimiento de materia prima y materiales auxiliares necesarios para el proyecto, luego se identificó a los principales proveedores para el abastecimiento.Para la localización y emplazamiento del proyecto se hizo un análisis de macro localización, micro localización y se utilizó la técnica “método cualitativo por puntos”.Por medio de la ingeniería del proyecto, se determinó y describió el proceso productivo y los balances de masa para la elaboración de vino de uva. También se determinó el requerimiento de diferentes equipos, maquinaria, infraestructura, servicios con sus respectivos costos. Se mostró todo lo referente con el control de calidad. Y se hizo una distribución de planta, en base a los requerimientos de la misma.Luego se realizó un estudio organizacional y legal, en la cual se mostró la representación gráfica de la estructura organizacional de la empresa mediante el organigrama lineo-funcional y se detalló las funciones de cada uno de los cargos atribuidos al organigrama. También se estimó el costo de mano de obra requerida. Después se dieron los pasos para la constitución legal de la empresa, con su respectivo costo.En la planificación y ejecución del proyecto, se realizó el Diagrama CPM y Diagrama de Gantt en la cual se muestran y detallan un conjunto de actividades que se ejecutan en cierto orden cronológico en un determinado tiempo.Después, en la evaluación financiera, se determinaron y analizaron los principales indicadores financieros de rentabilidad, como son: el Valor Actual Neto (VAN), Tasa Interna de Retorno (TIR) y relación Beneficio-Costo, además se realizó el análisis de sensibilidad.Por último se realizó la evaluación ambiental del proyecto, en la cual se hace la identificación de la categoría de impacto ambiental.</t>
  </si>
  <si>
    <t>https://drive.google.com/file/d/1d_KNX1cIIKlRpcwZUJoMaRJXEnUOkAde/view?usp=sharing</t>
  </si>
  <si>
    <t>https://drive.google.com/file/d/13Sb68tFbxfvxdTREdJet0s_Scr9b5DRQ/view?usp=sharing</t>
  </si>
  <si>
    <t>https://drive.google.com/file/d/1OlgvZHhmIljBFZKliK85vKM_ur_U_12o/view?usp=sharing</t>
  </si>
  <si>
    <t>ROBERTO VASQUEZ CONDORI</t>
  </si>
  <si>
    <t>RONALD SANTOS CONDORI YUCRA</t>
  </si>
  <si>
    <t>DR. JOSÉ ANTONIO SORUCO MAITA</t>
  </si>
  <si>
    <t>PROYECTO DE FACTIBILIDAD PARA LA CREACIÓN DE UN SUPERMERCADO EN LA LOCALIDAD DE IVIRGARZAMA, MUNICIPIO DE PUERTO VILLARROEL</t>
  </si>
  <si>
    <t>robertovasquezcondori@gmail.com</t>
  </si>
  <si>
    <t>IND-1068-2019</t>
  </si>
  <si>
    <t>Creación del supermercado Puerto Villarroel  servicio de calidad y confort eficiencia rentabilidad productividad inversión.</t>
  </si>
  <si>
    <t>El presente proyecto se realizó una investigación de mercado para identificar cuál es el comportamiento de los consumidores que conforman el mercado principal, el mismo que demostró la existencia de una demanda insatisfecha, la cual nos ayuda como soporte para proyectar la demanda futura que tendrá el supermercado, además de determinar la oferta que existe actualmente en el sector.El SUPERMERCADO TROPICAL se ubicará en la Localidad de Ivirgarzama del Municipio de Puerto Villarroel en la Provincia Carrasco de la zona del Trópico de Cochabamba, pues dicho sector cuenta con servicios básicos, vías de acceso, transporte, entre otros. Está rodeada de empresas Estatales y Privadas que generan empleo a las personas dedicadas a la producción. El Supermercado contará con la infraestructura y requerimientos necesarios para su funcionamiento, es decir; con proveedores, mano de obra y todo lo necesario para la comercialización. El objetivo del supermercado es proponer una variedad de productos de consumo masivo con calidad y la inocuidad, el propósito de brindar al cliente la mejor alternativa para la compra de productos para el hogar a un precio módico, enfocados principalmente en la satisfacción de las necesidades y el bienestar de nuestros clientes, contribuyendo a mejorar su calidad de vida.El supermercado se constituirá legalmente según las leyes conforme a las exigencias y requerimientos de las instituciones y autoridades para obtener los permisos y regulaciones correspondientes.El estudio financiero concluye que la implementación de este negocio requiere de una  Inversión total  4.571.775 bolivianos, cuyo financiamiento será 35% de capital propio y se obtendrá mediante crédito bancario del 65% Mediante el análisis financiero se encontró que el valor de la Tasa Interna de Retorno del Proyecto de 19%, un Valor Actual Neto del Proyecto de 230.559 bolivianos y un B/C del Proyecto de 1.05. Consecuentemente el estudio revela que la idea de negocio es viable y está apta para ponerla en marcha, debido a que los indicadores tanto del proyecto como del inversionista son positivos ya que el mercado objetivo es amplio y creciente.</t>
  </si>
  <si>
    <t>https://drive.google.com/file/d/1DXfE1S3gfR9u6hQSsjCd78QZsPwNvvZd/view?usp=sharing</t>
  </si>
  <si>
    <t>https://drive.google.com/file/d/1WrTWO3ls9GKO5sB-8_7oYi7PdDYDmx2P/view?usp=sharing</t>
  </si>
  <si>
    <t>https://drive.google.com/file/d/1vwMlblUS06mjO5MUBSPohdDy2bymPcJw/view?usp=sharing</t>
  </si>
  <si>
    <t>MARIA EUGENIA MAMANI CRUZ</t>
  </si>
  <si>
    <t>ING. CARLOS OSMAR GONZALES CHOQUE</t>
  </si>
  <si>
    <t>PROYECTO DE FACTIBILIDAD PARA LA IMPLEMENTACIÓN DE UNA PLANTA PRODUCTORA DE HAMBURGUESAS DE QUINUA EN COCHABAMBA</t>
  </si>
  <si>
    <t>marieug.mc@gmail.com</t>
  </si>
  <si>
    <t>IND-1069-2019</t>
  </si>
  <si>
    <t>Planta productora de hamburguesas de quinua, carne vegetal, quinua perlada, Pampa Aullagas.</t>
  </si>
  <si>
    <t>La necesidad de haber realizado el estudio fue de ver la posibilidad de introducir al mercado Cochabambino una alternativa saludable a base de quinua. La hamburguesa de quinua es una alternativa de comida rápida saludable, en especial para aquellas personas que debido al ritmo acelerado en el que viven, se encuentran obligadas a realizar sus actividades en el menor tiempo posible, entre ellas cocinar, por lo que optan por alimentos de fácil preparación como son las hamburguesas de carne procesadas que al ser consumidas en exceso son dañinos para el organismo, es por esta razón que se plantea la producción de hamburguesas de quinua.Según los datos obtenidos de las personas encuestadas se obtuvo que el 87% de las personas consumen quinua, de los cuales un 74% consume también hamburguesas, la cantidad de quinua consumida con más frecuencia es de 300 g al mes y también se determinó el perfil del consumidor a las personas de la zona Norte entre los 18 a 29 años de edad.Como canales de distribución de las hamburguesas de quinua se definió solo los canales indirectos que son los carros hamburgueseros que venden en las plazuelas y centros de la ciudad, los supermercados, mercados de abasto y tiendas de barrio.Según el Centro Internacional de la Quinua la superficie cultivada se incrementó al mismo tiempo que el rendimiento de 604 (Kg/Ha) el 2017 a 634 (Kg/Ha) el 2018 por lo cual existe un superávit de más de 32 toneladas de quinua que son comercializadas en los mercados de Challapata, Caracollo y Patacamaya, por lo cual se determinó que la materia prima sea adquirida del municipio de Pampa Aullagas de la provincia de Ladislao Cabrera-Oruro.La materia prima que es la quinua será adquirida a 630 Bs por quintal, tomando en cuenta el costo de transporte de Oruro a Cochabamba se suma 20 Bs más dando un costo total de 650 Bs por quintal de quinua hasta Cochabamba.Para la ejecución del proyecto, período que va desde el momento en que se decide invertir hasta la puesta en marcha, se determinó una duración de 39 semanas con una varianza de 3 semanas y un presupuesto necesario de 30.000 Bs.En el estudio financiero, se determinaron las inversiones de activo fijo, activo diferido y capital de trabajo, para el financiamiento se determinó que el 62% sea de aportes de los socios y el 38% se recurrió al préstamo bancario, también se determinaron los costos operativos que a su vez se dividen en costos fijos y costos variables.En la evaluación financiera realizada, se pudo demostrar que el proyecto es rentable, reportando los siguientes resultados.VAN= 2.104.052 Bs. ˃ 0              TIR= 28% ˃ 12,41%                      B/C= 2,07 ˃ 1Mediante el análisis de sensibilidad del proyecto ante cambios inevitables en la planificación de los costos, los cuales tienen que ver con el aumento en el precio de la materia prima, disminución de la demanda, disminución en el precio de venta y el pago del doble aguinaldo, fueron analizados en base a porcentajes dando como resultado que el proyecto sigue siendo rentable ante estas variaciones.La evaluación de impacto ambiental clasifica a la planta en la categoría III, para lo cual se estableció medidas de mitigación de impactos ambientales.Finalmente, con el proyecto se pretende ofrecer otra alternativa alimenticia saludable para toda la población de Cochabamba, también generar más empleos e incentivar la producción de quinua.</t>
  </si>
  <si>
    <t>https://drive.google.com/file/d/1sChEhztZMsEv9JQoCvrbDCbXuCQzwNrY/view?usp=sharing</t>
  </si>
  <si>
    <t>https://drive.google.com/file/d/1-JtYk6UIJSaKtzte_VkC8Zck5wrPcQEB/view?usp=sharing</t>
  </si>
  <si>
    <t>https://drive.google.com/file/d/10iAdrOWihXeZba1c6qlTtSDMnNj5gDQA/view?usp=sharing</t>
  </si>
  <si>
    <t>ODY SOLIZ FERNÁNDEZ</t>
  </si>
  <si>
    <t>JESUS TRONCOSO JALACORI</t>
  </si>
  <si>
    <t>M.SC. ING. OMAR DAVID PEREZ FUENTES</t>
  </si>
  <si>
    <t>DISEÑO DE UN PLAN ESTRATÉGICO PARA LA EMPRESA PRODUCTORA DE      CEMENTO COLA ADHE – REMIX EN EL DEPARTAMENTO DE COCHABAMBA</t>
  </si>
  <si>
    <t>odysolferindustrial@gmail.com</t>
  </si>
  <si>
    <t>IND-1070-2019</t>
  </si>
  <si>
    <t>Planificación estratégica para la empresa ADHE REMIX, Meteorología, Elaboración del plan estratégico y cuadro de mando integral, análisis de los gastes e inversión para el plan estratégico</t>
  </si>
  <si>
    <t>En el presente proyecto diseño de un Plan Estratégico Para la Empresa Productora de Cemento Cola ADHE REMIX en la ciudad de Cochabamba se desarrolló una planificación estratégica en base a las herramientas y metodologías presentadas por las bibliografías citadas.Primeramente, se realizó la descripción de la empresa de las diferentes áreas que se tiene, con la descripción de las funciones y responsabilidades que tiene cada uno de los encargados en el área correspondiente.Seguidamente se realizó el análisis del entorno externo con el fin de conocer la situación de cómo responde la empresa a su entorno y así mismo identificar oportunidades y amenazas a las cuales se enfrenta ADHE REMIX.Se realizó el análisis interno a las diferentes áreas con las que cuenta la empresa, como también la evaluación mediante indicadores de medición identificando aquellas fortalezas o aspectos que la empresa desempeña bien las debilidades y aspectos que la empresa desempeña poco eficiente.Se desarrolló la Planificación Estratégica con la declaración de la Misión, Visión y los objetivos a largo plazo seleccionando dos estrategias pertinentes que ayudaran a alcanzar los objetivos de la empresa y se desplegaron los planes estratégicos y operativos.Se diseñó el Cuadro de Mando Integral bajo cuatro perspectivas en las cuales se proponen objetivos estratégicos, indicadores e iniciativas que coadyuven al seguimiento y monitoreo de la ejecución de la Planificación Estratégica.Finalmente se desarrolló una valoración financiera del proyecto utilizando como indicadores la tasa interna de retorno (TIR), el valor actual neto (VAN) y la relación beneficio costo (B/C), los cuales mostraran los beneficios que trate la aplicación de la Planificación Estratégica.</t>
  </si>
  <si>
    <t>https://drive.google.com/file/d/14ZY-ggvWY1aTgjADc2ArL2o2DYIM2oZM/view?usp=sharing</t>
  </si>
  <si>
    <t>https://drive.google.com/file/d/1xxyPyNZ_ZrpCjPfQUAsli1q_UTaxQctL/view?usp=sharing</t>
  </si>
  <si>
    <t>https://drive.google.com/file/d/1WK6HaWKRxG8IruVjMANpWwaFJn9zagQa/view?usp=sharing</t>
  </si>
  <si>
    <t>ALEX VEIZAGA CALANCHA</t>
  </si>
  <si>
    <t>PROYECTO DE FACTIBILIDAD PARA LA INSTALACIÓN DE UNA PLANTA DE PRODUCCIÓN DE PLATOS BIODEGRADABLES A BASE DE DESECHOS DE CAÑA DE AZÚCAR PARA EL MUNICIPIO DE COCHABAMBA</t>
  </si>
  <si>
    <t>alex.v.c13.av@gmail.com</t>
  </si>
  <si>
    <t>IND-1071-2019</t>
  </si>
  <si>
    <t>Proyecto de factibilidad, Platos biodegradables, Proceso de producción, Desechos de caña de azúcar, Moldeo de pulpa.</t>
  </si>
  <si>
    <t>El presente “Proyecto de factibilidad para la instalación de una planta de producción de platos biodegradables a base de desechos de caña de azúcar para el municipio de Cochabamba”, es un estudio que se realizó con el objetivo de conocer la viabilidad de producir y comercializar platos biodegradables.El presente proyecto se realizó usando el método científico aplicado en la investigación inductiva, en el diseño y los procedimientos para determinar la factibilidad de la instalación de una planta de producción de platos biodegradables.Se realizo encuestas de mercado para obtener la información de la demanda, participación de las empresas en el mercado de platos descartables, preferencias que tienen los usuarios en la compra de platos descartables. Se calculo la demanda del mercado y en base a esta demanda se calculó la demanda propia del proyecto.La estrategia de marketing que se estableció para la venta del producto es el posicionamiento de la marca con propuestas de valor, usando la televisión y las redes sociales como medios de publicidad; el canal de distribución que se estableció es proveedor-detallista-consumidor. La capacidad normal de producción establecido fue de 4.665.000,00 Uds./año y la capacidad máxima de producción de producción establecido fue de 14.630.000,00 Uds./año. Se estableció las cantidades y el costo total de la materia prima, insumos como él etanol, NaOH, KOH, Na2SO4 y materiales auxiliares como los envases polímero biodegradable y empaques de cartón.Se estableció el departamento de Cochabamba como la región geográfica de ubicación y el Parque Industrial Santivañez como la región de emplazamiento.Las operaciones identificadas para la producción de platos biodegradables son: de triturado de la materia prima, lixiviación del a materia prima para obtener pulpa, lavado de la pulpa, moldeo de la pulpa en platos biodegradables, envasado y empacado de los platos biodegradables. Las máquinas utilizadas en la producción son: la trituradora de forraje triturar la materia prima, reactor batch para la lixiviación de la materia prima, sistema de moldeo de pulpa para moldear la pulpa en platos biodegradables, sistema caldero de fluido térmico para calentar el reactor batch y la máquina del sistema de moldeo de pulpa, una columna de destilación para recuperar y reutilizar el etanol usadoSe estableció la estructura organizacional de tipo funcional que consta de las áreas: producción, comercialización y administración y finanzas. La mano de obra que se requiere son 11, entre ellos están la obra directa que son 3 y la mano de obra indirecta que son 8. Para establecer legalmente la empresa en Bolivia, debe registrarse en las diferentes instituciones: Fundempresa, Servicio de Impuestos Nacionales, Gobierno Autónomo Municipal de Santivañez, Caja Nacional de Salud, Administradora de Fondo de Pensiones y Ministerio de trabajo, Empleo y Previsión Social. La constitución legal establecida es Sociedad de Responsabilidad Limitada (S.R.L.)El tiempo para la ejecución del proyecto es de 48,01 semanas. Los gastos previos a la operación son de Bs. 26,427,50.La inversión en activos fijos es de Bs. 2.293.726,30, la inversión en activos diferidos es de Bs. 26.427,50 y la inversión en capital de trabajo es de 145.360,41 y la inversión total del proyecto es de Bs. 2.465.514,21. Las fuentes de inversiones para el proyecto son: el aporte propio que representa el 76,58% y el crédito financiero que representa el 23,42%. Posteriormente se evaluó la rentabilidad del proyecto, donde se obtuvo los resultados: VAN&gt; 0, TIR &gt; TMARproyecto y B/C &gt; 1 que indica que el proyecto es rentable, el tiempo de recuperación de la inversión es de 3 años y 269 días. Se realizó el análisis de sensibilidad, que indica la sensibilidad que tiene el proyecto ante la variación de precio de venta y la demanda del proyecto. Se realizo la valoración de impacto ambiental, obteniendo la clasificación del proyecto en la categoría III, por lo que se debe preparar las Medidas de Mitigación, el Plan de Aplicación y Seguimiento Ambiental (MM-PASA) y presentar a la autoridad competente, una vez llenado la ficha ambiental, para obtener la Licencia de funcionamiento llamado Certificado de Dispensación.</t>
  </si>
  <si>
    <t>https://drive.google.com/file/d/1N6s13oE3ri2FOKe2qRnoPFYQ0xVkVB_G/view?usp=sharing</t>
  </si>
  <si>
    <t>https://drive.google.com/file/d/1S6F8bSwY9LA9WbN_OBLr1HOsblpUEGx4/view?usp=sharing</t>
  </si>
  <si>
    <t>https://drive.google.com/file/d/1WTiq9ZAQRrkf-g5G36jVPoEyyo2Kvouc/view?usp=sharing</t>
  </si>
  <si>
    <t>ANETH ESCOBAR VOCAL</t>
  </si>
  <si>
    <t>ESTUDIO DE FACTIBILIDAD PARA LA IMPLEMENTACIÓN DE UNA PLANTA PROCESADORA DE MANTEQUILLA CON CANELA Y MIEL PARA COCHABAMBA.</t>
  </si>
  <si>
    <t>escobarvocalaneth@gmail.com</t>
  </si>
  <si>
    <t>IND-1072-2019</t>
  </si>
  <si>
    <t>Factibilidad, canela, miel, leche, instalación de una planta.</t>
  </si>
  <si>
    <t>La industrialización de la canela y la miel en la elaboración de mantequilla  es un proyecto que se ha enfocado a utilizar un fruto seco y miel la cual se encuentra un poco olvidada. La canela y miel son productos de la región por lo tanto para el consumidor significara un producto innovador  que brindara nutrición y economía. El cual se diferenciara por ser un producto que saludable con muchos beneficios para el comensal, aportados por la mezcla de nutrientes que se encuentran en la leche, miel y canela.En el presente proyecto se consideró la tecnología adecuada existente en el mercado para la elaboración de productos a base de leche, canela y miel, garantizando la calidad de los mismos, logrando un producto que satisface al cliente, además, se realizó un estudio para el posicionamiento del producto en el mercado meta, se definió una estrategia de comercialización y posicionamiento del producto.Para la puesta en marcha de la planta se realizó una serie de pasos, en las cuales la metodología a seguida es:·       Se realizó un estudio de mercado, el cual nos permitió identificar el mercado, recolección, procesamiento y análisis de datos necesarios para el estudio de la factibilidad y con la interpretación de la información obtenida mejorar la toma de decisiones posteriores.·       Se realizado un estudio con el cual se determinó la adquisición de las materias primas a utilizar para la elaboración de los diferentes productos.·       Se determinó la localización de la planta, el lugar ideal para localizarlo será aquel en el cual se puedan conseguir los materiales, se pueda realizar el proceso y se pueda distribuir los productos con el mínimo costo total e inconveniencias.·       Se realizó un estudio técnico con la finalidad de determinar  la tecnología de proceso más adecuada a la planta de producción.·       Se realizó un estudio organizacional para el manejo correcto de la planta y todo lo que esto conlleva.·       Se realizó una evaluación financiera para el cálculo de los indicadores de rentabilidad como son el VAN, TIR y B/C.·       Se realizó un estudio ambiental para poder determinar el grado de afectación de la planta con el medio ambiente y así se concluyó en que categoría estará la planta.Se obtuvo como resultado del estudio que la planta si es factible para su funcionamiento, esta deberá estar ubicada en el Parque Industrial de Santiváñez, teniendo el primer año de vida ingresos por la venta de mantequilla como de los residuos. El precio de venta calculado es de un 15,50 Bs la unidad, la planta funcionara con 3 operarios el primer año incrementándose a medida que pase el tiempo.Para la generación de más ingresos se recomienda la diversificación en más productos provenientes de la leche, canela y miel, lo cual generaría mayores ingresos a la planta.  También se recomienda invertir más en la publicidad del producto para darlo a conocer al público en general y de esta manera aumentar nuestra demanda y llegar a ser más competitivos en el mercado.</t>
  </si>
  <si>
    <t>https://drive.google.com/file/d/1YGZDJyEN4Kco85rfRgTyQnJh226XN-GL/view?usp=sharing</t>
  </si>
  <si>
    <t>https://drive.google.com/file/d/1KYDyUi3UNVGyqNllfanMaus1OYNsj-5T/view?usp=sharing</t>
  </si>
  <si>
    <t>https://drive.google.com/file/d/19IW9iCURHQMTPxh-bntuSXFgCXMmdX2j/view?usp=sharing</t>
  </si>
  <si>
    <t>EDSON FLORES VARGAS</t>
  </si>
  <si>
    <t>CARLOS ALFREDO TORRICO EGUEZ</t>
  </si>
  <si>
    <t>ESTUDIO TÉCNICO Y COMERCIAL PARA LA IMPLEMENTACIÓN DE UNA PLANTA PROCESADORA DE COLORANTE A PARTIR DE SEMILLA DE PALTA</t>
  </si>
  <si>
    <t>edsonflores92@outlook.com</t>
  </si>
  <si>
    <t>IND-1073-2019</t>
  </si>
  <si>
    <t>Planta Procesadora de colorante, aprovechamiento semilla de palta, natural, saludable, residuos orgánicos reutilizados.</t>
  </si>
  <si>
    <t>Se realizó varios análisis y estudios para aprovechar una biomasa como la semilla de palta que es desechada y del cual se puede obtener colorante de color café, anaranjado y amarillo, representa también un residuo orgánico que aporta al aumento a la contaminación, pero se debe resaltar que estos presentan valores y beneficios.En el presente proyecto se brinda una alternativa de inversión para reducir los impactos negativos de este tipo de residuos y reutilizarlos para la elaboración de colorantes naturales y así reemplazar a los colorantes sintéticos ya que estos son muy utilizados en las reposterías, panaderías, heladerías y otros dentro del mercado de Cochabamba.Se realizó un análisis del mercado del producto donde se determinaron los requerimientos de la demanda y necesidades del mercado, la condición de la oferta actual, el nivel de competencia en el sector, los canales de distribución y sus características, además se identificó los productos sustitutos, la variación del precio y la tendencia de nuestro mercado.De esta manera se pudo determinar la materia prima requerida y además los insumos necesarios para poder satisfacer la demanda insatisfecha de este modo determinando la capacidad de producción requerido y  la ubicación óptima de acuerdo a las necesidades del proyecto, mediante un análisis de los diferentes factores de localización desde un punto macro hasta el punto más específico para su localización, se obtuvo la capacidad de la planta en condiciones normales y en condiciones de máxima producción, además se estableció un programa de acuerdo al índice de penetración en el mercado.Se identificaron y explicaron de manera técnica los procesos que intervienen del proyecto en proceso productivo, desde la obtención de la materia prima, su procesamiento y la obtención del colorante. Se realizó un balance de masa en la que se determinó las cantidades de materia prima e insumos que requieren cada proceso, determinando la maquinaria requerida con sus respectivos precios, también se estableció los requerimientos de espacios y la disposición de la planta mediante la valoración de proximidad de los procesos y área.Se procedió a la elaboración de la estructura laboral el cual permitirá a la planta de producción de colorantes tener una adecuada gestión empresarial. Se realizó el cálculo del costo de la mano de obra indirecta como de la indirecta.Se desarrolló un plan de ejecución del proyecto, determinando las actividades previas y puestas en marcha del proyecto, indicando el grado de prioridad de cada una de ellas y secuenciales para determinar la ruta crítica hacia la implementación y puesta en marcha del proyecto siguiendo en orden y secuencia lógica mostrados en los diagramas de PERT Y GANTT.El análisis financiero y económico para el proyecto fue evaluado mediante indicadores financieros como el T.I.R, V.A.N, B/C y también se realizó los análisis de sensibilidad bajos distintos escenarios para demostrar la factibilidad financiera del proyecto.Como evaluación final se analizó el impacto ambiental acorde a la Ley NO1333. Se identificaron los impactos ambientales y su magnitud durante las diferentes etapas del proyecto siguiendo la metodología ETE basada en la matriz de causa y efecto, mediante el cual se estableció la categorización del proyecto de acuerdo a las conclusiones de la evaluación del impacto ambiental.</t>
  </si>
  <si>
    <t>https://drive.google.com/file/d/1p1LEGW72mYfHTiDiTlVN--huzpNDN5AX/view?usp=sharing</t>
  </si>
  <si>
    <t>https://drive.google.com/file/d/1dej9p3OraWIHYX-0Eg2SzU5buh9dIjk1/view?usp=sharing</t>
  </si>
  <si>
    <t>https://drive.google.com/file/d/1ZIJq_W6PZtJ0cFG57M3jOKGSy8mkh-c2/view?usp=sharing</t>
  </si>
  <si>
    <t>MIREYA LINED RIVERA POLO</t>
  </si>
  <si>
    <t>ING. CRISTIAN DAVID SIRPA GÓMEZ</t>
  </si>
  <si>
    <t>DISEÑO DE UN SISTEMA DE GESTIÓN DE CALIDAD ISO 9001:2015 CERTIFICABLE PARA LA EMPRESA PIERINI S.A.</t>
  </si>
  <si>
    <t>mireya_rivera@outlook.com</t>
  </si>
  <si>
    <t>IND-1074-2019</t>
  </si>
  <si>
    <t>Calidad, Gestión de calidad, No conformidad, Conformidad, Auditoria, Proceso, Gestión, Ciclo de Deming, Partes interesadas.</t>
  </si>
  <si>
    <t>La empresa Pierini S.A., como parte de una decisión estratégica inicia la etapa de diseño y documentación del Sistema de Gestión de Calidad en esta última versión ISO 9001:2015, con el fin de contar con documentación requerida por la norma y la necesaria por la empresa, facilitar la gestión y mejora de la eficacia y eficiencia de los procesos de la empresa.Se inicia con la realización del diagnóstico de la empresa, en base a una lista de verificación y observaciones directas en las diferentes áreas para determinar prácticas, procesos, condiciones de trabajo y otros aspectos existentes. Todo ello con el fin de determinar el porcentaje de cumplimiento respecto a esta nueva versión de la norma ISO 9001:2015. En función del resultado del diagnóstico se inició con la propuesta del diseño y documentación del Sistema de gestión de Calidad.Se parte con la identificación de los procesos de la empresa, su interrelación entre ellos y caracterización de cada uno de ellos, luego se procede a definir una política de calidad así también objetivos de calidad, los cuales contemplan los aspectos de calidad y mejora continua orientados en la directriz que requiere Pierini S.A., posteriormente se elabora un manual de calidad, en el que se indica la documentación relacionada que consiste en: procedimientos, registros y otros documentos. Esta documentación fue elaborada dando conformidad a cada uno de los requisitos de la norma ISO 9001:2015; esta es presentada en su totalidad como parte de este proyecto.También se realiza el manual de funciones para Pierini S.A, según organigrama en el cual se describen todos los cargos, funciones, responsabilidades y otros factores relevantes de cada puesto de trabajo.Con la elaboración del manual de funciones y procedimientos el personal sabrá que funciones debe cumplir, que actividades debe de seguir y que apoyo deben de recibir de su área.Por otra parte, se presenta la estimación del presupuesto en el cual incurriera Pierini S.A., al momento de implementar y certificar el Sistema de Gestión de Calidad, también se elaboró un cronograma de actividades para la implementación del Sistema, en el cual se muestra las actividades necesarias y la duración de cada una de ellas durante la implementación y mantenimiento del Sistema de Gestión de Calidad.Finalmente se puede concluir que contar con un sistema de esta naturaleza trae consigo beneficios competitivos, además de aumentar la satisfacción de los clientes y la demostración hacia terceros de la importancia de Pierini S.A. respecto a la calidad en la provisión de sus servicios.</t>
  </si>
  <si>
    <t>https://drive.google.com/file/d/1wM6ZPZp3hc9KzsWv6ABywQnpwH3Fsr1D/view?usp=sharing</t>
  </si>
  <si>
    <t>https://drive.google.com/file/d/1SsFUAAwliDWHK6h_CNyLF2rEk1bkHXQx/view?usp=sharing</t>
  </si>
  <si>
    <t>https://drive.google.com/file/d/19g4CHfLmJhD6uyLRMEPckzq0jWl94j-9/view?usp=sharing</t>
  </si>
  <si>
    <t>YESSENIA VELÁSQUEZ RAFAEL</t>
  </si>
  <si>
    <t>ING. ALEX D´ANGELO CHOQUE FLORES</t>
  </si>
  <si>
    <t>PROYECTO DE FACTIBILIDAD PARA LA IMPLEMENTACIÓN DE UNA LÍNEA PRODUCTIVA DE YOGURT, DE UNA FRACCIÓN DE LACTOSUERO Y LECHE ENTERA EN LA PLANTA PILOTO DE TRANSFORMACIÓN DE DERIVADOS LÁCTEOS DE LA FACULTAD DE CIENCIAS AGRÍCOLAS Y PECUARIAS “DR. MARTIN CÁRDENAS” - UMSS</t>
  </si>
  <si>
    <t>issey94.v@gmail.com</t>
  </si>
  <si>
    <t>IND-1075-2019</t>
  </si>
  <si>
    <t>Derivados Lácteos, Planta Piloto, Factibilidad, Suero dulce,</t>
  </si>
  <si>
    <t>El presente resumen se logró buscar integrar todos los factores de producción, transformación y comercialización durante cada etapa del proyecto; obteniendo diversidad de beneficios, entre ellos el aprovechamiento de la materia prima y suero dulce (lactosuero) como residuo de la elaboración del queso, generar ingresos económicos a la propia planta piloto de transformación de derivados lácteos, asimismo brindar a los consumidores un producto natural con altas propiedades nutricionales y con eficiencia en los estándares de calidad. Lo que generalmente se buscaba era dar una propuesta hacia la planta piloto ya que hoy en día este suero dulce es desperdiciado continuamente los días que se realizan la elaboración del queso fresco. Entonces al ver este continuo desperdicio se ve por conveniente estudiar a fondo en todo lo que compete la utilización de este subproducto entre ellos los beneficios del mismo y las consecuencias en su consumo o desecho.Ante esta problemática, se observó que, si existe alto porcentaje en suero dulce desperdiciado, por lo tanto, se vio por conveniente realizar un estudio de factibilidad para la implementación de una nueva línea de producción de yogurt a base de suero dulce y leche entera con el propósito de rescatar el mayor porcentaje de suero dulce desperdiciado.Para ello fue necesario salir a las calles de la provincia cercado para realizar primeramente encuestas piloto y finalmente la encuesta final, dando a conocer a la población los beneficios que tiene este líquido cuando este es consumido, exitosamente la mayoría de la población encuestada desea consumir este producto, si existe un alto grado de aceptación de este producto y los medios de difusión por los cuales les gustaría enterarse de este producto es mediante redes sociales y ventas online.Facultad de Ciencias y Tecnología (UMSS)Cochabamba - BoliviaA medida que iba avanzado los capítulos, llegue a la parte de elaboración del producto, en donde lo quería hacer era una relación de 1:1, en la primera prueba de elaboración del producto, no obstante, el día de la degustación el yogurt salió cremoso y no era del agrado de la mayoría de los que degustaron el producto. Continúe con las pruebas y a sugerencia del ingeniero de la planta vio que seria lo más adecuado disponer de tres muestras dando lugar a una que fue en relación 1:1, la segunda con 60% de suero dulce y 40% de leche entera, y la tercera muestra era la viceversa este mismo. Finalmente, mediante pruebas hedónicas se observa que la muestra más idónea para este proyecto es la muestra B, con mas contenido de suero dulce, logrando así rescatar el mayor porcentaje posible de suero. Es a partir de este dato que se continua con las siguientes etapas.Se realizó la descripción de los doce procesos de transformación desde la recepción de materia prima hasta la obtención de producto terminado con un tiempo promedio de 9 horas, para todo el proceso de transformación, dentro las cuales las etapas más cruciales e importantes son las 3 primeras, ya que la recepción de suero dulce tiene que ser inmediata, pasado un lapso de tiempos de dos a tres horas, si no se le da un uso adecuado, este es malogrado y se deteriora al momento, luego se adjunta la leche entera previamente filtrada. De igual manera se seleccionó maquinaria y herramientas para cubrir la demanda y alcanzar la capacidad máxima de producción anual. También se propone un reordenamiento de procesos dentro de la planta con el fin de permitir un mejor flujo eficiente de producción y esta nueva línea de producción tenga su propia área de trabajo. Para ser más específicos se realizó cotizaciones buscando la maquinaria apta para este proceso, de igual manera con las herramientas.La inexistencia de trabajadores con una remuneración, no fue un impedimento para este proyecto, ya que la planta cuenta con operarios que son los mismos estudiantes que realizan sus pasantías, practicas, tesistas, aquellas que realizan los diferentes procesos. Actualmente se cuenta con un cupo de 7 estudiantes por semestre, pero al implementar esta nueva línea de producción será necesario manos para este proceso, es entonces que se logra coordinar con el Jefe del Departamento de Tecnología Agroindustrial, la ampliación de cupos de trabajo, para que los estudiantes realicen este proceso los días que se realice la elaboración del queso fresco.Viendo la parte financiera el proyecto genera ingresos, considerando que el suero dulce tiene un costo de cero. Realizando el análisis se vio que será un proyecto factible generando utilidades de un 70% en relación a su costo de Producción. Asimismo, se realizó un análisis de sensibilidad considerando dos variables importantes durante la etapa de ejecución del proyecto.Finalmente se realizó un estudio de impacto ambiental que concluye que el proyecto no ocasionará un impacto ambiental negativo, lo cual es lógico porque se está haciendo una reutilización de un liquido que se desperdicia día a día y en ninguna etapa ocasiona daños ambientales.Facultad de Ciencias y Tecnología (UMSS)Cochabamba - Bolivia</t>
  </si>
  <si>
    <t>https://drive.google.com/file/d/1Rg9C2m2eAPI9V0HcghcnZXtTZPcjiZhZ/view?usp=sharing</t>
  </si>
  <si>
    <t>https://drive.google.com/file/d/1cApsrFkFe8IPbCcuFFmdC-u6ZJ0bG7Ym/view?usp=sharing</t>
  </si>
  <si>
    <t>https://drive.google.com/file/d/1NZGXO_vhRYN9bgQi7qOsDNtRf7-mhKzh/view?usp=sharing</t>
  </si>
  <si>
    <t>MARCO ANTONIO ALARCÓN BARCAYA</t>
  </si>
  <si>
    <t>ESTUDIO DE FACTIBILIDAD PARA LA COMERCIALIZACIÓN DE CARNE DESHIDRATADA DE LLAMA ENVASADA AL VACÍO EN LA CIUDAD DE COCHABAMBA.</t>
  </si>
  <si>
    <t>IND-1076-2019</t>
  </si>
  <si>
    <t>Carne deshidratada de llama</t>
  </si>
  <si>
    <t>La carne deshidratada de llama, en Bolivia es más conocida como Charque, existen varios métodos de elaboración de este tipo de producto, uno de los más usados es el deshidratado mediante la exposición directa al sol, otro método que se usa son mediante carpas solares y el método que se propone en este proyecto es el deshidratado mediante hornos secadores convencionales, este método es el más adecuado para una producción a escala industrial. El estudio de factibilidad para la comercialización de carne deshidratada de llama envasada al vacío en la ciudad de Cochabamba, nace a partir de la inexistencia de producción industrial de carne deshidratada de llama en el departamento.Para lo cual, se realizó una investigación de mercados con el objetivo de conocer el mercado competidor, el perfil del consumidor, la existencia de la demanda insatisfecha, el consumo per cápita, la demanda potencial y determinar las mejores estrategias de comercialización. Luego se realizaron investigaciones sobre la oferta de carne fresca que es la materia prima principal que se utilizara en el proyecto, también se investigó los costos de los materiales directos e indirectos necesarios para la elaboración de carne deshidratada de llama.Para determinar el tamaño de planta se realizó el análisis con los factores que podrían ser causantes limitantes para la producción como la materia prima, el uso de la tecnología, inversión y el mercado. La micro localización de planta se determinó mediante el método de la matriz de ponderación por puntos, donde se calificaron a tres alternativas que fueron: la provincia de Quillacollo, Sacaba y el parque industrial Santiváñez, donde la alternativa que más ponderación obtuvo fue Quillacollo y por lo tanto esta fue elegida como el lugar de localización de la planta.Se realizó la ingeniería del proyecto para establecer los procesos de producción necesarias para la elaboración del producto, también se determinó la maquinaria, equipos, herramientas, la distribución de planta e infraestructura necesaria para el funcionamiento de la planta, así mismo se determinó que la planta empezara funcionando al 60% de su capacidad de producción, llegando al año quinto a su máxima capacidad.Se realizó el estudio organizacional y legal de la empresa, donde se determinó que la empresa funcionará bajo razón social de industria de alimentos “Mi Llajta S.R.L”.La empresa tendrá una estructura organizacional funcional y según MDPyEP (2018) es considerada como pequeña empresa. En la planificación de la ejecución del proyecto se elaboró un plan que establece de forma detallada y cronológica la secuencia de actividades, desde el inicio de ejecución del proyecto hasta la puesta en marcha, para el tiempo de ejecución se realizó el diagrama PERT-CPM, que determinó la duración de nueve meses y posteriormente se realizó el diagrama de Gantt. En la evaluación financiera del proyecto, primeramente, se determinó las inversiones necesarias para la realización del proyecto, posteriormente se realizaron los costos totales del proyecto para poder determinar el precio de venta del producto, después se realizó el estado de resultados y finalmente el flujo de caja, donde se determinó los indicadores financieros del proyecto, los cuales son: TIR=32%, VAN=669.780,90 Bs. y la relación B/C=1,44.Estos indicadores financieros muestran que el proyecto es factible económicamente, por lo tanto, es recomendable invertir en este tipo de proyectos.</t>
  </si>
  <si>
    <t>https://drive.google.com/file/d/192t4zGRrxVI7O7-RZPfpaDnNRWZGikry/view?usp=sharing</t>
  </si>
  <si>
    <t>https://drive.google.com/file/d/10UDpq-DOjybVm32_6xoDDcXe9hRE9och/view?usp=sharing</t>
  </si>
  <si>
    <t>https://drive.google.com/file/d/11B00AEznPstR45rMEPMcuz6GE5pCPFFz/view?usp=sharing</t>
  </si>
  <si>
    <t>GALVEZ MOLINA DERICK JOEL</t>
  </si>
  <si>
    <t>QUIÑONES GARCIA PAULO  RODRIGO</t>
  </si>
  <si>
    <t>ING. ORLANDO SERRATE QUISPE</t>
  </si>
  <si>
    <t>PROYECTO DE FACTIBILIDAD PARA LA IMPLEMENTACIÓN DE UNA PLANTA DE EXTRUSIÓN, SOPLADO E INYECTADO DE PLÁSTICO EN TELECOMUNICACIONES PARA LA EMPRESA EXSMECON INGENIEROS SRL EN EL PARQUE INDUSTRIAL SANTIVAÑES</t>
  </si>
  <si>
    <t>derigal2005@gmail.com</t>
  </si>
  <si>
    <t>IND-1077-2019</t>
  </si>
  <si>
    <t>Planta de extrusión, soplado e inyectado; Plástico; Telecomunicaciones; Insumos pasivos.</t>
  </si>
  <si>
    <t>El presente proyecto tiene como objetivo realizar una propuesta de un proyecto de factibilidad para la empresa EXSMECON ubicada en la ciudad de Cochabamba quien busca implementar la producción de insumos para internet de fibra óptica debido al crecimiento de uso de internet en nuestra Sociedad.El proyecto grado se realizó considerando los siguientes capítulos:La macrolocalización de la empresa se determinó considerando los factores: disponibilidad y costo de mano de obra, cercanía a fuentes de abastecimiento, cercanía al mercado, costo y disponibilidad de terreno, disponibilidad de agua y energía, transporte y comunicaciones. la región geográfica de macrolocalización es el municio Santivañez.La región geográfica de microlocalizacion es el Parque Industrial Santivañez.El estudio técnico permitió conocer las características técnicas del producto nuestros productos de fibra optica, se describieron las actividades de producción o transformación construyendo los diagramas productivos específicos y el balance de masa. Se realizó la selección de maquinarias y equipos más adecuados para la producción de nuestros productos de fibra optica, se diseñó las instalaciones o construcciones civiles definiendo el presupuesto total para tecnologías e instalaciones del proyecto. Se determinó que la inversión total en máquinas y equipos es de Bs. 35.942,40, la inversión en infraestructura es de Bs.  73.500,00.La estructura organización del proyecto es de tipo lineal, con las áreas de producción y comercialización. El personal de trabajo total es de 49, entre la mano de obra directa e indirecta.El proyecto se realizara en un plazo no menor de 25 semanas desde la gestión de financiamiento hasta la simulación y puesta en marcha siendo el tiempo requerido para la ejecución del proyecto.Para el estudio financiera del proyecto se estableció el horizonte temporal de 10 años para su evaluación respectiva con los indicadores financieros como el TIR, VAN Y B/C. De lo anterior se determinó que el proyecto en estudio es financieramente rentable  en virtud de los resultados obtenidos mediante la aplicación de métodos y criterios de evaluación que consideran el valor del dinero a través del tiempo. Los resultados que sustentan lo anteriormente mencionado son los siguientes: El Valor Actual Neto (VAN) obtenido es de Bs 1.146.847 (Por lo tanto, mayor a 0) calculado con un factor de actualización de 12% (Tasa Mínima Aceptable de Rendimiento -TMAR- que representa el costo de oportunidad de invertir en el proyecto o destinar los recursos disponibles a otra alternativa de inversión. Por lo tanto, el resultado obtenido indica que el proyecto tendrá beneficios futuros; por lo que se acepta el proyecto. La Tasa Interna de rendimiento (TIR) es de 25.37% mayor a la Tasa Mínima Aceptable de Rendimiento, lo que significa que el rendimiento esperado será mayor al rendimiento mínimo fijado como aceptable.  La Relación Beneficio-Costo (B/C) es de Bs 1,040, lo que financieramente significa, que, por cada peso invertido en el proyecto, se obtendrán 1,040 centavos de ganancia. Y el Periodo de Recuperación de la Inversión (PRI) será de 3 años.</t>
  </si>
  <si>
    <t>https://drive.google.com/file/d/1xfz9ja19gs3Id09L8Bnr5rARngLXF03m/view?usp=sharing</t>
  </si>
  <si>
    <t>https://drive.google.com/file/d/1_TpJ2s5THdJITtxhCqaT4Xm2qYMkQFY3/view?usp=sharing</t>
  </si>
  <si>
    <t>https://drive.google.com/file/d/1rpNZCVUYdnjxnVshpxNmaDymWTFjfEHb/view?usp=sharing</t>
  </si>
  <si>
    <t>ANDREA MARIA NAVA CUSIMAMANI</t>
  </si>
  <si>
    <t>SISTEMA DE GESTIÓN DE SEGURIDAD Y SALUD EN EL TRABAJO BASADO EN LA NORMA NB/ISO 45001:2018 PARA LA EMPRESA COBOCE CERAMIL EN EL PARQUE INDUSTRIAL DE SANTIVAÑEZ</t>
  </si>
  <si>
    <t>navaandrea027@gmail.com</t>
  </si>
  <si>
    <t>IND-1078-2019</t>
  </si>
  <si>
    <t>Seguridad, peligro, incidente, Sistema de Gestión de Seguridad y Salud, norma NB/ISO 45001, primeros auxilios.</t>
  </si>
  <si>
    <t>La empresa COBOCE CERAMIL en el parque Industrial “SANTIVAÑEZ”, ha visto por conveniente realizar el diseño de un Sistema de Gestión de Seguridad y Salud en el Trabajo basado en la norma NB/ISO 45001, debido a que la empresa cuenta con una nueva planta, más amplia y moderna.Primeramente, se realizó un diagnóstico de la situación actual de la empresa, se recabó información para poder verificar el cumplimiento de las normas, leyes y reglamentos vigentes en nuestro país que son aplicables a la empresa. Todo ello con el fin de conocer la situación de la empresa en temas de seguridad. Seguidamente se realizó la Identificación de peligros y evaluación de riesgos dentro de la empresa, clasificando los peligros por procesos y áreas, también se sugirió los controles necesarios para subsanar los riesgos a los que están expuestos los trabajadores.Con los datos recabados se procedió a la elaboración del Sistema de Gestión de Seguridad y Salud en el Trabajo basado en la norma NB/ISO 45001, acorde a la situación de la empresa y a los requerimientos de la misma.En el siguiente paso se procedió a la elaboración del Programa de Seguridad y Salud en el Trabajo (NTS-009/18) vigente en nuestro país, con la elaboración del plan de emergencias, manual de primeros auxilios, estudios de carga de fuego, señalización y señalética dentro de la empresa, conformación del comité mixto, capacitaciones, etc.Por último, se realizó el Presupuesto y análisis financiero del Sistema de Gestión de Seguridad y Salud en el Trabajo el cual será necesario para la implementación de la señalización y señalética, instalación de extintores, controles para los riesgos existentes y demás que sean necesarios para el sistema de gestión.</t>
  </si>
  <si>
    <t>https://drive.google.com/file/d/1nWO0W14RSmnYt122ArhcLj0fTlz34iU-/view?usp=sharing</t>
  </si>
  <si>
    <t>https://drive.google.com/file/d/10hAiFjBtRnne-i5q3OgN0yJqrUJRLy0s/view?usp=sharing</t>
  </si>
  <si>
    <t>PATRICIA CARRASCO GARCÍA</t>
  </si>
  <si>
    <t>SISTEMA DE GESTIÓN DE LA CALIDAD SEGÚN CERTIFICACIÓN DE PRODUCTO CON SELLO IBNORCA DE CONFORMIDAD CON NB 325001 PARA “LA CASCADA S.A</t>
  </si>
  <si>
    <t>patty_cg3@hotmail.com</t>
  </si>
  <si>
    <t>IND-1079-2019</t>
  </si>
  <si>
    <t>Certificación, Sello IBNORCA, DEMING, Implementación</t>
  </si>
  <si>
    <t>Se desarrolló el siguiente trabajo con la finalidad de Diseñar el Sistema de Gestión de la Calidad para la Certificación de Producto con Sello IBNORCA de Conformidad con NB 325001 para “La Cascada S.A.”, con el objetivo de estructurar la documentación que se necesita para mejorar la calidad del proceso de la producción de la línea Coka Quina en su envase Pet, Se realizó el diagnóstico de la situación actual de la empresa, frente al cumplimiento de los requisitos exigidos por la norma NB 325001 y el Reglamento General y Especifico del Sello IBNORCA, que permitió determinar el grado de cumplimiento de la empresa.Con toda la información obtenida se realizó el Diseño del Sistema de Gestión de Calidad, estableciendo la estructura documental, identificando los procesos necesarios para cumplir los requisitos de calidad, que nos ayudaron a asegurar el control eficaz de los productos, mediante la realización de procedimientos y registros.Se elaboró un plan de implementación del Sistema de Gestión de Calidad en base a lo que se identificó en cada una de las etapas, indicando el tiempo aproximado de implementación de 10 meses.Finalmente se determinó los costos para cada actividad en los que incurrirá “La Cascada S.A.”, en caso de que la empresa decida implementar el Sistema de Gestión de Calidad para la certificación de producto con Sello IBNORCA.Llegando así a la conclusión que el Sistema de Gestión de Calidad debe ser aplicado y mantenido en todo momento, sin importar los niveles de la organización.</t>
  </si>
  <si>
    <t>https://drive.google.com/file/d/1GSkBW7hOHqVYttfmab_5evgEcOShVu8y/view?usp=sharing</t>
  </si>
  <si>
    <t>https://drive.google.com/file/d/1sNrxo97cnav_gpQzKm-ZSLbVC4Sel-8p/view?usp=sharing</t>
  </si>
  <si>
    <t>https://drive.google.com/file/d/15JjrJgQkHLaLYwuMENiF_LP_liUvGDWe/view?usp=sharing</t>
  </si>
  <si>
    <t>ERLAND CALA ARO</t>
  </si>
  <si>
    <t>MARIELA RIOJA VELIZ</t>
  </si>
  <si>
    <t>PROYECTO DE FACTIBILIDAD PARA LA IMPLEMENTACIÓN DE UNA PLANTA PRODUCTORA DE BOLSAS PLÁSTICAS BIODEGRADABLES A BASE DE ALMIDÓN DE MANDIOCA EN EL DEPARTAMENTO DE COCHABAMBA.</t>
  </si>
  <si>
    <t>tanercala720@gmail.com</t>
  </si>
  <si>
    <t>IND-1080-2019</t>
  </si>
  <si>
    <t>Factibilidad, bolas biodegradables, instalación de una planta.</t>
  </si>
  <si>
    <t>Es un producto innovador, lo más interesante de las bolsas biodegradables al 100% es que sabemos que no van a dañar al medio ambiente y, se garantiza la calidad, la resistencia a la tracción y a la perforación, siendo tan fuertes como las bolsas de polietileno convencional. Este producto utiliza como materia prima materiales biodegradables a partir del almidón de mandioca; esto le da una ventaja competitiva natural a nuestro producto.En el presente proyecto se consideró la tecnología adecuada existente en el mercado para la elaboración de bolsas plásticas biodegradables, garantizando la calidad de los mismos, logrando un producto que satisface al cliente, además, se realizó un estudio para el posicionamiento del producto en el mercado meta, se definió una estrategia de comercialización y posicionamiento del producto.Para la puesta en marcha de la planta se realizó una serie de pasos, en las cuales la metodología a seguida es:·       Se realizó un estudio de mercado, el cual nos permitió identificar el mercado, recolección, procesamiento y análisis de datos necesarios para el estudio de la factibilidad y con la interpretación de la información obtenida, mejorar la toma de decisiones posteriores.·       Se realizado un estudio con el cual se determinó la adquisición de la materia prima a utilizar para la elaboración de los diferentes productos.·       Se determinó la localización de la planta, el lugar ideal para localizarlo será aquel en el cual se puedan conseguir los materiales, se pueda realizar el proceso y se pueda distribuir los productos con el mínimo costo total e inconveniencias.·       Se realizó un estudio técnico con la finalidad de determinar la tecnología de proceso más adecuada a la planta de producción.·       Se realizó un estudio organizacional para el manejo correcto de la planta y todo lo que esto conlleva.·       Se realizó una evaluación financiera para el cálculo de los indicadores de rentabilidad como son el VAN, TIR y B/C.·       Se realizó un estudio ambiental para poder determinar el grado de afectación de la planta con el medio ambiente y así se concluyó en que categoría estará la planta.Se obtuvo como resultado del estudio que la planta si es factible para su funcionamiento, esta deberá estar ubicada en provincia de Quillacollo-Ironcollo. El precio de venta calculado es de 16, 22, 25 Bs de los tamaños pequeño, mediano y grande paquete de 100 unidad, la planta funcionara con 5 operarios.Así mismo, se recomienda que una vez se consiga la estabilidad de la empresa, se llega a incrementar más líneas de producción (envase para industrias) a través de un estudio de mercado que determinan la satisfacción del cliente actual y la necesidad de nuevos productos, llegando a más consumidores.</t>
  </si>
  <si>
    <t>https://drive.google.com/file/d/146pRvT1BizneCsJDECHiUR8VWlqbuoyo/view?usp=sharing</t>
  </si>
  <si>
    <t>https://drive.google.com/file/d/163l5vQE3l9xkjlhRJFLVekm6L1UkmG7L/view?usp=sharing</t>
  </si>
  <si>
    <t>https://drive.google.com/file/d/1F6H2IjvYr9hv_4byGzyZGaJGsRu0iQRS/view?usp=sharing</t>
  </si>
  <si>
    <t>MABEL CAROLINA COCA ORELLANA</t>
  </si>
  <si>
    <t>ING. MAXIMILIANO ESCALERA ARGOTE</t>
  </si>
  <si>
    <t>PLAN DE SEGURIDAD E HIGIENE OCUPACIONAL PARA LA CONSTRUCTORA “ROWCOR”</t>
  </si>
  <si>
    <t>IND-1081-2019</t>
  </si>
  <si>
    <t>Seguridad, Construcción, Plan de Emergencia, Primeros Auxilios, Trabajos en Alturas.</t>
  </si>
  <si>
    <t>Es importante establecer que la seguridad, salud e higiene ocupacional en el trabajo debe ser parte de los puntos estratégicos de las organizaciones, debido a que es responsabilidad de toda empresa, el cuidar y velar por la salud e integridad física de sus trabajadores protegiéndolos contra accidentes y asegurándoles un ambiente de trabajo seguro y adecuado, a fin de prevenir daños graves paras las personas, patrimonio y medio ambiente.Es por ello que se vio necesario desarrollar un plan de Seguridad e Higiene Ocupacional de tal forma que permita: identificar peligros, evaluar riesgos, predecir sus consecuencias más probables, el diseño y ejecución de medidas de seguridad y protección para las personas y bienes.Para la elaboración del proyecto se hizo uso de: la Ley General de Higiene Seguridad Ocupacional y Bienestar Social N° 16998, la R.A. N° 038/01 (De Elaboración de Planes de Emergencia), también se empleó normativa boliviana respecto a la señalización, extintores portátiles, elaboración de planes de emergencia, que permiten a las diferentes empresas disminuir los siniestros laborales y aumentar la productividad, identificando, evaluando los riesgos.La metodología utilizada contemplo la realización del diagnóstico de la situación actual de la empresa, se hizo una descripción de métodos de trabajo, maquinaria, equipos, herramientas, mano de obra, materiales empleados, para identificar las falencias, problemas latentes en lo referente a situaciones de seguridad industrial.Posteriormente se procedió a analizar e identificar peligros y evaluar riesgo de las empresas en todas las áreas de trabajo, a través del método APR, método que sirvió para identificar fuentes que puedan ocasionar daños, procedimientos inadecuados, que existen en las diferentes secciones que pueden afectar a los trabajadores, o bienes materiales de la constructora y proponer medidas correctivas.Así mismo se calculó el número de extintores y según el tipo de fuego que exista en las diferentes áreas de una obra en construcción, el cálculo se realizó en base a la NFPA 10 y la Norma Boliviana 58006:2007.Posteriormente se elaboró el Plan de Seguridad e Higiene Ocupacional que incluye la elaboración de: Reglamento de seguridad y salud en el trabajo, Medidas de control y Prevención de Riesgos, Manual de Primeros Auxilios, Medidas de Lucha y Prevención Contra Incendios, Programa de orden y Limpieza, Programa de Trabajos en Alturas, Plan de Emergencia, Programa de Capacitación.Finalmente se realizó la estimación de los costos de implementación y funcionamiento del Plan de Seguridad e Higiene Ocupacional.</t>
  </si>
  <si>
    <t>https://drive.google.com/file/d/1eFbAYY89WlPYwXA1BNCWreC3PPBVVJoa/view?usp=sharing</t>
  </si>
  <si>
    <t>https://drive.google.com/file/d/1N8XNWh913OAjl6czWtlVN1RSOt34e_m9/view?usp=sharing</t>
  </si>
  <si>
    <t>https://drive.google.com/file/d/1Tr0G7kNIi-ckjMos_Npn39VpwcBuVDI_/view?usp=sharing</t>
  </si>
  <si>
    <t>ROMANÉ VALDIVIA ESCOBAR</t>
  </si>
  <si>
    <t>DISEÑO DE UN MODELO DE BUENAS PRACTICAS DE MANUFACTURA Y PROCEDIMIENTOS DE OPERACIÓN ESTANDAR DE SANIDAD PARA LA EMPRESA “NORDLAND LTDA</t>
  </si>
  <si>
    <t>romanevaldivia@gmail.com</t>
  </si>
  <si>
    <t>IND-1082-2019</t>
  </si>
  <si>
    <t>Fabrica Nordland, Buenas Prácticas de manufactura (BPM),Procedimientos de Operación Estándar de Sanidad (POES).</t>
  </si>
  <si>
    <t>El modelo  de las Buenas Prácticas de Manufactura y procedimientos de operación estándar de sanidad, para la Empresa Alimentos Alfa Productos Nordland Ltda. Para la línea de helados, indica las principales actividades y/ó operaciones que se debe considerar, con la finalidad de reducir todos aquellos riesgos para la salud del consumidor.Para  realizar el modelo  de las Buenas Prácticas de Manufactura y procedimientos de operación estándar de sanidad, primeramente se recabó información relevante sobre las características de la construcción, servicios básicos, áreas de circulación, transporte, personal manipulador así también los procedimientos de limpieza, desinfección de instalaciones y equipos. Se utilizó información de fuente primaria como ser:La entrevista: se utilizó para recabar información verbal, a través de preguntas no estructuradas, es decir, preguntas abiertas dando libre iniciativa a los entrevistados. Quienes respondieron fueron el jefe de área y los operarios.Observación: la información mediante la observación de las operaciones, infraestructura, características del personal, lleva a entender la forma en que se llevan las actividades en la empresa.Luego se definió la metodología, estableciendo las siguientes fases: Fase I Diagnostico actual de las condiciones sanitarias de la empresa (Descripción de los procesos productivos de la fábrica "Alimentos Alfa Productos Nordland Ltda."); Fase II Establecer propuestas para el desarrollo de las buenas prácticas de manufactura (Realizar programas de requisitos en la industria de los alimentos sobre Buenas Prácticas de Manufactura NB/NM 324); Fase III Realizar manuales de buenas prácticas de higiene del personal e instructivos de trabajo de POES(Realizar programas de requisitos sobre procedimientos operativos estandarizados de saneamiento POES NB 329044); Fase IV Estimación de presupuesto (Se estimará el presupuesto  que representa la implementación de las Buenas Prácticas de Manufactura. Tomando en cuenta el mejoramiento y la adecuación de los elementos necesarios). Como complemento al diseño se elaboró la documentación base de todo el sistema para BPM, manual de Buenas Practicas de Higiene, Manual de Limpieza y Desinfección, Manual de Procedimientos de Operación Estándar de Sanidad  POES, Programa de control de plagas, Programa de sólidos,  y Manual de señalización industrial.Se elaboró un presupuesto con el fin de tener una idea de la inversión necesaria para la implementación de acciones de mejora de las BPM. De acuerdo a las inversión del activo fijo, se tomó en cuenta las obras civiles y la señalización, alcanzando una inversión de  10.445,78 Bs, para el presupuesto de activo diferido es de 2000 Bs y para el presupuesto operativo se realizó un presupuesto  de capacitación del personal de 880 Bs, este dato puede variar todo depende de cuantas veces se realice la capacitación, además se realizó un presupuesto de material de limpieza y desinfección mensual 524 Bs y anual 6.288 Bs necesarios, dando un total del presupuesto operativo trimestral de 7.056 Bs, realizando la sumatoria del presupuesto total resulta un monto de 19.501,78 Bs.</t>
  </si>
  <si>
    <t>https://drive.google.com/file/d/1OLHLQrL_JOKRCqQH0QRGPRliwKxep5Fs/view?usp=sharing</t>
  </si>
  <si>
    <t>https://drive.google.com/file/d/1IUNzbjsFiJAO9WZYKWJ8tYRVrYLLVhj0/view?usp=sharing</t>
  </si>
  <si>
    <t>https://drive.google.com/file/d/1exGT9puv__SZkbko5RTgdcStdXYhAAqo/view?usp=sharing</t>
  </si>
  <si>
    <t>CUENTAS CLAURE KAREN DAFNE</t>
  </si>
  <si>
    <t>ELABORACIÓN DE UN ESTUDIO DE FACTIBILIDAD PARA LA IMPLEMENTACIÓN DE UNA LÍNEA DE ENSAMBLAJE DE UN SISTEMA MÓVIL DE PURIFICACIÓN DE AGUA PARA LA EMPRESA  “ENAUTO” – COCHABAMBA</t>
  </si>
  <si>
    <t>krn.94.c@gmail.com</t>
  </si>
  <si>
    <t>IND-1083-2019</t>
  </si>
  <si>
    <t>ENAUTO, Purificador de Agua Móvil, , Filtro Lecho Profundo, Filtro Pulidor, Filtro Carbón activado,  Impacto Medioambiental, Estudio del mercado, Margen de Contribución, Canal de Distribución,  TIR, TREMA, Periodo de Recuperación, Análisis de Sensibilidad</t>
  </si>
  <si>
    <t>El objetivo del presente proyecto es elaborar el estudio de factibilidad para la implementación de una línea de ensamblaje de un sistema móvil de purificación de agua para la empresa  “ENAUTO” – Cochabamba. El objetivo principal del mismo es demostrar técnica, económica, financiera y ambientalmente la instalación de la planta, establecer el alcance del proyecto, así como determinar los procesos tecnológicos a utilizarse para la producción del mismo. El desarrollo de nuevos productos en el mercado es la tendencia de oferta y consumo a nivel global, y no se puede dejar a un lado el caso de los equipos de purificación de agua, las oportunidades de venta surgen diariamente de manera que es una buena oportunidad para poder desarrollarse en este negocio. Es por esta razón que se procedió a un estudio de mercado, en la provincia de Cercado en la ciudad de Cochabamba, se evaluó a los clientes potenciales y los principales atributos y características en cuanto a la funcionalidad del mismo, precio, demanda, oferta; datos que sirvieron para determinar la demanda insatisfecha de estos equipos y la capacidad de la planta, este último calculado por medio del pronóstico y de acuerdo al crecimiento del mercado.Establecida la futura demanda se procedió a determinar el tamaño del proyecto, dimensionar la planta y localizarla. Por medio de la ingeniería de proyecto se determinaron los procesos para desarrollar estos equipos, también se determinó la maquinaria, equipos y herramientas a utilizarse en los diferentes procesos y la infraestructura de cada área de la planta, con los requerimientos exigidos por el mercado.Establecida la maquinaria, equipo, personal y materia prima, se establecieron los costos de funcionamiento de la planta así como los ingresos proyectados a obtenerse.En la evaluación ambiental se determinó según la categorización del proyecto que es ecológicamente aceptable. Con ayuda de los indicadores financieros se concluyó que la implementación de la planta desde el punto de vista financiero y técnico es factible en el departamento de Cochabamba.</t>
  </si>
  <si>
    <t>https://drive.google.com/file/d/1Sa2SavbwooFy1EsqpiWa7--mCxVklQhT/view?usp=sharing</t>
  </si>
  <si>
    <t>https://drive.google.com/file/d/1C2iEVctJ8y0n57m22RBxEFwBH7rB9z3q/view?usp=sharing</t>
  </si>
  <si>
    <t>https://drive.google.com/file/d/1raNGUgSpsaxCOxb0iSKzKdiu-QQyL_KU/view?usp=sharing</t>
  </si>
  <si>
    <t>KEVIN OSCAR OROPEZA PACHECO</t>
  </si>
  <si>
    <t>PROYECTO DE FACTIBILIDAD PARA LA IMPLEMENTACIÓN DE UNA PLANTA PROCESADORA DE ACEITE DE AJONJOLÍ EN COCHABAMBA</t>
  </si>
  <si>
    <t>kenny_20_4@hotmail.com</t>
  </si>
  <si>
    <t>IND-1084-2019</t>
  </si>
  <si>
    <t>Estudio de factibilidad, estudio de mercado, estudio técnico, estudio Legal y Organizacional, aceite de ajonjolí, análisis financiero,rentabilidad.</t>
  </si>
  <si>
    <t>Primeramente se realizó una descripción de la situación de la materia prima la semilla de ajonjolí y su reconocimiento de sus propiedades nutritivas los cuales nos ofrecen muy buenas perspectivas económicas, se determina un problema central con sus respectivas causas y efectos sobre el inexistente aprovechamiento industrial del ajonjolí, este fue el punto de partida para la elaboración del presente estudio de factibilidad. En el Estudio de Mercado, a través del uso de fuentes primarias y secundarias, se detallaron las características del mercado existente, la segmentación del consumidor y el concepto de los productos. Existe un crecimiento de interés en productos nuevos con propiedades nutritivas como es el aceite de ajonjolí tanto en términos de oferta como de demanda. Posteriormente, en el estudio de la materia prima se describió la disponibilidad de ajonjolí en las localidades del Chaco, Charagua, Mairana, Camiri, San Pedro y Guarayos.. (Sector Trópico), también se realiza las descripciones, cultivos y cosechas de ajonjolí. Se modeló y analizó la demanda y oferta histórica, donde se proyectó las mismas con la finalidad de establecer la demanda efectiva del proyecto para los ocho años de operación previstos.Adicionalmente se evaluaron las variables de la comercialización correspondientes a plaza, precios y promoción. En el Estudio Técnico se definió la localización más adecuada para la planta ubicado por el Km. 5 del Abra, Sacaba y, se estableció la formulación y los métodos de procesamiento de los productos para la elaboración aceite de ajonjolí de calidad, manteniendo las propiedades naturales. En el Estudio Legal y Organizacional se detalló la normativa que afecta el proyecto, además se estableció la estructura de la organización así como el perfil del personal con la que la empresa debe contar.En el análisis financiero del proyecto se realizaron los cálculos de inversión de activo fijo, activo diferido y capital de trabajo, donde se obtuvo un monto de 1.028.588,58 Bs. El 40% de este monto será cubierto por aporte propio, el restante 60% será cubierto por una entidad bancaria como es el Banco Unión por su bajo interés para Pymes. Los resultados obtenidos al aplicar los indicadores económicos al flujo de caja proyectado se ha obtenido resultado un VAN= 990.287,23Bs. una TIR= 33,3 %, la relación B/C con 2,41 y el PRI=5,7 años. Se presentó un estudio de sensibilidad que evaluó tres variables críticas en un escenario posible, donde los valores esperados fueron satisfactorios para presumir la rentabilidad del proyecto. El proyecto es ecológicamente compatible, a la comunidad lo cual contribuye a mejorar la calidad de vida. Como conclusión los resultados son favorables para el desarrollo del proyecto, es decir el proyecto genera una utilidad rentable para la inversión, siendo el proyecto atractivo para poder implementarlo.</t>
  </si>
  <si>
    <t>https://drive.google.com/file/d/1con4dHQKNFO_IdL8IFh1jiAcyPY2Oz4O/view?usp=sharing</t>
  </si>
  <si>
    <t>https://drive.google.com/file/d/1rqFcLmpgq1yagEjV0T70xPOLCI27YUta/view?usp=sharing</t>
  </si>
  <si>
    <t>https://drive.google.com/file/d/1e5RZmv1q9tt9ed2MZVXLFtG5zquiFSlm/view?usp=sharing</t>
  </si>
  <si>
    <t>RICHAR RODRÍGUEZ LÓPEZ</t>
  </si>
  <si>
    <t>DANIELA VIA HINOJOSA</t>
  </si>
  <si>
    <t>PROYECTO DE PRE-FACTIBILIDAD PARA LA INSTALACIÓN DE UNA PLANTA DE PRODUCCIÓN  DE “LECHUGA Y TOMATE HIDROPÓNICA” EN EL EJE METROPOLITANO DE COCHABAMBA.</t>
  </si>
  <si>
    <t>richarrodriguezlopez@gmail.com</t>
  </si>
  <si>
    <t>IND-1085-2019</t>
  </si>
  <si>
    <t>Producción hidropónica, Solución nutritiva, Control fitosanitario, sustrato y NFT</t>
  </si>
  <si>
    <t>El Estudio de pre factibilidad para la instalación de una planta hidropónica de lechuga y tomate nace para coadyuvar al mejoramiento de técnicas de cultivo, niveles de producción, ahorro de agua e inocuidad alimentaria.Inicialmente se realizó un diagnóstico situacional, determinando las causas y efectos del problema estudiado. Seguidamente se describió y determinó la cantidad de materia prima y su disponibilidad en el mercado del departamento de Cochabamba. En el estudio de mercado se realizó el análisis de la demanda y oferta de lechuga y tomate producida en invernadero en el departamento de Cochabamba, mediante encuestas. La localización fue obtenida a través de una evaluación cualitativa de puntos, donde se analizaron alternativas diferentes. Posteriormente se realizó la ingeniería d proyectos. Se ilustra la estructura organizativa y cálculo de salarios. Posteriormente se procedió a describir los requisitos para la constitución legal de la empresa. Se estimaron las inversiones totales y los respectivos costos operativos con esto se realizó el respectivo análisis financiero usando indicadores como la TIR (Tasa Interna de Retorno) y el VAN (Valor Actualizado Neto). Se sometió el flujo a un análisis de sensibilidad para las variables más influyentes. Finalmente se efectuó una evaluación ambiental y análisis de impacto social.</t>
  </si>
  <si>
    <t>https://drive.google.com/file/d/1S2Btt9yF78-qF0eOmnkVBNn5C_YX7Ixf/view?usp=sharing</t>
  </si>
  <si>
    <t>https://drive.google.com/file/d/1Dg6ICtpjNChCuk5Ya7Ff6yp1h4E1biNe/view?usp=sharing</t>
  </si>
  <si>
    <t>https://drive.google.com/file/d/1MUmI5sXDtBxVb3TnJhxWXxi_04BJhGVs/view?usp=sharing</t>
  </si>
  <si>
    <t>ELVIS MAURICIO FLORES COCA</t>
  </si>
  <si>
    <t>ESTUDIO DE FACTIBILIDAD PARA LA INSTALACIÓN DE UNA FÁBRICA DE PAÑALES DESECHABLES EN BOLIVIA.</t>
  </si>
  <si>
    <t>elvismauricio2812@gmail.com</t>
  </si>
  <si>
    <t>IND-1086-2019</t>
  </si>
  <si>
    <t>Fábrica de pañales desechables, Celulosa, Polímero Súper Absorbente (SAP), combinación de Celulosa y SAP (PAD), Indicadores Financieros.</t>
  </si>
  <si>
    <t>El objetivo del presente proyecto es realizar el estudio de factibilidad para la implementación de una empresa fabricadora de pañales desechables en el departamento de Santa Cruz, para la población con edades entre 0 y 4 años de todo el territorio Boliviano.Se realizó una investigación de mercados y se recabo información sobre el mercado y la competencia, con el fin de cubrir todas las expectativas de los clientes. En función a este estudio se podrá cuantificar la demanda y establecer un plan de producción.  También se realizó un estudio técnico donde se describen los materiales e insumos que se necesitan para la elaboración del pañal desechable y se define el tamaño y localización de la planta mediante el método ponderado por puntos donde se eligió la opción más óptima para la empresa. Dentro de la ingeniería del proyecto, se analizó el proceso productivo, se determinó de manera precisa y clara la maquinaria necesaria para la elaboración del pañal desechable, además se realizó una descripción de la distribución de planta.Se definió una estructura organizacional de la empresa mediante un organigrama por departamentos, además de definir las responsabilidades y competencias para los distintos puestos de la organización. La planificación y organización del proyecto tiene un tiempo de duración de 9 meses y 2 semanas, considerando un mes para imprevistos la cual se determinó mediante un diagrama de Gantt.En cuanto a la evaluación de impacto ambiental la empresa se ocupa de la protección del medio ambiente cumpliendo con la ley 1333 y prevención de accidentes e higiene industrial.Se estimaron las inversiones totales y los costos en los que incurre el proyecto, en cuanto a la evaluación financiera, se determinó que el proyecto es FACTIBLE, dado por sus indicadores financieros en VAN, TIR, relación B/C.</t>
  </si>
  <si>
    <t>https://drive.google.com/file/d/10zKgyMH2gQDvToi8wfaBPKJqg_Cgt1tB/view?usp=sharing</t>
  </si>
  <si>
    <t>https://drive.google.com/file/d/1EV-ajY0j2k9yRAUdAnA5oqtJtSvwQKeO/view?usp=sharing</t>
  </si>
  <si>
    <t>https://drive.google.com/file/d/16p4vTnsrGkrQ55B1ZDYgWAeWO4xot29W/view?usp=sharing</t>
  </si>
  <si>
    <t>MELANI BETANIA ARISPE GUTIÉRREZ</t>
  </si>
  <si>
    <t>ESTUDIO DE FACTIBILIDAD PARA LA CREACIÓN DE UNA EMPRESA DE INSTALACIÓN DE                            REDES Y SEGURIDAD ELECTRÓNICA</t>
  </si>
  <si>
    <t>IND-1087-2019</t>
  </si>
  <si>
    <t>Control de acceso, Redes de Área Local, Cableado Estructurado, Control de Flujo, Radioenlaces, Topología, Cable Coaxial, Conectores RJ-45, Red Inalámbrica</t>
  </si>
  <si>
    <t>Actualmente existen muchos hogares y empresas que no cuentan con instalación de redes ni seguridad electrónica en el área de Cercado Cochabamba, lo cual deja un mercado amplio para satisfacerlo del cual debemos conocer sus requisitos. Por lo cual una alternativa es la creación de una nueva empresa que brinde los servicios requeridos por los clientes en el área de seguridad electrónica e instalación de redes, conociendo los requerimientos del cliente en cuanto a servicios requeridos podremos cubrir sus necesidades. La finalidad del trabajo fue demostrar la viabilidad técnica, financiera, determinar los recursos necesarios, conocer la demanda, brecha del mercado, saber la mejor localización para la implementación de una empresa de instalación de redes y seguridad electrónica. La población objetivo que se estableció para el estudio de mercado a las familias y empresas de la provincia Cercado del departamento de Cochabamba que presenta un promedio de 49 % de viviendas y hogares sin estos servicios. Los resultados de la demanda son que existe un crecimiento anual en cuanto a la población del 2,7 %, el crecimiento de las empresas del 5,2 % lo cual nos da un mercado amplio para poder abastecer, determinaremos la cantidad de mercado podremos cubrir los primeros años, como también el crecimiento del mismo.Se realizó un estudio del mercado para saber la demanda y mediante este saber el número de encuestas que realizaremos, en la encuesta realizada se obtuvo los servicios más requeridos por nuestros clientes, si esta empresa sería aceptada por la población, si obtuvo resultados de cuáles son nuestros principales competidores, los precios que están dispuestos a pagar los clientes y el medio de información para conocer de la empresa, lo cual nos dio resultados aceptables.Se realizó un análisis para determinar la localización adecuada de la empresa lo cual se analizó: la energía eléctrica, las movilidades disponibles, en tráfico en la zona, las instalaciones de red, el análisis de surtidores disponibles para un acceso rápido a combustible, el precio del terreno disponible como también el tamaño del mismo. Se determinó que la mejor alternativa de emplazamiento para la empresa de instalación de redes y seguridad electrónica es la que se encuentra en la Zona Nor Este Av. Circunvalación, por presentar mejores características para el proyecto. La mercadería para el proyecto, será adquirida directamente de los distribuidores para ahorrar en gastos de adquisición.Se determinó las áreas que se construirán en el terreno como ser: parqueo, área de recepción, área administrativa, área de almacenamiento, área de despacho, baños, etc. También se determinó el personal necesario como ser: gerente general, secretaria, Jefe de instalación de redes de computadoras, jefe de instalación de seguridad electrónica, auxiliar de seguridad electrónica, auxiliar de redes y un jefe de facturación ene cual se encargará de las finanzas. Se analizó el sueldo que tendrán como también las competencias mínimas del personal requeridoLa inversión inicial del proyecto es el primer año de Bs.3,555,312; que será financiado en un 74% por el banco UNION (2,634,170 Bs.) y el 26% por el socio (Bs.921,142). Para calcular la rentabilidad se consideró las inversiones, costos y los ingresos que genera el proyecto (Capitulo 7). Obteniendo un resultado para el proyecto de un VAN = Bs. 3,099,633; un TIR = 42% y un B/C= 1,24; para el socio un VAN = Bs. 1,736,560, un TIR = 14% y un B/C= 1,03. Lo que indica que el proyecto es rentable. Finalmente se concluyó que el proyecto es técnico, económico y financieramente rentable, dentro de las condiciones dadas.Se obtuvo un resultado aceptable de acuerdo al análisis financiero, lo cual indica que este proyecto es rentable y se determinó darle curso.</t>
  </si>
  <si>
    <t>https://drive.google.com/file/d/1d1Io4cubt9dnnBvCv14PFh8h4EeXCMBf/view?usp=sharing</t>
  </si>
  <si>
    <t>https://drive.google.com/file/d/17phSSIvgR5UaIyfUQaIxr2oUDfXkOsQi/view?usp=sharing</t>
  </si>
  <si>
    <t>https://drive.google.com/file/d/1v2T6O6RjCZ0DU49Ueo-n5OxybJLDKqqU/view?usp=sharing</t>
  </si>
  <si>
    <t>NAHIR MABEL YUCRA CHOQUE</t>
  </si>
  <si>
    <t>FRANZ ORLANDO CACERES CRUZ</t>
  </si>
  <si>
    <t>DISEÑO DE UN SISTEMA DE GESTIÓN DE CALIDAD BASADO EN LA NORMA BOLIVIANA ISO 9001:2015 PARA LA EMPRESA ISOFORTE S.R.L.</t>
  </si>
  <si>
    <t>gatoriosdm@gmail.com</t>
  </si>
  <si>
    <t>IND-1088-2019</t>
  </si>
  <si>
    <t>NB/ISO, Lista de Verificación, Auditoria Interna, Requisito, TIR, VAN, B/C</t>
  </si>
  <si>
    <t>El proyecto inicia con la auditoria interna, empleando la lista de verificación realizada con ayuda de la norma de Calidad NB/ISO 9001:2015 y entrevista guiada con la Subgerente de la organización. Se determino que debe enfocarse en identificar sus procesos, planificarlos y realizar un seguimiento a la consecución de sus objetivos.En capitulo posterior se elabora un manual de calidad con los seis apartados delimitados como requisito, para lograr conformidad con los mismos se identificó, redacto y registro la información documentada, es así como se logra estandarizar sus procesos y mejorar su gestión operativa.En el apartado 8 del manual de calidad se puede apreciar la interacción de cada uno de los procesos que fueron identificados en el apartado 4 de contexto de la organización, se ha estandarizado sus procesos por medio de procedimientos que recaba toda la información necesaria para la realización del producto y prestación del servicio. En cuanto al plan de implementación se definió abordarlo por medio de un cronograma que cuenta con ocho actividades que contempla: conformación del comité de dirección empresarial, auditoria interna, revisión por la dirección y una auditoria de tercera parte para optar por una certificación.La viabilidad del proyecto es evaluada por tres indicadores financieros, obteniendo una TIR de 53%, un VAN de 8.841 y un B/C de 1.12, siendo un resultado positivo para la implementación.</t>
  </si>
  <si>
    <t>https://drive.google.com/file/d/1fB-gID0ju5WW7NmvX-JamOjduGl07nQP/view?usp=sharing</t>
  </si>
  <si>
    <t>https://drive.google.com/file/d/1IA9wpZ8rV96SA9W9eMQ8R15v_CeE4h1J/view?usp=sharing</t>
  </si>
  <si>
    <t>https://drive.google.com/file/d/1HpqKMFqSFnA8ppeUoS49T6nZiQv3qhUn/view?usp=sharing</t>
  </si>
  <si>
    <t>BUSTAMANTE FUENTES DANITZA ROMANET</t>
  </si>
  <si>
    <t>ING. ALEX D ANCHELO CHOQUE FLORES</t>
  </si>
  <si>
    <t>ESTUDIO DE FACTIBILIDAD TÉCNICA Y COMERCIAL PARA LA CREACIÓN DE UNA PLANTA INDUSTRIALIZADORA DE CERVEZA A BASE DE QUINUA EN COCHABAMBA</t>
  </si>
  <si>
    <t>I-2020</t>
  </si>
  <si>
    <t>danitasrbf@gmail.com</t>
  </si>
  <si>
    <t>IND-1089-2020</t>
  </si>
  <si>
    <t>Planta Productora de cerveza a base de quinua, Manufacturero, Factibilidad</t>
  </si>
  <si>
    <t xml:space="preserve">El proyecto fue realizado con la finalidad de analizar si la producción de cerveza a base de quinua era factible; por lo tanto para comenzar con el análisis de factibilidad se realizó un estudio de mercado en donde se aplicaron encuestas, métodos por observación, en donde se concluyó que el mercado objetivo eran los bares-cafés, supermercados y tiendas mayoristas. También se pudo determinar el tipo de envase, los puntos de distribución, la estimación de precios, el tipo de pago.
Una vez realizado el estudio de mercado y haber calculado la demanda potencial, se vio que hay una existencia de un mercado potencial para el consumo del producto; por lo tanto se revisaron datos de fuentes secundarias para la disponibilidad de materia prima, donde se determinaron los proveedores potenciales, los precios y el requerimiento.
Con la investigación de fuentes secundarias se vio que existe una disponibilidad de materia prima, insumos y materiales para la producción.
Posterior al análisis de disponibilidad de materia prima, se determinó el lugar de emplazamiento de la planta que se realizó mediante un análisis de macro localización y micro localización; en este análisis se utilizó el método por puntos, en donde se propuso como ubicación del proyecto  la provincia de Tiquipaya, debido a las características favorables que esta representa para el proyecto.
En cuestión a la ingeniería del proyecto se hizo un curso grama analítica y sinóptica; se vio el proceso productivo a detalle el tipo de tratamiento del agua, las cantidades de materia prima e insumos que se utilizaran. También en este capítulo se cotizaron las maquinarias requeridas para la producción, los equipos necesarios para el control de calidad y producción; se realizó un análisis de riesgos en donde se analizó los riesgos potenciales de cada proceso y se determinaron los EPPs requeridos para cada proceso.
Es necesario conocer la cantidad de personal requerido para el funcionamiento de la planta, por lo tanto se realizó un organigrama lineal y se vio el recurso humano necesario y los cargos; donde se tiene como un total de 11 trabajadores, los cuales tendrán todos lo beneficios sociales. Por lo tanto en este capítulo se calculó los sueldos y salarios de cada trabajador durante todo el funcionamiento del proyecto.
El impacto ambiental que tuvo el proyecto es de categoría III, el cual se lo obtuvo a través de una matriz de Leopold, en donde se determinaron los impactos directos, indirectos, reversibles, etc; por cada etapa del proyecto.
El análisis financiero fue calculado según el estado de resultados, flujo de fondos y se concluyó que el proyecto es factible para su ejecución.
Se recomienda que se realice estrategias de marketing para la captación de mercado, que se haga la producción de más de una variedad de producto, realizar estrategias a través de la matriz FODA, que se mitiguen los impactos y se capacite al personal.
</t>
  </si>
  <si>
    <t>https://drive.google.com/file/d/14CNNNAE1I6XkmHudOlIIwjc4PzpnpF-Q/view?usp=sharing</t>
  </si>
  <si>
    <t>https://drive.google.com/file/d/1CAOEp4NYsZkHdPommCCxBl_eg8_qEvgz/view?usp=sharing</t>
  </si>
  <si>
    <t>https://drive.google.com/file/d/1vV4eMbEkcCXYJVOstkPhWCk1792a5nSX/view?usp=sharing</t>
  </si>
  <si>
    <t>MÉRIDA TERRAZAS VIVIAN GABRIELA</t>
  </si>
  <si>
    <t>PROGRAMA DE SEGURIDAD Y SALUD EN EL TRABAJO SEGÚN LA NORMA TÉCNICA DE SEGURIDAD 009/18 (NTS 009/18) PARA EL PROGRAMA DE DESARROLLO DE TECNOLOGÍAS DE FABRICACIÓN (PDTF) DE LA UMSS</t>
  </si>
  <si>
    <t>vivimeridaterrazas95@gmail.com</t>
  </si>
  <si>
    <t>IND-1090-2020</t>
  </si>
  <si>
    <t>Programa de Seguridad y Salud en el Trabajo, Norma Técnica de Seguridad, NTS 009/18, Programa de Desarrollo de Tecnologías de Fabricación, PDTF, UMSS, Ley de Higiene, Seguridad Ocupacional y Bienestar Nº16998.</t>
  </si>
  <si>
    <t xml:space="preserve">Es importante establecer que la Seguridad y Salud Ocupacional se convirtió en un tema muy importante en la vida cotidiana, debido a que es parte de la responsabilidad social de toda empresa; el cuidado de sus trabajadores, protegerlos contra incidentes o accidentes, brindándoles un ambiente de trabajo adecuado, a fin de prevenir daños en los trabajadores
Por lo tanto, se vio necesario desarrollar un Programa de Seguridad y Salud en el Trabajo (PSST), basado principalmente en la NTS 009/18, al igual que en la Ley General de Higiene Seguridad Ocupacional y Bienestar N°16998, para determinar los controles necesarios para prevenir de posibles accidentes.
Para elaborar PSST, se empezó con la realización de un diagnóstico de la situación actual del centro mediante encuestas y midiendo el nivel de cumplimiento de los artículos de la Ley Nº 16998, la cual nos ayudó a conocer las condiciones en las que trabaja, y así determinar las falencias y fortalezas que posee en cuanto a seguridad en el trabajo. Teniendo un 62 % de incumplimiento de la ley.
 También se realizó una descripción de los procesos y/o actividades del Centro, donde se realizó una breve descripción del área, se definió un responsable del área, las maquinas o equipos existentes dentro el área y el diagrama de flujo, esto fue elaborado para 16 áreas del PDTF.
Posteriormente, se realizó la IPER en sus diferentes áreas de trabajo, se realizó mediante el método INSHT, este método sirvió para identificar fuentes de riesgos, procedimientos inadecuados existentes en las distintas áreas de trabajo, que pueden afectar tanto a los trabajadores como a las instalaciones. Siendo las áreas de producción (soldadura, tornería, amoladora, etc.) las de mayor riesgo.
Del mismo modo, cumpliendo con los requisitos de la NTS 009/18, se realizó los monitoreos de iluminación, ruido y carga de fuego; en los cuales obtuvimos un nivel de Iluminación aceptable en la planta alta y un nivel deficiente en la planta baja según parámetros de la NTS 001/17; en cuanto a ruido existen algunas áreas que requieren de controles ya que sobrepasan los límites permisibles que nos da la NTS 002/17, tal es el caso del área de trabajos menores en la cual se encuentra la amoladora y la tronzadora, el cual alcanza un Nivel de presión sonora equivalente ponderada de 98,58 dB (A); hablando de carga de fuego constatamos que el PDTF tiene un nivel de riesgo intrínseco bajo tanto en la planta baja como en la planta alta. 
También se elaboró el Programa de Prevención contra Incendios, en el cual se determinó la cantidad de extintores necesarios para el PDTF, teniendo un total de 17 extintores, 3 para la planta alta y 14 para la planta baja.
A continuación fue elaborado el Manual de Procedimiento de Investigación de Accidentes, el cual contiene tres métodos propuestos para realizar la investigación de accidentes e incidentes, este debe ser llenado por el encargado de seguridad.
Posteriormente se elaboró el Programa de Dotación de Equipos de Protección Personal y Ropa de Trabajo, donde se definió los EPP´s y ropa de trabajo necesarios para cada área. También se realiza la matriz de dotación la cual nos da la cantidad y la frecuencia de entrega que se debe realizar. Todo esto debe estar documentado bajo un formulario de registro de dotación y reposición de EPP´s y Ropa de Trabajo que fue elaborado.
Siguiendo con los requisitos de la NTS 009/18, se elaboró el Programa de Capacitación, el cual contiene la metodología empleada para la realización de las capacitaciones, un cronograma anual con contenido separado por módulos específicos para cada mes y formularios de registro de capacitaciones realizadas y la asistencia de los participantes a las mismas.
Se elaboró un Programa de Inspecciones que contiene un cronograma anual de las inspecciones que el encargado de seguridad debe realizar.
Del mismo modo, se elaboró el Plan d Emergencia en base a los requerimientos de las NB 517002y las identificación y descripción de las Actividades de Alto riesgo.
Finalmente se realizó la evaluación de aspectos financieros del Programa de Seguridad y Salud en el Trabajo, con un costo de implementación aproximado de Bs. 18270, el cual contempla la asignación de un encargado de seguridad, el presupuesto para los medios de mitigación de fuego, presupuesto para la dotación de EPP´s y Ropa de Trabajo, el presupuesto para la implementación de un Sistema de Alarmas y para los recursos físicos para atención de emergencias. Para ver si es viable se realizó la relación Beneficio – Costos, en la cual se pudo concluir que la implementación del programa es viable, teniendo una relación Beneficio – Costos de 1.85.
</t>
  </si>
  <si>
    <t>https://drive.google.com/file/d/15PNvuYeSIBXF7ERynY_6qjWYuU7MvdZ6/view?usp=sharing</t>
  </si>
  <si>
    <t>https://drive.google.com/file/d/1nzU7epxk2OtpaIjEj7T0H_MfBTPXAOjA/view?usp=sharing</t>
  </si>
  <si>
    <t>https://drive.google.com/file/d/1JghUIVEOfU0o6KVWguwpLD6-cY3eQJRM/view?usp=sharing</t>
  </si>
  <si>
    <t>JOSÉ MICHEL LÓPEZ ARTEAGA</t>
  </si>
  <si>
    <t>ING. ERICK OMAR ARIAS RUIZ</t>
  </si>
  <si>
    <t>DISEÑO PARA LA IMPLEMENTACIÓN DE UN PROGRAMA DE SEGURIDAD Y SALUD EN EL TRABAJO SEGÚN LA NTS 009/18</t>
  </si>
  <si>
    <t>IND-1091-2020</t>
  </si>
  <si>
    <t>NTS 009/18, Programa, Simulink, IPER, Manual.</t>
  </si>
  <si>
    <t xml:space="preserve">La NTS 009/18 es una norma técnica de seguridad que atreves del programa de seguridad y salud en el trabajo, es de carácter obligatorio para toda aquella empresa que está desarrollando sus funciones en territorio nacional.
Se realizó la identificación del problema central de la empresa requerida, en la cual no contaba con el diseño de este programa de seguridad y salud en el trabajo.
Se basó en la NTS 009/18, en la que tiene establecidos 13 puntos que se tienen que cumplir a cabalidad para ser acreditada, y seguido a eso se realizó diagnósticos actuales de la empresa, viendo de sobremanera el funcionamiento total de la empresa, atreves de la descripción de sus procesos productivos, materiales, insumos, etc.
Posteriormente una vez realizados los diagnósticos se hizo comparaciones con las otras leyes actuales de seguridad ocupacionales viendo de esa manera la situación real de la empresa y al problema que se solucionó mediante este diseño de programa de seguridad y salud en el trabajo.
En base a esos datos, se comenzó a la solución de cada punto establecido por la NTS 009/18, en los cuales cabe recalcar que se planteó como nuevas políticas de la empresa, para que de esa forma ayudó mucho a la reestructuración de la empresa basándose en los objetivos establecidos.
Luego se hizo la identificación de peligros y riesgos de la empresa, basándonos en la construcción de la matriz IPER, que ayudó a detectar puntos críticos en cuanto a peligros hacia los trabajadores. Ya teniendo esos datos se procedió a hacer un manual de procedimientos de investigación de accidentes de trabajo, que permitió que el trabajador pueda llenarlos de manera mucho más sencilla y para la empresa que sirvió como antecedentes de registros de los trabajadores
Una vez realizado esos puntos, se analizó una jerarquía de controles de riesgos, la cual se enfatizó en lo que se refiere a la dotación de ropa de trabajo y equipo de protección personal a los trabajadores, tal y como dice la norma cumpliendo a cabalidad este punto. Seguidamente se elaboró programas de capacitaciones, plan de emergencia, modelos de registro de actas de comités, etc. Llegando al documento final se tuvo el presupuesto general del programa de seguridad y salud en el trabajo, que sirvió de precedente para la empresa ya que no contaba con ese diseño ya realizado, a la vez teniendo recomendaciones para la empresa para que lo aplique de tal manera cumpla con la normativa establecida en nuestro país.
</t>
  </si>
  <si>
    <t>https://drive.google.com/file/d/1-6Zm955BOd6vmSP8dZg55hc6xsjVLdnD/view?usp=sharing</t>
  </si>
  <si>
    <t>https://drive.google.com/file/d/1Q5I95NA4uaUq-r6hay2ogRs79WELjKm6/view?usp=sharing</t>
  </si>
  <si>
    <t>https://drive.google.com/file/d/16VGebknRltHpTUthc5Pvl0eAFWrVhAKy/view?usp=sharing</t>
  </si>
  <si>
    <t>ABDON ALVAREZ RODRIGUEZ</t>
  </si>
  <si>
    <t>CALLE VILLCA DANIEL</t>
  </si>
  <si>
    <t>PROYECTO DE FACTIBILIDAD PARA LA IMPLEMENTACION DE UNA PLANTA PROCESADORA DE MANTEQUILLA Y LLAJWA DE MANI EN EL DEPARTAMENTO DE COCHABAMBA</t>
  </si>
  <si>
    <t>abdonalva@hotmail.com</t>
  </si>
  <si>
    <t>IND-1092-2020</t>
  </si>
  <si>
    <t>Planta procesadora de Mantequilla de mani, Llajwa de mani, Cacahuate, Mizque, Alimentos envasados</t>
  </si>
  <si>
    <t xml:space="preserve">El presente proyecto se ha elaborado con la finalidad de implementar una planta procesadora de mantequilla y llajwa de maní en el departamento de Cochabamba cuya actividad empresarial se desarrolló en el sector de alimentos.
La información reunida correspondiente al estudio de mercado se desarrolló en el eje metropolitano de Cochabamba que está compuesta por Quillacollo, Sacaba y Cercado que representan el 85% de la población total del departamento de Cochabamba, de  los cuales se determinó la demanda disponible, demanda efectiva y por último la demanda meta.
El tamaño del proyecto tiene una capacidad para el Año 2021: se pretende llegar a un 10% de participación en el mercado, con una producción de 14569 kg de mantequilla de maní de los cuales el 40% tendrá sabor chocolate y una producción de 81501 kg de llajwa de maní que representa el 5% de la demanda efectiva 
El maní como materia prima para la elaboración de mantequilla de maní y llajwa de maní es de la variedad Bayo orgánico  el cual será adquirido bajo convenio institucional como principal proveedor a la Asociación de productores de maní del municipio de Mizque (APROMAN).
El proceso productivo para la elaboración de mantequilla de maní y llajwa de maní, están detalladas gracias al desarrollo de la descripción del proceso productivo, diagrama de proceso productivo y diagrama Gantt. Los cuales establecen que la planta funcionando al máximo de su capacidad diseñada la producción diaria será 1302 kg de mantequilla al día y 1166 kg de llajwa de maní, con lotes de producción de 326 kg y 292 kg respectivamente, donde en una jornada laboral se deberá cumplir con cuatro lotes de producción.  
Para la ejecución y operación del proyecto se requirió un total de inversión para el año 0 de Bs 1.710.163,2; que corresponde inversión en activos fijos,  diferidos y capital de trabajo. El capital de trabajo requerido para los 5 años del proyecto un total de Bs 575.041,56.
Según el análisis de corriente de liquidez para la planificación financiera, se requirió un moto total de Bs  1.734.391 para arrancar con el proyecto de los cuales un 50 % fue cubierto por un aporte de los socios que representa un total de Bs 855.081,60 y el otro 50 % cuyo monto es de Bs 855.081,60 a través de un crédito bancario a 5 años plazos y a una tasa de interés aproximada del 10 %.
La rentabilidad para el inversionista se refleja en los siguientes indicadores: VAN = 2.189.724,40=; TIR = 57 %; Relación B/C = 1.86. Proyecto es rentable para el inversionista.  
Según el análisis de sensibilidad el precio del costo unitario del envase y la materia prima (maní) son las variables más sensibles, se deberá formular estrategias para mantener o disminuir dichos costos para obtener mayores utilidades o disminuir el precio de venta y así aumentar las ventas lo que coadyuva en la posición del mercado.
</t>
  </si>
  <si>
    <t>https://drive.google.com/file/d/1Nfkfgr3pHhHH8ErHYDBEhBgB7aFHQlk5/view?usp=sharing</t>
  </si>
  <si>
    <t>https://drive.google.com/file/d/14PdjO8mPDRuDa2r3k6Wh9n3JpfUDhpHT/view?usp=sharing</t>
  </si>
  <si>
    <t>https://drive.google.com/file/d/1-VpWhHjb1kgJsTgWGEnpXyJXer5IaGe7/view?usp=sharing</t>
  </si>
  <si>
    <t>SATOR TERRAZAS MAURICIO WILLIAMS</t>
  </si>
  <si>
    <t>PROGRAMA DE SEGURIDAD Y SALUD EN EL TRABAJO EN BASE A LOS REQUISITOS DE LA NORMA TÉCNICA DE SEGURIDAD INDUSTRIAL 009/18 (NTS – 009/18) PARA LA EMPRESA TEKNOLIFT DE LA CIUDAD DE COCHABAMBA</t>
  </si>
  <si>
    <t>mau_s.t@hotmail.com</t>
  </si>
  <si>
    <t>IND-1093-2020</t>
  </si>
  <si>
    <t>Programa de Seguridad y Salud en el trabajo, NTS 009/18, TEKNOLIFT, Seguridad Industrial.</t>
  </si>
  <si>
    <t xml:space="preserve">Las empresas y su personal se enfrentan a una amplia gama de normas regionales y mundiales para satisfacer las exigencias de seguridad y salud que demandan las leyes.
Las actividades económicas implican procesos, operaciones, actividades, equipos, materiales que presentan riesgos para la salud del trabajador.
El proyecto tuvo como objetivo principal el de realizar un programa de seguridad y salud en el trabajo para la empresa TEKNOLIFT S.R.L. de acuerdo a los requisitos de la norma técnica de seguridad industrial 009/18 (NTS – 009/18) que permita reducir los altos índices de accidentes laborales en la empresa.
El estudio realizado tuvo una metodología, que se resume a continuación:
Primeramente, se realizó un diagnóstico envase al Decreto Ley 16998, la cual ayudó a determinar la situación actual de la empresa en relación a la seguridad y salud en el trabajo; posteriormente se identificó los procesos productivos, actividades y tareas a través de flujogramas; luego se realizó una identificación de peligros y evaluación de riesgos de cada proceso utilizando una matriz IPER como herramienta de trabajo además de la Guía Técnica Colombiana como metodología.
Se realizó también los monitoreos de iluminación, ruido, ventilación, estrés térmico, ergonomía, estudio de carga de fuego utilizando normas bolivianas y algunas metodologías establecidas en el INSHT.
Se realizó un análisis de trabajos de alto riesgo, siendo el trabajo en caliente como único trabajo de alto riesgo y se estableció además procedimientos generales y permisos de trabajo en caliente.
En base a los riesgos identificados se desarrolló diferentes programas de seguridad como ser:
• Orden y limpieza.
• Señalización.
• Equipos de protección personal.
• Prevención y protección contra incendios.
• Gestión de residuos.
• Ergonomía mantenimiento.
• Manejo de sustancias peligrosas.
• Capacitaciones.
Se elaboró un plan de emergencias acorde a la empresa y se pudo determinar la secuencia de acciones a desarrollar para el control de las emergencias que puedan producirse.
Se elaboró un manual de primeros auxilios acorde a la empresa que permite el aprendizaje a todo el personal sobre los conocimientos básicos, necesarios para brindar los servicios de primeros auxilios.
Se desarrolló también un manual de investigación de accidentes e incidentes para poder realizar una correcta investigación y/o reconstrucción de los hechos ocurridos en un accidente o incidente.
Se estableció una metodología para el cálculo estadístico de accidentes de trabajo.
Y se realizó una estimación de costos de la implementación del proyecto tomando en cuenta el costo de un accidente.
</t>
  </si>
  <si>
    <t>https://drive.google.com/file/d/1chDKxclwhGk8hCRU6KEnJXTs0MfLMjek/view?usp=sharing</t>
  </si>
  <si>
    <t>https://drive.google.com/file/d/1AAjQKA4Z2EXW7pQyl8RuoHFY8hv52G60/view?usp=sharing</t>
  </si>
  <si>
    <t>https://drive.google.com/file/d/153nl3r1XWZnq7WfydSGZqFs-TAhXPz5I/view?usp=sharing</t>
  </si>
  <si>
    <t>CABRERA CORDOVA DIAGO HUGO</t>
  </si>
  <si>
    <t>ING. GUZMÁN ORELLANA GONZALO</t>
  </si>
  <si>
    <t xml:space="preserve"> DISEÑO PARA LA IMPLEMENTACIÓN DE UN SISTEMA DE GESTIÓN DE RIESGOS DE 
CALIDAD ENFOCADO A LA CADENA DE VALOR DE LA EMPRESA SIGMA CORP.</t>
  </si>
  <si>
    <t>diagocabrera@gmail.com</t>
  </si>
  <si>
    <t>IND-1094-2020</t>
  </si>
  <si>
    <t>: Riesgo, Incertidumbre, Probabilidad, Consecuencias, Cadena de 
Valor, Cadena de Suministros, Inductores</t>
  </si>
  <si>
    <t>Ante la presencia del “Riesgo” como un factor inherente en los procesos productivos, el aumento de exigencias a las industrias de tipo farmacéutico y la necesidad de proporcionar medicamentos de calidad, se decidió “Diseñar un Sistema de Gestión de Riesgos de Calidad enfocado a la Cadena de Valor de la empresa Químico – Farmacéutica SIGMA CORP.” Tomando como punto de partida la línea de producción de Nutracéuticos de la empresa, con el propósito de reducir la incertidumbre a un nivel aceptable para la empresa (Apetito del Riesgo). Mediante la utilización de un “Modelo de Procesos para la Gestión de Riesgos” se llegó a valorar, tratar, monitorear y plantear planes estratégicos con el fin de hacer frente y llegar a prevenir futuras disrupciones, en función a aquellos riesgos que afectan de manera directa a la “Cadena de Valor” de la empresa de estudio. Se ha identificado la presencia de 33 riesgos que afectan las actividades normales de la “Cadena de Valor” por lo cual estos riesgos fueron comparados frente a criterios de riesgos, clasificándolos en riesgos tipo A, B y C. Mediante la propuesta de planes Facultad de Ciencias y Tecnología (UMSS) Cochabamba - Bolivia estratégicos se tomaron acciones para reducir su impacto, en el propósito de emprender un estado de mejora. Por último, se estimó que el gasto de implementación de “Sistema de Gestión de Riesgos de Calidad para la empresa SIGMA CORP” es de 241.796 USD, proyectado en un horizonte de 3 años</t>
  </si>
  <si>
    <t>https://drive.google.com/file/d/1mJe1NV9tfyTG3dZLlljCxZyGztP4xFtW/view?usp=sharing</t>
  </si>
  <si>
    <t>https://drive.google.com/file/d/1MXAimkLpGIDHlu4sRQZf5dWB6YmnSFG9/view?usp=sharing</t>
  </si>
  <si>
    <t>https://drive.google.com/file/d/1u0xHzdAywsjne64dIB7e9508K84Pp12H/view?usp=sharing</t>
  </si>
  <si>
    <t>ROCHA DELGADILLO CHRISTHIAN OLIVER</t>
  </si>
  <si>
    <t>DISEÑO DEL PROGRAMA DE SEGURIDAD Y SALUD EN EL TRABAJO PARA EL DEPARTAMENTO DE CURTIEMBRE DE MANUFACTURA BOLIVIANA MANACO S.A.</t>
  </si>
  <si>
    <t>rocha_christhian@outlook.com</t>
  </si>
  <si>
    <t>IND-1095-2020</t>
  </si>
  <si>
    <t>Curtiembre, Programa, Seguridad, Salud, Diagnostico, Riesgo, NTS 009, Gestión, Planes, Diagrama, Flujo, Proceso, PSST</t>
  </si>
  <si>
    <t xml:space="preserve">El Objetivo principal del proyecto fue el de Diseñar el Programa de Seguridad y Salud en el Trabajo (PSST) para el Departamento de Curtiembre de Manufactura Boliviana – MANACO S.A.” para la prevención de los riesgos de lesiones y enfermedades laborales existentes en la planta, para lo cual se realizo un análisis y diagnostico de la seguridad e higiene industrial actual en el departamento de curtiembre de la empresa, para poder concluir cuales son los riesgos laborales que se pueden traducir en lesiones o enfermedades laborales, se propusieron medidas de mejora para las deficiencias encontradas según el diagnostico de seguridad. Se Elaboraron programas de Seguridad y de capacitación dirigidos a los trabajadores para posteriores actuaciones en situaciones que se requieran, además se realizo un estudio de costos para la implementación del Programa de seguridad y salud en el Trabajo propuesto. 
La metodología empleada fue la siguiente 1)  Diagnostico de la Seguridad e Higiene Ocupacional (NTP330). 2) Marco Estratégico para el PSST. 3) Medidas de Mejora. 4) Programas de Seguridad.5) Análisis de Costos.
Los resultados son:1) Dotar a la empresa de un Diseño del Programa de Seguridad y Salud en el Trabajo. 2) Tener un estudio de Riesgos en base a un flujograma de procesos en cada puesto de Trabajo, logrando una trazabilidad para futuros Diagnósticos
</t>
  </si>
  <si>
    <t>https://drive.google.com/file/d/18tqN8n4yNGlNmJGw0jHQITmddN3XxMQy/view?usp=sharing</t>
  </si>
  <si>
    <t>https://drive.google.com/file/d/15ePNuXoutTg1RhqsdEJIRX3J8giTGK5y/view?usp=sharing</t>
  </si>
  <si>
    <t>https://drive.google.com/file/d/1UlrEhPFUWBD5aA6RhT69DA11_eDdE-Vu/view?usp=sharing</t>
  </si>
  <si>
    <t>LIZBETH GUZMÁN MERCADO</t>
  </si>
  <si>
    <t>ANDREA PALACIOS RODRÍGUEZ</t>
  </si>
  <si>
    <t>PROYECTO DE FACTIBILIDAD PARA LA INSTALACIÓN DE UNA PLANTA PROCESADORA DE GALLETAS DE SORGO PARA EL EJE METROPOLITANO DEL DEPARTAMENTO DE COCHABAMBA.</t>
  </si>
  <si>
    <t>guzmer16@gmail.com</t>
  </si>
  <si>
    <t>IND-1096-2020</t>
  </si>
  <si>
    <t>Galleta de Sorgo, Sacaba, ANAPO, Factibilidad, Sorgo.</t>
  </si>
  <si>
    <t xml:space="preserve">El presente proyecto pretende demostrar la factibilidad técnica y financiera de la instalación de una planta procesadora de galletas de sorgo para el eje metropolitano del departamento de Cochabamba, ya que existe poca diversificación y aprovechamiento económico del grano del sorgo al no ser industrializado.
En ese sentido, es que se inició el proyecto de una planta procesadora de galletas,  para poder dar valor agregado al sorgo y también ampliar el mercado de productos libres de gluten, beneficiando a las personas que padecen de enfermedad celiaca y la población en general. 
Primeramente se realizó un estudio de mercado que tuvo la finalidad de cuantificar y analizar la demanda y la oferta del producto, mediante los cuales se determinó la capacidad de planta y  las condiciones de mercado en las que se introducirá el producto del proyecto.
También se realizó una descripción de la materia prima, los insumos y materiales necesarios para la elaboración de galletas de sorgo, así mismo se realizó un análisis de su disponibilidad.
Posteriormente mediante una evaluación cualitativa por puntos, se determinó la mejor alternativa de emplazamiento. 
 El siguiente paso fue desarrollar la ingeniería del proyecto, con el objetivo de obtener información de origen técnico, identificando las necesidades de equipos y maquinarias en función de la capacidad viable de producción. 
Luego se desarrolló el estudio organizacional y la determinación de gastos generales, como también se estimó la mano de obra necesaria para la fase operativa del proyecto. También  se realizó la evaluación financiera, a través de tres indicadores que son utilizados por el método ONUDI (TIR, VAN y relación B/C), mediante los cuales se determinó la viabilidad financiera del mismo.
Finalmente se realizó una evaluación del impacto ambiental que produce el proyecto. 
</t>
  </si>
  <si>
    <t>https://drive.google.com/file/d/11YzL3blT8GkfnaYWmnwc08dPtB55QMEq/view?usp=sharing</t>
  </si>
  <si>
    <t>https://drive.google.com/file/d/1yhmPcyO8TQZHLhIwUhhgjIYrvcx_8hiI/view?usp=sharing</t>
  </si>
  <si>
    <t>https://drive.google.com/file/d/1u-0MXn3N70qBjqfkDIxcBEQz-G_a_8AS/view?usp=sharing</t>
  </si>
  <si>
    <t>CAMACHO MARTÍNEZ PAOLA ANDREA</t>
  </si>
  <si>
    <t>ESTUDIO DE FACTIBILIDAD PARA LA INSTALACION DE UNA PLANTA PRODUCTORA DE HARINA DE PULPA DE PLATANO (MUSA PARADISIACA) Y BIO ENVASES A PARTIR DE LA CASCARA EN CERCADO COCHABAMBA</t>
  </si>
  <si>
    <t>payola9512@gmail.com</t>
  </si>
  <si>
    <t>IND-1097-2020</t>
  </si>
  <si>
    <t>Harina de plátano, bio envases, biodegradable, plátano, cristal ball, análisis de sensibilidad, proyecto, valoración ambiental, producción.</t>
  </si>
  <si>
    <t>Inicialmente, se procedió al desarrollo del mercado del proyecto para analizar si los productos que se pretenden elaborar tienen un espacio en el mercado obteniendo como resultado un 89.9% de aceptación en el caso de la harina de pulpa de plátano, y 86% en el caso de los bio envases de cáscara de plátano.
Seguidamente se procedió a definir la demanda la cual resultó en 84.632 kg de harina de plátano y 677.059 unidades de bio envases el primer año, definiendo también como puntos de venta los principales supermercados de Cercado Cochabamba, entre los cuales se encuentran Hipermaxi, Ic Norte, entre otros. El precio de venta definido es de 13 bs/ kg de harina de pulpa de plátano y 5.50 Bs. por unidad de bio envase.
En cuanto a la publicidad, se optó por las herramientas de marketing digital generando una página de la empresa en la cual se promocionaría el sitio en primera instancia y posteriormente publicaciones relacionadas a los productos y contenido de valor que pueda interesar a los clientes potenciales.
En cuanto a la materia prima, insumos y materiales, la harina de pulpa de plátano requiere únicamente del plátano como tal y ácido cítrico, además para su empaque se utiliza un saco de boca abierta de papel Kraft que permita proteger al producto hasta su consumo final. Para los bio envases, se utilizará la cáscara desechada en el proceso de elaboración de la harina de pulpa, cascarilla de arroz, peróxido de hidrógeno al 3% v/v, ácido acético, almidón de maíz y glicerina. Finalmente, para su embalaje se utilizará papel Kraft que además de proteger al producto.
Por medio del estudio técnico se determinó que la empresa se localizará en el parque industrial de Santivañez del Departamento de Cochabamba en un lote de 700 m2 a un costo de 170.520 Bs. Además, se producirían con una capacidad máxima de 431kg/día (turno de 8 horas) en el caso de la harina de pulpa de plátano y 1.773 unidades/día de los bio envases, cumpliendo un solo turno de trabajo los tres primeros años y dos turnos los restantes.
La producción definida es del tipo continua completando ocho ciclos de producción por turno para lograr completar el total de la demanda requerida para lo cual se tendrá personal que especializado en cada área de trabajo.
La empresa llevará el nombre de FEPAPLAT (Fábrica de elaboración de productos de aprovechamiento del plátano) siendo una empresa unipersonal. Contará con un cargo directivo formado por el Gerente General, cuatro cargos ejecutivos: Jefe de Producción, Jefe de RRHH, Encargado de Control de calidad y Encargado de Comecialización y finalmente como subordinados al portero y 13 operarios.
Las actividades previas a la ejecución del proyecto engloban aquellos trámites legales para la constitución de la empresa como tal, así como reclutamiento de personal, financiamiento, instalación de maquinaria, etc. implican una inversión de 9.887 Bs.
Como resultado de las fases previamente mencionadas, se evalúa financieramente el proyecto para concluir si este es o no financieramente factible por medio del análisis del flujo de caja.
Los resultados obtenidos fueron los siguientes: el valor actualizado neto corresponde a 1.027.899,72 Bs, la tasa interna de retorno de 30.61% mayor al WACC de 31,35% desde el punto de vista del proyecto puro, lo que indica que el mismo el financieramente factible. En el caso del inversionista, el VAN corresponde a 1.146.580,09 Bs. y la TIR a 44.35%.
Cuando se trata de un proyecto lucrativo, es necesario hacer un análisis mucho más profundo sobre las variables económicas que lo afectan. Por tal motivo, se procedió a realizar un análisis de escenarios mediante el software Crystal Ball considerando la tendencia de acuerdo a datos históricos de las siguientes variables: PIB, inflación, incremento salarial, costo de materia prima, tarifa de electricidad, tarifa de agua y precios de venta.
Luego de ejecutar dicho análisis, se determinó que en 75.08% de los casos el proyecto se mantiene financieramente factible.
Finalmente, mediante la valoración de impacto ambiental del proyecto, éste corresponde a la categoría III por el impacto negativo generado en el factor ruido el cual se pretende mitigar mediante la dotación de protectores auditivos a los trabajadores de la empresa. Por otra parte, gracias al análisis de la matriz de Leopold del proyecto, es que se puede apreciar que al comercializar los productos, se genera un alto impacto ambiental positivo esto gracias a la biodegradabalidad de los envases a ofertar.</t>
  </si>
  <si>
    <t>https://drive.google.com/file/d/1FacE4cuz15xowZx5HnPeagIsz7lqWxw9/view?usp=sharing</t>
  </si>
  <si>
    <t>https://drive.google.com/file/d/1C9K5WsIUo9v966StDNSD-tSyY01oIOMj/view?usp=sharing</t>
  </si>
  <si>
    <t>https://drive.google.com/file/d/1kgrjR3XPOWCTFte3QFEfriwlfQkUrW2N/view?usp=sharing</t>
  </si>
  <si>
    <t>ALEJANDRA CRUZ ALVAREZ</t>
  </si>
  <si>
    <t>CARLA MARIBEL CRUZ ALVAREZ</t>
  </si>
  <si>
    <t>ING.JOHN BADIR GARCIA AGUAYO</t>
  </si>
  <si>
    <t>PLAN ESTRATÉGICO DE MARKETING PARA LA EMPRESA DE MARKETING DIGITAL “SOCIAL BRAND” PARA PYMES EN LA CIUDAD DE COCHABAMBA”.</t>
  </si>
  <si>
    <t>IND-1098-2020</t>
  </si>
  <si>
    <t>Marketing Digital, Planificación Estratégica, Estudio de mercado, Análisis Financiero.</t>
  </si>
  <si>
    <t>La era digital está en su auge, y las empresas tienen la necesidad vital de volcar sus estrategias de ventas, posicionamiento de marca, reputación, visibilidad y crecimiento económico hacia los ámbitos digitales.
Es así que nace la necesidad de brindar un servicio integral orientado a las pequeñas y medianas empresas, mercado en el que la empresa de marketing digital “SocialBrand” se especializa.
Como primer paso se realiza un diagnóstico de la empresa y su entorno, donde se determina qué factores afectan los resultados que se tienen con los clientes. Existe la falta de una estructuración organizacional y planificación estratégica adecuada esta llegar a alcanzar los objetivos que se tiene como empresa.
El principal problema detectado es la falta de conocimiento de los productos y servicios que ofrece a sus clientes y cuáles son los resultados que se podrían esperar con la contratación del servicio, en la solución se platea actividades que ayuden a mejorar la percepción por parte del cliente.
Se realizó un estudio de mercado para determinar si las pequeñas o medianas empresas están más determinadas a tomar este servicio. Con los datos obtenidos de las encuestas se determinó que son las medianas empresas.
De acuerdo a la metodología empleada se determina la selección de estrategias de solución que ayudaran a la elaboración de actividades necesarias para el cumplimiento de las estrategias identificadas.
Se recomienda mantener un seguimiento constante en el mercado, evaluando los resultados ya que el mercado se va actualizando de manera significativa.</t>
  </si>
  <si>
    <t>https://drive.google.com/file/d/1nmurBcM3-SjCPvdNr1qE2d9O-fL2OGmW/view?usp=sharing</t>
  </si>
  <si>
    <t>https://drive.google.com/file/d/1vYUTRt7twxZlaocYiC_1d2iZuITmb_z2/view?usp=sharing</t>
  </si>
  <si>
    <t>https://drive.google.com/file/d/1awpeguFkP_Q3LYjvswVXfFEkKT1nYSUd/view?usp=sharing</t>
  </si>
  <si>
    <t>LAGUNA GUAMAN JHONNY GUSTAVO</t>
  </si>
  <si>
    <t>ING. RONALD EDGAR PATIÑO TITO LIC. ROMINA GRISELDA GOMEZ JIMENEZ</t>
  </si>
  <si>
    <t>PROYECTO DE FACTIBILIDAD PARA LA IMPLEMENTACION DE UNA SUCURSAL DE HEMODIALISIS PARA LA EMPRESA "HEMO D SERVICIOS DE DIALISIS S.R.L"</t>
  </si>
  <si>
    <t>tavo_9297@hotmail.com</t>
  </si>
  <si>
    <t>IND-1099-2020</t>
  </si>
  <si>
    <t>Clínica de Hemodiálisis</t>
  </si>
  <si>
    <t>Dentro de los objetivos del proyecto están los de obtener un negocio rentable y sostenible, además de poder ayudar a todos los pacientes que padecen de una enfermedad renal. Para poder lograr estos objetivos se buscará su viabilidad técnica, comercial, organizacional, financiera, tomando en cuenta las normas generales para el funcionamiento de una clínica de hemodiálisis provistas por el SEDES Cochabamba. El departamento de Cochabamba presenta características particulares en la prestación de servicios en salud, siendo uno de los departamentos que acoge a pacientes de otros departamentos, más aun siendo pacientes renales donde la mayoría llega a Cochabamba con la esperanza de poder ser trasplantado, gracias a que en este departamento el trasplante renal es totalmente gratuito incluida las sesiones de hemodiálisis. Actualmente el crecimiento de la población de pacientes o enfermos renales obliga a que el ministerio de salud realice convenios de prestación de servicios con unidades privadas de hemodiálisis, siendo una de estas unidades privadas la empresa Hemo D Servicios de Diálisis S.R.L. que brinda el servicio a pacientes que cuenten con una autorización emitida por el SEDES Cochabamba. Según los resultados obtenidos en el análisis realizado en base a las encuestas, se concluye que el porcentaje de pacientes que esta dispuestos a cambiar de centro de hemodiálisis es alto. Se determina la demanda total estimada para pacientes renales en general, va creciendo cada año en un 4% existiendo para el año 2020, 108 pacientes renales para el centro Hemo D. Los equipos para el siguiente proyecto están detallados más adelante, pero a manera de grandes rasgos es necesario de contar con un buen abastecimiento de energía eléctrica, un generador eléctrico en caso de emergencias y la suficiente fluencia de agua para poder realizar el tratamiento, internamente es de vital importancia de contar con las máquinas de hemodiálisis y todo el equipamiento médico para poder brindar un servicio de excelencia. Para el diseño y localización de la clínica de hemodiálisis se cuenta con un área de terreno que se propone de 900 metros cuadrados de los cuales la construcción ocupa el total de metros cuadrados, el terreno tiene un costo de Bs. 400.000 La clínica cuenta con una distribución de ambientes óptimos para las distintas áreas de trabajo tomando en cuenta un factor muy importante que es el de poder optimizar y omitir tiempos muerto de espera del paciente, lo cual ayuda a obtener un trabajo de calidad y excelencia. se realizó la descripción del servicio que se ofrece a través de un flujo grama y curso grama sinóptico, este proceso consta de 13 procesos para brindar el servicio de hemodiálisis
Además de realizar un programa de atención donde se detalla la capacidad de atención de la clínica y del porcentaje de utilización de las máquinas de hemodiálisis según los años esperando que a 8 años alcanzar el 100% de utilización de las máquinas. La estructura organizacional del proyecto sigue una estructura jerárquica, donde se emplea el tipo de organización lineal y funcional, conservándose de la funcional la especialización de cada actividad en función, y de la lineal la autoridad y responsabilidad que se transmite a través de un solo jefe para cada función en especial, teniendo un requerimiento de mano de obra directa e indirecta de total de 18-22 personas para el año 1 – 3, 24-27 personas para el año 4 – 6, y 28-32 personas para el año 7 – 8; este personal será seleccionado de acuerdo al nivel de instrucción y habilidades que presentan. La empresa está constituida bajo la figura legal de “Sociedad de Responsabilidad Limitada” puesto que la conformación de sociedad comercial se basa en los aportes de los socios para la creación de la empresa. se determinaron 9 actividades previas e importantes para la puesta en marcha del proyecto, las cuales siguen una secuencia ordenada para el cumplimiento satisfactorio de las mismas.
A través del diagrama de actividades PERT y el diagrama de GANTT, se determinó un tiempo máximo de 34 semanas para la ejecución del proyecto, este periodo puede variar de acuerdo a la agilización de trámites u otras actividades llegando a reducir o no el tiempo de ejecución.
Realizando la evaluación financiera se determinó que el proyecto requiere una inversión inicial de Bs. 7.734.338 donde el financiamiento para la implementación y operación del proyecto estará solventado en un 45% por aporte propio y un 55% a través de un crédito bancario a 8 años plazo, con interés anual de tasa preferencial del 6.37%. Estableciendo los indicadores del proyecto se obtuvo una TIR del 18.36 % y un VAN de Bs. 8,061,215 y una recuperación de la inversión en 2 años, indicando así que el proyecto es rentable.
Para la evaluación del impacto social se determinaron los impactos positivos y negativos para el proyecto, concluyendo que los impactos negativos que el proyecto genera o puede causar, no son considerables por lo que no genera efectos adversos a la sociedad en cambio generando un beneficio directo para el cuidado de la salud renal, además de apoyar al crecimiento económico de la región.</t>
  </si>
  <si>
    <t>https://drive.google.com/file/d/1BZCHUWonJItd38ml-vvxis6XCLz6Jf_C/view?usp=sharing</t>
  </si>
  <si>
    <t>https://drive.google.com/file/d/1vGNm7OCSBeW2aKFTrFQ2j4zge5A5cRnv/view?usp=sharing</t>
  </si>
  <si>
    <t>https://drive.google.com/file/d/14jqKPh7i0ttyKfziZYv_VgmWbBqmpvb2/view?usp=sharing</t>
  </si>
  <si>
    <t>LOPEZ RODRIGUEZ PAULO ANDRES</t>
  </si>
  <si>
    <t>ING. MARCO ANTONIO URQUIDI BARBOZA</t>
  </si>
  <si>
    <t>ESTUDIO DE FACTIBILIDAD TECNICA Y FINANCIERA PARA LA INSTALACION DE UNA EMPRESA DE BEBIDAS ENERGÉTICAS A BASE DE CHÍA Y FRUTAS EN COCHABAMBA METROPOLITANA”.</t>
  </si>
  <si>
    <t>IND-1100-2020</t>
  </si>
  <si>
    <t>Estudio de factibilidad, Producción, Bebidas Energéticas, Bebidas Analcohólicas, Chía, Frutas.</t>
  </si>
  <si>
    <t>El presente proyecto se enfocó al estudio de factibilidad para la instalación de una planta de producción de bebidas energizantes en base a semillas de chía en Cochabamba metropolitana. El objetivo principal es el de demostrar las técnicas económicas y financieras para producción del mismo. Primeramente, se realizó un diagnóstico sobre la situación actual del sector del rubro de bebidas energéticas, determinando las causas y efectos del problema estudiado, con su respectiva justificación. La demanda y oferta de bebidas energizantes en la ciudad de obtuvo mediante fuentes primarias a través de una investigación de campo, se determinaron la demanda y la oferta para el proyecto, se realizó una proyección para un horizonte de análisis de 8 años, adicionalmente se realizó un análisis de precio y su respectiva comercialización, presentación del producto y publicidad. El tamaño óptimo de la planta se determinó en función a la demanda pronosticada del mercado en el departamento de Cochabamba. La localización fue obtenida mediante una evaluación cualitativa de puntos donde se analizaron varias alternativas para gozar de factores favorables para el proyecto y así poder tener una ubicación estratégica. La ingeniería del proyecto se efectuó seleccionando los procesos y maquinaria adecuados para la respectiva producción de bebidas energizantes. Además, también se especifican factores internos de la empresa como los requerimientos de personal y sus funciones. Posteriormente se procedió a describir los pasos para la constitución legal del proyecto y el tiempo de establecimiento. Se estimaron las inversiones totales y los costos operativos respectivos a cada área de la empresa. Se realizó un análisis económico tomando en cuenta los costos de inversión, producción, comercialización, y todos los otros costos necesarios para cumplir con los objetivos propuestos en el proyecto, para medir estos factores se usaron indicadores económicos como la TIR (Tasa Interna de Retorno), VAN (Valor Actual Neto) y la relación Beneficio/Costo. Por último, se analizaron los posibles impactos ambientales que el proyecto puede generar, se hizo una identificación de categoría del proyecto dividiendo su análisis en las actividades que requiere el estudio de impactos.</t>
  </si>
  <si>
    <t>https://drive.google.com/file/d/1pnY5oZ0Ba6HUN2IvEkv6o2_9agbOPyqj/view?usp=sharing</t>
  </si>
  <si>
    <t>https://drive.google.com/file/d/10zfg3L4hqXStdK8XtcCPCGEGHZHWrKgW/view?usp=sharing</t>
  </si>
  <si>
    <t>https://drive.google.com/file/d/1isp2NpC8UAVSa9m75uLHfTwdKFDcaWc7/view?usp=sharing</t>
  </si>
  <si>
    <t>CASTILLO MEAVE ANA BELEN</t>
  </si>
  <si>
    <t>PARDO RODRIGUEZ JENNY ESCARLET</t>
  </si>
  <si>
    <t>PROYECTO DE FACTIBILIDAD PARA LA IMPLEMENTACIÓN DE UNA PLANTA PROCESADORA DE LOS DERIVADOS DE LA GUANÁBANA EN EL DEPARTAMENTO DE COCHABAMBA</t>
  </si>
  <si>
    <t>II-2020</t>
  </si>
  <si>
    <t>belen051394@gmail.com - rodriguezescarlet22@gmail.com</t>
  </si>
  <si>
    <t>IND-1101-2020</t>
  </si>
  <si>
    <t>Planta Procesadora de Derivados de GUANÁBANA, Factibilidad.</t>
  </si>
  <si>
    <t>El proyecto fue realizado con la finalidad de analizar si la producción de infusiones y pulpa a base de hojas de guanábana y fruta de guanábana era factible; por lo tanto, para comenzar con el análisis de factibilidad se realizó un estudio de mercado donde se aplicaron encuestas, método no probabilístico, en donde se concluyó que el cliente objetivo son las personas de las edades entre 18 y 64 años del estrato social económico medio alto de la ciudad de Cochabamba. También se pudo determinar el tipo de envase, los puntos de distribución, la estimación de precios. Una vez realizado el estudio de mercado y haber calculado la demanda potencial, se vio que hay una existencia de un mercado potencial para el consumo del producto; por lo tanto, se revisaron datos de fuentes secundarias para la disponibilidad de materia prima, donde se determinaron los proveedores potenciales, los precios y el requerimiento. Posterior al análisis de disponibilidad de materia prima, se determinó el lugar de emplazamiento de la planta que se realizó mediante un análisis de macro localización y micro localización; en este análisis se utilizó el método cualitativo por puntos, en donde se propuso como ubicación del proyecto el municipio de Sacaba debido a las características favorables que esta representa para el proyecto. En cuestión a la ingeniería del proyecto se hizo un diagrama de procesos y un curso grama analítico para cada uno de los productos; se vio el proceso productivo a detalle, las cantidades de materia prima que se utilizaran. También en este capítulo se cotizaron las maquinarias requeridas para la producción, los equipos y herramientas necesarias para el control de calidad y producción. Se realizó un análisis de riesgos en donde se analizó los riesgos potenciales de cada proceso y se determinaron los EPPS requeridos para cada proceso. También se realizó un plan de contingencia para la enfermedad del COVID-19. Fue necesario conocer la cantidad de personal requerido para el funcionamiento de la planta, por lo tanto, se realizó un organigrama jerárquico y se vio el recurso humano necesario designando los cargos; donde se tiene como un total de 16 empleados, los cuales tendrán todos los beneficios sociales. Por lo tanto, en este capítulo se calculó los sueldos y salarios de cada trabajador durante todo el funcionamiento del proyecto. El análisis financiero y económico fue calculado según el estado de resultados, flujo de fondos y se concluyó que el proyecto es factible para su ejecución. El impacto ambiental que tuvo el proyecto es de categoría III, el cual se lo obtuvo a través de una matriz de Leopold, en donde se determinaron los impactos directos, indirectos, reversibles, para cada etapa del proyecto, se realizó el plan de mitigación de los impactos generados. Se recomienda vigilar constantemente los procesos de producción, para que se pueda tener el control de calidad de forma permanente del producto. Para vender lo planificado se recomienda realizar publicidad por las redes sociales enfatizando la importancia de las propiedades nutricionales de la Guanábana. Buscar el apoyo de entidades privadas para incentivar el consumo de productos naturales, o como inversores que apoyen la producción de estas. Se recomienda diversificar los productos en diferentes presentaciones o bien aprovechar las semillas residuales de la Guanábana convirtiendo en aceite o proyectar la producción a tabletas de Guanábana una vez la empresa este consolidada; afiliarse a instituciones locales, nacionales e internacionales orientadas al consumo de productos medicinales y naturales.</t>
  </si>
  <si>
    <t>https://drive.google.com/file/d/1CiDu5OdFiDs4gd-XJveC4--eFocSXeNN/view?usp=sharing</t>
  </si>
  <si>
    <t>https://drive.google.com/file/d/12M65RYIdCR9YZCjGeIIe92MGsF8vzsvK/view?usp=sharing</t>
  </si>
  <si>
    <t>https://drive.google.com/file/d/1Brh1tW8ubK3lT3gjTrrD9aIdn9WdW8C_/view?usp=sharing</t>
  </si>
  <si>
    <t>AYALA CALCINA MAYRA ADRIANA</t>
  </si>
  <si>
    <t>ARCE LOZA ZULMA LETICIA</t>
  </si>
  <si>
    <t>ESTUDIO DE FACTIBILIDAD PARA LA CREACIÓN DE UNA EMPRESA PRODUCTORA Y COMERCIALIZADORA DE ABONO COMPOST PARA EL APROVECHAMIENTO DE LOS RESTOS VEGETALES DE LAS FLORES COMERCIALES EN LA CIUDAD DE COCHABAMBA</t>
  </si>
  <si>
    <t>amluz_4@hotmail.es</t>
  </si>
  <si>
    <t>IND-1102-2020</t>
  </si>
  <si>
    <t>Planta Procesadora de Abono Compost, Productividad, DEMING, Auditoria PCE, Programa de Mejora Continua de la Productividad (PMC).</t>
  </si>
  <si>
    <t>Se realizo un estudio de factibilidad para la creación de una empresa productora y comercializadora de abono compost para el aprovechamiento de los restos vegetales de las flores comerciales en la ciudad de Cochabamba, mediante un análisis técnico, administrativo, comercial y financiero. Para ello se presentan los siguientes resultados, que determinan la factibilidad del proyecto. 
Primeramente, se realizó una investigación de la actualidad del uso de fertilizantes en el país, el cual está en aumento.
El estudio de mercado realizado en el departamento de Cochabamba (Cercado) a los consumidores ornamentales nos llevó primeramente a la conclusión que existe un gran mercado para el abono compost en la zona metropolitana de Cochabamba. Además de proporcionar la información necesaria para la creación de estrategias que permitan la introducción del fertilizante producido por el proyecto. Se determinó la localización de la planta y seguidamente se decidió situarla en el Municipio de Colcapirhua zona Moyapampa, por que reúne todas las características de este proyecto.
En la ingeniería del proyecto se definió el ciclo productivo mediante pruebas de compostaje, de manera de tener resultado lo más cercano a la realidad. Se definió las maquinas a ser usadas, su distribución dentro de la planta y obras civiles.
Se definió el organigrama y las funciones del personal para que la planta de abono compost produzca de manera más eficaz y eficiente posible, así mismo se determinó todos los trámites necesarios para su funcionamiento dentro del marco legal.
Finalmente, el estudio financiero permitió conocer la inversión necesaria para emprender el proyecto, se determinó costos de operación, capital de trabajo, ingresos, punto de equilibrio y estados financieros.
La evaluación del impacto ambiental determino que la ejecución del proyecto no incide la contaminación ambiental del aire, agua y suelos, como también no destruye el ecosistema.
Con la ayuda de los indicadores financieros se concluyó que la implementación de la planta desde el punto de vista financiero y técnico es factible.</t>
  </si>
  <si>
    <t>https://drive.google.com/file/d/1XEa9kT8hXoEcXtmspTC_sSIZjewqIOuv/view?usp=sharing</t>
  </si>
  <si>
    <t>https://drive.google.com/file/d/1n51jkCHvKkzYLGUNirgTRG1P-pnP6NSy/view?usp=sharing</t>
  </si>
  <si>
    <t>https://drive.google.com/file/d/1bJCDVK3YHk09R3xoFhGBu4pIkx6Lw24I/view?usp=sharing</t>
  </si>
  <si>
    <t>NOGALES ANDRADE ANDRES</t>
  </si>
  <si>
    <t>ING. VALDEZ SCHEREZADA PAOLA</t>
  </si>
  <si>
    <t>ELABORACION DEL PROGRAMA DE SEGURIDAD Y SALUD EN EL TRABAJO EN BASE A LA NORMA NTS 009/18 PARA LA UNIDAD PRODUCTIVA "COBOCE HORMIGON" DE LA COOPERATIVA MULTIACTIVA COBOCE RL.</t>
  </si>
  <si>
    <t>andres.279268@gmail.com</t>
  </si>
  <si>
    <t>IND-1103-2020</t>
  </si>
  <si>
    <t>Coboce, Coboce Hormigón, PSST, Programa de seguridad y salud en el trabajo, NTS 009/18, Elaboración trabajo, NTS 009/18, Elaboración.</t>
  </si>
  <si>
    <t>Primeramente, se recolecto información mediante la base de datos de SIATEMAS INTEGRADOS DE GESTION, toda la información que pueda servir para poder elaborar el PSST
para la unidad COBOCE HORMIGON RL. Se elaboró un diagnóstico de la Ley 16998 para la empresa COBOCE HORMIGON tanto como un análisis del PSST en la situación actual de la empresa, antes de implementar el programa en la empresa. Teniendo la información se empezó a elaborar el PSST, viendo que varios estudios y monitoreo había que actualizarse, por lo cual se pidió que se actualice dichos estudios para poder proseguir con el PSST.
Se elaboró procedimientos de trabajo para completar los que faltaba en la empresa de las áreas de
Calidad como también de Producción,
Se pidió que se implemente un comité mixto ya que es obligatorio para las empresas tener un
comité mixto para poder cumplir al 100% el PSST
Terminando el PSST se elaboró un análisis de costo para la implementación del PSST para la
unidad COBOCE HORMIGON RL. Y poder cumplir con la normativa vigente para todas las empresas privadas como públicas, para
la cámara de industria.</t>
  </si>
  <si>
    <t>https://drive.google.com/file/d/1Yr-KHppUDi8ZoJxLA4P1Brv9l3J8MuQ_/view?usp=sharing</t>
  </si>
  <si>
    <t>https://drive.google.com/file/d/1IyJRmMA4lkvNAckHyuic5kmSJsErds-3/view?usp=sharing</t>
  </si>
  <si>
    <t>https://drive.google.com/file/d/12owCx6rqbFRFddynfBoLOajBLCI_8OEj/view?usp=sharing</t>
  </si>
  <si>
    <t>SOTEZ GOMEZ SOLANNGE</t>
  </si>
  <si>
    <t>ESTUDIO DE VIABILIDAD TÉCNICA PARA LA IMPLEMENTACIÓN DE UNA PLANTA RECICLADORA DE RESIDUOS SÓLIDOS INORGÁNICOS (PET) EN EL RELLENO SANITARIO DE JARKA LOMA - SACABA</t>
  </si>
  <si>
    <t>cherisoleil237@gmail.com</t>
  </si>
  <si>
    <t>IND-1104-2020</t>
  </si>
  <si>
    <t>Ladrillo ecológico a base PET, GAMS, Agencia Estatal de Vivienda, Economía Circular, Economía lineal</t>
  </si>
  <si>
    <t>El presente proyecto de grado tiene como principal objetivo establecer los lineamientos y/o directrices a seguir para la implementación de una planta recicladora de residuos inorgánicos (PET). La característica principal para este proyecto es el tipo de plástico que se usara como materia prima, el Tereftalato de Polietileno (PET) para la elaboración de ladrillos. En el marco de la teoría, la metodología que se aplica es una investigación exploratoria que contara con una serie de entrevistas a los trabajadores que están encargados del recojo de la basura. En el capítulo 1 se realizara un repaso sobre los antecedentes de la contaminación y el uso del plástico PET. En el capítulo 2 se abordan las cuestiones teóricas que sustentan el planteamiento de proyecto de factibilidad y residuos sólidos inorgánicos (PET), características de los ladrillos ecológicos. En el capítulo 3 se hará referencia sobe la situación actual del Municipio de Sacaba en cuanto a aspectos físico naturales, aspectos socioeconómicos y cantidad de residuos.En el capítulo 4 se analizara la demanda y oferta para realizar proyecciones de demanda y oferta futuras, se identificará el producto a elaborar y sus características. En el capítulo 5 se identificara la ubicación adecuada, tamaño óptimo de la planta, maquinaria e infraestructura a implementar. En el capítulo 6 se introducen las bases legales y funcionales que deberá tener la empresa, así como los perfiles de los puestos requeridos en la estructura de organización. En el capítulo 7 se realizara un estudio sobre los indicadores financieros más relevantes. En el capítulo 8 se exponen leyes, decretos, reglamentos y normativas que ayudaran a estimar los efectos que el proyecto pueda causar al entorno ambiental.</t>
  </si>
  <si>
    <t>https://drive.google.com/file/d/1RKekkfsa5i52HcpZdovDfFKHVn0ZNKmM/view?usp=sharing</t>
  </si>
  <si>
    <t>https://drive.google.com/file/d/1TqiS3peYAH3PzSPuhgwI3JjsNavURKlZ/view?usp=sharing</t>
  </si>
  <si>
    <t>https://drive.google.com/file/d/12ZCIAF0rNesfL-3pIVJHDjtdwFWgWinK/view?usp=sharing</t>
  </si>
  <si>
    <t>GUTIERREZ OTALORA CLAUDIA ROSDELI</t>
  </si>
  <si>
    <t>ING. KARI CELIDA VILLARROEL GONZALES</t>
  </si>
  <si>
    <t>PROGRAMA DE SEGURIDAD Y SALUD EN EL TRABAJO SEGÚN LA NORMA TECNICA NTS-009/18 PARA LA EMPRESA BIOMEDICAL”.</t>
  </si>
  <si>
    <t>claudiarosdeligutierrez@gmail.com</t>
  </si>
  <si>
    <t>IND-1105-2020</t>
  </si>
  <si>
    <t>Programa de Seguridad y Salud en el Trabajo (PSST),Normas Técnicas de Seguridad(NTS), riesgo, peligro, prevención, salud ocupacional, comité mixto, accidentes , incidentes y simulacros.</t>
  </si>
  <si>
    <t>Primeramente, se realizó un diagnóstico de la situación actual de la empresa Biomedical en base a la Ley General de Higiene, Seguridad Ocupacional y los requisitos de la NTS-009/18, donde se obtuvo un resultado: 56% de cumplimiento, 25% de no cumplimiento y un 19% de cumplimiento parcial.
Posteriormente se desarrollaron los trece puntos de la NTS-009/18 para la empresa, la seguridad se convierte en una herramienta válida para efectivizar la protección de los recursos humanos en prevención de riesgos y enfermedades ocupacionales, resguardando de esa manera la salud de los trabajadores, se logró proporcionar un ambiente agradable de trabajo y condiciones segura que colaboren con el desempeño en su cotidiana labor.
Ante alguna situación de emergencia en la empresa, se capacitó a todos los trabajadores en materias de seguridad industrial (combate contra incendios, evacuación en caso de emergencias y primeros auxilios) y salud ocupacional, las herramientas ante una emergencia implementadas son extintores, sistema de alarma de emergencia, planos de evacuación, botiquín de primeros auxilios y se conformó brigadas de emergencias. Para dar cumplimiento a la Norma se realizaron 2 simulacros en el año, también se constituyó un comité mixto que tiene la función de precautelar las condiciones de trabajo de todo el personal y tomar medidas preventivas y correctivas en materia de seguridad industrial y ocupacional. Se determinó los costos de implementación del Programa de Seguridad y Salud en el Trabajo de Biomedical para la gestión 2019 y para su actualización del mismo para el2020.
Finalmente se concluyó con la implementación, aprobación y certificación del Programa de Seguridad y Salud en el trabajo para Biomedical, emitido por el Ministerio de Trabajo.</t>
  </si>
  <si>
    <t>https://drive.google.com/file/d/1lnbOthNYno3jC8fLlkU0fANojJ9358uY/view?usp=sharing</t>
  </si>
  <si>
    <t>https://drive.google.com/file/d/1AsUNGAoa6f0KXUX9EHUzp95JgJEIuMDL/view?usp=sharing</t>
  </si>
  <si>
    <t>https://drive.google.com/file/d/1YAyRUAzvzW0m8cOKIWCvI8OEJVdhe7sV/view?usp=sharing</t>
  </si>
  <si>
    <t>DANIEL ANDIA</t>
  </si>
  <si>
    <t>LOAYZA MORANTE IVONNE IRENE</t>
  </si>
  <si>
    <t>ING. ALFREDO PERICON BALDERRAMA</t>
  </si>
  <si>
    <t>PLAN ESTRATÉGICO PARA EL CENTRO DE ALIMENTOS Y PRODUCTOS NATURALES DE LA FACULTAD DE CIENCIAS Y TECNOLOGÍA – UNIVERSIDAD MAYOR DE SAN SIMÓN, 2020 - 2024</t>
  </si>
  <si>
    <t>danifcb10.dan@gmail.com</t>
  </si>
  <si>
    <t>IND-1106-2020</t>
  </si>
  <si>
    <t>Plan Estratégico, Diagnostico situacional y prospectivo, FODA, Misión, Visión, Estrategias, Indicador, Sistema de Control y Presupuesto.</t>
  </si>
  <si>
    <t>El Plan Estratégico que se elaboró para el Centro de Alimentos y Productos Naturales (CAPN), con un horizonte temporal de cinco años, es fundamental para orientar el rumbo del Centro de forma eficiente y eficaz.
Inicialmente se hizo un diagnóstico situacional y prospectivo, notándose que el Centro de Alimentos y Productos Naturales hasta el año 2018 mostró un cumplimiento óptimo de sus objetivos en sus cuatro ejes de desarrollo (Investigación, Interacción, Formación, Gestión de Soporte e Infraestructura), aplicando los Planes Operativos Anuales (POA), sin embargo los mismos son documentos que limitaban su desarrollo debido a que en estos se plantean objetivos a corto plazo. El Plan Estratégico realizado le permite al CAPN alcanzar objetivos a largo plazo. Posteriormente se determinaron los escenarios externos a nivel internacional, nacional, departamental y Universidad Mayor de San Simón, que condicionan el desarrollo futuro del CAPN. También se hizo el análisis de las 5 fuerzas de Porter para determinar el grado de competencia del Centro a nivel nacional, mostrando que este es uno de los centros más competitivos en Bolivia. Se realizó el levantamiento de datos en el CAPN, a través de la técnica de recolección de datos denominada taller, se determinaron los elementos del análisis FODA, con ayuda de las herramientas de diagnóstico, Matrices EFE (Evaluación de los factores externos) y EFI (Evaluación de los factores internos), se establecieron los factores críticos de éxito, siendo las principales fortalezas el Centro cuenta con equipamiento de investigación de última generación para el desarrollo de las actividades de investigación y tiene implementado un sistema de gestión de calidad 17025:2018, con la acreditación correspondiente; la debilidad que se destacó fue la de limitaciones al acceso de información científica; en el caso de las Oportunidades los de mayor importancia son las nuevas tendencias de alimentación y priorización a la soberanía alimentaria y el acceso a la cooperación internacional y proyectos IDH; en las Amenazas el factor más significativo es el de recortes presupuestarios.
Seguidamente se hizo el análisis detallado de la misión y visión del CAPN, se reformularon las mismas y se presentaron al equipo de trabajo para su aprobación final.
Una vez establecidos los elementos FODA más relevantes y definidas la misión y visión, se elaboró el FODA estratégico, en el que se determinaron numerosas estrategias. Con estas estrategias y los objetivos estratégicos ya establecidos, se procedió a realizar la matriz estrategia-objetivo que permitió denotar el enfoque sistémico de las distintas estrategias planteadas, ya que permite ver cómo éstas contribuyen al cumplimiento de los distintos objetivos que posee el Plan Estratégico.
A continuación se realizó la matriz de planificación en base a los cuatro ejes que determinan el funcionamiento del CAPN, para cada uno de los cuales fueron formulados objetivos estratégicos, estos a su vez se desglosan en objetivos operativos, metas, estrategias que coadyuvarán a su fortalecimiento, indicadores, responsables de coordinación y periodo. Estas estrategias permitirán cumplir la misión y alcanzar la visión. Se realizaron sistemas de control para el seguimiento y cumplimiento de cada uno de los indicadores, durante las gestiones que comprenden el horizonte del Plan, indicando cuando una meta sería aceptable y cuando sería no aceptable, incluyendo las acciones que se deberían tomar en el caso de ser no aceptable; fueron elaborados en total 63 sistemas de control, uno por cada indicador.
El requerimiento presupuestario fue elaborado en base a datos históricos del CAPN y datos secundarios, estimando un total de US$ 1.400.297 (Un millón cuatrocientos mil doscientos noventa y siete 00/100 dólares americanos), para el cumplimiento total del plan estratégico.
Finalmente, se recomendó difundir y socializar el Plan Estratégico con todo el equipo del Centro de Alimentos y Productos Naturales y lograr que todos conozcan los objetivos y las estrategias del plan, posteriormente se debe realizar un taller de coordinación con todos los responsables del centro de investigación para programar la ejecución de las actividades formuladas en las estrategias del Plan.</t>
  </si>
  <si>
    <t>https://drive.google.com/file/d/1ZhUqoQdOMqdRu7Qci-KNfasoEIoaPCcS/view?usp=sharing</t>
  </si>
  <si>
    <t>https://drive.google.com/file/d/1mSwJYuFo83ACzk1jmknMbRDbNs_SwLKD/view?usp=sharing</t>
  </si>
  <si>
    <t>https://drive.google.com/file/d/1GRJkfFF7pugHa9oF75gp7iGzx8tgAD89/view?usp=sharing</t>
  </si>
  <si>
    <t>APAZA MARCA LUCIO</t>
  </si>
  <si>
    <t>ING. DELGADILLO COSSIO DAVID ALFREDO</t>
  </si>
  <si>
    <t>PROPUESTA DE DISEÑO DEL PROGRAMA DE SEGURIDAD Y SALUD EN EL TRABAJO SEGÚN LA NTS 009/18 PARA LA EMPRESA INDUSTRIAS QUÍMICA NACIONAL UBICADA EN LA CIUDAD DE COCHABAMBA</t>
  </si>
  <si>
    <t>lucioapazamarca@gmail.com</t>
  </si>
  <si>
    <t>IND-1107-2020</t>
  </si>
  <si>
    <t>NTS 009/18 norma técnica de seguridad. Ministerio de trabajo.</t>
  </si>
  <si>
    <t>El presente proyecto tiene como objetivo realizar una propuesta del programa de seguridad y salud en el trabajo basada en la norma técnica 009/18 para la empresa Industrias Química Nacional ubicada en la ciudad de Cochabamba buscando la mejora de la seguridad en los procesos y la salud de los trabajadores.
Para la elaboración del proyecto se plantearon los siguientes objetivos:
Objetivo general
Proponer un programa de seguridad y salud en el trabajo según norma NTS 009/18 para la EMPRESA INDUSTRIAS QUIMICA NACIONAL, que permita minimizar los peligros y riesgos que atenten contra la salud e integridad física de los trabajadores. Objetivos específicos
 Realizar un diagnóstico en la empresa para determinar las condiciones actuales en la que se encuentran los trabajadores bajo la NTS 009/18
 Identificar peligros y evaluar los riesgos existentes en la empresa.
 Proponer un programa de seguridad y salud ocupacional bajo la NTS 009/18.
 Determinar la inversión necesaria para la implementación del programa de seguridad y salud en el trabajo.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Para LA ELABORACION DEL PROGRAMA DE SEGURIDAD Y SALUD EN EL TRABAJO se estableció el siguiente método de investigación, el objetivo es proponer y plantear una o más soluciones al problema de investigación, esperando que en un futuro exista la implementación de dicho programa.
Fase I: Observación de las condiciones de la empresa
En esta fase se pretende realizar las observaciones de las condiciones actuales de la empresa INDUSTRIAS QUÍMICA NACIONAL, recabando así todos los datos necesarios para la identificación de peligros y evaluación de riesgos.
Para cumplir con esta fase se requiere de información primaria como y con daría de la empresa, de cada una de las áreas de trabajo. Información Primaria  Entrevistas con los trabajadores
 Información secundaria
 Fuentes internas: información documentada con la que ya se encuentra en la empresa.
 Fuentes externas: libros referentes e internet
Fase II: Identificación de peligros, evaluación de registros y determinación de controles en la empresa.
Se identificará, analizará en evaluar los peligros, para seguimiento a desarrollar la evaluación de riesgos en la empresa se hará al desde un punto de vista de las áreas de trabajo, actividades que se lleva al cabo de las mismas, todo ello se realizará con la información obtenida de la identificación de peligros, para luego con los datos obtenidos Stuart la determinación de controles. Esta fase se realizará a través de información primaria y secundaria.
Fase III: Elaboración de la propuesta del programa de seguridad y salud en el trabajo
En base a la resolución ministerial 11411/18 y bajo la NTS 09/18 se realizará la elaboración del programa de seguridad y salud ocupacional, tomando en cuenta los 13 requisitos que exige la norma.
Fase IV: Análisis de inversión En esta fase se estimará la inversión necesaria para la implementación del programa propuesto, tomando en cuenta la adquision, mejoramiento y adecuado de todos los elementos necesarios para lograr el programa de seguridad ocupacional para LA EMPRESA INDUSTRIAS QUIMICA NACONAL, que garantiza las condiciones adecuados de cada área de trabajo.</t>
  </si>
  <si>
    <t>https://drive.google.com/file/d/1wKoKgQ-f3y3QhZq-bn2d-zbiYQtjr0Zg/view?usp=sharing</t>
  </si>
  <si>
    <t>https://drive.google.com/file/d/1FoOEkbdPaCObdOe5gFa9yQvmrSRqcKp7/view?usp=sharing</t>
  </si>
  <si>
    <t>https://drive.google.com/file/d/1pKqvrmJsDI1sYH-02U9ta6CA1tT1IHow/view?usp=sharing</t>
  </si>
  <si>
    <t>HUARACHI MENDOZA FRANZ JAVIER</t>
  </si>
  <si>
    <t>RIVERA MAMANI TATIANA JHOSELIN</t>
  </si>
  <si>
    <t>ING RUDY CATORCENO</t>
  </si>
  <si>
    <t>PROYECTO DE FACTIBILIDAD PARA LA IMPLEMENTACION DE UNA PLANTA INDUSTRIALIZADORA DE HARINA DE COPOAZÚ, DIRIGIDO AL MERCADO DE COCHABAMBA</t>
  </si>
  <si>
    <t>huarachifranz5@gmail.com</t>
  </si>
  <si>
    <t>IND-1108-2020</t>
  </si>
  <si>
    <t>Planta productora de harina de copoazú, Proyecciones de demanda, Canales de comercialización, Estado de resultados.</t>
  </si>
  <si>
    <t>El sistema que se desarrolló, toma como ejemplo plantas de producción de mermelada y harina, con base a aquello se desarrolló un Proyecto de factibilidad, financiera y comercial para la implementación e instalación de una planta industrializadora de harina de copoazú, dirigido al mercado de Cochabamba con alto contenido en proteínas y vitaminas, que puede contribuir con la alimentación sana de la población ayudando también a personas con problemas con el gluten denominados celiacos. Para el desarrollo del presente proyecto se realizó un estudio descriptivo y propositivo que permitirá tener un conocimiento más preciso para plantear y dar solución al problema central. El mercado objetivo del proyecto fueron los hogares de la ciudad de Cochabamba. 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el departamento de Cochabamba de la harina con un 66,82%. Así mismo el nivel de aceptación del producto del proyecto como ser harina de copoazú es de 75,70 %. Para la elaboración del producto se hizo énfasis en el sabor, valor nutritivo. Se determinó que la harina de copoazú será comercializada en presentaciones de 1 kg. La materia prima principal que se definió para ser utilizada en la elaboración del producto del proyecto, es el fruto de copoazú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 empresa ELFEC, SEMAPA y Y.P.F.B. en el que los costos incurridos están en función al consumo y a la tarifa establecida para las industrias. Se definió la macrolocalización en el departamento de Cochabamba y la microlocalización en la provincia de Capinota, municipio de Santivañez en base a los factores de localización se determino el parque industrial Santivañez. Para determinar el tamaño de la planta se analizaron los factores que condicionan el dimensionamiento del mismo, de los cuales la demanda es la que condiciona el tamaño del proyecto y el programa de producción se realizó considerando la capacidad normal viable. Se realizó el diseño de distribución de planta sobre 540 m2 en el que se asignaron los espacios requeridos por cada área de trabajo, en la función administrativa y de planta. La estructura organizacional del proyecto será de tipo Funcional &amp;Staff. Para el presente proyecto se determinó que el personal requerido para la mano de obra directa, indirecta y eventual es un total de 13 esto para los 5 años de vida útil del proyecto. La personalidad jurídica que tendrá la empresa será de tipo sociedad de Responsabilidad Limitada S.R.L. Se determinaron 11 actividades principales hasta la puesta en marcha del proyecto, dichas actividades siguen una secuencia ordenada para el cumplimiento satisfactorio de las actividades de la planificación. A través del diagrama de actividades PERT_CPM y el diagrama de GANTT, se determinó máximo 28 semanas para la ejecución de las actividades, este periodo puede variar de acuerdo a la agilización de trámites u otras actividades llegando a reducir o no el tiempo total y necesario de ejecución. Para el funcionamiento del proyecto se requiere una inversión en activos fijos de Bs 777.242,03, activos diferidos Bs. 30.177,50 y el capital de trabajo inicial es de Bs. 127.578,24 Se prevé que el financiamiento del proyecto será de 45% aporte propio (Bs. 420.749,00) y el 55% a crédito (Bs. 514.248,78) a 10 años plazo con una tasa de interés del 6,56% de acuerdo al sistema PRICE, cuotas fijas. Los ingresos del proyecto se determinaron en función al precio y programa de producción, también se contemplaron los impuestos IVA e IT. Realizada la evaluación financiera del proyecto se tiene los siguientes resultados: VAN Bs. 1.341.594, 38, TIR 58,02%, B/C 1,57 y PRI de 2 años y 230 días con estos resultados se puede concluir que el proyecto es rentable. Para la evaluación del impacto ambiental se consideró las actividades desde la etapa de la ejecución hasta la etapa de operación, determinando que el proyecto está en categoría III, tomando en cuenta solo medidas de mitigación y prevención. Entre algunas de las recomendaciones estarían: Realizar investigaciones de mercado en forma periódica. Mantener control riguroso en producción, en la calidad e inocuidad de los productos en base a las normas ISO 9001 e ISO 22000. Se recomienda en caso de implementar el proyecto actualizar las cotizaciones de las maquinarias, equipos, costo de construcción, etc. Generar gestiones de apoyo mutuo con los proveedores para garantizar la calidad y disponibilidad de la materia prima. Se deben realizar todas las pruebas necesarias antes de iniciar las operaciones en la empresa.</t>
  </si>
  <si>
    <t>https://drive.google.com/file/d/1PzsLC5dMIXoA_CE5MZzjFD8kDnhRU2DO/view?usp=sharing</t>
  </si>
  <si>
    <t>https://drive.google.com/file/d/1wVcRHnakImrEcrA2vjlRTs128I091f3o/view?usp=sharing</t>
  </si>
  <si>
    <t>https://drive.google.com/file/d/1Roye3K5HotrRRK3f29Yd17KmdZAOekiD/view?usp=sharing</t>
  </si>
  <si>
    <t>PATIÑO ARANCIBIA MARIA ANGELICA</t>
  </si>
  <si>
    <t>ESTUDIO DE FACTIBILIDAD PARA LA IMPLEMENTACIÓN DE UNA PLANTA PROCESADORA DE PLÁSTICOS BIODEGRADABLES A PARTIR DEL MICROORGANISMO HALOMONAS BOLIVIENSIS EN EL DEPARTAMENTO DE COCHABAMBA</t>
  </si>
  <si>
    <t>mariaangelicapatinoarancibia@gmail.com</t>
  </si>
  <si>
    <t>IND-1109-2020</t>
  </si>
  <si>
    <t>Halomonas Boliviensis, Universidad Mayor de San Simón (UMSS), Plástico
biodegradable compuesto por Polihidroxialcanoatos (PHA).</t>
  </si>
  <si>
    <t>Este proyecto de grado contempla la implementación de una planta procesadora de plásticos biodegradables a partir del microorganismo Halomonas boliviensis, que generará una nueva propuesta para el mercado de implantes biomédicos en el departamento de Cochabamba, son implantes biodegradables que ofrecen al paciente el beneficio de no tener que someterse a una segunda cirugía para la extracción de estos, siendo compatibles con cualquier tipo de organismo. El implante biodegradable es un producto amigable con el medio ambiente y accesible en cuanto a costo para el cliente. Se realizó un estudio de oferta y demanda del plástico biodegradable en la ciudad de Cochabamba, en la provincia de Sacaba y Quillacollo. Con la información obtenida con anterioridad se realizó el análisis de la oferta y de la demanda, para esto se utilizaron modelos matemáticos de pronósticos con tendencias a largo plazo. Para concluir se realizó una demanda proyectada. La demanda de implantes biomédicos por parte de médicos traumatólogos en el departamento de Cochabamba es de aproximadamente 142378 implantes por año, considerando que esta demanda es cubierta por un número considerable de empresas importadoras como ser: Osteogrup, MiSalud, HP Medical, Importadora Antezana, etc. y utilizando un criterio conservador se prevé ingresar al mercado con el 10% de la demanda total. Los factores elementales para la selección de estos productos son el precio, marca y recomendación, estos factores se verán involucrados como prioridad en la producción del nuevo producto, como en la promoción de este.
Se detallaron las características cuantitativas y cualitativas de la materia prima, materiales e insumos, necesarios para la producción de plástico biodegradable, así también la disponibilidad, requerimientos, costos y ubicación de los mismos. Se estableció como proveedor potencial de materia prima (medio de cultivo donde se desarrolla el microorganismo) e insumos, para el proyecto a la empresa denominada AMERICANA, debido a la calidad y precio competitivo que ofrecen en comparación con otros proveedores en el medio.
La materia prima principal es el microorganismo Halomonas boliviensis, el cuál será adquirido por medio de una expedición a la Laguna Colorada en el departamento de Potosí, los compuestos del medio de cultivo y los reactivos utilizados a lo largo del proceso son: Agua, Fosfato dipotásico, Fosfato disódico, Cloruro de Sodio, Glutamato monosódico, Glucosa, Oligoelementos, Sulfato de magnesio, Hidróxido de Sodio y Peróxido de hidrogeno, se obtendrán de la empresa AMERICANA.
Se describió el proceso productivo para la elaboración de plástico biodegradable a través de un flujo grama y curso grama sinóptico, el cual comprende una serie de operaciones considerando un balance de masa, que serán llevados a cabo a través de una correcta selección de maquinaria y equipos, los cuales serán adquiridos tanto de importadoras como de fabricantes nacionales e internacionales. La macro localización del proyecto se centró en la zona norte de las provincias de Quillacollo, Sacaba y Cercado, en el departamento de Cochabamba, considerando como factor principal y el costo del terreno y el acceso al agua potable. Mientras tanto para la micro localización del proyecto se procedió a realizar un análisis y la ponderación por puntos de los siguientes factores: Cercanía del mercado consumidor, acceso a la materia prima, costo del terreno, disponibilidad de mano de obra, vías de acceso, aspectos legales de la zona y la disponibilidad de servicios básicos, dando como resultado óptimo al municipio de Tiquipaya para la implementación del proyecto. El tamaño del proyecto estará previsto por la demanda proyectada y la capacidad de las máquinas empleadas en el proceso productivo, por lo tanto, se prevé ingresar al mercado con un criterio conservador del 10% de la demanda, es decir la producción anual será de 4717,44 kg de plástico biodegradable, el personal trabajará un solo turno por día. Según las características del proceso productivo y la tecnología empleada se opta por una distribución lineal según el análisis de la cercanía de actividades, sobre una superficie de 300 m2.
La estructura organizacional del proyecto siguió una estructura lineal y funcional, conservando la funcionalidad de la especialización de cada actividad en función y de la lineal la autoridad junto a la responsabilidad que se transmite a través de un solo jefe para cada función en especial, teniendo un requerimiento de mano de obra de 20 personas.
Se analizó la situación salarial actual que se vive en el país, bonos decretados por ley para futuros imprevistos y los bonos de antigüedad. Se determinaron los costos de los sueldos y salarios en base al programa de producción del proyecto donde se trabajará un solo turno por día, se realizaron los cálculos en base a planillas oficiales del Ministerio de Trabajo, de tal manera el cálculo de los aportes patronales y laborales se encuentran en orden, obedeciendo las exigencias de dicho ministerio. Finalmente, todos estos datos anualizados en gastos serán útiles para el capítulo de evaluación financiera.
El proyecto se constituyó bajo la figura legal de ¨Sociedad de Responsabilidad Limitada¨ puesto que la conformación de sociedad comercial se basa en los aportes de los socios para la creación de la empresa. Se elaboró una serie de pasos a seguir, para los diversos trámites legales correspondientes, para la apertura de este tipo de empresa con sus respectivos costos. El plan de ejecución del proyecto se plasmó en tres etapas: Gestión del proyecto, ejecución del proyecto y puesta en marcha. Una vez definidas las actividades, se indica el grado de prioridad de cada una de ellas, para determinar la ruta crítica.
La planificación de la ejecución del proyecto contemplo 14 actividades principales que fueron descritas, indicando sus predecesores y su secuencia de ejecución, así como los tiempos aproximados. A través del diagrama de actividades PERT y el diagrama de GANTT, se indicó un tiempo de 259 días hábiles para la ejecución del proyecto, este periodo puede variar de acuerdo a la agilización de trámites o actividades, llegando a reducir o no el tiempo de ejecución.
Se estimó un costo de $us 1371,62, necesarios para la gestión de financiamiento, cotizaciones, adquisición de maquinaria, equipos, materia prima, insumos, transporte, instalación de servicios básicos, contratación y capacitación del personal.
En la evaluación financiera se determinó que el proyecto requiere una inversión inicial de $us 761353,11; el financiamiento para la implementación y operación del proyecto estará solventado en un 20% por aporte propio y un 80% a través de un crédito bancario a ocho años plazo, con una tasa de interés del 7%.
Estableciendo los indicadores del proyecto se obtuvo una TIR de 43,13%, un VAN $us 1456040,21 y una relación Beneficio/Costo de 1,90; por dólar invertido. Con una recuperación de la inversión en 3 años, indicando que el proyecto es rentable.
Según el análisis de sensibilidad, desde un punto de vista pesimista el proyecto tiene una TIR de 33%, un VAN de $us 1027497,48 y una relación Beneficio-Costo de 1,79. Desde un escenario optimista la TIR es de 54%, un VAN de $us 1984753,25 y una relación Beneficio-Costo de 2,05. Observando los resultados de la evaluación financiera, se concluye que la inversión de la fábrica de plástico biodegradable es factible para el inversionista en cualquier ámbito propuesto.
También se realizó una evaluación económica del proyecto obteniendo un VANE de $us1998326,05 y una TIRE con un valor de 55%, se concluye que el proyecto es factible desde el punto de vista económico. Se realizó una evaluación socio-económica del proyecto obteniendo un VAN de $us1587069,49 y una TIR con un valor de 52%, se concluye que el proyecto es factible desde el punto de vista socio-económico. Según el artículo del RASIM, toda unidad industrial en proyecto o en operación deberá registrarse en la instancia ambiental del Gobierno Municipal, donde se registre su actividad productiva, mediante el formulario de Registro Ambiental (RAI). La categorización del Registro Ambiental Industrial (RAI) planteado para el proyecto indica que este pertenece a la categoría 3 según la Clasificación por Riesgo de Contaminación, por lo tanto, el proyecto requiere un Plan de Manejo Ambiental, con su respectiva Descripción del Proyecto, donde se plantearán medidas de control y mitigación de fácil implementación.
Para tal efecto, se determinaron los impactos positivos y negativos, que se puedan generar durante la implementación y el funcionamiento del proyecto, se plantearon medidas de prevención y mitigación para los impactos negativos, tales como: Implementación de ventiladores, para cuidar la seguridad de los trabajadores se les proporcionará equipo de protección personal según normas de seguridad, limpieza y mantenimiento de maquinaria y control de los productos químicos en las aguas residuales.
Por todo lo descrito anteriormente se concluye que el producto es una alternativa viable, técnica, ambiental y económica para el sector de salud como para sus inversionistas.
Se realizaron las siguientes recomendaciones para tener un mejor desarrollo de la puesta en marcha del proyecto:
 Implementar un plan de marketing que dé a conocer las ventajas y los beneficios del plástico biodegradable en la medicina.
 Monitorear las investigaciones y pruebas experimentales en la Universidad Mayor de San Simón para la reducción de costos en la materia prima e insumos.
 Realizar un estudio específico y detallado de las normas de seguridad y salud ocupacional.
 Priorizar la ejecución del plan de prevención y mitigación durante la etapa de operación del proyecto.</t>
  </si>
  <si>
    <t>https://drive.google.com/file/d/1EO547yQCIQVIAFwWPrXLmsE9_-pwCDzz/view?usp=sharing</t>
  </si>
  <si>
    <t>https://drive.google.com/file/d/1ic-3OYyVNzsujQ0TvfiZMP011FCaCGR1/view?usp=sharing</t>
  </si>
  <si>
    <t>https://drive.google.com/file/d/1ISXcExY2Hlti0F9F_MBgLEZV_fVWWOI3/view?usp=sharing</t>
  </si>
  <si>
    <t>ALVARO DAVID GONZALES MUSTAFA</t>
  </si>
  <si>
    <t>CARLA SOTOMAYOR RODRIGUEZ</t>
  </si>
  <si>
    <t>ING. LUZ REVOLLO TERAN</t>
  </si>
  <si>
    <t>PROYECTO DE FACTIBILIDAD PARA LA IMPLEMENTACIÓN DE UNA PLANTA DE PRODUCCIÓN DE HELADO CON ALOE VERA EN EL DEPARTAMENTO DE COCHABAMBA</t>
  </si>
  <si>
    <t>IND-1110-2020</t>
  </si>
  <si>
    <t>Planta Productora de helado con Aloe Vera, Factibilidad, Investigación de mercado, Evaluación financiera.</t>
  </si>
  <si>
    <t>El proyecto comenzó a partir del problema central el cual es, un bajo aprovechamiento de las propiedades del Aloe Vera, por parte del sector industrial de Cochabamba.
A partir del problema central se determinó primero el objetivo general: determinar la factibilidad de la implementación de una planta productora de helado con Aloe Vera en el departamento de Cochabamba.
Primeramente y como uno de los aspectos más importantes, se realizó el estudio de mercado, que utilizando una encuesta y el muestreo probabilístico aleatorio simple, se consiguió información primaria de vital importancia para el proyecto. Posteriormente a partir de los resultados de las encuestas realizadas, se determinó en primer lugar la oferta y la demanda propia, donde la empresa participara el primer año del proyecto con un 0.75% como grado de participación en el mercado, subiendo cada año un 0.25%. Luego, se realizó un análisis de los precios de la competencia y análisis FODA; a partir de estos análisis se realizó el marketing mix donde se desarrolló las estrategias para el producto, precio, plaza y promoción.
Se realizó una prueba de elaboración del producto, para el cual se pasó un curso de helados industriales impartido por la empresa MAPRIAL S.R.L. se elaboraron 3 muestras de helado de chocolate con diferentes porcentajes de contenido de Aloe Vera (al 10%, 25%, y 50%) donde la muestra más aceptada por los participantes de la prueba organoléptica fue la muestra con un 25% de contenido de Aloe Vera. También se realizó el análisis fisicoquímico en los laboratorios de alimentos de la Universidad Mayor de San Simón.
Se desarrolló las características y proveedores de la materia prima, el Aloe Vera que será provista por los productores agropecuarios de Tiquipaya y la leche fresca que será provista por los lecheros afiliados a FEPROLEC. Se desarrolló los insumos necesarios, materiales, y servicios, que la empresa necesita para su correcto y óptimo funcionamiento. La macrolocalización de la planta se emplazó en el departamento de Cochabamba, ya que, la provincia de cercado de la ciudad, es el mercado objetivo del producto. La microlocalización, se determinó a través del estudio y método de puntajes ponderados, donde los factores de emplazamiento, determinaron que el municipio de Tiquipaya es la más factible y óptima.
La capacidad optima de la planta, se determinó en base a la demanda propia del proyecto, y a la pasteurizadora, la cual es la maquina limitante dentro el proceso productivo.
La ingeniería del proyecto, determino las operaciones necesarias para elaborar de manera industrial helado con Aloe Vera, estas operaciones son, para la extracción del Aloe Vera: recepción y selección de hojas de Aloe Vera, lavado y desinfectado de las hojas, despunte de hojas, despulpado, desyodado, triturado y filtrado; para la elaboración de helado: recepción de materia prima, formulación y mezclado, pasteurización y homogeneización, maduración, incorporación de aire, envasado, endurecimiento, almacenamiento. Se elaboró, el diagrama de flujo de procesos, y el balance de masa correspondiente para la obtención de 150 kg de helado. Se elaboró el requerimiento de maquinaria, equipos, y material necesario para el proceso productivo, se elaboró el plano de planta, con el respectivo Layout. Se analizó y determino los equipos de protección personal y señalética, como plan de seguridad e higiene industrial.
Se realizó un estudio organizacional del proyecto, donde se definió las estrategias organizacionales como la misión, visión, y objetivos de la empresa, se determinó un modelo organizacional tipo line &amp; staff, junto un organigrama. Se identificó el perfil de cada puesto de trabajo dentro de la empresa, con su respectivo manual de funciones para cada cargo, de cada área, definiendo los objetivos del cargo, sus funciones y el requisito mínimo que se debe cumplir para poder optar al cargo. Por último se definieron los requisitos legales que la empresa debe cumplir para su constitución legal en el departamento de Cochabamba.
Para la planificación de la ejecución del proyecto, se determinaron 12 actividades principales hasta la puesta en marcha, donde de acuerdo al diagrama de Gantt se determinó un tiempo máximo de 39 semanas para la ejecución de las actividades.
Dentro del estudio financiero, en primer lugar se determinó la inversión total del proyecto, tomando en cuenta la inversión de capital de trabajo, luego se fijó que el financiamiento de esta inversión será 50% capital social y 50% por crédito bancario. Posterior se determinó el costo unitario de producción, el margen de utilidad, el precio de venta unitario, y el punto de equilibrio. Se realizó el estado de resultados, y el flujo operativo de caja, que como se tienen utilidades negativas los primeros 2 años de vida del proyecto, el capital de trabajo asumirá estos gastos. Los resultados de los indicadores financieros son: TMAR = 7,43%, VAN = 4619724Bs, TIR = 20,02%, B/C = 1,47, y un periodo de recuperación de la inversión del proyecto para el 6to año de la vida útil; todos estos indicadores en su totalidad nos indican que tenemos un proyecto rentable.
El estudio ambiental, de acuerdo al método de evaluación de Leopold, se concluyó que el proyecto pertenece a la categoría IV, es decir que no se requiere la evaluación de impacto ambiental, pero si requiere planteamientos de medidas de mitigación. Las medidas de mitigación son, en la fase de ejecución: los obreros deberán utilizar la vestimenta adecuada, con el fin de cuidar su salud, los escombros generados por la construcción deberán de ser retirados en su totalidad a botaderos que no afecten al medio ambiente y la población; en la fase de operación: Se implementara un sistema de ventilación adecuado y renovación de aire para los olores desagradables provenientes de la materia prima, El agua generada en el lavado de la materia prima, máquinas y utensilios no generaran aguas contaminantes, por lo que serán conducidas a drenajes o alcantarillados, se implementara un sistema de manejo de desechos biodegradables y reciclables. La basura será clasificada y manejada con responsabilidad.
Como conclusión final se tiene que de acuerdo a todos los estudios y análisis realizados, es factible una implementación de una planta de producción de helado con Aloe Vera en el departamento de Cochabamba. Recomendando: realizar estudios de mercado de forma periódica, para actualizar las preferencias y expectativas de los consumidores en cuanto al helado con Aloe Vera, y de la misma manera realizar el mejoramiento continuo del producto, vvigilar constantemente los procesos de producción para mantener el control de calidad de forma permanente, implementar campos de cultivo de Aloe Vera que sean propios, implementar una heladería propia de la empresa en la ciudad de Cercado, Cochabamba, y promover la recirculación del agua con un tratamiento de potabilización, y aprovechar la corteza de Aloe Vera como abono para la tierra o para crear envases ecológicos.</t>
  </si>
  <si>
    <t>https://drive.google.com/file/d/1fJqINJboz_718pnTyHTX8t3567NOmMof/view?usp=sharing</t>
  </si>
  <si>
    <t>https://drive.google.com/file/d/1n1eQOhty4kHx4agWMk26C7Rgv6I4e0AH/view?usp=sharing</t>
  </si>
  <si>
    <t>https://drive.google.com/file/d/1SIqjKicBSdF0pmNmGiTUuQHX6vWAYtB8/view?usp=sharing</t>
  </si>
  <si>
    <t>FUENTES PINEDO GABRIEL JULIO</t>
  </si>
  <si>
    <t>ING. RONALD EDGAR PATIÑO TITO</t>
  </si>
  <si>
    <t>ESTUDIO DE FACTIBILIDAD PARA LA IMPLEMENTACIÓN DE UNA LÍNEA DE PRODUCCIÓN DE JABONES DE TOCADOR PARA LA EMPRESA INDUQUIN</t>
  </si>
  <si>
    <t>gabrieljfp130@gmail.com</t>
  </si>
  <si>
    <t>IND-1111-2020</t>
  </si>
  <si>
    <t>Estudio de Factibilidad, jabones de tocador</t>
  </si>
  <si>
    <t>Se realizó un estudio de mercado, teniéndo como resultado  que un 95 % de la población utiliza con frecuencia jaboncillos. Se identificó 2 presentaciones con las que trabajara el proyecto: barra pequeña de 90 gramos y barra grande de 140 gramos. Se analizó un mercado posible: el regional o conocido también como el  eje metropolitano del departamento de Cochabamba, que comprendio los municipios de Cercado, Colcapirhua, Tiquipaya, Sacaba, Quillacollo, Vinto y Sipe Sipe. Mediante estimaciones se obtuvo una demanda estimada de producción de 9.040 barras mensuales de tamaño pequeño y 13.560 barras grandes. Se planteó algunas estrategias de marketing de las cuales se seleccionaron promociones, publicaciones y gigantografias. En los aspectos técnicos se analizó los requerimientos de materia prima, servicios básicos, otros materiales, las alternativas de procesos productivos, los equipos, vehículos, instalaciones y se vio conveniente trabajar con un sistema por lotes debido a sus características. En el estudio Organizacional se identificó todas las necesidades de personal. El estudio financiero indica que la fase de inversión se requerirán de: 838.389 Bs en inversiones fijas, 28.119 Bs para las inversiones diferidas y 5.2064,5 Bs en capital de trabajo, las utilidades netas de la primera gestión de operación del proyecto ascienden a 558.462 Bs, la evaluación financiera del proyecto proporciona que valor actual neto de 105.383,52  Bs, una tasa interna de retorno de 28 % y una relación de beneficio costo de 2,08; indicadores que muestran que el proyecto es rentable.</t>
  </si>
  <si>
    <t>https://drive.google.com/file/d/1WCNS73qFrrqQWK0gJz7l2qHw-fzPuehR/view?usp=sharing</t>
  </si>
  <si>
    <t>https://drive.google.com/file/d/1cCHCPRsEjXFuzF_Bd9ji0ZIYRe_soiCR/view?usp=sharing</t>
  </si>
  <si>
    <t>https://drive.google.com/file/d/1LWsCplajbRVA0Kk-oM0v1GtBuPyDvEJN/view?usp=sharing</t>
  </si>
  <si>
    <t>GUTIÉRREZ PANOSO  ÁLVARO</t>
  </si>
  <si>
    <t>SERGIO VILLARTE  EMANUEL</t>
  </si>
  <si>
    <t>ING. JOSÉ ANTONIO ARIÁN CRESPO</t>
  </si>
  <si>
    <t>PROYECTO DE FACTIBILIDAD PARA LA ELABORACIÓN DE SAZONADOR DE CARNE A BASE DE PAPA EN EL DEPARTAMENTO DE COCHABAMBA</t>
  </si>
  <si>
    <t>alvaro231294@gmail.com</t>
  </si>
  <si>
    <t>IND-1112-2020</t>
  </si>
  <si>
    <t>Producción de sazonador de carne a base de papa, sazonador de carne, proceso productivo, planificación y ejecución, estudio financiero, estudio ambiental</t>
  </si>
  <si>
    <t xml:space="preserve">El estudio de factibilidad para la implementación de una planta para la elaboración de sazonador de carne a base de papa nace como respuesta al desconocimiento sobre innovación en nuevos productos de este tubérculo por lo que existe un bajo aprovechamiento en el sector. Con este proyecto se puede aprovechar nuevas oportunidades de investigación y así llegar a un desarrollo sostenible en el sector agricultor. 
Para la elaboración del proyecto se plantearon los siguientes objetivos:
Objetivo general
  Realizar un estudio de factibilidad para la elaboración de sazonador de carne a base de papa en el departamento de Cochabamba.
Objetivos específicos
  Realizar un estudio de mercado para determinar la oferta y demanda del producto a producir
  Determinar las características de la materia prima, materiales e insumos para la producción de sazonador.
  Realizar la ingeniería del proyecto para la elaboración de sazonador de carne a base de papa, tomando en cuenta el proceso productivo, mano de obra y la maquinaria a ser empleada. 
  Realizar un estudio de la ubicación y emplazamiento del proyecto.
  Efectuar la evaluación económica y financiera del proyecto.
  Realizar la estructura organizacional del proyecto.
  Realizar la distribución de planta.
  Elaborar el estudio de impacto ambiental, dando a conocer los efectos positivos y negativos que generará el proyecto al medio ambiente.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Etapa 1: Estudio de mercado.
Los pasos que se seguirán para la obtención de información fue la siguiente:
  Identificar las características de los clientes potenciales.
  Realizar un análisis de oferta, demanda y precio de los productos.
  Definir las estrategias de Marketing Mix para el producto.
En el estudio de mercado se realizo un análisis de la demanda y oferta de sazonador de carne en el departamento de Cochabamba, en vista de que no existe datos históricos de la demanda y oferta se procede a realizar el respectivo estudio mediante encuestas
Etapa 2: Materia Prima e insumos
Mediante la implementación de la planta productora de sazonador se logrará un incremento en la producción de papa en la localidad de Morochata – Ayopaya, lo cual es una alternativa que permitirá mejorar el nivel de vida de la comunidad.
Se determinó las características, costos y proveedores de las materias primas e insumos necesarios para la producción de sazonador de carne a base de papa.
Etapa 3: Ingeniería del proyecto
La ingeniería del proyecto se ejecutó seleccionando los procesos productivos, las cantidades necesarias, los tiempos estimados a seguir; además se identificaron las maquinarias y equipos necesarios con un costo de inversión de Bs. 305.627, por otra parte, se efectuó la distribución de la planta de procesamiento.
Etapa 4: localización y tamaño del proyecto
En la etapa de localización se llevó a cabo lo que es el análisis de macro localización y el de micro localización en el cual se optó por usar el método de factores ponderados para determinar el lugar optimo del proyecto, teniendo en cuenta los factores más importantes y relevantes de manera que se evite entrar en grandes costos operacionales.
El estudio de localización del proyecto permitió encontrar la ubicación más adecuada para emplazar la nueva planta de sazonador de carne a base de papa, obteniendo como resultado la ciudad de Cochabamba, específicamente la provincia de Quillacollo en la localidad de Chojñacollo, por gozar factores favorables para el proyecto.
Etapa 5: Estudio organizacional y legal
La empresa requiere de una estructura organizacional para que funcione en completa sinergia, por lo cual se determinó el manual de funciones que cada cargo deberá cumplir, por consiguiente, se efectuó la planilla de sueldos y salarios para el personal, también se realizó el enfoque organizacional y las políticas institucionales de la empresa que permitirá el funcionamiento óptimo de la planta, estableciendo las interrelaciones entre los puestos.
Se ilustra la estructura organizacional a través de un organigrama del personal y las funciones que cumplen. Posteriormente se procede a describir los pasos para la constitución legal de la empresa.
Etapa 6: Planificación de la ejecución proyecto 
La planificación de la ejecución del proyecto contemplo todas las actividades previas necesarias esenciales, para lo cual se definieron lo tiempos y costos de las mismas, también se estableció el diagrama de Gantt del proyecto, el diagrama de red de actividades dio como resultado un tiempo máximo de ejecución de 11 meses aproximadamente.
Etapa 7: Estudio financiero
En esta etapa se determinó todos los costos en los que se incurrirá en la implementación del proyecto (infraestructura, herramientas, equipos, activos diferidos, etc.) y su operación (capital de trabajo), para que después, mediante un análisis de Fuentes y Usos, se pueda determinar los indicadores de rentabilidad del proyecto que se propone.
Se estimaron las inversiones totales y los respectivos costos operativos. Con toda la información de costos se procedió a la preparación de esta información para realizar el respectivo análisis financiero usando indicadores como: el VAN (Valor Actual Neto), TIR (Tasa Interna de Retorno), B/C (Beneficio/Costo), y el periodo de recuperación. Se sometió el flujo a un análisis de sensibilidad para las variables más influyentes.
Etapa 8: Evaluación Ambiental
En esta fase se realizó una evaluación Ambiental del estudio, para ver el beneficio o los perjuicios que otorga el proyecto al medio ambiente y salud de la población en nuestro país.
El estudio ambiental del proyecto permitió definir los posibles efectos negativos hacia el medio ambiente, también se determinó la categoría ambiental obteniéndose que el proyecto es de categoría 4, con lo que se concluye que el proyecto es ecológicamente compatible con el medio ambiente, encontrándose en la categoría IV de impactos ambientales establecido por la ley 1333.
</t>
  </si>
  <si>
    <t>https://drive.google.com/file/d/1fr4Uyi2vlomcRdj12ndUBvgPASMPM8Zt/view?usp=sharing</t>
  </si>
  <si>
    <t>https://drive.google.com/file/d/1kWTVxwSGOE7oDQPeMxc7CP7Bgg1Z17ET/view?usp=sharing</t>
  </si>
  <si>
    <t>https://drive.google.com/file/d/1cBlGOsR_HxgtyL7tjjnYv5AUe6bheqj7/view?usp=sharing</t>
  </si>
  <si>
    <t>LEDEZMA SAAVEDRA  PAMELA ALISON</t>
  </si>
  <si>
    <t>PROYECTO DE FACTIBILIDAD TÉCNICA Y FINANCIERA PARA LA IMPLEMENTACIÓN DE UNA PLANTA PROCESADORA DE JARABE DE FRUCTUOSA DE YACÓN (POLYMNIA SONCHIFOLIA) EN EL EJE METROPOLITANO DEL DEPARTAMENTO DE COCHABAMBA</t>
  </si>
  <si>
    <t>Pamela_ALedezmaS@hotmail.com</t>
  </si>
  <si>
    <t>IND-1113-2020</t>
  </si>
  <si>
    <t>Estudio de Factibilidad Técnica y Financiera, Jarabe de Fructuosa de Polymnia sonchifolia, Método Cualitativos por Puntos, CPM, PERT, Método Conesa Simplificado.</t>
  </si>
  <si>
    <t xml:space="preserve">El proyecto se enfocó a desarrollar un estudio de factibilidad para la implementación de una planta procesadora de jarabe de fructuosa de yacón en el eje metropolitano del departamento de Cochabamba, el cual pretende brindar a la población un producto con propiedades nutricionales favorables para la salud.
A través del estudio de mercado realizado en el eje metropolitano del departamento de Cochabamba; se determinó la demanda potencial efectiva para el jarabe de yacón, como también se identificaron las principales características que busca el cliente potencial sobre el producto y además se realizó un análisis de los precios y comercialización.
Posteriormente se procedió al análisis técnico relacionado a la materia prima, insumos, tamaño y localización para lo cual se utilizó el método cualitativo por puntos cuyo municipio, que favorece al proyecto es Sacaba. Se desarrolló la ingeniería del proyecto por medio de diagrama flujos y cursograma analítico se pudo describir el proceso productivo para la obtención de jarabe de yacón. El método de la ruta crítica y la técnica PERT determinó un tiempo de 25 semanas como el tiempo más probable para la culminación de actividades de la ejecución del proyecto.
Se realizó el estudio y evaluación financiera, el cual determino que el proyecto requiere una inversión de Bs 1.857.497, se prevé que el financiamiento del proyecto será estructurado con el 40 % de aporte propio y 60 % será financiado por el Banco de Desarrollo Productivo. Realizada la evaluación económica se tiene un VAN Bs 2.056.960; TIR 42,71 %, RBC 1,34 y periodo de recuperación de 4,71 años, según los criterios de evaluación se concluye que el proyecto es rentable. De acuerdo al análisis de sensibilidad la variable que tiene mayor impacto en el proyecto es la disminución en la producción con un VAN Bs 612.102, TIR 22,17 %, RBC 1,14.
Finalmente se realizó la evaluación del impacto ambiental, donde se concluyó que de los impactos negativos que el proyecto puede causar; el 88 % son moderados y el 12 % irrelevantes pudiendo ser mitigados y controlados a través de medidas de manejo. De acuerdo al reglamento ambiental del sector manufacturero, el proyecto pertenece a la categoría 4.
En base al estudio técnico y financiero realizado se recomienda la ejecución e implementación de la planta productora de jarabe de yacón en el municipio de Sacaba y realizar un estudio a nivel nacional para poder expandir el producto a otros departamentos.
</t>
  </si>
  <si>
    <t>https://drive.google.com/file/d/1arboq2h16hXunNOaezHFXqBpICrNbfTP/view?usp=sharing</t>
  </si>
  <si>
    <t>https://drive.google.com/file/d/1fOSYCIuhW8VD5ozzBlSHag3ao5EVOseF/view?usp=sharing</t>
  </si>
  <si>
    <t>https://drive.google.com/file/d/1iU_y8_5VEJicFKXP5YPtEU3c9KavfCud/view?usp=sharing</t>
  </si>
  <si>
    <t>CAYO MAMANI  ROMER</t>
  </si>
  <si>
    <t>OPTIMIZACIÓN DE LOS PROCESOS PRODUCTIVOS DE LA EMPRESA TEKNOLIFT S.R.L.</t>
  </si>
  <si>
    <t>romercayomamani@gmail.com</t>
  </si>
  <si>
    <t>IND-1114-2020</t>
  </si>
  <si>
    <t xml:space="preserve">Ascensores, Optimización, TEKNOLIFT    
                                                     S.R.L., Cabina de  Ascensores, Máquinas
                                        de Transporte Vertical
</t>
  </si>
  <si>
    <t xml:space="preserve">Se realizó el diagnóstico analizando los principales factores que componen el proceso de fabricación actual, se identificaron las causas que dan origen al problema principal, se analizó los aspectos internos y externos del proceso en el análisis FODA. Se analizó el método actual de fabricación y se estudió el diseño del producto para identificar posibles mejoras, se  registró y analizo cada material del que está fabricado el producto y, se  desarrolló una lista estándar de materiales, documentándose la secuencia del proceso de fabricación de la cabina de ascensor  con la ayuda de diagramas de ingeniería de métodos.
Se analizó la distribución de planta actual de empresa Teknolift s.r.l. y se  propuso dos posibles distribuciones “por proceso” haciendo uso del método SLP (planeación sistemática de distribución), se ha evaluado la distribución actual y dos propuestos mediante el método de factores ponderados y finalmente, se  seleccionó la alternativa más óptima y apropiada para la empresa. 
Se  realizó el estudio de los tiempos de fabricación dando como resultado que una cabina de ascensor es fabricada actualmente 12.74 días hábiles de trabajo.
Se  propuso la  optimización en el diseño de la cabina Elevatec mediante el análisis AMFE del diseño, se ha buscado simplificar el diseño del producto de modo que su fabricación se mas fácil, en menor tiempo, con la cantidad apropiada de materiales pero manteniendo la calidad y funcionalidad de cada parte del producto. Se elaboró los planos de fabricación para las mejoras propuestas en el diseño.
Con base al nuevo diseño del producto, se ha mejorado el proceso de fabricación haciendo uso del análisis operacional y el análisis AMFE del proceso.
Se documentó el proceso de fabricación mejorado en los diagramas de ingeniería de métodos, se ha identificado el tiempo estándar mejorado y la producción estándar mejorado y como resultado será posible fabricar una cabina Elevatec Platinium en 7.94 días hábiles de trabajo. Se incrementó la relación beneficio-costo del proceso de fabricación en un 50.49 % y, se ha mejorado la producción de 7.8 % cabina/día a 13 % cabina /día, lo que representa un incremento del 5.2% en la productividad actual.
Por último, se  realizó el análisis económico de costos; el costo total de producción actual de una cabina es de Bs 7709. Con las mejoras en el diseño y en los procesos de fabricación el nuevo costo de producción será de Bs 7576.5, se generó un ahorro de Bs 135.5 en los costos de producción de la cabina Elevatec Platinium. La inversión total para la implementación de las mejoras es de Bs 10330.66, siendo la inversión Bs 6850  en activos fijos y Bs 3053.79 en activos diferidos. Asimismo, se ha calculado el P.R.I. que ha dado como resultado: que la inversión se podrá recuperar en los 3 meses y 13 días de haber implementado las mejoras propuestas.
</t>
  </si>
  <si>
    <t>https://drive.google.com/file/d/1EjxIvwXF47M1M_gRdrB3eUk7oEO7QqKc/view?usp=sharing</t>
  </si>
  <si>
    <t>https://drive.google.com/file/d/126kDpt9KrK9NEwiudpDXcVd7dereTF8W/view?usp=sharing</t>
  </si>
  <si>
    <t>https://drive.google.com/file/d/1RA7MTd-J7foLLPJlh3aPt1bAmfhLW0vi/view?usp=sharing</t>
  </si>
  <si>
    <t>SOLA TIRADO MARISOL</t>
  </si>
  <si>
    <t>ING.  ALEX D´ANCHGELO CHOQUE FLORES</t>
  </si>
  <si>
    <t>ESTUDIO DE MÉTODOS Y TIEMPOS PARA EL INCREMENTO DE LA PRODUCCIÓN EN LA PLANTA DE EXTRUSIÓN DE PEAD Y PVC PARA LA FABRICACIÓN DE SOGAS Y MANGUERAS DE LA EMPRESA BLEICHNER INDUSTRIA Y COMERCIO S.A.</t>
  </si>
  <si>
    <t>Marisol_guenin86@hotmail.com</t>
  </si>
  <si>
    <t>IND-1115-2020</t>
  </si>
  <si>
    <t xml:space="preserve">Productividad, Extrusión, Procesos, tiempo ocioso, Diagrama de Flujo
, Polietileno De Alta Densidad, Producción, Extrusora.
</t>
  </si>
  <si>
    <t xml:space="preserve">El presente proyecto se realizó con la finalidad de incrementar la producción de la planta de Extrusión de la empresa BLEICHNER INDUSTRIA Y COMERCIO S.A, haciendo un mejor uso de sus recursos, por lo que se vio por conveniente la realización de un estudio de métodos y tiempos.
El desarrollo del proyecto comenzó con la realización de un diagnóstico de la situación actual, se recabo información acerca de la empresa, el producto, instalaciones, proceso productivo, producción actual.
El siguiente paso fue la realización del estudio de métodos mismo que fue realizado siguiendo la metodología descrita por la OIT. Este estudio permitió conocer a detalle el proceso productivo, el método de trabajo, los equipos, herramientas y maquinaria empleada. Permitiendo identificar oportunidades de mejora y posibles soluciones al problema central.
Posteriormente se llevó acabo el estudio de tiempos con el objetivo de conocer los tiempos respectivos para la realización de las diferentes tareas realizadas por los operarios.
Con los datos recabados se procedió a la determinación de tolerancias y suplementos de acuerdo a las distintas situaciones, se estableció el tiempo estándar para cada actividad.
Una vez conocida la situación actual a detalle el proceso productivo y conocido los resultados del estudio de tiempos, posteriormente se desarrolló el método propuesto.
Se desarrolló el método propuesto gracias a todos los datos recabados eliminando actividades que no agregan valor como los desplazamientos innecesarios, disminuyendo los tiempos muertos y con una reasignación de responsabilidades. Logrando el incremento de la producción.
Conocidos los beneficios que supone el método propuesto se realizó la evaluación económica del mismo realizándose un análisis beneficio costo para tomar una decisión sobre la viabilidad del proyecto.
Se recomendó la aplicación y seguimiento del método propuesto, los procedimientos sean aplicados y compartidos a los trabajadores como también se recomendó el control, supervisión dentro la planta para dar mayor efectividad del método propuesto velando por el crecimiento tanto de la empresa mejorando la producción y las utilidades como también velando el bien estar de los trabajadores.
Se recomendó la contratación de personal que coadyuve en la línea de producción dos extrusiones de PVC. De esta manera mejorar la capacidad empleada en la planta.
Se recomendó culminar con la metodología de las 5s´s y dar seguimiento y control de estas, velando siempre la comodidad y el bien estar de los trabajadores durante las jornadas laborales.
Se recomendó realizar el control respectivo de almacén de repuestos para dar solución a problemas durante la jornada laboral, dotar a los trabajadores de herramientas, ropa de trabajo y protección de las mismas durante las jornadas laborales.
</t>
  </si>
  <si>
    <t>https://drive.google.com/file/d/1-jwpWm_BfZo1ZwVWXgO02lsd1BrQBamn/view?usp=sharing</t>
  </si>
  <si>
    <t>https://drive.google.com/file/d/1UrT0SPm-9o0RaMxWf5XEq6XE-N_SWXQ1/view?usp=sharing</t>
  </si>
  <si>
    <t>https://drive.google.com/file/d/1lQ0dOZJn-Z1n6Ug020KLu4LZXWJJs8S9/view?usp=sharing</t>
  </si>
  <si>
    <t>ENCINAS MEDRANO  MAIKON</t>
  </si>
  <si>
    <t>MARIA FERNANDA PINTO ACHACOLLO</t>
  </si>
  <si>
    <t>M.SC. ING. EMIR VARGAS PEREDO</t>
  </si>
  <si>
    <t>ESTUDIO DE MERCADO PARA CONOCER LA DEMANDA DE FORMACIÓN POS-GRADUAL EN EL ÁREA DE LA SALUD PARA LA UNIDAD DE POSGRADO DE LA FACULTAD DE CS. FARMACÉUTICAS Y BIOQUÍMICAS DE LA UMSS</t>
  </si>
  <si>
    <t>encinas_maik@hotmail.com</t>
  </si>
  <si>
    <t>TRABAJO POR ADSCRIPCION</t>
  </si>
  <si>
    <t>IND-1116-2020</t>
  </si>
  <si>
    <t>Estudio de Mercado, Programas de posgrado, Medicina, Enfermería, Bioquímica y Farmacia, Estudiantes, Tamaño de Muestra, Demanda, Análisis de Resultados.</t>
  </si>
  <si>
    <t xml:space="preserve">La metodología de estudio que se utilizó en el presente trabajo es de tipo descriptivo; ya que se pretende describir situaciones y eventos, es decir, como es y cómo se manifiesta determinado fenómeno. Se busca especificar las propiedades importantes de las personas, grupos, comunidades, o cualquier otro fenómeno que sea sometido a otro análisis. Este tipo de estudio mide o evalúa diversos aspectos, dimensiones o componentes del fenómeno a investigar. Dentro de la metodología se plantearon 4 fases para la elaboración del proyecto. 
Fase 1: En esta fase se recolectará toda la información necesaria para el normal desarrollo del proyecto, así mismo se realizará un análisis del estado de la institución. 
Fase 2: En esta fase se realizará un estudio de mercado en el departamento de Cochabamba, el cual será ejecutado mediante encuestas. 
Fase 3: En esta fase se realizó la conversión de la información obtenida en las encuestas, se estructuró una base de datos; un software para hacer un Análisis e interpretación de la información obtenida. 
Fase 4: Al realizar el análisis de interpretación de datos se pudo identificar los programas de posgrado más demandados en el área de la salud, también se identificó la competencia de la institución a nivel Nacional.  
Se segmento la población en Estudiantes de último año de la Facultad de Cs. Farmacéuticas y Bioquímicas de la Universidad Mayor de San Simón y profesionales de Establecimientos de Salud públicos de las 5 regiones de Cochabamba.
Posteriormente se hizo uso de un muestreo probabilístico, del cual se seleccionaron el muestreo Aleatorio Simple para estudiantes de último año y el muestreo Estratificado Desproporcionado para profesionales de los establecimientos de salud públicos de las 5 regiones de Cochabamba. 
Se realizaron 97 encuestas a estudiantes de último año y 136 encuestas a profesionales distribuidos de manera desproporcional en las 5 regiones.
Se identificó los programas posgraduales más demandados tanto para estudiantes de último año como para profesionales del área de la salud como ser: Bioquímica y Farmacia demanda un Diplomado en Educación Superior. Medicina demandan una Especialidad en Salud Publica. Enfermería demandan un Diplomado en Educación Superior los estudiantes demandan una Especialidad en Hematología.
Mediante el análisis de las 5 fuerzas de Porter de idéntico al principal competidor de la Universidad Mayor de San Simón con referencia a programas de posgrado.
Desarrollar mayor control y seguimiento del área comercial a los cambios del mercado de cursos de formación pos-gradual.
Es necesario que la Universidad Mayor de San Simón mediante la Unidad de Posgrado de la Facultad de Ciencias Farmacéuticas y Bioquímicas analice la apertura de nuevos estudios de posgrado para el área de la salud como ser: Diplomado, Especialidad, Maestría y Doctorado.
Mejorar el marketing para la oferta de programas de posgrado.
</t>
  </si>
  <si>
    <t>https://drive.google.com/file/d/1vJyFEc9kqgFu5H7CJnj7Fn6wYzLrC9F0/view?usp=sharing</t>
  </si>
  <si>
    <t>https://drive.google.com/file/d/1HHw6sMOpULPkWI3STV_DKo3QnMoPLULs/view?usp=sharing</t>
  </si>
  <si>
    <t>https://drive.google.com/file/d/1N7oLUHlGNCXYb_0gxLqR8FReLhLLY-lz/view?usp=sharing</t>
  </si>
  <si>
    <t>AVILA HILARI  JUAN CARLOS</t>
  </si>
  <si>
    <t>CHRISTIAN DANIEL ROJAS ALTAMIRANO</t>
  </si>
  <si>
    <t>ING. RAMOS RICALDE LIMBERT</t>
  </si>
  <si>
    <t>ESTUDIO DE FACTIBILIDAD PARA LA IMPLEMENTACIÓN DE UNA PLANTA DE FABRICACIÓN DE TUBOS PET A PARTIR DE MATERIAL RECICLABLE EN LA CIUDAD DE COCHABAMBA PARA LA EMPRESA TERMOPLASTIC S.R.L</t>
  </si>
  <si>
    <t>junior-jcarlos@hotmail.com</t>
  </si>
  <si>
    <t>IND-1117-2020</t>
  </si>
  <si>
    <t>Termoplastic S.R.L., Factibilidad, Mercado, Indicadores de rentabilidad, Plan comercial, encuesta.</t>
  </si>
  <si>
    <t xml:space="preserve">TERMOPLASTIC S.R.L. se dedica a la producción y comercialización de granos plástico peletizado, la cual se va a implementar una nueva línea de producción de tubos pet con material reciclado en la ciudad de Cochabamba.
Para la elaboración del proyecto se plantearon los siguientes objetivos:
Objetivo general
Desarrollar el estudio de factibilidad para la implementación de una planta de fabricación de tubos PET a partir de material reciclable en la ciudad de Cochabamba. 
Objetivos específicos
 Realizar el estudio de mercado para determinar la demanda y la oferta del producto para la implementación de una planta de fabricación de tubos PET en la ciudad de Cochabamba.
 Realizar un estudio técnico para determinar el tamaño de la planta.
 Realizar un estudio para determinar la disponibilidad materia prima, insumos y servicios necesarios para la elaboración del producto. 
 Efectuar el estudio de ingeniería de proyecto, determinando tecnología, proceso de fabricación de tubos PET, así como los costos involucrados.
 Ejecutar un estudio financiero para ver la rentabilidad del proyecto.
 Realizar el estudio del impacto ambiental del proyecto.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Etapa 1: Estudio de mercado.
Los pasos que se siguieron para la obtención de información fue la siguiente:
 Determinar la demanda de productos análogos en el contexto local.
 Determinar la cantidad y frecuencia de compra de los clientes para valorar la demanda.
 Analizar las principales características que buscan los consumidores al adquirir los productos de plástico a base de material reciclable.
 Determinar el formato y marca de los tubos de plástico de mayor preferencia por parte de los consumidores.
 Establecer la asignación de precios del producto.
 Establecer el mercado potencial para los tubos de plástico. 
 Identificar los medios de comercialización más utilizados por los consumidores.
El estudio de mercado se realizó en el Departamento de Cochabamba, de la cual se determinó la demanda, oferta, mecanismo de distribución efectivos, características requeridas del producto, desarrollo de planes de publicidad en los medios masivos que permitan posicionar la marca a nivel nacional. La técnica utilizada en la recolección de datos fue mediante las encuestas dirigidas a consumidores y puntos de ventas.
Etapa 2: localización
En la etapa de localización se llevó a cabo lo que es el análisis de macro localización y el de micro localización en el cual se optó por usar el método de factores ponderados para determinar el lugar optimo del proyecto, teniendo en cuenta los factores más importantes y relevantes de manera que se evite entrar en grandes costos operacionales.
Se determinó una capacidad instalada de 2900 m2 y la ubicación optima de la planta “en el Municipio de Quillacollo” - El Paso.
Etapa 3: Estudio de ingeniería de proyecto
El análisis de materia prima e insumos, se ha logrado definir el abastecimiento provendrá principalmente del desperdicio de las fábricas y la recolección de centros de acopio. 
El estudio de ingeniería de proyecto, ha logrado establecer el proceso productivo, instalaciones, tecnología, maquinarias y equipos, recursos necesarios, otorgando un lay-out por producto lineal de producción continua de la nueva planta.
Etapa 4: Estudio organizacional
En la organización industrial, ha establecido la estructura organizacional de la nueva planta, las funciones principales y el costo de sueldos y salarios.
Etapa 5: Planificación del proyecto 
El plan de ejecución del proyecto, definió las actividades que serán desarrollados durante la ejecución del proyecto, para poder organizar estas actividades se utilizan técnicas de estructura de desglose se trabajó, diagrama de Gantt y ruta crítica (CPM), estos últimos muestran tiempos de ejecución de las actividades del proyecto.
Etapa 6: Evaluación financiera
Los indicadores financieros han demostrado que el proyecto es rentable financieramente, con VAN=4903729,24 Bs, TIR=37,61%, B/C=1,28. Además se determinó costos totales y análisis de sensibilidad del proyecto.
Etapa 7: Impacto Ambiental
La Evaluación del Impacto Ambiental 1333 y el RASIM se estableció que el proyecto es de categoría IV, por lo tanto, los impactos negativos tanto de la fase de ejecución y operación son de escala menor, no significativo.
</t>
  </si>
  <si>
    <t>https://drive.google.com/file/d/1k54_hyMUImfHIBRrcLDBGYbWVpOeGkpG/view?usp=sharing</t>
  </si>
  <si>
    <t>https://drive.google.com/file/d/1Saum42aJdSldXqRf4ksOF4hJBS32qLtb/view?usp=sharing</t>
  </si>
  <si>
    <t>https://drive.google.com/file/d/1QDHRASUXfYv5njykQIHHpfziAKMLaJxb/view?usp=sharing</t>
  </si>
  <si>
    <t>GARCÍA CHACÓN DENNIS MIJAÍL</t>
  </si>
  <si>
    <t>MENESES SILES  LUIS</t>
  </si>
  <si>
    <t>ING. ALBERTO JAVIER MOLINA ZAMBRANA</t>
  </si>
  <si>
    <t>PROYECTO DE FACTIBILIDAD PARA UNA PLANTA DE BIOETANOL A PARTIR DEL APROVECHAMIENTO DE CAÑA DE AZÚCAR EN EL DEPARTAMENTO DE COCHABAMBA</t>
  </si>
  <si>
    <t>Mijai531@gmail.com</t>
  </si>
  <si>
    <t>IND-1118-2020</t>
  </si>
  <si>
    <t>mitigar, destilación azeotropica,lignia, vinazas, extrusión.</t>
  </si>
  <si>
    <t xml:space="preserve">BioFuel S.A es una empresa dedicada a la producción de alcohol anhidro que es utilizado como aditivo para la mezcla con la gasolina y dar el superetanol 92 aprovechando de manera eficiente la producción de caña de azúcar y generando un cambio significativo al medio ambiente.
Para la elaboración del proyecto se plantearon los siguientes objetivos:
Objetivo general
• Realizar el estudio de factibilidad para la producción de bioetanol a partir de caña de azúcar y su aplicación como agregado orgánico que contribuya a disminuir la contaminación de CO2 al medio ambiente.
Objetivos específicos
• Realizar una investigación coordinada y coherente de conceptos para abordar el problema de manera apropiada
• Realizar un estudio de mercado que permita establecer la demanda del bioetanol.
• Determinar la disponibilidad de    materiales, insumos y servicios necesarios para la elaboración del producto.
• Determinar la localización de la planta de producción.
• Determinar el proceso para la producción de bioetanol.
• Seleccionar maquinarias y equipos y definir el tamaño de la empresa.
• Determinar la infraestructura de la empresa.
• Determinar la organización y aspectos legales de la empresa.
• Realizar la planificación de ejecución del proyecto.
• Realizar la evaluación de impacto ambiental.
• Realizar el análisis financiero.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1) estudio de mercado (establecer la demanda del producto) 
2) materia prima e insumos (disponibilidad de la materia prima e insumos) 
3) ubicación y emplazamiento (determinación de la localización)
4) ingeniería de proyectos (Determinación del proceso productivo. Determinación del tamaño de la planta. Descripción de los equipos necesarios para el proyecto) 
5) estudio organizacional (Determinación del Tipo de empresa Determinación de la estructura organizacional.) 
6) evaluación ambiental (minimizar el impacto ambiental) 
7) planificación y ejecución del proyecto (determinar las actividades necesarias para ejecutar el proyecto) 
8) evaluación financiera (Establecer si el proyecto es viable o no financieramente.)
Etapa 1: Estudio de mercado.
Los pasos que se siguieron para la obtención de información fue la siguiente:
•  Cuantificar y Conocer la demanda del producto (Cercado-Primera sección).
•  Determinar el tamaño de la muestra total y por segmento elegido.
•  Estimar la demanda del producto en todo Cochabamba.
•  Identificar el perfil del consumidor del producto.
•  Presentar el análisis de oferta y demanda del producto en el mercado.
•  Determinar los medios de publicidad para el producto de acuerdo con la ANH (agencia nacional de hidrocarburos).
Una vez realizado el estudio de mercado se puede dar las siguientes conclusiones:
El segmento de mercado objetivo al cual va dirigido a Yacimientos Petrolíferos Fiscales Bolivianos (YPFB) Gualberto Villarroel que es la que produce 39.700 barriles por día que se encuentran en el departamento de Cochabamba donde necesitaría un total de 4764 barriles de alcohol anhidro para la mezcla del súper etanol 92.
Se realizó la proyección del consumo de gasolina en el departamento de Cochabamba con el método de regresión lineal, en el estudio de mercado la demanda pronosticada es de 56880 lt/dia de alcohol anhidro, el proyecto pretende abarcar el 15% de la demanda de alcohol anhidro que necesitaría la refinería Gualberto Villarroel. El producto estará destinado a YPFB para su mezcla con la gasolina y posteriormente su comercialización.
Etapa 2: localización
 Objetivos generales 
Determinar la mejor localización donde se instalará la empresa tomando en cuenta la macro y micro localización considerando los factores determinantes que permiten determinar la mejor alternativa.
 Objetivos específicos
• Elaborar un análisis de la Macro localización. 
• Analizar los factores más importantes de la micro localización para la ubicación de proyecto.
• Evaluar las propuestas a través del sistema del método cualitativo por puntos. 
• Brindar la mejor alternativa para la ubicación de la empresa
En el presente proyecto se realizó la ubicación y el emplazamiento del proyecto concluyendo que después de realizar los análisis correspondientes para la localización del proyecto la ubicación más óptima es en región de trópico de villa Tunari debido a la ponderación más alta de los factores, accesibilidad a la materia prima y cercanía de mercado objetivo. El tamaño del terreno será de 10.000 m2 con un costo de 33.000$us. equivalente a 228.030 bolivianos. 
Etapa 3: Estudio de ingeniería de proyectos 
La capacidad de la planta se determinó por la cantidad disponible de caña de azúcar, la cual llega a 4512 Tm/año en promedio, la capacidad instalada de la empresa será de 1.857.484,8 L/año, para los primeros 6 años después se incrementará la capacidad a 3.500.000 L/año para los años posteriores. Se obtuvo el porcentaje de uso en función a la capacidad instalada durante la vida del proyecto.
El proceso de producción tiene las siguientes etapas: Pretratamiento de la caña de azúcar, dentro del cual se encuentran los procesos de clarificación y la fermentación terminada esta etapa se pasa a la destilación y finalmente con ayuda de los microtamices a la refinación del alcohol anhidro.
Una vez realizada la descripción del proceso productivo se detalló la maquinaria a utilizar con sus respectivos costos, dando una inversión de 7.800.713,92 Bs, luego se elaboró el layout de la empresa.
Etapa 4: Estudio organizacional y aspectos legales 
Se diseñó la estructura organizativa de forma eficiente para coordinar y optimizar el manejo de los recursos, con el propósito de maximizar el rendimiento técnico y económico de la planta.
Se determinó la cantidad de mano de obra requerida para el proyecto en base a la distribución en planta y las categorías propuestas para la organización siendo la cantidad óptima 21 trabajadores.
Se realizó la estimación de sueldo y salarios tomando en cuenta las disposiciones legales vigentes, en base al mismo se diseñó la planilla de personal para la estimación de costo de mano de obra para la vida útil del proyecto.
En la ejecución del proyecto se determinó una serie de actividades previas a la puesta en marcha, las cuales se realizaron con sumo cuidado para cumplir los objetivos del proyecto.
En lo referente a los aspectos legales, la planta de bioetanol a base de caña de azúcar se matriculará como una empresa “S.A.”. Se realizó una investigación para que la empresa sea legal con los requisitos que se necesitan y los pasos a seguir para la legalidad de la misma ante el gobierno nacional y comenzar con sus actividades industriales, comerciales, legales y financieras una vez que se completen y cumplan todos los trámites de registro y licencia.
Etapa 5: Planificación y ejecución del proyecto 
La ejecución del proyecto se lo realizará en un tiempo de 12 meses, el costo de ejecución del proyecto, es decir, los costos diferidos tienen un valor de 43990,50 Bs los cuales son necesarios para la puesta en marcha de la empresa.
Etapa 6: Evaluación financiera
Se determinó el costo total de inversión que requiere el proyecto a través del total de los activos fijos, activos diferidos, capital de trabajo y capital de importaciones dando una suma total de 13.085.640,93 Bs.
La entidad financiera encargada del financiamiento será el banco mercantil Santa Cruz otorgando la cantidad de 3.925.692,28Bs.  que corresponde al 30% de la inversión inicial del proyecto, con una tasa de interés del 11.5% anual a 10 años plazo.
Se determinó el costo total de operación, calculando el costo de producción, logística, administración, financiero y depreciaciones dando una suma total para el primer año de 8.852.459 Bs.
Para calcular el precio unitario de las bolsas biodegradables se hizo una comparación de los precios del mercado y los costos unitarios calculados (costos totales sobre la cantidad producida), para todas las presentaciones de los productos de planta.
Para determinar el VAN, TIR, B/C y PRI se realizó el flujo de fondo, dando como resultado el VAN igual a 12910976,92 Bs, TIR igual a 43,00%, B/C igual a 1,48 y un PRI igual a 5,47 años, qué significa que no sólo se recupera toda la inversión sino se gana 0.80 Bs extras por cada boliviano invertido.
Se efectúa el análisis de sensibilidad tomando como factores:
• El incremento en el precio de venta en un 2% no afecta la rentabilidad siendo así un proyecto rentable y con un corto tiempo de periodo de recuperación de 5,21.
• Considerando una disminución en el precio de venta en un 10% se observa que el proyecto no es rentable, dando todos los indicadores valores negativos y un RCB menor a 1.
Etapa 7: Impacto Ambiental
De acuerdo a la evaluación que se realizó a las distintas actividades de las fases del proyecto se pudo obtener la importancia del impacto que generan y su clasificación, los valores más altos fueron analizados para proponer medidas correctivas, las cuales minimicen o eviten estos impactos ambientales.
En la fase de construcción las acciones que generan más impacto son la preparación del terreno donde los factores ambientales impactados son la calidad del suelo y la vegetación presente, para compensar estas acciones se contará con áreas verdes dentro de la empresa y en caso de que la infraestructura quedará en abandono se restituirá el suelo reponiendo el suelo fértil que se extrajo en la excavación.
La construcción de la infraestructura provoca un impacto en la atmosfera debido al ruido que generan las máquinas y las distintas actividades que se realizarán para concluir con la obra, este impacto puede ocasionar algunas repercusiones en la salud de los obreros es por eso que se contará con equipos de protección personal en este caso de tipo auditivo, para reducir las molestias que pueden generan los ruidos a los vecinos las actividades cesarán antes de que anochezca para dar la tranquilidad que merecen.
El proceso de molienda genera desechos de bagazos hidratadas las cuales no pueden desecharse al medio ambiente ya que generan un impacto negativo a la calidad del agua y al suelo, es por eso que se optó por vender el bagazo a precios muy bajos a las pequeñas empresas dedicadas a la elaboración de alimento.
La clarificación de los residuos que genera esta actividad son cachazas que al ser desechados al entorno provocarían un perjuicio a la calidad del agua y el suelo, para evitar esto se venderá a las pequeñas empresas aprecios bajos para que lo utilicen como base para alguno de sus productos.
La clarificación y fermentación es una actividad que tiene un impacto en la salud de los trabajadores debido a los productos químicos peligrosos que se utilizan en el proceso como ser el metanol y el hidróxido de sodio para evitar estos daños se dotará equipos de protección personal que son necesarios para trabajar con estos materiales.
La refinación del bioetanol eso otra actividad que genera un impacto en la calidad del agua debido al agua del lavado del bioetanol, este impacto se reducirá haciendo una recuperación de la vinaza, la cual se puede vender como un subproducto, así habrá una menor presencia de este compuesto en el agua de desecho.
Se realizó un plan de aplicación y seguimiento ambiental para garantizar el empleo y control de las medidas de mitigación y prevención optadas, también se estimó el costo, el cual fue tomado en cuenta al calcular los indicadores financieros.
</t>
  </si>
  <si>
    <t>https://drive.google.com/file/d/1TpXtic4yXSbkL4SH1uLjCbw6tNTFmFz9/view?usp=sharing</t>
  </si>
  <si>
    <t>https://drive.google.com/file/d/1fFJi5F7jrZk4V17cTaJGrdZxCIaVrP8o/view?usp=sharing</t>
  </si>
  <si>
    <t>https://drive.google.com/file/d/18eJicg27uOWINFBmZJxekv83NixImQ1p/view?usp=sharing</t>
  </si>
  <si>
    <t>JUAN MAURICIO VIAMONT RICO</t>
  </si>
  <si>
    <t>MGR. ING. GONZALO GUZMÁN ORELLANA</t>
  </si>
  <si>
    <t>PROPUESTA DE MEJORA INTEGRADA</t>
  </si>
  <si>
    <t>mauricio_14_95@hotmail.com</t>
  </si>
  <si>
    <t>IND-1119-2020</t>
  </si>
  <si>
    <t>Sistema ERP, Metodología de Inmersión, enfoque                    basado en Procesos, TEOWIN, Análisis GAP, Mejora                               Integrada por Procesos, NAHI INDUSTRIAS S.R.L.</t>
  </si>
  <si>
    <t xml:space="preserve">La propuesta de mejora integrada que se realizó en la empresa surgió a raíz de la limitación que tenía el equipo encargado de implementar el sistema dentro de la empresa con los demás procesos, y la falta de conocimiento de metodologías de implementación. Para lo cual se estableció el objetivo de proponer una mejora integrada basada en el enfoque por procesos que permita a la empresa mejorar el proceso de implementación del sistema.
 El primer paso que se realizó dentro de la empresa fue el diagnóstico inicial de la misma y la determinación de los antecedentes del sistema desde el momento que fue adquirido. Una vez que se concluyó el sistema se determinaron las principales causas de la limitación en la implementación, las principales fueron una resistencia al cambio por parte de los procesos dentro de la empresa, una deficiente comunicación entre los mismos, la limitada participación del proceso de Dirección en la implementación, ausencia de un plan de implementación y una inexistente integración de los procesos hacia el objetivo de implementar el sistema. Con esta información obtenida se procedió al análisis de metodologías de implementación de las cuales se determinó la que mejor se adaptaba a la situación de la empresa siendo esta la metodología de Estrategias y de igual manera se determinó la relación existente de esta metodología con el enfoque por procesos una herramienta que fue vital a lo largo del proyecto.
 Habiendo definido la metodología se analizó la misma y los puntos que maneja, esta información se cruzó con la situación actual de la empresa permitiendo establecer un plan de mejora y la importancia que tenía el enfoque por procesos con esta, por lo cual se realizó este análisis.
 La información necesario se recopilo mediante la metodología de inmersión, en la cual se realizaron entrevistas con los respectivos encargados de los diferentes procesos y se hizo un seguimiento al proceso por un periodo de tiempo en el cual se verifico la información entregada por los encargados y recabaron diferentes perspectivas del mismos, con este proceso finalizado se contaba con la información suficiente para la elaboración del mapa de procesos, los diagramas de procesos, subprocesos y actividades y una vez que se elaboraron los mismos se pudo determinar las interrelación, flujos de información, clientes-proveedores y limitaciones de cada procesos.
 Posteriormente se elaboró un análisis del funcionamiento del sistema dentro de cada proceso en el cual se determinaron los módulos requeridos y se estableció como funcionarían con el sistema, permitiéndonos generar los mapas de procesos, subprocesos y actividades de cada proceso con el sistema generando las mejoras en actividades necesarias para que el sistema pueda funcionar de manera más optima dentro de la organización, con el funcionamiento de sistema analizado y los datos recopilados durante en análisis basado en el enfoque por procesos se pudieron determinar los GAP por proceso, un GAP es una brecha que existe entre la situación actual de una empresa y una situación deseada con el sistema a implementar, la detección de estas brechas es conocida como análisis GAP, mediante este análisis se determinaron los GAP organizacionales los cuales fueron resueltos mediante las mejoras en actividades por proceso y los GAP del sistema con el entorno, los cuales fueron vitales de detectar ya que permitieron generar un listado de estos que solo pueden ser solucionados por el proveedor del sistema o un experto parametrizador de sistemas ERP. Con los GAP detectados y resueltos y las mejoras en actividades de procedió con la propuesta del equipo encargado de implementar el sistema el cual englobaba todos los procesos de la empresa y la designación de responsables por procesos en función a los diagramas realizados a los cuales se les dio las respectivas recomendaciones para poder tener un desenvolvimiento adecuado dentro de cada proceso.
 Una vez que se definieron los responsables, se elaboró la planificación del seguimiento del sistema compuesto por tres partes: 1) Plan de mejora Organizacional 2) Plan de mantenimiento del sistema 3) Plan de difusión de información. Estos planes fueron diseñados para minimizar las limitaciones dentro de la empresa y asegurar el correcto proceso de implantación de la misma con un adecuado control mediante el encargado del sistema. Dicho encargado es responsable de asegurar el cumplimiento de los indicadores de cada línea estratégica y se recomendó como encargado al Arq. Williams Morón.
 Una vez concluida la propuesta de mejora integrada se determinaron los beneficios tangibles e intangibles del sistema, para los beneficios tangibles se determinaron las reducciones en costos de fabricación con las mejoras y el uso del sistema y las reducciones en distribución gracias a la trazabilidad de los productos, posteriormente se determinaron los incrementos en la productividad de la entrega de pedidos y el incremento en productividad con respecto a ventas que nos dieron los siguientes resultados:
 Reducción de costos de fabricación = 156.825,62 Bs 
 Reducción en costos de distribución = 65.985,71 Bs
 Incremento en productividad con respecto a pedidos = 18.2 %
 Incremento en productividad con respecto a venteas = 28.1 %
 Como beneficios Intangibles se determinó que la empresa  tendrá una mejor integración y transparencia de información entre los procesos, incremento de la trazabilidad de los productos a lo largo de la cadena de valor y un incremento en la satisfacción del cliente.
 Como conclusión del proyecto se pudo establecer la relación existente entre el enfoque por procesos y las metodologías de información, se elaboró el análisis por procesos con él se estableció el mapa de procesos, diagramas de sub procesos y actividades, interrelaciones, flujos de información y limitaciones de cada proceso posteriormente se elaboró el mapa de procesos propuesto y la mejora integrada con mejoras en actividades por procesos, designación de responsables por procesos, formación del equipo de trabajo y el diseño del plan de aseguramiento del sistema.
</t>
  </si>
  <si>
    <t>https://drive.google.com/file/d/1-2F_WrhmkVxlMS4IILmoxfCB3-hsSWVT/view?usp=sharing</t>
  </si>
  <si>
    <t>https://drive.google.com/file/d/1fFPY921l6EVeKpzyuKfZMgV4lMOnvSIC/view?usp=sharing</t>
  </si>
  <si>
    <t>https://drive.google.com/file/d/1jsJxAgcBBtHB5jxMFk2pGCmdOO5ELxAp/view?usp=sharing</t>
  </si>
  <si>
    <t>GALARZA ZURITA JACOB JORGE</t>
  </si>
  <si>
    <t>ESTUDIO DE INGENIERÍA DE MÉTODOS PARA MEJORARLA PRODUCTIVIDAD EN LA PRODUCCIÓN DE CALCITA DE LA EMPRESA CALMUS – TRAS COCHABAMBA</t>
  </si>
  <si>
    <t>j.jacobo125@gmail.com</t>
  </si>
  <si>
    <t>IND-1120-2020</t>
  </si>
  <si>
    <t>Estudio de Método, Estudio de Tiempos, Organigrama Cursograma sinóptico, Cursograma analítico</t>
  </si>
  <si>
    <t xml:space="preserve">En el desarrollo de la implementación de la Ingeniería de Métodos para la empresa Calmus –Tras Cochabamba, se ha realizado una descripción y diagnóstico de las diferentes áreas dentro de la empresa, enfocándose en el área de producción, describiendo el estado y el lugar donde se encuentran las diferentes maquinas equipos y herramientas, se ha realizado una descripción de los procesos productivos, y un diagnóstico, con la valorización y con el método de observación de las diferentes áreas y procesos que se registró en la producción de calcita. Con el diagnostico se logró obtener ya los factores críticos que afectan la productividad de la empresa.
Se ha realizado un Estudio de Método y Estudio de Tiempos para tener una metodología de los diferentes procesos y establecer una estandarización donde se obtenemos tiempos de procesamiento sin retrasos y sin equivocaciones para la producción de cada producto, se encontró cuáles son los problemas que hay dentro la producción en cuanto la parte automatizada y con el análisis operacional se ha enfocado en los procesos manual que existen dentro de la producción de calcita, donde se encontró tiempos innecesarios movimientos que no agregan valor en la producción de calcita.
Con la información y los datos registrados, y con la obtención de los factores críticos, los problemas existentes en las máquinas y en los procesos manuales, se realiza el método propuesto que como punto principal se tiene el implemento de una nueva tecnología, enfocándonos en un proceso manual que es el más importante dentro de la producción, donde se ha realizado la implementación de un sistema de alimentación por vibración que hace que la producción se vuelva automática y ya no depende de un trabajador, volviéndose en un proceso automatizado y un sistema continuo, mejorando una parte de la productividad de la empresa, otro de problemas que se ah mejorado son las cribas vibratorias que con la modificación de las mismas se obtiene productos en menor tiempo reduciendo el tiempo de espera que se tiene en el proceso de zarandeo, ya solucionado este problema se ve que la parte atomizada de la empresa se encuentra en buenas condiciones y la producción es continua de los diferentes productos de calcita y en los procesos manuales se ha quitado los tiempos innecesarios que existían, se fusiono los procesos que no agregan valor en la producción y los tiempos en exceso. 
Con la implementación del método propuesto se hace un cálculo de la productividad, donde se ha realizado la comparación de la productividad actual y propuesta, donde se ha mostrado el incremento de producción que existe con la nueva implementación, favoreciendo al dueño de la empresa, con el incremento en las utilidades de la empresa.
Finalmente se ha realizado la relación beneficio costo, donde se calcula si el proyecto es factible o no, con los datos obtenidos se ve que la empresa tiene grandes beneficios que favorecerán en el área de producción de calcita, que de igual forma tendrá un costo que va a tener mejorar en todas las áreas de la empresa.
Concluyendo que fue exitosa la implementación de las nuevas tecnologías dentro de la producción de la empresa Calmus – Trans Cochabamba, teniendo una adecuada organización y procesos estables dentro de las áreas de trabajo.
Recomendado que se realice los diferentes controles dentro de las áreas de producción para que se cumpla todos los cambios que se realizaron, y obtener una mejor productividad.
</t>
  </si>
  <si>
    <t>https://drive.google.com/file/d/1rJr2Iuj5NHglO57SzdIj1k09EwZdEEJO/view?usp=sharing</t>
  </si>
  <si>
    <t>https://drive.google.com/file/d/1EVZQ4VkSXvG_f3bM5AuokLSm5g6JMVzl/view?usp=sharing</t>
  </si>
  <si>
    <t>https://drive.google.com/file/d/1BuOJXhw53jvEGkMhIZRCgbiNHaBbjf28/view?usp=sharing</t>
  </si>
  <si>
    <t>MENDIETA TORRICO  IVAN</t>
  </si>
  <si>
    <t>DISEÑO DE UN SISTEMA DE GESTIÓN AMBIENTAL DE ACUERDO A LA NORMA ISO 14001:2015 PARA LA EMPRESA COBOCE HORMIGÓN EN EL DEPARTAMENTO DE COCHABAMBA, PROVINCIA CERCADO</t>
  </si>
  <si>
    <t>ivanmt95@hotmail.com</t>
  </si>
  <si>
    <t>IND-1121-2020</t>
  </si>
  <si>
    <t>Sistema de gestión ambiental, ISO 14001:2015</t>
  </si>
  <si>
    <t xml:space="preserve">Los sistemas de gestión ambiental nos ayudan a comprender y proteger el medio ambiente controlando los procesos que tiene la organización y sus acciones que interactúan con el medio ambiente, además de aumentar la conciencia de las personas en temas de cuidado del medio ambiente.
La primera acción que se realizó en la organización fue la revisión ambiental inicial ya que la misma tenia acciones que realizaba para poder cumplir con los requisitos legales más importantes que tiene Bolivia.
Para lo cual se analizó la estructura de la organización, sus procesos, los productos que fabrica, la cantidad de personas que trabajan en ella, para posteriormente analizar qué requisitos de la norma se están cumpliendo ya que la organización cuenta con un sistema de gestión de calidad en base a la norma ISO 9001:2015 ya certificada por lo que ya se tenía algunos puntos de la norma parcialmente cumplidas.
Otro punto que se desarrollo fue la determinación de la matriz de aspectos e impactos ambientales que se va a utilizar en el desarrollo de los mismos para su posterior análisis y la toma de acciones que se va a efectuar para reducir o eliminar 
Después de realizar la revisión ambiental inicial se desarrolló el diseño del sistema de gestión ambiental en base al ciclo PHVA empezando con la primera etapa que es PLANIFICAR donde se analiza los capítulos 4, 5, 6, 7 de la norma donde como su nombre indica se analiza donde está ubicada la organización, se planifica las acciones necesarias para aprovechar o disminuir las cuestiones internas o externas positivas o negativas, acciones necesarias para poder cumplir con las necesidades y expectativas de las partes interesadas pertinentes, análisis de los procesos de la organización, determinación del alcance del sistema, determinación de la política ambiental y sus objetivos como también la planificación de acciones para poder cumplir los objetivos, el análisis de los aspectos e impactos ambientales como también la planificación de sus respectivas acciones para minimizar o eliminar estas mismas, determinar los procedimientos e instructivos que se van a utilizar.
Pasando con la siguiente etapa que es HACER en el cual se tiene el capítulo 8 de la norma en la cual se realizan las acciones que se planificaron y se demuestran con registros del cumplimiento de estas acciones, también se tiene en cuenta la planificación y repuesta ante emergencias con sus respectivos simulacros
La siguiente etapa es VERIFICAR donde se establecen los parámetros necesarios para que la alta dirección pueda revisar el correcto funcionamiento del sistema de gestión ambiental, además de definir una auditoria anual donde todos deben participar para verificar el estado del sistema
En la última etapa que es la de ACTUAR, una vez que se haya revisado el sistema y se haya encontrado no conformidades, acciones deficientes o malas prácticas se debe hacer una corrección y también una acción correctiva las cuales nos ayudan a no volver a cometer los mismos errores y también aporta a la mejora continua del sistema de gestión ambiental
Después del diseño del sistema, se tiene el análisis financiero en el cual se utiliza la herramienta de análisis beneficio/costo y se determinó todos los costos que se pueda utilizar en el sistema de gestión ambiental, como también todos los beneficios económicos que conlleva la implementación de sistema y se hizo la comparación así demostrando que la implementación del sistema de gestión ambiental llega a ser muy beneficioso para la organización.
La implementación del sistema de gestión ambiental no solo trae beneficios económicos si no también conlleva beneficios para el cuidado del medio ambiente así aportando en unos de los pilares del desarrollo sostenible del país que es medio ambiente.
</t>
  </si>
  <si>
    <t>https://drive.google.com/file/d/1KzzvCGQD_DpumFM2_cufjKsmzlDKSZEp/view?usp=sharing</t>
  </si>
  <si>
    <t>https://drive.google.com/file/d/1pESWr4G5SuHgaord0uCFVBzJ5sgs4px3/view?usp=sharing</t>
  </si>
  <si>
    <t>https://drive.google.com/file/d/1XkLQlQ8dFbrbTqgV0esfa6MN4XyBnX1j/view?usp=sharing</t>
  </si>
  <si>
    <t>PEREDO MAMANI JAZMÍN DAYNIRA</t>
  </si>
  <si>
    <t>MSC. ING. ESTHELA LÓPEZ CORO</t>
  </si>
  <si>
    <t xml:space="preserve">DISEÑO DE UN SISTEMA DE GESTIÓN DE SEGURIDAD Y SALUD EN EL TRABAJO SEGÚN LA NORMA ISO 45001:2018 PARA LA EMPRESA         
 “INCERCO LTDA.”
</t>
  </si>
  <si>
    <t>dayperedo.s@gmail.com</t>
  </si>
  <si>
    <t>IND-1122-2020</t>
  </si>
  <si>
    <t>Sistema, gestión, seguridad, salud ISO 45001:2018, INCERCO LTDA., IPER</t>
  </si>
  <si>
    <t xml:space="preserve">El presente proyecto tiene como objeto el diseño de un Sistema de Gestión de Seguridad y Salud en el Trabajo basado en la norma NB/ISO 45001:2018, para la empresa “INCERCO LTDA.”, teniendo en cuenta la legislación boliviana 16998 que permita establecer una organización basada con la mejora continua (PVHA), cumpliendo con los requisitos de la norma, llegando a auditorías internas y externas para llegar a obtener la certificación de seguridad, realizando la identificación de peligros y evaluación de riesgos para determinar los controles y realizar los seguimientos correspondientes.
El SG-SST busco cumplir los requisitos  de la norma para establecer, implementar y mantener dicho SG, por lo cual se cubren puntos como contexto de la organización, liderazgo y participación de los trabajadores, planificación y dentro de esta se estableció la identificación y valoración de riesgos, determinando los controles para eliminar y reducir los riesgos, así mismo se proponen los otros elementos del Sistema de Gestión SST, tales como apoyo, operación, seguimiento, medición y la mejora continua.
Y para ello ha sido necesario realizar varias etapas que son mostradas a continuación:                       Primeramente, se realizó un diagnóstico de la situación actual. Usando una lista (Check List) elaborado en base a los requerimientos de la Norma ISO 45001:2018, se realizó el diagnóstico inicial a la empresa, el cual fue una herramienta útil para obtener información clara y precisa que sirvió de base para el diseño del Sistema de Gestión de Seguridad, es decir, permitió conocer la situación actual de la empresa en cuanto al cumplimiento de los requisitos de la Norma ISO 45001:2018. Como resultado de este diagnóstico, se identificaron las fortalezas, debilidades y oportunidades de mejora de la empresa.
En la etapa de planificación y diseño del Sistema de Gestión de Seguridad, se inicia con la identificación de partes interesadas internas y externas. Se realiza la política de seguridad con los puntos exigidos en la Norma ISO 45001:2018, que coadyuven a lograr los objetivos requeridos por la organización. 
Posteriormente se realiza la conceptualización del sistema, estableciendo los procesos que formaran parte del sistema y la forma en que se dará cumplimiento a los diferentes puntos de la norma ISO 45001:2018
• Construcción del mapa de procesos
• Identificación de partes interesadas
• Determinación de las necesidades y expectativas 
• Elaboración de documentos 
• Elaboración de la política y de los objetivos de seguridad
• Elaboración del plan de emergencias cumpliendo los requisitos de la NB/ISO 517002.
Se elaboró un cronograma de implementación del Sistema de Gestión de Seguridad y Salud en el Trabajo, donde se determinan las actividades y el tiempo programado para dicha implementación. Y por último se presenta la determinación de los costos para la implementación del SG-SST. 
Así mismo se hizo un breve cálculo del beneficio- costo del proyecto para determinar la viabilidad. 
</t>
  </si>
  <si>
    <t>https://drive.google.com/file/d/1lU2usHyzvYFQjIDhmmklZ1jRHZWxtVAY/view?usp=sharing</t>
  </si>
  <si>
    <t>https://drive.google.com/file/d/1BfJC5XVA8FGQMzus8lxXF9xb5YBD1Y0w/view?usp=sharing</t>
  </si>
  <si>
    <t>https://drive.google.com/file/d/1Gkb78in1LjslWKHLACenDsWFiEF8347r/view?usp=sharing</t>
  </si>
  <si>
    <t>AGUILAR FLORES  DANIELA ALEJANDRA</t>
  </si>
  <si>
    <t>MELINA TATIANA GÓNGORA AYALA</t>
  </si>
  <si>
    <t>ANÁLISIS PROSPECTIVO Y DEFINICIÓN DE ESTRATEGIAS PARA EL DESARROLLO DE LA INDUSTRIA MANUFACTURERA DE COCHABAMBA 2021-2025</t>
  </si>
  <si>
    <t>daniela_agui_95@hotmail.com</t>
  </si>
  <si>
    <t>IND-1123-2020</t>
  </si>
  <si>
    <t>Análisis prospectivo, Industria Manufacturera, Método de Escenarios, Diagnostico, Análisis estructural, MIC MAC, MACTOR, MORPHOL, CAME.)</t>
  </si>
  <si>
    <t xml:space="preserve">Esta investigación estudia cual es la situación actual de la Industria Manufacturera en el departamento de Cochabamba, considerando todos sus rubros ya que no existe un estudio que contemple a todos ellos en la carrera de Ingeniería Industrial, También identifica cuáles son los factores que influyen positiva o negativamente dentro del sector, y cuáles deberían ser los planes estratégicos a futuro para poder mejorar su desarrollo. Para esto decide usar el análisis prospectivo.
La prospectiva constituye el estudio del futuro con criterios científicos con el fin de anticipar situaciones y planificar acciones. Al anticipar, provee información acerca de alternativas, riesgos y posibilidades, por ende, puede ser considerada un instrumento para reducir incertidumbre, constituyendo un apoyo en las decisiones que requiere esta nueva realidad.  Sin embargo, como es una herramienta, es necesario establecer las dimensiones de la realidad en la que se aplicará.  
A lo largo de los últimos años, la Industria Manufacturera presentó una limitada competitividad, ocasionando una reducción de participación en mercados locales y nacionales, todo ello llega a ser consecuencia de distintos factores, entre los cuales se encuentran el contrabando, importación de productos extranjeros, que desplazan a la producción nacional por sus bajos precios. En la elaboración del análisis prospectivo, Se eligió el método de los escenarios. Se inicia con el relevamiento de datos para el diagnóstico donde se obtuvo la información de las empresas pertenecientes al sector, datos que se sistematizaron en el software SPSs, posteriormente se identificó las variables críticas y los actores de la misma, usando los softwares MICMAC Y MACTOR que pone a disposición los Laboratorios LIPSOR de la Escuela Francesa de Prospectiva.
A continuación, se realizó la descripción de las relaciones entre actores y objetivos del sector, describiendo el pasado funciones y futuro de cada actor, y detallando los objetivos, todo en función a los datos anteriormente encontrados. Luego se dividió el sistema estudiado en subsistemas planteando hipótesis en función a las variables críticas, esto para encontrar los escenarios posibles del futuro. En el siguiente paso los escenarios posibles se introdujeron en el software MORPHOL, para obtener el resultado del escenario más probable. Este análisis finalizo planteando el objetivo general, los objetivos particulares, los recursos y los planes de acción los cuales se plasmaron en el árbol de pertinencias, dichos planes de acción son posteriormente recomendados en un cuadro de actuación de priorización para cada rubro.
</t>
  </si>
  <si>
    <t>https://drive.google.com/file/d/1r3TQbCrq2hjVfC8P7JNT0pSR9oJa5pV0/view?usp=sharing</t>
  </si>
  <si>
    <t>https://drive.google.com/file/d/1DS9Da3WTBWmrFMSygsi2TspzftZnp2Pf/view?usp=sharing</t>
  </si>
  <si>
    <t>https://drive.google.com/file/d/1KbaHA2diF5zg2iA_c-WIZxxocc8P4Qyx/view?usp=sharing</t>
  </si>
  <si>
    <t>GARCIA VEIZAGA SADAN</t>
  </si>
  <si>
    <t>ING. RONALD CANTARRAN VILLAROEL</t>
  </si>
  <si>
    <t>PLAN DE SEGURIDAD INDUSTRIAL Y SALUD OCUPACIONAL PARA LA INDUSTRIA FACER S.R.L. EN EL MARCO DEL DECRETO LEY 16998</t>
  </si>
  <si>
    <t>sadangv.1095@gmail.com</t>
  </si>
  <si>
    <t>IND-1124-2020</t>
  </si>
  <si>
    <t>Seguridad y Salud en el trabajo, Evaluación de Riesgos, Programa      de Seguridad y Salud en el trabajo, Matadero, Bovino y Vacuno,      Sacaba</t>
  </si>
  <si>
    <t xml:space="preserve">La dirección del actual matadero del Gobierno Autónomo Municipal de Sacaba y el mismo municipio de Sacaba vieron conveniente la realización de un nuevo matadero municipal para el mismo municipio. 
Para la implementación del nuevo matadero municipal se requiere la presentación y aprobación de un PSST, motivo por el cual la dirección del matadero municipal vio viable la realización de un estudio del PSST; por otro lado debido a las condiciones inseguras de trabajo y el riesgo permanente de accidentes e incidentes laborales a las cuales se encuentra expuesto el personal del matadero, se vio la importancia de la realización de un Programa de Seguridad y Salud en el Trabajo, el cual se lo realizo cumpliendo con los requisitos mínimos que establece la normativa vigente para la presentación y aprobación de un PSST.
Inicialmente se recolectó todos los datos disponibles del actual matadero, con los cuales se realizó el diagnóstico de la situación actual en materia de seguridad y salud en el trabajo, como ser: organización de seguridad y salud, descripción del proceso productivo, estado de las instalaciones y personal involucrado en las tareas; para la realización de esta actividad se hicieron entrevistas al personal involucrado y al encargado del actual y del nuevo matadero municipal de Sacaba, además de realizar una inspección a las instalaciones del nuevo matadero.
Se identifico todos los peligros y riesgos asociados a los cuales se encontrará expuesto el personal del nuevo matadero municipal, esto se realizó haciendo uso de una matriz de identificación de peligros y evaluación de riesgos, mediante la cual se concluyó con los controles respectivos a realizar en función al nivel del riesgo del puesto de trabajo.
Con toda la información que se obtuvo del diagnóstico del establecimiento y la identificación de peligros y evaluación de riesgos, se elaboró el diseño del Programa de Seguridad y Salud en el trabajo según establece la Norma Técnica de Seguridad 009/18; en el cual se tomó en cuenta las actividades de alto riesgo, las políticas y objetivos de seguridad y salud del matadero, los monitoreos de higiene para estudios generales y estudios específicos, las condiciones actuales del nuevo matadero municipal según normativa vigente de seguridad y salud en el trabajo en materia de orden y limpieza, infraestructura, servicios higiénicos, señalética, ergonomía, gestión de residuos sólidos, entre otros; los procedimientos de investigación de accidentes e incidentes de trabajo, la respectiva dotación de ropa de trabajo, la capacitaciones que se tienen y deben de realizar, las inspecciones, el plan de emergencias que debe de contener un manual de primeros de auxilios, uso de botiquín de primeros auxilios, rutas de evacuación y salidas de emergencia; correspondientes al establecimiento para el cual se realizaron las propuestas, procedimientos y acciones a tomar para el cumplimiento del PSST.
Como conclusión del proyecto de grado se tiene un documento que cumple con los requisitos mínimos para la elaboración y presentación de un PSST, para el nuevo matadero municipal de Sacaba.
Finalmente, se realizó un análisis de costos, donde se determinó la inversión necesaria para la implementación del Programa de Seguridad y Salud en el Trabajo, cumpliendo con toda la normativa legal vigente.
</t>
  </si>
  <si>
    <t>https://drive.google.com/file/d/10i2_TfvWt5joJVkBFc_z1H8EPzBdGTNk/view?usp=sharing</t>
  </si>
  <si>
    <t>https://drive.google.com/file/d/1b0SAu1k2akVZNt1Uu8h1E74zoLaQ9UU4/view?usp=sharing</t>
  </si>
  <si>
    <t>https://drive.google.com/file/d/1LO_gAp7FtcdT44ea0xoUiumI7up4uOQU/view?usp=sharing</t>
  </si>
  <si>
    <t>GARCÍA CÉSPEDES KATHERINE</t>
  </si>
  <si>
    <t>ING. LEONARDO GARCÍA DAZA</t>
  </si>
  <si>
    <t>DISEÑO DE UN PROGRAMA DE SEGURIDAD INDUSTRIAL E HIGIÉNE OCUPACIONAL EN EL NUEVO MATADERO DEL GOBIERNO AUTÓNOMO MUNICIPAL DE SACABA”.</t>
  </si>
  <si>
    <t>masyso93@gmail.com</t>
  </si>
  <si>
    <t>IND-1125-2020</t>
  </si>
  <si>
    <t>Plan De Seguridad Industrial Y Salud Ocupacional, Decreto Ley 16998, IPER, NTS 09/18</t>
  </si>
  <si>
    <t xml:space="preserve">Para la elaboración Plan de Seguridad Industrial y Salud Ocupacional para la industria FACER S.R.L. se tomó como referente el Decreto Ley 16998, como también, las NTS 09/18 y la normativa vigente en Bolivia, referente a seguridad, salud e higiene ocupacional.
En base a esta normativa, se desarrolló un estudio de Identificación de Peligros y Evaluación de Riesgos “IPER”, dado que, la legislación boliviana no cuenta con un sistema reconocido como oficial para este estudio, se optó por, el método de Identificación de Peligros y Evaluación de Riesgos del Instituto Nacional de Seguridad y Salud en el Trabajo de España (INSST).
Bajo esta metodología, se logró identificar que los principales riesgos, no se encuentran ubicados por áreas de trabajo, sino por la maquinaria empleada.
Así mismo, una vez identificados los peligros y evaluando los riesgos, se pudo proceder a la elaboración de los planes de contingencias y los respectivos manuales y protocolos para la prevención y mitigación de todos los riesgos identificados a lo largo del estudio realizado para todas las áreas de FACER S.R.L.
Se pudo identificar que las principales fuentes para los accidentes en todas las actividades realizadas a lo largo de la empresa, tienen en su mayoría origen humano, más específicamente, se llegó a la conclusión que la omisión de protocolos de seguridad, como ignorar las buenas practicas para los trabajos seguros, así como, no contar con zonas de trabajo limpias y libres de riesgo, son el detonante para los posibles accidentes futuros en la empresa.
Teniendo identificados los peligros y evaluados los riesgos, se pudo dar una propuesta adecuada de prevención, mitigación a cada posible escenario de riesgo identificado. 
Con estas propuestas, se estimaron los costos de implementación para cada programa descrito dentro los protocolos y planes de contingencia y mitigación, siendo el principal fin el evitar los accidentes laborales y las enfermedades profesionales, siempre buscando aumentar y mantener el desempeño de los trabajadores, con inversiones para su adecuada capacitación laboral.
También con esta propuesta, se buscó evitar los gastos por sanciones, multas, indemnizaciones o gastos médicos imprevistos, a causa de las infracciones a la normativa vigente en Bolivia, como ser las no conformidades en los puntos establecidos por la NTS 09/18.
Se pudo evidenciar que, una oportuna inversión en los Programas de Seguridad y Salud en el Trabajo, como en las respectivas capacitaciones al personal y los simulacros de eventos establecidos por ley, reducen el riesgo de sanciones administrativas, económicas y legales para la empresa.
A sí mismo, se recomendó realizar un ajuste al presupuesto asignado anteriormente al área de seguridad de la empresa, con el fin de dar cumplimiento a cabalidad a los compromisos adquiridos, ya que todos ellos tienen carácter de declaración jurada. 
También se recomendó que la empresa realice la implementación de los programas elaborados, la capacitación del personal, los simulacros de eventos y la presentación de la documentación a las autoridades correspondientes con el respaldo de personal certificado por las instancias revisoras.
</t>
  </si>
  <si>
    <t>https://drive.google.com/file/d/1q_GgavuoBOFBa8E75ksGVGci1BVb_5Qo/view?usp=sharing</t>
  </si>
  <si>
    <t>https://drive.google.com/file/d/1Kn_XSMHZ1owTL8YKpisHIw-mOonl9GE6/view?usp=sharing</t>
  </si>
  <si>
    <t>https://drive.google.com/file/d/1AmyHSD8Rf5D_RguQSFSoyv2HNNjP7IoZ/view?usp=sharing</t>
  </si>
  <si>
    <t>GERSON YAULI VEGA</t>
  </si>
  <si>
    <t>ING. DAVID NUÑEZ LARRAIN</t>
  </si>
  <si>
    <t>OPTIMIZACIÓN DE LA PRODUCCIÓN MEDIANTE LA INGENIERÍA DE MÉTODOS PARA LA LÍNEA DE PLÁSTICOS EN INDUSTRIAS LUJAN S.R.L.</t>
  </si>
  <si>
    <t>gersonyv@gmail.com</t>
  </si>
  <si>
    <t>IND-1126-2020</t>
  </si>
  <si>
    <t>Optimización, Calibración, Estudio de Tiempos, Tiempo Normal, Tiempo Estándar, factor de nivelación y Hojas técnicas.</t>
  </si>
  <si>
    <t>En Industrias Lujan S.R.L. se ha visto por conveniente realizar un estudio de ingeniería de métodos debido a la existencia de una baja productividad en la elaboración de envases y accesorios plásticos lo que conlleva a un rendimiento deficiente. Primeramente, se realizó un diagnóstico de la situación actual del proceso productivo de la empresa, los materiales, los insumos y la maquinaria. Todo con el fin de establecer un nuevo método mejorado. Se seleccionó el proceso a estudiar, se registró los datos importantes del proceso, se examinó el método actual y se evaluó los resultados obtenidos. Posteriormente se procedió al estudio de tiempos, con el registro de tiempos y ritmos de trabajo, se observó las habilidades de cada operador, se priorizo no intervenir en el proceso productivo con preguntas o indicaciones para tener los datos más reales. Se elaboró los diagramas de operaciones del proceso y analíticos para identificar el inicio de la problemática, dando como resultado tiempos y movimientos de cada etapa. Se calculó y analizó los datos obtenidos anteriormente, encontrando así los tiempos requeridos para este análisis (tiempo cronometrado, tiempo normal y tiempo estándar). Mediante este análisis se identificó la raíz de la problemática en la programación de las máquinas. se determinó el diseño de las hojas de estudio para compilar la información obtenida. Con esta información se pudo proceder al inicio de la optimización de la producción analizando el calibrado de las máquinas de los productos requeridos a estudio. Se estableció el tiempo estándar requerido para la elaboración de un producto hasta completar su pedido, la producción estándar del operador en su turno de trabajo, la productividad según el tiempo de producción, la eficiencia de la producción. Se elaboró las Hojas Técnicas para rememorar la nueva producción optima de cada producto requerido por la empresa. Se analizó y calculó los costos que implica el proyecto y los ingresos que se generan del estudio, para obtener el indicador Beneficio-Costo, concluyendo con la factibilidad del Estudio.</t>
  </si>
  <si>
    <t>https://drive.google.com/file/d/1Uqemlyd669FpYbMw97TpGq9gDWSho9bf/view?usp=sharing</t>
  </si>
  <si>
    <t>https://drive.google.com/file/d/1ED0-itDrGzbCs7wHMDam5PKv2RBA-K3E/view?usp=sharing</t>
  </si>
  <si>
    <t>https://drive.google.com/file/d/1VwxoCa1F0UK_B_LkRqV-UGuz0sGy-_RF/view?usp=sharing</t>
  </si>
  <si>
    <t>MÉNDEZ AYALA JAIRO</t>
  </si>
  <si>
    <t>SIVILA RAMÍREZ DIEGO FERNANDO</t>
  </si>
  <si>
    <t>ING. LIMBER RAMOS RICALDE</t>
  </si>
  <si>
    <t>ESTUDIO DE FACTIBILIDAD TÉCNICA Y FINANCIERA PARA LA IMPLEMENTACIÓN DE UNA LÍNEA PRODUCTIVA DE MERMELADA DE FRUTAS A PARTIR DE RESIDUOS EN LACTEOSBOL VALLE SACTA-COCHABAMBA</t>
  </si>
  <si>
    <t>jairomendezayala2424@gmail.com</t>
  </si>
  <si>
    <t>IND-1127-2020</t>
  </si>
  <si>
    <t>Factibilidad, Mermelada, Naranja, Mandarina, Piña.</t>
  </si>
  <si>
    <t xml:space="preserve">La finalidad de este trabajo de grado es la elaboración de mermelada de naranja, mandarina y piña para la implementación de una nueva línea de producción en la planta procesadora de frutas LACTEOSBOL Valle Sacta. El objetivo principal del mismo es demostrar técnica, económica, financiera y ambientalmente la implementación de la nueva línea, establecer el alcance del proyecto, así como determinar los procesos tecnológicos a utilizarse para la extracción de estos productos.
El trabajo abordo inicialmente la realización de un análisis de mercado, destinada a identificar demanda potencial, mercado objetivo y sus características, competencia y la definición de una estrategia de comercialización para el producto entre otros componentes.
Se realizaron pruebas al proceso productivo de la mermelada, con las que se establecieron los porcentajes correspondientes de rendimiento, densidad.
Posteriormente se procedió a realizar el análisis técnico, dentro del cual se construyeron todos los aspectos relevantes al procesamiento del producto y sus características a nivel industrial, materia prima, proceso de producción, los recursos necesarios para su extracción como ser maquinaria y mano de obra, aspectos de la línea productiva como ser la distribución de la maquinas e instalación, planes de producción y compras.
Se establecieron las estructuras administrativas y legales necesarias para la creación de la empresa, incluyendo elementos de planeación estratégica, permisos, trámites y licencias exigidos por el Estado Plurinacional de Bolivia para la producción y comercialización de este tipo de productos y el impacto social y ambiental que podría generar la futura línea puesta en marcha.
Finalmente se estableció la viabilidad de la instalación de una nueva línea de producción en LACTEOSBOL Valle Sacta, la cual fue determinada mediante la construcción de una estructura financiera elaborando presupuestos, estados financieros, precisando posibles fuentes de financiación, ingresos y otras herramientas que evidenciaran si existía o no generación de valor para la empresa con
</t>
  </si>
  <si>
    <t>https://drive.google.com/file/d/1R-AUxLKhhyzJG3bH2204jHKtjMKGjpGx/view?usp=sharing</t>
  </si>
  <si>
    <t>https://drive.google.com/file/d/1GBARL7KeZsgA5mUPQbMPJDo6HAhiukOV/view?usp=sharing</t>
  </si>
  <si>
    <t>https://drive.google.com/file/d/1hRiy5hCWZ7DkafE-vy2epv2_DiQY45gk/view?usp=sharing</t>
  </si>
  <si>
    <t>COVARRUBIAS CASTELLON MAYENCA FEDRA</t>
  </si>
  <si>
    <t>ING. RUDY CATORCENO</t>
  </si>
  <si>
    <t>PROYECTO DE FACTIBILIDAD PARA LA IMPLEMENTACIÓN DE UNA PLANTA PROCESADORA DE HARINA DE TEMBE DIRIGIDO AL MERCADO DE COCHABAMBA</t>
  </si>
  <si>
    <t>mayencafedra@hotmail.com</t>
  </si>
  <si>
    <t>IND-1128-2020</t>
  </si>
  <si>
    <t>Planta Productora, Estado de Resultados, Demanda, Oferta, Balance de Masa, Nutrición.</t>
  </si>
  <si>
    <t xml:space="preserve">El sistema que se desarrolló, toma como ejemplo plantas de producción harina de tembe, con base a aquello se desarrolló un estudio de factibilidad económica, financiera y comercial para la implementación e instalación de una planta productora de harina de tembe en Cochabamba con alto contenido en proteínas y vitaminas, que puede contribuir con la alimentación sana de la población.
Para el desarrollo del presente proyecto se realizó un estudio descriptivo y propositivo que permitirá tener un conocimiento más preciso para plantear y dar solución al problema central.
Para la investigación y la planificación del desarrollo del estudio, se acudió a la construcción de una matriz de diseño que en su contenido reflejaba cómo se debe encarar la tareas y actividades, que corresponden a los objetivos específicos.
El mercado objetivo del proyecto fueron los hogares de la ciudad de Cochabamba provincia cercado, municipio de Sacaba y Quillacollo
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el departamento de Cochabamba de harina es de 66,82 %. Así mismo el nivel de aceptación del producto del proyecto como ser la harina de tembe es de 75,70%.
Para la elaboración de los productos se hizo énfasis en el sabor, valor nutritivo. Se determinó que la harina de tembe será comercializada en envases de cartón con un contenido de 1kg. 
La materia prima principal que se definió para ser utilizada en la elaboración del producto del proyecto, es tembe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las empresas ELFEC, SEMAPA y Y.P.F.B. en el que los costos incurridos están en función al consumo y a la tarifa establecida para las industrias.
Se definió la macrolocalización en el departamento de Cochabamba municipio de Shinahota en base a los factores de localización. Para determinar el tamaño de la planta se analizaron los factores que condicionan el dimensionamiento del mismo, de los cuales la demanda es la que condiciona el tamaño del proyecto y el programa de producción se realizó considerando la capacidad normal viable.
Se realizó el diseño de distribución de planta sobre 375 m2 en el que se asignaron los espacios requeridos por cada área de trabajo, en la función administrativa y de planta.
La estructura organizacional del proyecto será de tipo Line &amp;Staff. Para el presente proyecto se determinó que el personal requerido para la mano de obra directa, indirecta y eventual es un total de 13 para los años 1-10. La personalidad jurídica que tendrá la empresa será de tipo sociedad de Responsabilidad Limitada S.R.L. 
Se determinaron 14 actividades principales hasta la puesta en marcha del proyecto, dichas actividades siguen una secuencia ordenada para el cumplimiento satisfactorio de las actividades de la planificación. A través del diagrama de actividades PERT y el diagrama de GANTT, se determinó máximo 36 semanas para la ejecución de las actividades, este periodo puede variar de acuerdo a la agilización de trámites u otras actividades llegando a reducir o no el tiempo total y necesario de ejecución.
Para el funcionamiento del proyecto se requiere una inversión en activos fijos de Bs. 848.498,19 activos diferidos Bs. 30.177,50 y el capital de trabajo inicial es de Bs. 132.098,78. Se prevé que el financiamiento del proyecto será de 40% aporte propio 404.309,79 Bs y el 70% que es 606.464,69 a crédito a 10 años y con una tasa activa de 6,56% anual. Los ingresos del proyecto se determinaron en función al precio y programa de producción, también se contemplaron los impuestos IVA e IT. Realizada la evaluación financiera del proyecto se tiene los siguientes resultados: VAN Bs 3.831.504,67, TIR 70,42 %, B/C 1,75 con estos resultados se puede concluir que el proyecto es rentable.
Para la evaluación del impacto ambiental se consideró las actividades desde la etapa de la ejecución hasta la etapa de operación. Los impactos sociales negativos en el proyecto no son muy altos por lo cual no generaran efectos dañinos al entorno social pudiendo ser controlados en su respectivo tiempo.
Entre algunas de las recomendaciones estarían: 
Realizar investigaciones de mercado en forma periódica.
Realizar un estudio para la introducción de harina de tembe en los mercados objetivos de esta manera diversificar los productos. 
Fomentar la producción de la quinua y cereales nutritivos para asegurar el abastecimiento de la materia prima para el proyecto mediante contratos a largo plazo con los proveedores. 
Vigilar constantemente los procesos de producción para que se pueda tener el control permanente de la calidad del producto.
Se recomienda en caso de implementar el proyecto actualizar las cotizaciones de las maquinarias, equipos, costo de construcción, etc.
</t>
  </si>
  <si>
    <t>https://drive.google.com/file/d/1uphYaNTRxuxaCVPWJ6ynPePPuD8uZq5I/view?usp=sharing</t>
  </si>
  <si>
    <t>https://drive.google.com/file/d/1NdN8C3WB0ijL2dbgnIAZa15icAkyJEJ-/view?usp=sharing</t>
  </si>
  <si>
    <t>https://drive.google.com/file/d/11YOAYPwQYCRcjUdRDXngqzTgiWN_eqaP/view?usp=sharing</t>
  </si>
  <si>
    <t>CLAURE ORTUÑO RODRIGO</t>
  </si>
  <si>
    <t>ESTUDIO DE FACTIBILIDAD PARA LA ELABORACION Y COMERCIALIZACION DE REFRESCOS NATURALES DE COCO Y DE TOSTADA EN CERCADO - COCHABAMBA</t>
  </si>
  <si>
    <t>rodri.claure.o@gmail.com</t>
  </si>
  <si>
    <t>IND-1129-2020</t>
  </si>
  <si>
    <t>Estudio de factibilidad, Elaboración y comercialización, Refrescos naturales, Coco Y Tostada.</t>
  </si>
  <si>
    <t>Con el presente proyecto se buscó implementar una planta elaboradora de refrescos naturales, aprovechando las características y beneficios que se puedan obtener. En la actualidad el sector de bebidas refrescantes oferta pocos productos naturales en el mercado de la ciudad de Cochabamba.
Para la elaboración del proyecto se plantearon los siguientes objetivos:
Objetivo general
Determinar la factibilidad para la elaboración de refrescos naturales de tostada y coco en el mercado de Cercado – Cochabamba. Objetivos específicos
 Determinar la oferta, demanda y canales de distribución de refrescos naturales en Cercado – Cochabamba, mediante un estudio de mercado.
 Determinar la ubicación y emplazamiento óptimo del proyecto.
 Desarrollar la ingeniería del proyecto, considerando aspectos de: proceso productivo, instalación, maquinarias, equipos y otros.
 Establecer la estructura organizacional de la empresa, definiendo el organigrama y los recursos humanos necesarios para la planta.
 Realizar la evaluación económica financiera del proyecto mediante los indicadores: VAN, TIR y relación B/C.
 Realizar un análisis del impacto social y ambiental del proyecto. Aspectos metodológicos
La metodología a utilizar es de tipo descriptivo y se sustenta en base a los resultados obtenidos en cada uno de los capítulos desarrollados en el proyecto, las etapas generales son:
Etapa 1: (Marco Referencial del Proyecto)
En este capítulo es donde se identificó todo referente al proyecto es decir el diagnostico de la situación actual y que productos existen en la actualidad.
 Antecedentes.
 Marco teórico
 Árbol de problemas.
 Estudio de mercado
Etapa 2: (Viabilidad técnica)
 Materias primas e insumos requeridos
 Tamaño de planta y localización
 Equipos e instalaciones
 Diseño del organigrama de la planta
Etapa 3: Evaluación financiera y ambiental
 Evaluación financiera.
 Plan de implementación.
 Conclusiones y recomendaciones.</t>
  </si>
  <si>
    <t>https://drive.google.com/file/d/1rPRRjkiSlxyh85lNPM6bDbNoAMnrZ0VU/view?usp=sharing</t>
  </si>
  <si>
    <t>https://drive.google.com/file/d/1rKMbYLCHeU8fA9n4c4zEn9Epf7dEulg5/view?usp=sharing</t>
  </si>
  <si>
    <t>https://drive.google.com/file/d/19wjDsc-2_6epVxwFWAIAgv5MB8smhSYU/view?usp=sharing</t>
  </si>
  <si>
    <t>CARDOZO MORENO NOELIA ALICIA</t>
  </si>
  <si>
    <t>PEDRAZAS VARGAS SHARON JHENNY</t>
  </si>
  <si>
    <t>ING. GUTIERREZ MAGNE MIGUEL</t>
  </si>
  <si>
    <t>DISEÑO DEL SISTEMA DE GESTION DE CALIDAD BASADO EN LA NB/ISO 9001:2015 PARA LA EMPRESA QUILOCONS SRL EN LA CIUDAD DE COCHABAMBA</t>
  </si>
  <si>
    <t>noeliacardozomoreno@gmail.com</t>
  </si>
  <si>
    <t>IND-1130-2020</t>
  </si>
  <si>
    <t>Sistema de Gestión de Calidad (SGC), mejora continua, ciclo PHVA, procesos, procedimientos, indicadores, cuello de botella, FODA</t>
  </si>
  <si>
    <t>QUILOCONS SRL es una empresa de alimentos dedicada a la producción y comercialización de productos prefabricados de concreto y plastoformo, además de ser representante exclusivo de HORMIPRET y TIGRE. La empresa no cuenta con programa para el Sistema de Gestión de Calidad de tal modo que propone implementar. Para la elaboración del proyecto se plantearon los siguientes objetivos:
Objetivo general
Realizar el diseño del Sistema de Gestión de Calidad basado en la NB/ISO 9001:2015 a través de herramientas de planificación, ejecución y control que permitirá controlar procesos para una mejora contínua de QUILOCONS S.R.L. en la ciudad de Cochabamba Objetivos específicos
 Realizar un diagnóstico que permita identificar la situación actual en la que opera la empresa.
 Describir y documentar los procesos y actividades existentes dentro de la empresa para obtener una información en registros.
 Elaborar un cronograma de actividades para la propuesta del diseño de Sistema de Gestión de Calidad en la empresa.
 Elaborar una estructura documental para la implementación del Sistema de Gestión de Calidad según la NB/ISO 9001:2015.
 Diseñar, definir y analizar indicadores en las diferentes áreas para mejorar la estandarización de los procesos en la empresa.
 Realizar un análisis de costo beneficio que permitirá determinar la viabilidad del proyecto.
 Elaborar un plan de implementación que permita cumplir la ejecución del diseño de este proyecto. Aspectos metodológicos
La metodología a utilizar es de tipo descriptivo y se sustenta en base a los resultados obtenidos en cada uno de los capítulos desarrollados en el proyecto, las etapas generales son:
Etapa 1: (Marco Referencial de la Empresa)
En este capítulo es donde se ve identificó todo referente al rubro de la empresa es decir a que se dedica y que productos realiza.
 Antecedentes.
 Marco teórico
 Descripción de actividades de la empresa.
Etapa 2: (Diagnostico actual de la empresa en seguridad y salud en el trabajo)
 Diagnóstico de la empresa
 Diseño del Sistema de Gestión de Calidad según la NB/ISO 9001:2015 Etapa 3: Evaluación financiera
 Evaluación financiera.
 Plan de implementación.
 Conclusiones y recomendaciones.</t>
  </si>
  <si>
    <t>https://drive.google.com/file/d/106as9gNQdKDIRhBXpfTcJo1Kzl5myT0E/view?usp=sharing</t>
  </si>
  <si>
    <t>https://drive.google.com/file/d/1sr5kiDAIaIUVJ4dRDsKDgAVvVIiNxXHm/view?usp=sharing</t>
  </si>
  <si>
    <t>https://drive.google.com/file/d/1vAFvwP_GqUohnKyRU0YzVpg3yVgZWsDO/view?usp=sharing</t>
  </si>
  <si>
    <t>PANOZO SEJAS JOSUE ELIEZER</t>
  </si>
  <si>
    <t>ING. GARCIA MOLINA JUAN RUBEN</t>
  </si>
  <si>
    <t>REDUCCION DEL TIEMPO EN LOS CAMBIOS DE CALIBRE DE LA LINEA DE PRODUCCION DE PLANTA “SACABA SD, PEPSI” APLICANDO HERRAMIENTAS DE LA METODOLOGIA SMED</t>
  </si>
  <si>
    <t>jpanozosejas@gmail.com</t>
  </si>
  <si>
    <t>IND-1131-2020</t>
  </si>
  <si>
    <t>Planta Sacaba SD, Productividad, SMED, Externalización, Análisis ECRS, Indicador GLY, Relación Beneficio-Costo.</t>
  </si>
  <si>
    <t>En la actualidad, el consumo de bebidas ultra procesadas en Bolivia aumentó en 105% según la OPS, lo que genera un aumento de la demanda de gaseosas e impulsa la diversificación de tamaños en sus presentaciones. La planta de gaseosas “Sacaba SD” la cual pertenece a CBN tiene como una meta el aumento de la producción en un 2,2% anual. La planta presentó ciertas deficiencias a nivel de envasado las cuales generaron tiempos de paradas largos, entre estos tiempos, se encuentraron los tiempos por cambios de calibre. Se realizó un análisis de los tiempos de cambios de calibre, mediante dicho análisis se determinó que estos representan un 15,61% de todos los tiempos de paradas programadas, es decir, paradas de la línea de envasado que están programados en el plan de producción. Estas pérdidas de tiempo afectaron en la producción de las bebidas y reducian la productividad y eficiencia de la planta. Para la reducción de estos tiempos de cambio de calibre se implementó herramientas de la metodología SMED.
Se realizó un análisis de datos del mix de produccion de la empresa, en el que se cuantificó los cambios de calibre más recurrentes, siendo estos los cambios de 3 litros a 2 litros, de 2 listros a 3 litros, de 0,5 litros a 3 litros y de 3 litros a 1 litro.
Luego de determinar los cambios más recurrentes se procedió a determinar el número de observaciones para poder determinar el tiempo estándar, el método utilizado para determinar el tiempo estándar fue el método estadístico explicado en el libro de Ingenieria Industrial de Niebel, para el cual fue necesario realizar un estudio preliminar de tomar 10 observaciones preliminares, para determinar el número de observaciones. Luego de determinar el número de observaciones, se procedió a tomar los valores de dichas observaciones para cada punto de la línea de envasado los cuales fueron representados por la maquina y su respectiva función función (Etiquetadora, Enjuagadora de botella, Llenadora 1, Capsuladora 1, Conjunto blocado, Termocontraibles) y se halló el tiempo promedio de esos valores, posterior a esto se determinó el ritmo de trabajo de los operadores titulares de cada punto de la línea de envasado utilizando el sistema desarrollado por la Westing House Electric Corporation para poder tener el tiempo estándar de cambio de calibre por cada punto de la línea de envasado, además se estableció los procedimientos (Pasos) de cambio de calibre para cada punto, con su respectivo tiempo estándar de todo el procedimiento al igual que para cada paso de los procedimientos establecidos.
Se realizó la implementación de las herramientas de la metodología SMED, pero previamente a eso, se determinó un equipo SMED conformado por operadores, técnicos, analista SMED y jefes, luego se determinó los puntos críticos del proceso de cambio de calibre de acuerdo a su tiempo estándar de cambio de calibre teniendo como puntos críticos Llenadora 1 con un tiempo de 162,22 minutos, Termocontraibles con unos tiempos de 121,9 minutos y 72,77 minutos y el conjunto blocado un tiempo de 78,62 minutos.
Posteriormente realizó un análisis del procedimiento estándar de cada punto de la línea de envasado, en los cuales se clasificó los tipos de desperdicios existentes en el procedimiento según los 8 tipos de desperdicios, además se identificó los pasos en los cuales se clasificó entre externos (no es necesario que la maquina este parada para realizarlo) e internos (es necesario que la maquina este parada para realizarlo). Con los pasos que se clasificaron como internos, algunos se procedierón a externalizarlos, es decir, se los convirtió en actividades externas para poder realizarlas cuando la maquina siga en funcionamiento y no sea necesario pararla, como el transporte de algunos formatos al puesto de trabajo antes del inicio del proceso de cambio de calibre, preparación de insumos, lavados de formatos, entre otros pasos de los procedimientos de cambios de calibre. Una vez externalizados los pasos que se clasificaron como internos, se realizó el análisis ECRS (Eliminar, Combinar, Reducir, Simplificar) a cada punto de la línea de envasado, determinando las acciones para los pasos en los que se puedan eliminar, combinar, reducir o simplificar los desperdicios encontrados mediante el análisis de los 8 desperdicios.
Con todas las propuestas de mejoras de la externalización y el ECRS se determinó las inversiones que se realizaron como ser la fabricación de carritos de cambio de calibre, las estaciones de trabajo, los separadores para las termocontraibles, los centradores fijos y el cambio de ajuste a ajuste sencillo de los tubos de venteo de la llenadora 1, dando una inversión en activos fijos de 64.360 Bs, además se determinó otra inversión de capital de trabajo con un valor de 482.687,325 Bs y con un costo de capacitaciones de 868,34 Bs. Posteriormente se realizó los nuevos procedimientos estándares y se planificó como se realizarán las capacitaciones entre capacitaciones en taller o en el puesto de trabajo además de a que operadores se las darán.
Con la implementación de las propuestas de mejoras realizadas por la externalización y el análisis ECRS, se obtuvo un excedente de tiempo el cual será un tiempo extra de produccion de 93,43 minutos por cambio de calibre y se realizó una comparación de indicadores financieros y de eficiencia con y sin la implementación del proyecto dado un incremento del indicador de eficiencia GLY de 1,81%, un aumento de la relación beneficio/costo de 0,011 y un incremento de la TIR de 13% con la implementación del proyecto.</t>
  </si>
  <si>
    <t>https://drive.google.com/file/d/1gYq6o9-OaOOSe1EGum26_Q9lTr7w6IK-/view?usp=sharing</t>
  </si>
  <si>
    <t>https://drive.google.com/file/d/1ssN3mAHKM_wUHYOlqaxWpnhp0wgQyZBl/view?usp=sharing</t>
  </si>
  <si>
    <t>https://drive.google.com/file/d/1kpGXiBX0Fyn9AHquLBaKaatr9eccpKQu/view?usp=sharing</t>
  </si>
  <si>
    <t>ROLDAN PÉÑARRIETA REMBERTO</t>
  </si>
  <si>
    <t>ING. MIGUEL GUTIERREZ MAGNE</t>
  </si>
  <si>
    <t>PROYECTO DE FACTIBILIDAD PARA LA IMPLEMENTACIÓN DE UNA EMPRESA DEDICADA A LA PRODUCCIÓN DE BOLSAS DE TELA EN EL DEPARTAMENTO DE COCHABAMBA</t>
  </si>
  <si>
    <t>roldan.666look@gmail.com</t>
  </si>
  <si>
    <t>IND-1132-2020</t>
  </si>
  <si>
    <t>Bolsas de Tela, Proyecto de Factibilidad, Estudio Técnico, Ingeniería del Proyecto, Indicadores Financieros, Manejo de Desperdicios.</t>
  </si>
  <si>
    <t xml:space="preserve">Se realizó la investigación de mercado en los municipios de Cercado, Quillacollo, Sacaba del departamento de Cochabamba, recabando información sobre los competidores, hábitos de consumo de las bolsas de plástico, entre otros factores, por el balance de la oferta y demanda se determinó que existe una demanda insatisfecha de bolsas de tela, se realizo el programa de producción para el 25% de esa demanda insatisfecha, el cual esta orientado a cubrir por el proyecto. Se determinó los canales de distribución para el proyecto que será a través de empresa a consumidor y un canal corto que será de empresa a minorista de minorista al consumidor.
Se determinó la disponibilidad y el requerimiento de materia prima e insumos de acuerdo al programa de producción que se tiene, además de las condiciones de almacenamiento para la materia prima e insumos.
Se determino el tamaño del proyecto considerando que el proyecto busca abarcar el 25% de la demanda insatisfecha con una capacidad de producción de 139.234 bolsas/año y se determinó la localización más óptima para el proyecto que será en el departamento de Cochabamba, municipio de Colcapirhua km 9 de la Av. Blanco Galindo entrando 800 m al sur sobre la Av. Las rieles a una cuadra de la parada del tren metropolitano.
Se realizo la descripción de los procesos que intervienen en la producción de las bolsas de tela, de acuerdo a los diferentes procesos se realizó la distribución de planta o LAY-OUT, también se realizó el equipamiento de planta, con los respectivos maquinaria y equipos necesarios para la producción de las bolsas de tela.
Se realizó la organización de la empresa a través de un organigrama, teniendo como personal a un gerente, un responsable de producción, un auxiliar de ventas, 3 operarios y un auxiliar de producción. También se realizó la descripción de los aspectos legales necesarios para el funcionamiento del proyecto.
Se realizó la planificación del proyecto a través del método de la ruta crítica, edificando aquellas actividades criticas que su retraso causaría retrasos inminentes del proyecto y se realizó un diagrama de barras ilustrativo con el fin de detallar la planificación de la ejecución del proyecto.
Se preparó la información necesaria para la evaluación financiera que a través del flujo de caja se determinó los indicadores financieros, tenido valores de, TREMA igual a 7,46%, VAN igual a 232.622,28 Bs. TIR igual a 35% y una relación B/C de 2.37 por tal motivo se concluyó que el proyecto es factible financieramente, con una inversión del 40 % por aporte propio y 60% por préstamo bancario donde el periodo de recuperación de la inversión es de 2 años 11 meses y 13 días aproximadamente.
Se realizó el análisis de sensibilidad teniendo como variables de evaluación la disminución de ingresos, aumento de costos de producción y el efecto combinado. Se realizo el análisis para la disminución del 10% de los ingresos y también para el 10% del aumento de costos de producción, donde el proyecto sigue siendo factible. Para el efecto combinado se realizó el análisis con 10% tanto para la disminución de ingresos como para el aumento de costos del cual según los resultados obtenidos que son negativos se determino que el proyecto no es factible. Por último, se realizó la Evolución de Impacto Ambiental, se identificó a la empresa a través del anexo A del RASIM con el código 17210 como empresa que pertenece a la fabricación de artículos confeccionados con materiales textiles excepto prendas de vestir, donde en la clasificación industrial por riesgo de contaminación se clasifica en la categoría cuatro como proyectos orientados al mejoramiento del medio ambiente y que no requieren ningún estudio ambiental.
</t>
  </si>
  <si>
    <t>https://drive.google.com/file/d/1IxFzAHzXCGHsWSeKhoxkat8DHN4vML0l/view?usp=sharing</t>
  </si>
  <si>
    <t>https://drive.google.com/file/d/1ER2SiR0ZPlgy6EuTeaQc5ftpRe66Y1o-/view?usp=sharing</t>
  </si>
  <si>
    <t>https://drive.google.com/file/d/1pGdNdgngmZoKzIQT8RYUJ0rYck2fhTxp/view?usp=sharing</t>
  </si>
  <si>
    <t>QUINTANILLA ROMERO ADRIANA</t>
  </si>
  <si>
    <t>ING. JHENNY JHESHICA HUAÑARRAYA CLEMENTE</t>
  </si>
  <si>
    <t>PROYECTO DE FACTIBILIDAD PARA LA IMPLEMENTACIÓN DE UNA PLANTA
PROCESADORA DE BETÚN PARA CALZADOS A BASE DE MATERIA ORGÁNICA EN EL
DEPARTAMENTO DE COCHABAMBA</t>
  </si>
  <si>
    <t>adakotaqr130598@gmail.com</t>
  </si>
  <si>
    <t>IND-1133-2020</t>
  </si>
  <si>
    <t>Métodos de proyección, marketing mix, método cualitativo por puntos,
diagrama sinóptico, materia orgánica, betún propuesto, diagrama analítico,
balance de masa, método SLP, organigrama, método PERT, VAN, TIR,
B/C, matriz Leopold, Ley del Medio ambiente 1333.</t>
  </si>
  <si>
    <t>Se desarrolló el proyecto de factibilidad porque se evidenció que la composición química del betún
comercial provoca un impacto negativo en el bienestar de la población demandante del producto,
por su alto nivel de toxicidad que presenta en su composición. Por tal razón, existió la iniciativa
de efectuar un estudio minucioso para producir betún para calzados a base de materia orgánica en
el departamento de Cochabamba-Cercado.
Inicialmente se estableció un sistema coordinado y coherente de antecedentes, teorías, métodos y
conceptos con el fin de sustentar los términos a emplear que orientan el objeto de investigación
del proyecto de factibilidad.
Por consiguiente se determinó la posibilidad de éxito en la introducción del betún propuesto al
mercado, observando su nivel de aceptación a través de encuestas que se lanzaron a la población
objetivo. Como no era posible abarcar a toda la población boliviana, se eligió como zona
geográfica al Municipio de Cercado del departamento de Cochabamba; determinando así, la
demanda, oferta y acciones a efectuarse después de realizar la debida tabulación, análisis e
interpretación de la información recolectada.
Por otra parte, para comprender a cabalidad las propiedades físicas que aportarán la materia prima
e insumos al betún propuesto durante su elaboración, se realizó un estudio minucioso de sus
características cualitativas, asimismo un estudio cuantitativo que también englobó a los materiales,
ropa de trabajo y productos de limpieza. Además se determinó a los proveedores, el costo y la
cantidad que se requiere para satisfacer la demanda propia del proyecto.
Además, se identificó la localización de la planta en la zona Condebamba por medio del método
cualitativo por puntos, tomando factores iniciales de análisis que influyen en la determinación del
tamaño de la planta. Se precisó también la capacidad de producción real que tendrá la planta industrial, logrando proponer el programa de producción a partir del cálculo de la capacidad
normal viable.
También fue necesaria la representación gráfica del proceso productivo a través de diagramas
definidos como herramientas, que permitieron visualizar de forma detallada los recursos, tiempos
y cantidades requeridas para la elaboración del betún para calzados a base de materia orgánica.
Estas operaciones descritas posibilitó conocer qué maquinaria, equipos y herramientas son
necesarias con un detalle en sus características cualitativas y costos, también se determinó los
requerimientos de muebles de oficina, equipos de oficina, vehículos, equipos de seguridad y
servicios básicos necesarios en el proceso productivo y sector administrativo; mismos que deben
ubicarse dentro de las áreas de trabajo identificadas en la planta industrial. Aplicando el método
SLP se logró realizar una distribución óptima tomando como base de análisis la relación entre
áreas de trabajo, que permitió el diseño de la planta industrial figurando a detalle la área
administrativa y sector productivo.
Para comunicar la autoridad que se asigna a un cargo y la relación que posee con el resto de los
puestos se determinó la estructura organizacional, definiendo a detalle las funciones a ejercer y la
pretensión salarial del puesto. Además se acudió a la “Ley de pensiones” y “Ley de general del
trabajo” para percibir la carga social que corresponde al aporte de los trabajadores y del
empleador, mismos que permitieron calcular el costo de mano de obra y el líquido pagable. Por
otra parte se describió los procedimientos de los diferentes trámites y registros para el tipo
societario “Empresa Unipersonal” con el fin de adquirir el reconocimiento legal del Estado y una
vía libre en el desarrollo de las actividades empresariales.
Asimismo se determinó el tiempo estimado de la culminación de todas las actividades
correspondientes a la fase de pre-inversión e inversión del proyecto de factibilidad, a partir de una
planificación representada en un diagrama de red, tras la aplicación del método PERT que permitió
visualizar la secuencia y el tiempo por actividad apoyado con el diagrama de Gantt. Por otro lado,
se realizó un presupuesto para la ejecución del proyecto, el cuál determinó los recursos monetarios
que demandará la ejecución del proyecto.
Cabe mencionar que el total de inversión inicial en la fase de ejecución e inversión es de
2.042.462,97 Bs, previstas con aporte propio y préstamo bancario como fuentes de financiamiento,
con un periodo de recuperación de 3 años y 7 meses. Y tras efectuar la evaluación financiera se
determinó la rentabilidad del proyecto a través de indicadores financieros como el VAN con
1.383.181,31, TIR de 38,38% y B/C de 1,42; concluyendo que el proyecto propuesto es
financieramente rentable.
Finalmente se determinó el impacto ambiental negativo y positivo ocasionados con la ejecución
del presente proyecto durante la construcción de la Matriz de Leopold, análisis que corresponde a
la fase de inversión y operación; definiendo también los componentes medioambientales que
podrían ser afectados, y determinando la categoría según la “Ley del medio ambiente” 1333 y su
“Procedimiento computarizado para la evaluación de impactos ambientales” (PCEIA), que
determinó la categoría III con los resultados obtenidos en la matriz Leopold; por lo que solo
requirió básicamente del planteamiento de medidas de mitigación verificando de ésta forma la
viabilidad ambiental del proyecto de factibilidad.</t>
  </si>
  <si>
    <t>https://drive.google.com/file/d/1L2VJTCuEoDUUX3zzF-fJnLHhbJrc-d8B/view?usp=sharing</t>
  </si>
  <si>
    <t>https://drive.google.com/file/d/1Hg07C_cvEaP0lDsLf0dV7aDyCfxRou_Z/view?usp=sharing</t>
  </si>
  <si>
    <t>https://drive.google.com/file/d/1GnJTy3usNWZHfYSmxlcqECWk8CG752K0/view?usp=sharing</t>
  </si>
  <si>
    <t>JIMENEZ BUSTAMANTE GUERY</t>
  </si>
  <si>
    <t>SALVATIERRA OROSCO RUDDY</t>
  </si>
  <si>
    <t>PROYECTO DE FACTIBILIDAD PARA LA IMPLEMENTACION DE UNA PLANTA PROCESADORA DE ACEITE A BASE DE SEMILLAS DE MORINGA OLEÍFERA EN EL DEPARTAMENTO DE COCHABAMBA</t>
  </si>
  <si>
    <t>Elpripio99@gmail.com</t>
  </si>
  <si>
    <t>IND-1134-2020</t>
  </si>
  <si>
    <t>Planta procesadora de aceite de moringa oleífera, Proyecciones de demanda, Canales de comercialización, Estado de resultados.</t>
  </si>
  <si>
    <t>El sistema que se desarrolló, toma como ejemplo plantas de producción de crema a base de sacha inchi, con base a aquello se desarrolló un Proyecto de factibilidad, financiera y comercial para la implementación e instalación de una planta industrializadora de aceite de moringa oleífera, dirigido al mercado de la ciudad de Cochabamba con alto contenido en proteínas y vitaminas, que puede contribuir con la salud y vida sana de las personas.
Para el desarrollo del presente proyecto se realizó un estudio descriptivo y propositivo que permitirá tener un conocimiento más preciso para plantear y dar solución al problema central.
El mercado objetivo del proyecto fueron las personas entre 15 y 60 años de edad de la ciudad de Cochabamba.
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la ciudad de Cochabamba de los aceites naturales con un 51%. Así mismo el nivel de aceptación del producto del proyecto como ser harina de copoazú es de 85 %. Para la elaboración del producto se hizo énfasis en la calidad, precio. Se determinó que el aceite de moringa oleífera será comercializado en presentaciones de 150 ml.
La materia prima principal que se definió para ser utilizada en la elaboración del producto del proyecto, es la semilla de moringa oleífera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 empresa ELFEC, ENTEL y Y.P.F.B. en el que los costos incurridos están en función al consumo y a la tarifa establecida para las industrias.
Se definió la macrolocalización en el departamento de Cochabamba y la microlocalización en el municipio de Tiquipaya en base a los factores estudiados.
Para determinar el tamaño de la planta se analizaron los factores que condicionan el dimensionamiento del mismo, de los cuales la demanda es la que condiciona el tamaño del proyecto y el programa de producción se realizó considerando la capacidad normal viable.
Se realizó el diseño de distribución de planta sobre 500 m2 en el que se asignaron los espacios requeridos por cada área de trabajo, en la función administrativa y de planta.
La estructura organizacional del proyecto será de tipo Funcional &amp;Staff.
Para el presente proyecto se determinó que el personal requerido para la mano de obra directa, indirecta y eventual es un total de 8 esto para los 5 años de vida útil del proyecto.
La personería jurídica que tendrá la empresa será de tipo sociedad de Responsabilidad Limitada S.R.L.
Se determinaron 13 actividades principales hasta la puesta en marcha del proyecto, dichas actividades siguen una secuencia ordenada para el cumplimiento satisfactorio de las actividades de la planificación.
A través del diagrama de actividades PERT_CPM y el diagrama de GANTT, se determinó máximo 51 semanas para la ejecución de las actividades, este periodo puede variar de acuerdo a la agilización de trámites u otras actividades llegando a reducir o no el tiempo total y necesario de ejecución.
Para el funcionamiento del proyecto se requiere una inversión en activos fijos de Bs 1 277 176,00, activos diferidos Bs. 21 411,50 y el capital de trabajo inicial es de Bs. 359 094,43
Se prevé que el financiamiento del proyecto será de 45% aporte propio (Bs. 745 956,87) y el 55% a crédito (Bs. 911 725,06) a 10 años plazo con una tasa de interés del 6,56% de acuerdo al sistema PRICE, cuotas fijas. Los ingresos del proyecto se determinaron en función al precio y programa de producción, también se contemplaron los impuestos IVA e IT.
Realizada la evaluación financiera del proyecto se tiene los siguientes resultados: VAN Bs. 2 073 312,03, TIR 56,05%, B/C 1,28 con estos resultados se puede concluir que el proyecto es rentable.
Para la evaluación del impacto ambiental se consideró las actividades desde la etapa de la ejecución hasta la etapa de operación, determinando que el proyecto está en categoría III, tomando en cuenta solo medidas de mitigación y prevención.
Entre algunas de las recomendaciones estarían:
Realizar investigaciones de mercado en forma periódica.
Mantener control riguroso en producción, en la calidad e inocuidad de los productos en base a las normas ISO 9001 e ISO 22000.
Se recomienda en caso de implementar el proyecto actualizar las cotizaciones de las maquinarias, equipos, costo de construcción, etc.
Generar gestiones de apoyo mutuo con los proveedores para garantizar la calidad y disponibilidad de la materia prima.
Se deben realizar todas las pruebas necesarias antes de iniciar las operaciones en la empresa.</t>
  </si>
  <si>
    <t>https://drive.google.com/file/d/1eUEzRoQHq6yl4olxpqdqe0_DsPcxiWAk/view?usp=sharing</t>
  </si>
  <si>
    <t>https://drive.google.com/file/d/1LpWqEL8KCX1Ic-hAH8YAVdXzYrmhzTD8/view?usp=sharing</t>
  </si>
  <si>
    <t>https://drive.google.com/file/d/12LOrog4H2_0E8NvsYodh9WqldIx_QQ9i/view?usp=sharing</t>
  </si>
  <si>
    <t>TAPIA SILVA ILSE PATRICIA</t>
  </si>
  <si>
    <t>ING. FRANZ MAURICIO ACHÁ ZAMBRANA</t>
  </si>
  <si>
    <t>ESTUDIO DE FACTIBILIDAD PARA LA IMPLEMENTACIÓN DE UNA GRANJA AVÍCOLA DE CRIANZA DE PATOS</t>
  </si>
  <si>
    <t>ilsetapia04@gmail.com</t>
  </si>
  <si>
    <t>IND-1135-2020</t>
  </si>
  <si>
    <t>Estudio de Factibilidad, Implementación de una granja avícola, Crianza de patos, Patos, Patos BB, Estudio técnico y económico.</t>
  </si>
  <si>
    <t>En el presente proyecto se propone realizar un estudio técnico y económico para la implementación de una granja avícola de crianza de patos, destinado al mercado de Cochabamba, para lo cual, en base al marco teórico, se pretende realizar la investigación a partir de un estudio de mercado, estudio técnico y un estudio económico/financiero.
Para la elaboración del proyecto se plantearon los siguientes objetivos: Objetivo general
Realizar un estudio técnico y económico para la implementación de una granja avícola de crianza de patos para carne para el mercado de Cochabamba y sus alrededores. Objetivos específicos
 Realizar un estudio de mercado, para determinar la oferta y la demanda, los mecanismos de comercialización y la actual situación del mercado. Se pretende conocer las características de los consumidores.
 Determinar el tamaño óptimo de la granja de crianza de los patos, el sistema de crianza, la distribución de los galpones de crianza y la estimación de factores vinculados a la producción.
 Determinar la localización donde será emplazada la granja a partir de la aplicación metodológica de los promedios ponderados u otro pertinente. Se pretende analizar 3 alternativas posibles.
 Determinar los requerimientos de equipamiento, obras civiles y actividades de la puesta en marcha.
 Estructurar la propuesta organizativa y la planificación para la ejecución del proyecto en la etapa de inversión. Aspectos metodológicos
La metodología a utilizar es de tipo descriptivo y se sustenta en base a los resultados obtenidos en cada uno de los capítulos desarrollados en el proyecto, las etapas generales son:
Etapa 1: (Estudio de Mercado)
Esta etapa será la encargada de realizar un estudio para determinar la oferta, demanda y precios, tanto del producto final como de los insumos del proyecto, así como la calidad y costo de su abastecimiento. Para éste propósito se realizarán las actividades siguientes:
 Encuestas al mercado consumidor y productor.
 Tabulación de datos.
 Procesamiento de la información.
 Interpretación de resultados.
 Determinación de la Demanda proyecto Etapa 2: (Ubicación y Emplazamiento)
Esta fase tiene como finalidad determinar la ubicación física del proyecto entre las alternativas posibles de localización, para lo cual se aplicará la metodología de los promedios ponderados a partir de la identificación de tres alternativas posibles justificadas desde la perspectiva de viabilidad de emplazamiento.
Etapa 3: (Ingeniería del Proyecto)
La finalidad de esta fase es la de encontrar el proceso tecnológico más adecuado para la crianza de patos, así como determinar una distribución optima de la línea de crianza en los ambientes del galpón de crianza, garantizando el uso eficiente de recursos y la mayor productividad posible. Aspectos que se realizarán considerando adicionalmente los ambientes de administración. En éste sentido, la etapa comprende la realización del estudio y determinación de los siguientes aspectos a considerarse para el cumplimiento de la etapa.
 Tamaño del criadero, capacidades y definición de procesos de crianza.
 Definición de las características del sistema de alimentación, control de enfermedades y manejo del producto en la zona de crianza.
 Establecimiento de infraestructura y equipamiento para la crianza y comercialización.
 Estructuración de centros de costos.
Etapa 4: (Organización de la Granja)
Se pretende en ésta etapa determinar la estructura orgánica a partir de los requerimientos organizacionales, estableciendo los cargos requeridos y sus funciones a partir de un manual de funciones por cargo, así como el organigrama de la granja.
Etapa 5: (Evaluación Financiera)
La etapa comprende la identificación de los beneficios por las acciones comerciales y los costos asociados al proyecto derivados de las inversiones totales comprendidas en inversiones fijas, diferidas y capital de trabajo, así como de los comprendidos en las actividades operativas de la granja.</t>
  </si>
  <si>
    <t>https://drive.google.com/file/d/1Gl13hwqjwN9UrBuv-g2sdjHRvL0-k6nE/view?usp=sharing</t>
  </si>
  <si>
    <t>https://drive.google.com/file/d/1_ekJCGKLTXbTNEHWzPbU68gbXnB5RULq/view?usp=sharing</t>
  </si>
  <si>
    <t>https://drive.google.com/file/d/1a2DoWLzirnU18Cwv2_XIL3QTXK2Z5os5/view?usp=sharing</t>
  </si>
  <si>
    <t>VARGAS CHOQUE RODRIGO</t>
  </si>
  <si>
    <t>ING. HENRY ANTEZANA FERNANDEZ</t>
  </si>
  <si>
    <t>ESTUDIO DE FACTIBILIDAD PARA LA DESHIDRATACIÓN DE LODOS PRIMARIOS DE LA PLANTA DE TRATAMIENTO DE EFLUENTES (P.T.E.) PARA LA EMPRESA PIL ANDINA S.A. DE COCHABAMBA</t>
  </si>
  <si>
    <t>rodrivarcht@gmail.com</t>
  </si>
  <si>
    <t>IND-1136-2020</t>
  </si>
  <si>
    <t>Factibilidad, Tratamiento, Deshidratación, Lodos residuales.</t>
  </si>
  <si>
    <t>La producción de lodos como un subproducto del tratamiento primario de sus efluentes genera un costo elevado en el desecho y/o evacuación encargado por una entidad privada.
Para el estudio de factibilidad en la deshidratación se realizaron pruebas de las propiedades fisicoquímicas y pruebas de proceso de operaciones en el tratamiento de deshidratación. La metodología realizada en función de los objetivos específicos:
Características Fisicoquímicas, se realizaron pruebas de laboratorio para determinar sus propiedades más importantes como el contenido de humedad, densidad, cantidad de lodo producido, contenido de materia orgánica (DQO, DBO). Fosforo, nitrógeno y contenido de grasa y aceites.
Para la evaluación del proceso de deshidratación, se realizó pruebas de operaciones de espesamiento (drenaje por gravedad), deshidratación mecánica (filtración a presión) para una mejor concentración de sólidos y secado térmico (convección forzada) eliminando la humedad restante para lo cual de determino el proceso más adecuado al lodo caracterizado fisicoquímicamente para una disposición final adecuada del producto seco tratado. Las pruebas realizadas fueron determinantes para poder dimensionar el proceso de deshidratación para la producción diaria de lodo con la maquinaria o equipos necesarios para disminuir la masa y volumen controlando un lodo potencialmente contaminante si este no es tratado adecuadamente.
Para evaluación de costos y financiera se estimaron los costos necesarios para la implementación del proyecto determinando la inversión total requerida para evaluar en función de los costos anuales en el retiro de lodo sin tratamiento.
Para dicha evaluación se realizó una comparación de los costos sin el proyecto con los costos con la implementación del proyecto determinando los ahorros generados durante los próximos 5 años evaluados para el proyecto.
Los ahorros generados con el proyecto futuro se tomaron como ingresos para realizar un flujo de caja para determinar la factibilidad técnica y económica mediante los indicadores financieros como el VAN (Valor Actual Neto), TIR (Tasa Interna de Retorno) y la relación de Beneficio/Costo.
La evaluación de impacto ambiental se analizó los impactos positivos y negativos valorando en cada variable determinando la categorización del proyecto para la elaboración o no de un estudio de impacto ambiental especifico.
En conclusión proceso de deshidratación establece que el lodo es prácticamente tratable pudiendo estabilizar, deshidratar y secar obteniendo materia seca con bajo porcentaje de humedad donde el sólido puede ser almacenado y posteriormente evacuado a un relleno sanitario como disposición final sin que este tenga efectos negativos al medio ambiente. Así mismo reduciendo los costos monetarios para la empresa.</t>
  </si>
  <si>
    <t>https://drive.google.com/file/d/1GAPf81PRIk2UFFU7V0W4lUBgJqBfGnME/view?usp=sharing</t>
  </si>
  <si>
    <t>https://drive.google.com/file/d/1J62C8zDXJhW2yh5qht6QUSTTtJPNJ0iX/view?usp=sharing</t>
  </si>
  <si>
    <t>https://drive.google.com/file/d/1hrHBtTRgLwxmH0Nnlq2bPuPZFaDZTKlu/view?usp=sharing</t>
  </si>
  <si>
    <t>ELIOT DUBERTY CAPRIROLO RODRIGUEZ</t>
  </si>
  <si>
    <t>LIC. RAUL SILVER REYES SUAZÉR</t>
  </si>
  <si>
    <t>ELABORACIÓN DE PROGRAMA DE SEGURIDAD Y SALUD EN EL TRABAJO SEGÚN NTS-009/18 PARA LA EMPRESA THINK FREE CONSTRUCCIONES S.R.L</t>
  </si>
  <si>
    <t>lito.caprirolo@gmail.com</t>
  </si>
  <si>
    <t>IND-1137-2020</t>
  </si>
  <si>
    <t>Programa de Seguridad y Salud en el Trabajo,  Norma Técnica de Seguridad  NTS   –   009/18,  Ley   General   de   Higiene,   Seguridad Ocupacional y Bienestar 16998, Identificación de Peligros y Evaluación de Riesgos, Monitoreos, Estudios, Manuales de Procedimientos, Análisis de Costos.</t>
  </si>
  <si>
    <t xml:space="preserve">Como Objetivo General se elaboró un “Programa de Seguridad y Salud en el Trabajo según NTS-009/18 para Think Free Construcciones S.R.L”, tomando como referente el proyecto Central 1 – Sacaba. Los Objetivos Específicos planteados fueron: 1) Utilizar las Leyes, Normas y Reglamentos respecto a la Seguridad, Salud y Bienestar del Trabajo. 2) Elaborar un diagnóstico para analizar y determinar la situación actual de la constructora. 3) Realizar la Identificación de Peligros y Evaluación de los Riesgos existentes en la constructora. 4) Elaborar Monitoreos de Ruido Ocupacional, Iluminación, Estrés Térmico, Carga de Fuego, Ventilación. 5) Elaborar Estudios de Riesgos (Instalación Eléctrica, Señalización, Equipos de Protección Personal, Prevención de Incendios, Primeros Auxilios) 6) Elaborar manuales de Seguridad y Salud en el Trabajo para promover la Seguridad y Salud a los trabajadores. 7) Presupuestar los costos de la elaboración del Programa de Seguridad y Salud en el Trabajo para su implementación.
La metodología utilizada para este proyecto fue el siguiente: 1) Desarrollo de los pasos para elaborar el Programa de Seguridad y Salud en el Trabajo según NTS – 009/18. 2) Utilización de Leyes, Normas y Reglamentos. 3) Análisis de Riesgos para el Diagnóstico de la situación actual de la Constructora. 4) Identificación de Peligros y Evaluación de Riesgos en cada proceso de la obra de construcción. 5) Monitoreos, Estudios y Manuales de Procedimientos. 6) Análisis de costos detallado para la implementación del PSST. Los resultados fueron: 1) Elaboración de Programa de Seguridad y Salud en el Trabajo según NTS – 009/18 para la Constructora. 2) Identificación y determinación de las principales Fortalezas de la Constructora. 3) Medidas respectivas de prevención y control adecuado que puedan eliminar o minimizar los riesgos. 4) Elaboración de Monitoreos, Estudios y Manuales de Procedimientos. 5) Proyecto Factible para la elaboración del PSST.  
Como Conclusiones: 1) Se realizó un estudio de Seguridad Industrial e Higiene Ocupacional mediante un análisis sistémico conforme a la Ley General de Higiene y Seguridad Ocupacional y Bienestar DL 16998 del 02 de agosto de 1979, que arroja un resultado muy importante, la Elaboración de un Programa de Seguridad y Salud en el Trabajo. 2) La Elaboración de Programa de Seguridad y Salud en el Trabajo según NTS-009/18 para la constructora “Think Free Construcciones S.R.L” en el Proyecto Central 1, responde a los puntos requeridos por el Ministerio de Trabajo para la aprobación de su “Programa de Seguridad y Salud en el Trabajo y su Manual de Primeros Auxilios”, con el fin de que la constructora se adecue a las leyes que rigen al Medio Ambiente y su respectivo Reglamento. 3) Se realizó un diagnóstico de las actividades y condiciones de trabajo, realizando una IPER (Identificación de Peligros y Evaluación de Riesgos), dando como resultados obtenidos en esta evaluación se plantearon acciones preventivas a ser aplicadas, en coordinación y consenso con la gerencia de la constructora. 4) El aporte del proyecto fue la elaboración de: Creación del Comité Mixto. Capacitación en Seguridad Industrial e Higiene Ocupacional para los directivos y trabajadores (temas SySO y sobre la importancia de la Seguridad en construcción). Estudio de riesgos en la construcción y generación de una Matriz de Riesgos. Medición de sonometría en los puntos de la construcción de acuerdo a metodologías utilizadas por el I.N.S.O., con instrumentos proporcionados por la constructora. Medición de iluminación en los puntos de la construcción en la fase inicial de la obra de acuerdo a la NB 777 y NTS-001/17, con instrumentos proporcionados por la constructora. Medición de la ventilación en los puntos de la construcción en la fase inicial de la obra. Adicionalmente se realizaron manuales, todos acorde a las condiciones de trabajo de la constructora dentro del proyecto. 5) Se estimaron los costos para la elaboración del Programa de Seguridad y Salud en el Trabajo para el proyecto de la constructora.
Las Recomendaciones dadas para este proyecto fue: 1) Resultará muy importante crear conciencia del uso de los Equipos de Protección Personal (EPP´s) adquiridos, ya que a veces los trabajadores no los usan por mayor comodidad, de igual forma con el equipamiento en algunos ambientes o maquinarias, tales como las guardas que deben usarse si o si en todas las máquinas y los Extintores deberán estar cargados. 2) Realizar anualmente una actualización del Programa para orientar al personal acerca de cambios y comprometerlos a realizar labores con seguridad que conlleven el auto cuidado, mediante programas de salud ocupacional, factores de riesgos, elementos de protección personal y seguridad en los lugares de trabajo. 3) Se debe realizar inspecciones periódicas para verificar: Que el personal cumpla adecuadamente sus actividades. Que las instalaciones se encuentren en buen estado. Nuevos posibles riesgos, para corregirlos y evitar accidentes.
</t>
  </si>
  <si>
    <t>https://drive.google.com/file/d/1Jjfsca_2nZa88nvd8wUSIwvd7HGGEYIK/view?usp=sharing</t>
  </si>
  <si>
    <t>https://drive.google.com/file/d/1-VkxQjADeL8PSak-LylFRdmyCCko35qC/view?usp=sharing</t>
  </si>
  <si>
    <t>https://drive.google.com/file/d/1IhbzszpS-El8w9QD3YFz_-61_TU6ii7V/view?usp=sharing</t>
  </si>
  <si>
    <t>AQUINO CRUZ  RONALD</t>
  </si>
  <si>
    <t>VALVERDE CORO  JESSICA DANIELA</t>
  </si>
  <si>
    <t>LIC. MILTON COSCIO MÁRQUEZ</t>
  </si>
  <si>
    <t>PLANIFICACIÓN ESTRATÉGICA PARA LA EMPRESA DE EXTINTORES 3F CYLINDERS</t>
  </si>
  <si>
    <t>aquinocronald@gmail.com</t>
  </si>
  <si>
    <t>IND-1138-2020</t>
  </si>
  <si>
    <t>Empresa de extintores, Simulacros, FODA estratégico, Planes              Estratégicos, Reflexión estratégica</t>
  </si>
  <si>
    <t xml:space="preserve">El proyecto que se desarrolló tuvo como escenario la empresa de extintores 3F CYLINDERS. Primeramente, se desarrolló una evaluación interna de la empresa en la que se identificó todas las fortalezas y debilidades, para esto se utilizó como herramientas los factores críticos que fueron factores de medición de cada proceso dentro de la empresa y con ellos se determinó la situación de cada uno.
     Así también se realizó una evaluación externa en la que se identificó las oportunidades y amenazas de la empresa, para eso se utilizó como herramientas: el ANALISIS PESTEL, el cual ayudo a identificar los factores del entorno general (política, económica, sociocultural, tecnológica, ecológica y legal) y por último se realizó el análisis de las 5 FUERZAS DE PORTER la cual ayudó a analizar el nivel de competencia de la empresa, dentro de la industria de extintores.
     Posteriormente se realizó el marco estratégico en el cual se formuló la MISIÓN, VISIÓN y CULTURA ORGANIZACIONAL de la empresa que tuvo como fin trazar los objetivos que la empresa debe de alcanzar. 
     Se empezó con el desarrollo de la planificación estratégica en la que se plantearon las diferentes estrategias, las cuales se formularon gracias al desarrollo de las matrices: FODA ESTRATEGICO, BCG, MPC y MCPE. Seguidamente las estrategias se utilizaron como base para la elaboración de los planes estratégicos cuyos objetivos eran: Lograr ampliar la participación en el mercado nacional, planificar las acciones de la organización y fabricar un producto de calidad implementando tecnologías. Con los planes estratégicos definidos se procedió con la estimación de los costos de los mismos, gracias a la realización del POA (Plan Operativo Anual), y se concluyó en la evaluación financiera que la implementación del proyecto de planificación estratégica era factible para la empresa.
</t>
  </si>
  <si>
    <t>https://drive.google.com/file/d/1BMEhvHbotMc-09CKZz3rbG6FxBdQ9dIw/view?usp=sharing</t>
  </si>
  <si>
    <t>https://drive.google.com/file/d/1Bqid_YhBUUfdmQ46tY1ATsc8_57S3BND/view?usp=sharing</t>
  </si>
  <si>
    <t>https://drive.google.com/file/d/1_Mo7HCJcBZiRjcFr-XrH_-yUW6Qi-UwW/view?usp=sharing</t>
  </si>
  <si>
    <t>OVIDIO COLQUE  FERNANDO CLIVER</t>
  </si>
  <si>
    <t>ESTUDIO TÉCNICO ECONÓMICO PARA LA INSTALACIÓN DE UN LABORATORIO DE MANUFACTURA BASADA EN LA INDUSTRIA 4.0 PARA EL DEPARTAMENTO DE INDUSTRIAS DE LA FCYT – UMSS.</t>
  </si>
  <si>
    <t>ovidio.cliver@gmail.com</t>
  </si>
  <si>
    <t>IND-1139-2020</t>
  </si>
  <si>
    <t xml:space="preserve">Estudio técnico económico, Laboratorio de Manufactura, Industria 
4.0, Carrera de Ingeniería Industrial, Impuesto Directo a los Hidrocarburos (IDH), Análisis Costo – Eficiencia
</t>
  </si>
  <si>
    <t xml:space="preserve">Estudio técnico económico que se elaboró para la instalación de un Laboratorio de Manufactura basada en la Industria 4.0 para el Departamento de Industrias de la FCyT – UMSS, con un horizonte temporal de ocho años, es fundamental para contribuir a mejorar la calidad de formación de los estudiantes de la Carrera de Ingeniería Industrial.
Inicialmente se aplicó una metodología de recolección de datos, a través de encuestas y con ello se determinó que el servicio del proyecto es muy bien aceptado por los estudiantes de la Carrera de Ingeniería Industrial, que están de acuerdo que la carrera cuente con un Laboratorio de Manufactura basada en la Industria 4.0 con el área de formación práctica en Sistema de Manufactura Flexible y Robótica. A partir de ello, se cuantifico la demanda potencial del proyecto, es decir, los estudiantes de la Carrera de Ingeniería Industrial. Adicionalmente se determinó el medio de comunicación más factible para realizar la publicidad.
Posteriormente se estableció la localización del Laboratorio de Manufacura mediante el método cualitativo por puntos, en el cual se eligió la opción más optima, siendo el segundo piso del Edificio de Laboratorio Básicos de la FCyT, específicamente en los ambientes contiguos que conforman el Laboratorio de Gestión de Calidad e Ingeniería de Métodos y Reingeniería. Tambien se estableció la capacidad de servicio, que esta en función a la cantidad de cursos a realizase en el laboratorio para lograr beneficiar a un total de estudiantes en cada año. Se desctibio el proceso de servicio del laboratorio a través de un diagrama de flujo, por medio de los cuales se definieron el conjunto de operaciones, estos son: Manufactura flexible 4.0, Cobots, Sensores y Simulación. Ademas, se realizó la descripción del equipamiento necesario con sus respectivos costos y se estableció el proceso de servicio del laboratorio y la distribución de planta.
Se definió la estructura organizacional del proyecto la cual es de tipo orgánica y cuenta con un Responsable de Laboratorio de Manufactura, un Docente de área y dos Auxiliares de laboratorio. Tambien se realizó la descripción de las principales funciones, características y requisitos de cada puesto del laboratorio y de igual manera se estimó el costo de la mano de obra considerando las normativas y reglamentos vigentes. Asi mismo, se describió las exigencias y aspectos legales para la aprobación del proyecto.
Seguidamente se identifico diez actividades hasta la puesta en marcha del proyecto, siguiendo una secuencia ordenada para el cumplimiento satisfactorio de dichas actividades y  con ello se estimó el tiempo de duración del proyecto es de 32 semanas y se cuantifico el costo de inversión para la realización de las actividades hasta la puesta en marcha.
Posteriormente se estructuro los costos de inversión para la instalación del laboratorio. Tambien se determinó el costo de operación del proyecto, que está compuesto por los costos de administración y mantenimiento, los cuales implica el funcionamiento del laboratorio en el ámbito universitario. Ademas se cuantifico los ingresos del proyecto considerando el aporte al laboratorio y la participación de la demanda potencial del proyecto.
Finalmente con toda la información de los costos de inversión y operación se determinó la viabilidad del proyecto mediante el análisis de Costo – Eficiencia, utilizando para ello las Planillas Parametrizadas desarrolladas por el Viceministerio de Inversión Pública y Financiamiento Externo – Bolivia y con ello se cálculo los indicadores en función a la población beneficiada, los cuales son los estudiantes de la Carrera de Ingeniería Industrial. Los indicadores CAEP y CAES de (Operación y Mantenimiento) / Beneficiarios (TOTAL) x Cobertura presentan resultados mayores a cero, concluyéndo que el proyecto es viable y sostenible. Tambien se efectuó el análisis de sensibilidad con base al parámetro: demanda potencial del proyecto. Si disminuye en un 15%, el proyecto aún es sostenible. De la misma manera, si se incrementa en un 15%, el proyecto sigue siendo viable. Por ultimo se identifico la fuente de financiamiento para la implantación del Laboratorio de Manufactura basada en la Industria 4.0, el cual será proveniente de los recursos del Impuesto Directo a los Hidrocarburos (IDH) destinados a la Universidad Mayor de San Simón (UMSS). Pudiendo designarse al proyecto, el cual corresponde a la categoría 1 de Inversión Pública Universitaria: Infraestructura y Equipamiento.
</t>
  </si>
  <si>
    <t>https://drive.google.com/file/d/1bG8L0ds6RApJurmbWlPPfoIRMQ9UYeUR/view?usp=sharing</t>
  </si>
  <si>
    <t>https://drive.google.com/file/d/1KLA0w0oam0_pW5bi3Vs5en2yiAA7km9z/view?usp=sharing</t>
  </si>
  <si>
    <t>https://drive.google.com/file/d/1az4SeHiescZyzzInZ2jppYFMGJYm_772/view?usp=sharing</t>
  </si>
  <si>
    <t>ESCOBAR PARRAGA  ADRIANA MARLENE</t>
  </si>
  <si>
    <t>MATERIAL DE APOYO DIDÁCTICO PARA EL APRENDIZAJE DE LA ASIGNATURA PROCESOS INDUSTRIALES II</t>
  </si>
  <si>
    <t>I-2021</t>
  </si>
  <si>
    <t>adriescoparraga@gmail.com</t>
  </si>
  <si>
    <t>IND-1140-2021</t>
  </si>
  <si>
    <t>Procesos Industriales, Diagrama de Operaciones, Industria, Material de Apoyo Didáctico, Procesos Productivos</t>
  </si>
  <si>
    <t xml:space="preserve">El Material de Apoyo Didáctico dearrollado para la asignatura Procesos Industriales II aportará  al  perfil  del  Ingeniero  Industrial  con conocimientos básicos de los sistemas de producción y fabricación de manera que este tenga la  capacidad  para plantear técnicas en la solución de problemas de los procesos de producción, a nivel básico y  medio. 
Asi tambien el estudiante tendrá competencias para supervisar y coordinar proyectos en el área de producción, diagnosticando y proponiendo soluciones para el mejoramiento de los mismos, buscando aumentar la productividad y competitividad.  Los procesos industriales están relacionados con: sistemas de manufactura, procesos de fabricación, higiene y seguridad industrial, planeación y diseño de instalaciones, ingeniería económica, ergonomía, ingenierías tales como: eléctrica, mecatrónica, química, entre muchas otras. 
En la elaboración del Material de Apoyo de la Asignatura Procesos Industriales II, se desarrollaron distintos procesos industriales que no son ajenos en nuestro medio, es decir que existen plantas industriales establecidas que desarrollan sus actividades y operaciones en nuestro medio. Ahí la importancia de la elaboración del Material de Apoyo para la Asignatura Procesos Industriales II.
La metodología empleada es la siguiente, inicialmente se recopilo información sobre los contenidos que se deben cursar en la presente asignatura, posteriormente se desarrollo la recolección de la información del contenido teórico que debe tener cada unidad y así tambien todos procesos industrials relacionados. Se desarrollo diagram de procesos que faciliten al aprendizaje del estudiante. Además se complementó con información referente a la industria en Bolivia 
</t>
  </si>
  <si>
    <t>https://drive.google.com/file/d/14ZAXwDLYK2EXR1bsDyNPjZv316dF5LO5/view?usp=sharing</t>
  </si>
  <si>
    <t>https://drive.google.com/file/d/1xGTmTyngUCeD2UqLAiMdp_5C_vswKxuU/view?usp=sharing</t>
  </si>
  <si>
    <t>https://drive.google.com/file/d/1wc6RsCW2fZTfRTToAZgSzREkb5Mv5C8p/view?usp=sharing</t>
  </si>
  <si>
    <t>BENAVIDES ARANCIBIA FERNANDA JHANDIRA</t>
  </si>
  <si>
    <t>DISEÑO DE UN PLAN ESTRATÉGICO PARA LA EMPRESA FRUTIJUGO 
EN EL DEPARTAMENTO DE COCHABAMBA PERIODO 2020-2024</t>
  </si>
  <si>
    <t>IND-1141-2021</t>
  </si>
  <si>
    <t>DISEÑO DE UN PLAN ESTRATÉGICO PARA LA EMPRESA FRUTIJUGO EN EL DEPARTAMENTO DE COCHABAMBA PERIODO 2020-2024</t>
  </si>
  <si>
    <t xml:space="preserve">Para poder realizar el presente proyecto, se recurrió tanto a información interna como externa de la empresa para conocer la situación actual del rubro y el mercado en el cual se encuentra la empresa. Por medio de Focus Group y reuniones con todos los miembros de la empresa (fijos y pasantes) se expuso y definió el Marco Estratégico del presente Plan, partiendo de las matrices PESTAL, EFI y EFE de las cuales se puede afirmar, para que FRUTIJUGO (y cualquier empresa) logre crecer y luego mantenerse en el mercado, se necesita una calidad constante, innovación en los productos y servicios, campañas publicitaras intensas y estudios de mercado correctos. Según los resultados obtenidos en las matrices, se concluye que la empresa está expuesta a más amenazas que oportunidades, las cuales pueden afectar el crecimiento y desarrollo de la misma, sin embargo, existen otros elementos que pueden ser considerados como oportunidades para la empresa, siempre y cuando se las emplee de manera correcta.
Para el análisis interno primero se procedió con el levantamiento de proceso o procesos que limitaban a la empresa, revisando los factores críticos de cada proceso acompaño de sus indicadores que nos median el nivel de cumplimiento según lo requerido. Como proceso más limitante del sistema se tiene a DIRECCIÓN. En lo que respecta a la productividad Total de la empresa, ésta es de 50% con lo cual se califica a FRUTIJUGO como NO ACEPTABLE. 
Se destaca las siguientes fortaleces de la empresa; la calidad en los productos, materia prima e insumos y libre de deudas bancarias. Como así se observa ciertas debilidades y una de las cuales es; débil imagen en el mercado, que generan ventas bajas y al mismo tiempo el desconociendo como una posible fuente laboral, por lo cual, no se cuenta con una estructura administrativa organizada siendo así que puestos claves están siendo ocupados por pasantes o estudiantes egresados.
Por medio de la Investigación de Mercado, el objetivo principal que se tiene es segmentar nuestro mercado, al ser una micro empresa que aún está ingresando al mercado lo ideal es tener nuestro Target definido, conociendo que necesidades buscan satisfacer, ciertas conductas que pueden ser clasificadas.
Teniendo la información tanto interna y externa de la empresa, se procedió con la formulación de la misión, visión, objetivos y valores de la empresa, los mismos que fueron expuestos y debatidos en una reunión con todos los miembros de la empresa, siendo la dueña y mi persona encargadas de la misma. De esta manera se pudo socializar con todos sobre el presente proyecto, cosa que ellos estén al tanto de dicho trabajo. Posteriormente, mediante la auditoria de los Puntos Críticos del Éxito, se evalúo el grado y calidad de cumplimiento de las tareas gerenciales esenciales.
Las matrices EFI, EFE y el perfil competitivo, nos permitieron realizar el análisis que se sostiene en el FODA, precisando las estrategias sobre las que se basa la propuesta de desarrollo de la empresa FRUTIJUGO, jugos 100% fruta en el mercado cochabambino. Teniendo las estrategias de la matriz FODA, se procedió a armar la matriz de objetivos estratégicos, la cual permite denotar el enfoque sistémico de las distintas estrategias planteadas, ya que permite ver cómo estas contribuyen al cumplimiento de los objetivos planteados para la empresa Frutijugo. Después de haber realizado las diferentes matrices, las cuales nos permitieron concluir el tipo de estrategias que se debe implementar para la empresa FRUTIJUGO, se recomienda seguir las estrategias de: mantener y retener el mercado, es decir, buscando mayor participación en el mercado por medio de publicidad masiva con el fin de aumentar el margen de ventas, con la mejora y/o modificación de los productos.
Habiendo realizado un análisis interno y un análisis externo de la empresa, se encontró algunas deficiencias en el nivel jerárquico y la división de las funciones, para lo cual se diseña un nuevo organigrama funcional para la empresa con la finalidad de mejorar el desempeño de todos los miembros dentro de la organización. La propuesta del organigrama fue realizado considerando los procesos que tiene la empresa pero sin tener una estructura definida que limita ciertas funciones que debe cumplir cada puesto de trabajo.
Habiendo analizado cada proceso se determinó que la empresa necesita capacitar a su personal de Ventas, específicamente al Supervisor de Ventas, para poder desarrollar ciertas competencias velando por el cumplimiento de los Objetivos de la Organización teniendo en cuenta que es la primera impresión que tienen los clientes de la empresa.
Para finalizar se recomienda a la empresa mantener sus Estados Financieros documentados y en orden, facilitando el manejo de los recursos monetarios con los qu
</t>
  </si>
  <si>
    <t>https://drive.google.com/file/d/1lOOdYHP0fqEqIqTkrvW_sbTK0cA9bFr5/view?usp=sharing</t>
  </si>
  <si>
    <t>https://drive.google.com/file/d/1wTtATTx8EtJFJ0bTpbga2eiZHG_tcT-c/view?usp=sharing</t>
  </si>
  <si>
    <t>https://drive.google.com/file/d/1AU8rBhOALdodI1Vdmj1iuDCi6hibD8Qz/view?usp=sharing</t>
  </si>
  <si>
    <t>ARIAS CHOQUE  CLAUDINA</t>
  </si>
  <si>
    <t>PLANIFICACIÓN Y CONTROL DE LA PRODUCCIÓN PARA LA EMPRESA FADESA METAL S.R.L.</t>
  </si>
  <si>
    <t>arias.c0206@gmail.com</t>
  </si>
  <si>
    <t>IND-1142-2021</t>
  </si>
  <si>
    <t>Empresa Fadesa Metal, Empresa metalmecánica, Modelo, Planeación de la producción, Proceso productivo, Mecanismos de control, Registros.</t>
  </si>
  <si>
    <t xml:space="preserve">La planificación y control de la producción que se desarrolló para la empresa FADESA METAL S.R.L. tomó como iniciativa disponer de un modelo planificación y el control del proceso productivo adaptable para cada uno de los tipos de productos genéricos de la empresa. Donde se brindó las herramientas necesarias que sustenten la mejora del proceso haciendo referencia a la variabilidad de los distintos tipos de productos.
La metodología que se usó para en el desarrollo del proyecto se basó en los diferentes modelos de uso en cada fase de realización, este mismo el cual correspondía a los distintos objetivos planteados para el proyecto. Donde se inició con recopilación de información y a posterior para así obtener la estructura correcta para el modelo de planificación y control de la producción. Estas metodologías que se usaron en el desarrollo fueron desde herramientas básicas de análisis de diagnósticos con FODA para la selección de Estrategias, pronósticos de promedios móviles, gráficas y diagramas de Pareto en cuanto a la verificación de priorizar los distintos productos de la empresa, de planificación como diagramas Gantt, CPM, con reclamación de datos de información de tiempo de fabricación, costos de mano de obra (operarios), materiales, equipos y herramientas.
Para el caso de la secuencia de control en general se trabajó, con procedimientos explicados de cada área a través de diagramas de flujo de los distintos procesos productivos. De esta forma se verificó que los distintos procesos de producción indicaran sus flujogramas descriptivos de sus actividades, sus mecanismos de control a través de sistemas de indicadores y de está forma los registros que acompañan a los procesos. Si bien se trabajó en base al proceso productivo, cabe recordar que los tipos de producción de la empresa son distintos unos de otros por lo cual se tomó en cuenta enfocarse en el trabajo mas amplio y de mayor tamaño que la empresa realiza, es por eso que gracias a los datos obtenidos de los campamientos móviles metálicos, se logró realizar un adecuado modelo de control de la producción, que no solamente se enfoque en un tipo de producción, si no mas bien en la adaptación a los distintos productos, trabajos que la empresa realiza. De esta manera se logra entender que este modelo y los distintos modelos de caca punto descrito en el proyecto de grado, sirve para que pueda adaptarse a los acontecimientos que surjan en la empresa en el área de producción. Garantizando que los trabajos sean aceptados por los clientes y abrirse al crecimiento del mercado
Entonces una continuando con lo que se realizó en le trabajo, a este modelo se le incluyo puntos clave no solo al área de producción como la distribución en planta y la programación de mantenimiento preventivo, si no también se logró realizar un modelo de la Administración de la producción que el mismo con el objetivo de que la implementación resulte de manera mas sencilla, con los puntos ya desarrollados del modelo.
Por último, cabe recordar que el desarrollo de proyecto de grado, contiene el modelo de análisis de relación de benéfico costo, el cual fue realizado justamente para distintas gestiones. Este modelo se trabajó con las distintas ecuaciones formuladas a través del lo datos básicos que esta nos permite desarrollar.
</t>
  </si>
  <si>
    <t>https://drive.google.com/file/d/15S8mu6SYeLLCAqB-JhXqP7g1XQBpqNW5/view?usp=sharing</t>
  </si>
  <si>
    <t>https://drive.google.com/file/d/1ChvpUICrjJ6Co21RWhOEvmW3EW8_JVZO/view?usp=sharing</t>
  </si>
  <si>
    <t>https://drive.google.com/file/d/1NedoZGautVE7UOz0jkmUgjLHAzlJ889a/view?usp=sharing</t>
  </si>
  <si>
    <t>CLAUDIA CANDI RICALDEZ GARCIA</t>
  </si>
  <si>
    <t>ING. MSC. OMAR CARDENAS VENEGAS</t>
  </si>
  <si>
    <t>ELABORACIÓN DE UN PLAN DE HIGIENE, SEGURIDAD OCUPACIONAL Y BIENESTAR PARA LA EMPRESA PRE PIZZAS LA ROSA</t>
  </si>
  <si>
    <t>clauc_2021@hotmail.com</t>
  </si>
  <si>
    <t>IND-1143-2021</t>
  </si>
  <si>
    <t>Pre Pizzas La Rosa, Higiene y Seguridad, Evaluación General de Riesgos, Programas y Procedimientos</t>
  </si>
  <si>
    <t xml:space="preserve">El factor humano es esencial en cualquier sistema de trabajo que se quiera desarrollar, el conocimiento que tengan los trabajadores sobre los riesgos producidos por las condiciones laborales es un factor determinante, por lo que se hace necesario identificarlos, evaluarlos y tomar acciones correctivas para disminuirlos o eliminarlos, tanto como sea posible.
La empresa Pre Pizzas LA ROSA ve necesario la elaboración de un plan de higiene, seguridad ocupacional y bienestar como herramienta, que permita mejorar las condiciones de trabajo y controlar el desempeño de su recurso humano.
Primeramente, se realizó el diagnóstico de toda la empresa, planta de producción y almacenes utilizando el método check list según exigencias del decreto ley N° 16998, para determinar en qué estado se encontraba la empresa respecto a seguridad y salud ocupacional.
Con los datos recabados se procedió a la identificación de peligros y evaluación de riesgos con la ayuda del método de la Matriz IPERC (Identificación de Peligros, Evaluación de Riesgos y Medidas de Control), los riesgos Alto son los que deben ser eliminados o reducidos con un nivel de prioridad mayor, es por eso que se deben proponer acciones correctivas; planteadas en programas y procedimientos de Seguridad y Salud Ocupacional (programa de gestión de riesgos, programa de dotación de EPP, programa de establecimiento de señalización, programa de capacitación, manual de primeros auxilios, estudio de carga de fuego, programa de sanitización, procedimiento de trabajo y sensibilización en materia de seguridad). 
  Se determinó el costo total para la implementación del plan de seguridad; y los Beneficios calculando, las indemnizaciones costos directos en el que incurriría la empresa de acuerdo a la magnitud de incapacidad que se produzca.
</t>
  </si>
  <si>
    <t>https://drive.google.com/file/d/14FRjNcHqdD7PkprcVsi8nxVq1W45bjG5/view?usp=sharing</t>
  </si>
  <si>
    <t>https://drive.google.com/file/d/1L5AxXzZQtzNoO921SkAcClUAK9F1zlXq/view?usp=sharing</t>
  </si>
  <si>
    <t>https://drive.google.com/file/d/1Kf3P5Ik5sRlS1OrDG2Jr_yq_KxRSA7Jq/view?usp=sharing</t>
  </si>
  <si>
    <t>DELGADILLO ARISPE ROLANDO</t>
  </si>
  <si>
    <t>MAMANI APAZA  JUAN CARLOS</t>
  </si>
  <si>
    <t>ING. ANDRADE CALICHO ISMAEL</t>
  </si>
  <si>
    <t>ESTUDIO DE FACTIBILIDAD PARA LA PRODUCCIÓN Y COMERCIALIZACIÓN DE CAFÉ DEL FRUTO
                  DE CHAÑAR EN EL EJE METROPOLITANO DE COCHABAMBA</t>
  </si>
  <si>
    <t>rolandodelgadilloarispe@gmail.com</t>
  </si>
  <si>
    <t>IND-1144-2021</t>
  </si>
  <si>
    <t>Producción y comercialización, eje metropolitano de Cochabamba  industrialización de productos nativos, materiales e insumos de fabricación, investigación, INE proveedores de materia, diagrama de flujo de procesos, proceso productivo y tecnología definida,   ubicación de la producción.</t>
  </si>
  <si>
    <t xml:space="preserve">El presente proyecto tiene como objetivo general, desarrollar un estudio de factibilidad para la producción y comercialización de café del fruto de Chañar en el eje metropolitano de Cochabamba, mediante un análisis técnico, administrativo, comercial y financiero, como respuesta a la necesidad de los consumidores. 
Se realizará un estudio de mercado para determinar la demanda y la oferta del producto, así como el plan de comercialización. De la misma manera se hará un estudio para el abastecimiento de la materia prima, la ubicación y emplazamiento de la planta de producción, definir el proceso productivo, infraestructura y la tecnología adecuada, también se debe desarrollar una estructura organizacional para definir los recursos humanos que requiere el proyecto, se determinara la factibilidad económica financiera con diferentes indicadores de rentabilidad y finalmente, estimar posibles impactos ambientales.
Como unidades de análisis serán las familias del eje metropolitano de Cochabamba, tanto para el abastecimiento de la materia prima, como también la ubicación de la planta.
Para la recolección de información se acudirá a diferentes fuentes y empresas, principalmente el INE Instituto Nacional de Estadísticas. Se realizará encuestas y entrevistas a la población objetivo, por otra parte, se consultará internet, catálogos, artículos científicos, cotizaciones para la tecnología y equipamiento.
Algunas técnicas para el análisis como ser: muestreo y tabulación de datos para la determinación de la demanda y oferta del producto, promedios ponderados para la ubicación de la planta, diagrama de flujo de procesos para la definición del proceso productivo, organigrama y evaluación de puestos para la estructura organizacional. 
Finalmente se realizará un estudio económico financiero proyecto, este estudio considera diferentes elementos para lograr determinar la rentabilidad sobre las inversiones del proyecto, en base a criterios de evaluación, los criterios de evaluación más utilizados son: TIR, VAN y B/C.
Con todas las herramientas empleados en el proyecto, se obtendrán resultados como ser: la demanda del café de Chañar y la aceptación en el mercado, principales proveedores de la materia prima, ubicación de la producción del café de Chañar, proceso productivo y tecnología definida, organigrama de la empresa y funciones de cada uno de ellos, inversión, costos e ingresos y finalmente, grado y porcentaje de impacto ambiental. 
</t>
  </si>
  <si>
    <t>https://drive.google.com/file/d/1MJ76GyoSQKMMeyFXrap8HNv6AyJIepHU/view?usp=sharing</t>
  </si>
  <si>
    <t>https://drive.google.com/file/d/1CelRahSSOpj43fqURMx5jQmXLVq1iTJX/view?usp=sharing</t>
  </si>
  <si>
    <t>https://drive.google.com/file/d/1bTdzZ742H5O_i_iNUymlN8C5d8T4_VCr/view?usp=sharing</t>
  </si>
  <si>
    <t>Usuario</t>
  </si>
  <si>
    <t>Nombre de tesis</t>
  </si>
  <si>
    <t>Categoria tesis</t>
  </si>
  <si>
    <t>Fecha</t>
  </si>
  <si>
    <t>dagner5959@gmail.com </t>
  </si>
  <si>
    <t>PROYECTO DE FACTIBILIDAD PARA LA IMPLEMENTACIÓN DE UNA PLANTA PRODUCTORA DE SALSA DE PALTA PARA EL MERCADO COCHABAMBINO.</t>
  </si>
  <si>
    <t>ruthfernandez1719@gmail.com </t>
  </si>
  <si>
    <t>ESTUDIO DE FACTIBILIDAD PARA LA “APERTURA DE GABINETES DE NUTRICION Y VENTA DE PRODUCTOS SALUDABLES”.</t>
  </si>
  <si>
    <t>ruthfernandez1719@gmail.com</t>
  </si>
  <si>
    <t>ESTUDIO DE FACTIBILIDAD TECNICO, ECONOMICO Y FINANCIERO PARA DESARROLLAR LOS SISTEMAS DE PRODUCCION HIDROPONICOS PARA EL CULTIVO DE FLORES EN TIQUIPAYA</t>
  </si>
  <si>
    <t>graciela.guevara.gonzales@gmail.com </t>
  </si>
  <si>
    <t>PLANIFICACION Y CONTROL DE LA PRODUCCION</t>
  </si>
  <si>
    <t>graciela.guevara.gonzales@gmail.com</t>
  </si>
  <si>
    <t>DISEÑO E IMPLEMENTACIÓN DE UN MANUAL DE PROCEDIMIENTOS PARA LA EMPRESA SERING S.R.L</t>
  </si>
  <si>
    <t>DESARROLLO DE UN SISTEMA DE GESTION DE CALIDAD BASADO
EN LA NORMA ISO 9001:2008 EN EL PROCESO DE PRODUCCIÓN
PARA LA EMPRESA “CERÁMICA RÍO GRANDE S.A.”</t>
  </si>
  <si>
    <t>mariaeva123abc@gmail.com </t>
  </si>
  <si>
    <t>INGENIERÍA DE MÉTODOS APLICADA A LA INDUSTRIA DE LA CERÁMICA ROJA</t>
  </si>
  <si>
    <t>INGENIERIA DE METODOS</t>
  </si>
  <si>
    <t>ELABORACIÓN DE UN MANUAL DE PROCEDIMIENTOS BASADO EN EL MODELO DE GESTIÓN POR PROCESOS PARALA PLANTA ENGARRAFADORA DE YPFB-VALLEHERMOSO COCHABAMBA</t>
  </si>
  <si>
    <t>OPTIMIZACION DEL PROCESO DE MOLIENDA DE ENGOBES Y ESMALTES PARA “CERAMICAS COBOCE.”</t>
  </si>
  <si>
    <t>OPTIMIZACION</t>
  </si>
  <si>
    <t>MODELO DE PLANIFICACION Y CONTROL DE LA PRODUCCION PARA INDUSTRIAS LUJAN S. R. L.</t>
  </si>
  <si>
    <t>arias.c0206@gmail.com </t>
  </si>
  <si>
    <t>jhonnatenorio@gmail.com</t>
  </si>
  <si>
    <t>caroalvv@gmail.com</t>
  </si>
  <si>
    <t>CONTROL ESTADÍSTICO DE CALIDAD EN LA EMPRESA PLABOL</t>
  </si>
  <si>
    <t>DISEÑO DE UN SISTEMA INTEGRADO DE GESTION EN BASE A LAS NORMAS NB ISO 9001:2015 Y NB OSHAS 18001:2007 PARA LA EMPRESA METALCI S.A.</t>
  </si>
  <si>
    <t>PROGRAMA DE PLANIFICACIÓN PARA LOGÍSTICA Y PRODUCCIÓN EN LA PLANTA HORMIGONERA DE COBOCE HORMIGÓN</t>
  </si>
  <si>
    <t>ESTUDIO DE FACTIBILIDAD TECNICA Y ECONOMICA PARA LA INSTALACION DE UNA LINEA DE PRODUCCION DE TOMATE HIDROPONICO PARA LA “EMPRESA IITAM-PEACH COCHABAMBA”</t>
  </si>
  <si>
    <t>ESTUDIO DE FACTIBILIDAD TECNICA Y FINANCIERA PARA PRODUCIR ALCOHOL CARBURANTE A PARTIR DE CAÑA DE AZUCAR</t>
  </si>
  <si>
    <t>ESTUDIO DE FACTIBILIDAD PARA LA INSTALACION DE UNA PLANTA DE ENVASADO DE TÉ, PARA LA INDUSTRIA “AGROTE”</t>
  </si>
  <si>
    <t>PLAN DE CAPACITACIÓN EN SEGURIDAD INDUSTRIAL PARA LA
EMPRESA EMBOL S.A.</t>
  </si>
  <si>
    <t>IDENTIFICACIÓN Y EVALUACIÓN DE RIESGOS LABORALES PARA LA EMPRESA DE SERVICIO MUNICIPAL DE AGUA POTABLE Y ALCANTARILLADO SEMAPA</t>
  </si>
  <si>
    <t>ESTUDIO DE FACTIBILIDAD PARA LA IMPLEMENTACIÓN DE UNA PLANTA PRODUCTORA DE ABONO VEGETAL A PARTIR DE RESIDUOS SÓLIDOS EN EL RELLENO SANITARIO DEL MUNICIPIO DE SACABA</t>
  </si>
  <si>
    <t>ESTUDIO DE FACTIBILIDAD TÉCNICO – ECONÓMICO PARA LA
FABRICACIÓN DE CEMENTO COLA</t>
  </si>
  <si>
    <t>ESTUDIO DE FACTIBILIDAD PARA LA IMPLEMENTACION DE
UN CRIADERO DE GANADO PORCINO</t>
  </si>
  <si>
    <t>FACTIBILIDAD TÉCNICA-FINANCIERA PARA LA INSTALACIÓN
DE UNA PLANTA PILOTO DE COLORANTES NATURALES EN EL
CENTRO DE TECNOLOGÍA AGROINDUSTRIAL</t>
  </si>
  <si>
    <t>ESTUDIO DE FACTIBILIDAD PARA LA IMPLEMENTACIÓN DE
UNA PLANTA PRODUCTORA DE ABONO VEGETAL A PARTIR
DE RESIDUOS SÓLIDOS EN EL RELLENO SANITARIO DEL
MUNICIPIO DE SACABA</t>
  </si>
  <si>
    <t>PROYECTO DE FACTIBILIDAD PARA LA PRODUCCIÓN DE TEJAS A PARTIR DE
LLANTAS RECICLADAS EN COCHABAMBA</t>
  </si>
  <si>
    <t>INNOVACIÓN EN EL DISEÑO Y LA CONSTRUCCIÓN DE HORNOS
PARA OPTIMIZAR EL PROCESO DE TOSTACIÓN DE MANÍ EN
VAINA</t>
  </si>
  <si>
    <t>ESTUDIO DE FACTIBILIDAD PARA LA PRODUCCIÓN
DE HUEVO Y CARNE DE CODORNIZ EN LA CIUDAD
DE SANTA CRUZ DE LA SIERRA</t>
  </si>
  <si>
    <t>PROYECTO DE FACTIBILIDAD PARA LA
IMPLEMENTACIÓN DE UNA PLANTA PROCESADORA DE
JUGOS DE NARANJA, PIÑA Y MARACUYÁ A SER
COMERCIALIZADAS COMO DESAYUNO ESCOLAR</t>
  </si>
  <si>
    <t>PROYECTO DE FACTIBILIDAD PARA LA IMPLEMENTACIÓN
DE UNA PLANTA PROCESADORA DE MERMELADA A PARTIR
DE PENCA DE TUNA (OPUNTIA FICUS – INDICA) EN EL
MUNICIPIO DE SANTIVAÑEZ.</t>
  </si>
  <si>
    <t>PROYECTO DE FACTIBILIDAD PARA LA IMPLEMENTACIÓN DE
UNA PLANTA PROCESADORA DE PULPA DE ASAÍ PARA LA
ELABORACIÓN DE JUGO EN EL DEPARTAMENTO DE
COCHABAMBA</t>
  </si>
  <si>
    <t>ESTUDIO DE FACTIBILIDAD PARA LA INSTALACIÓN DE
UNA PLANTA INDUSTRIALIZADORA DE ARVEJA EN LA
CIUDAD DE COCHABAMBA</t>
  </si>
  <si>
    <t>mariaeva123abc@gmail.com</t>
  </si>
  <si>
    <t>ESTUDIO DE UN SISTEMA DE GESTIÓN DE LA CALIDAD  PARA  LA IMPLEMENTACIÓN  DE LA  NORMA ISO 9001: 2000 EN LA EMPRESA “IRBA LTDA.”</t>
  </si>
  <si>
    <t>DISEÑO DE UN SISTEMA DE GESTIÓN Y ASEGURAMIENTO DE LA CALIDAD DE LOS RESULTADOS DE CALIBRACIÓN, MEDICIÓN Y ENSAYO PARA EL LABORATORIO DE CALIBRACIÓN DEL LAB S.A. EN CONFORMIDAD A LA NORMA ISO/IEC 17025</t>
  </si>
  <si>
    <t>DISEÑO DE UN SISTEMA DE GESTIÓN DE CALIDAD PARAPLANTA PILOTO DEL CENTRO DE TECNOLOGÍA
AGROINDUSTRIAL EN BASE A LA NORMA
ISO 9001:2000</t>
  </si>
  <si>
    <t>IMPLEMENTACIÓN DE UN SISTEMA DE GESTIÓN DE LA CALIDAD EN BASE A LA NORMA ISO 9001:2000 EN LOS
PROCESOS: PRODUCCIÓN DE PRETENSADOS, PLASTOFORM Y
CONTROL DE LA CALIDAD EN LA EMPRESA
I.S.S.A. - CONCRETEC”</t>
  </si>
  <si>
    <t>DISEÑO DE UN SISTEMA DE GESTIÓN DE CALIDAD
BASADO EN LA NORMA ISO 9001:2008
PARA EL ÁREA DE PRODUCCIÓN DEL PDTF</t>
  </si>
  <si>
    <t>SISTEMA DE CONTROL DE CALIDAD DE PRODUCTO
TERMINADO DE INCERPAZ</t>
  </si>
  <si>
    <t>MODELO DE GESTIÓN OSHA PARA LA PLANTA DE
COBOCE - CERAMICA.”</t>
  </si>
  <si>
    <t>DESARROLLO DE UN SISTEMA DE CONTROL DE CALIDAD
BASADO EN LAS NORMAS NB–1211001 (LADRILLOS
CERÁMICOS– CLASIFICACIÓN Y REQUISITOS) Y NB–1211002
(LADRILLOS CERÁMICOS-MÉTODOS DE ENSAYO) PARA LA
EMPRESA “COBOCE CERAMIL”</t>
  </si>
  <si>
    <t>ACTUALIZACIÓN DEL SISTEMA
DE GESTIÓN DE LA CALIDAD DE LA EMPRESA
INCERCO LTDA. BAJO LOS REQUISITOS
DE LA NB/ISO 9001:2008 A LA NB/ISO 9001:2015</t>
  </si>
  <si>
    <t>DISEÑO DE UN SISTEMA DE GESTIÓN AMBIENTAL
PARA EL GRUPO EMPRESARIAL VALENCIA
SEGÚN LA NORMA ISO 14001:2004</t>
  </si>
  <si>
    <t>DISEÑO DE UN SISTEMA DE GESTIÓN DE LA CALIDAD
BASADO EN LA NORMA ISO 9001 VERSIÓN 2008 PARA
INDUSTRIAS LACTEAS DEL VALLE ALTO “ILVA S.R.L.”</t>
  </si>
  <si>
    <t>DISEÑO DE UN SISTEMA DE GESTION AMBIENTAL
BASADO EN LA NORMA ISO 14001:2004
PARA IMPABOL S.R.L.</t>
  </si>
  <si>
    <t>DISEÑO DE UN SISTEMA INTEGRADO DE GESTION BASADO EN
OHSAS 18001:2003 E ISO 14001:2004 PARA LA PLANTA DE ENVASES
PLASTICOS “PILPLAST” DE PIL ANDINA S.A.</t>
  </si>
  <si>
    <t>ELABORACIÓN MANUAL DEL SISTEMA INTEGRADO DE
GESTIÓN PARA LA EMPRESA MITBOL S.R.L. EN BASE A
NORMAS ISO 9001, ISO 14001 Y OHSAS 18001</t>
  </si>
  <si>
    <t>DISEÑO DE UN SISTEMA INTEGRADO DE GESTION EN BASE A
LAS NORMAS NB ISO 9001:2015 Y NB OSHAS 18001:2007 PARA
LA EMPRESA METALCI S.A.</t>
  </si>
  <si>
    <t>PROGRAMA DE PREVENCIÓN EN MATERIA
DE GESTIÓN DE SEGURIDAD E HIGIENE
INDUSTRIAL PARA LA FABRICA
DE CERÁMICA “COBOCE” LTDA.</t>
  </si>
  <si>
    <t>DISEÑO DEL SISTEMA DE SEGURIDAD
INDUSTRIAL E HIGIENE OCUPACIONAL EN
INBOLTECO S.A.</t>
  </si>
  <si>
    <t>PLAN DE SEGURIDAD E HIGIENE INDUSTRIAL PARA
COBOCE-CERAMIL</t>
  </si>
  <si>
    <t>amilkar2777@gmail.com</t>
  </si>
  <si>
    <t>DISEÑO DE UN SISTEMA DE GESTIÓN DE CALIDAD BASADO EN LA NORMA BOLIVIANA ISO 9001/2015 PARA LA EMPRESA
ISOFORTE S.R.L.</t>
  </si>
  <si>
    <t>alvarez.1996ely@gmail.com </t>
  </si>
  <si>
    <t>ESTUDIO TÉCNICO FINANCIERO PARA LA
IMPLEMENTACIÓN DE UNA PLANTA PROCESADORA DE
MERMELADA Y NÉCTAR DE CAMU CAMU (MYRCIARIA
DUBIA) EN EL TRÓPICO DE COCHABAMBA</t>
  </si>
  <si>
    <t>alfredopericon.b@fcyt.umss.edu.bo</t>
  </si>
  <si>
    <t>DISEÑO DE UN SISTEMA DE GESTIÓN DE SEGURIDAD Y SALUD
EN EL TRABAJO EN BASE A LA ISO 45001 PARA EL COMITÉ
NACIONAL DE DESPACHO DE CARGA – CNDC</t>
  </si>
  <si>
    <t>DISEÑO DE UN PLAN DE SEGURIDAD Y SALUD OCUPACIONAL
BASADO EN LA NORMA NB/ISO 45001: 2018 PARA
“MAESTRANZA FUNDICION QUILLACOLLO – MAFUQUI”</t>
  </si>
  <si>
    <t>DISEÑO DE UN PLAN DE SEGURIDAD E HIGIENE INDUSTRIAL
PARA LA EMPRESA METALMECÁNICA INPROCO S.R.L.</t>
  </si>
  <si>
    <t>vtf28love@gmail.com</t>
  </si>
  <si>
    <t>PROYECTO DE FACTIBILIDAD PARA LA INSTALACION DE
UNA PLANTA PRODUCTORA DE “CEREALES A BASE DE
QUINUA” DIRIGIDO AL MERCADO DE COCHABAMBA</t>
  </si>
  <si>
    <t>PROYECTO DE FACTIBILIDAD DE PRODUCCION DE CEREALES EXTRUIDOS PARA DESAYUNO EN LA REGION ANDINA DEL DEPARTAMENTO DE COCHABAMBA</t>
  </si>
  <si>
    <t>ESTUDIO DE FACTIBILIDAD PARA LA INSTALACION DE UNA
LÍNEA PROCESADORA DE CEREALES EXTRUIDOS PARA LA
EMPRESA PATUJÚ DEL CLUSTER DE ALIMENTOS</t>
  </si>
  <si>
    <t>DISEÑO DE UN SISTEMA DE CONTROL DE CALIDAD DE LA MATERIA
PRIMA EN “ILVA”</t>
  </si>
  <si>
    <t>MODELO DE CONTROL ESTADÍSTICO DE CALIDAD
EN BASE A SOFTWARE MINITAB PARA EL PROCESO DE
FABRICACIÓN DE LA MUNICIÓN 7.62 X 51 MM.
DE LA “FABRICA BOLIVIANA DE MUNICIÓN”</t>
  </si>
  <si>
    <t>DISEÑO DE UN SISTEMA INTEGRADO DE GESTIÓN PARA LA
EMPRESA METALMECÁNICA MOPAR S.A. BASADO EN LAS
NORMAS ISO 14001:2004 – OHSAS 18001:2007</t>
  </si>
  <si>
    <t>201704768@est.umss.edu</t>
  </si>
  <si>
    <t>PROYECTO DE FACTIBILIDAD PARA LA IMPLEMENTACIÓN DE
UNA PLANTA DE ELABORACIÓN DE HARINA DE VÍSCERAS DE
POLLO</t>
  </si>
  <si>
    <t>INVESTIGACIÓN PARA LA PRODUCCIÓN DE HARINA DE HOJA
DE COCA</t>
  </si>
  <si>
    <t>fernandaseveriche456@gmail.com</t>
  </si>
  <si>
    <t>DISEÑO DE UN SISTEMA DE GESTIÓN DE CALIDAD BASADO EN LA
NORMA BOLIVIANA ISO 9001/2015 PARA LA EMPRESA
ISOFORTE S.R.L.</t>
  </si>
  <si>
    <t>DISEÑO E IMPLEMENTACIÓN DE UN SISTEMA DE GESTIÓN DE CALIDAD ISO 9001:2015 PARA EL ÁREA DE PRODUCCIÓN DE EPS
PARA LA EMPRESA TECNOPOR S.A. – REGIONAL COCHABAMBA</t>
  </si>
  <si>
    <t>DISEÑO E IMPLEMENTACIÓN DE UN SISTEMA DE GESTIÓN DE LA CALIDAD BASADO EN LA NORMA BOLIVIANA NB/ISO 9001:2008
PARA LA EMPRESA MOBLEFINO</t>
  </si>
  <si>
    <t>PROYECTO DE FACTIBILIDAD PARA LA IMPLEMENTACIÓN DE UNA PLANTA PRODUCTORA DE HAMBURGUESAS DE QUINUA
EN COCHABAMBA</t>
  </si>
  <si>
    <t>ESTUDIO DE FACTIBILIDAD PARA LA CREACION DE UNA EMPRESA DE VINO DE NARANJA EN LA CIUDAD DE COCHABAMBA</t>
  </si>
  <si>
    <t>201704768@est.umss.edu </t>
  </si>
  <si>
    <t>PROYECTO DE VIABILIDAD PARA LA IMPLEMENTACION DE UNA PLANTA PROCESADORA DE VINO DE UVA EN LA LOCALIDAD DE MIZQUE - COCHABAMBA</t>
  </si>
  <si>
    <t>natalymamani201@gmail.com</t>
  </si>
  <si>
    <t>GESTION ESTRATEGICA BAJO EL ENFOQUE SISTEMICO PARA LA EMPRESA CEAB S.R.L. CENTRO DE ELABORACION DE ALIMENTOS BOLIVIA</t>
  </si>
  <si>
    <t>PROYECTO DE FACTIBILIDAD PARA LA IMPLEMENTACIÓN DE UNA PLANTA PROCESADORA DE MERMELADA DE CAMOTE CON PIÑA EN EL EJE METROPOLITANO DE COCHABAMBA</t>
  </si>
  <si>
    <t>ESTUDIO DE FACTIBILIDAD PARA LA IMPLEMENTACION DE UNA PLANTA PROCESADORA DE ACEITE DE MANÍ EN LA LOCALIDAD MIZQUE</t>
  </si>
  <si>
    <t>ESTANDARIZACIÓN DE TIEMPOS – OPERACIONES Y SEGURIDAD INDUSTRIAL EN LA EMPRESA CÓRDOVA</t>
  </si>
  <si>
    <t>SUGURIDAD INDUSTRIAL</t>
  </si>
  <si>
    <t>alvarez.1996ely@gmail.com</t>
  </si>
  <si>
    <t>PROYECTO DE FACTIBILIDAD PARA LA IMPLEMENTACIÓN DE UNA PLANTA PROCESADORA DE MERMELADA A PARTIR DE PENCA DE TUNA (OPUNTIA FICUS – INDICA) EN EL MUNICIPIO DE SANTIVAÑEZ.</t>
  </si>
  <si>
    <t>jessmaithe@gmail.com</t>
  </si>
  <si>
    <t>DISEÑO PARA LA ACTUALIZACION DEL SISTEMA DE GESTION DE CALIDAD, BAJO LOS REQUERIMIENTOS ESTABLECIDOS EN LA NORMA ISO 9001:2015 EN LA EMPRESA DE SERVICIO DE ENVASADO DE BEBIDAS “SEASA S.A.”</t>
  </si>
  <si>
    <t>DISEÑO DE UN SISTEMA DE GESTIÓN DE CALIDAD PARA LA EMPRESA DELMONTE S.R.L. EN BASE A LA NORMA ISO 9001:2015</t>
  </si>
  <si>
    <t>DISEÑO DEL SISTEMA DE GESTIÓN DE CALIDAD BASADO EN LOS REQUISITOS DE LA NORMA NB/ISO 9001:2008 PARA LA EMPRESA “MAMUT”</t>
  </si>
  <si>
    <t>DISEÑO DE UN SISTEMA DE GESTIÓN DE CALIDAD BASADO EN LA NORMA BOLIVIANA ISO 9001/2015 PARA LA EMPRESA ISOFORTE S.R.L.</t>
  </si>
  <si>
    <t>DESARROLLO DE UN SISTEMA DE GESTION DE CALIDAD BASADO EN LA NORMA ISO 9001:2000 PARA LA LINEA DE PAN MOLDE DE LA EMPRESA “LA FRANCESA”</t>
  </si>
  <si>
    <t>GESTION DE CALIDAD</t>
  </si>
  <si>
    <t>DISEÑO DE UN SISTEMA DE GESTION DE CALIDAD BASADO EN LA NORMA NB-ISO 9001:2008 PARA LA INDUSTRIA PANIFICADORA SAN ANTONIO INPASA</t>
  </si>
  <si>
    <t>DISEÑO DE UN SISTEMA DE ANÁLISIS DE PELIGROS Y DE PUNTOS CRÍTICOS DE CONTROL (HACCP), PARA LA EMPRESA “INDUSTRIA PANIFICADORA INPASA”</t>
  </si>
  <si>
    <t>PROYECTO DE FACTIBILIDAD PARA LA IMPLEMENTACIÓN DE UNA PLANTA PANIFICADORA INDUSTRIAL Y DE REPOSTERÍA EN EL MUNICIPIO DE PUERTO VILLARROEL</t>
  </si>
  <si>
    <t>201602760@est.umss.edu</t>
  </si>
  <si>
    <t>DESARROLLO DE ESTRATEGIAS DE COMPETITIVIDAD BASADOS EN LA GESTIÓN DEL CONOCIMIENTO PARA MYPES TEXTILERAS</t>
  </si>
  <si>
    <t>rodrigozentenomartinez@gmail.com</t>
  </si>
  <si>
    <t>ESTUDIO DEL TRABAJO PARA LA MEJORA DE LA PRODUCCIÓNDE LA FABRICA DE JEANS COTEXCO</t>
  </si>
  <si>
    <t>REESTRUCTURACIÓN DEL ÁREA PRODUCTIVA Y ADMINISTRATIVA DE LA EMPRESA DE CONFECCIONES GARELI JEANS” BAJO UN ENFOQUE DE REINGENIERÍA</t>
  </si>
  <si>
    <t>DISEÑO E IMPLEMENTACIÓN DE UN SISTEMA DE GESTIÓN DE
CALIDAD ISO 9001:2015 PARA EL ÁREA DE PRODUCCIÓN DE EPS
PARA LA EMPRESA TECNOPOR S.A. – REGIONAL COCHABAMBA</t>
  </si>
  <si>
    <t>DISEÑO DE UN SISTEMA DE GESTIÓN DE CALIDAD BASADO EN LA NORMA NB/ISO 9001:2015 PARA LA EMPRESA DE MUEBLES
PERSONALIZADOS “MERAKI” EN LA CIUDAD DE COCHABAMBA</t>
  </si>
  <si>
    <t>MODELO DE GESTIÓN PARA MEJORAR LA SECCIÓN 424 TALLER DE LA LÍNEA DE PRODUCCIÓN DE CALZADOS INDUSTRIALES “MANACO”</t>
  </si>
  <si>
    <t>masiel.suarez.claure1234@gmail.com</t>
  </si>
  <si>
    <t>APLICACION DEL METODO DE ANALISIS DE RIESGOS,IDENTIFICACION Y CONTROL DE PUNTOS CRITICOS (HACCP) EN EL PROCESO DE TRANSFORMACION DE PRODUCTOS LACTEOS EN LA PLANTA PILOTO DE LA FACULTAD DE CIENCIAS AGRICOLAS Y PECUARIAS</t>
  </si>
  <si>
    <t>ESTUDIO DE FACTIBILIDAD PARA LA ELABORACIÓN DE ZUMOS EN LA PLANTA PILOTO DE LA CARRERA DE INGENIERIA INDUSTRIAL DESTINADO AL COMEDOR DE LA UMSS</t>
  </si>
  <si>
    <t>jeraldin2016cbba@gmail.com</t>
  </si>
  <si>
    <t>DISEÑO DE UN SISTEMA DE GESTIÓN DE CALIDAD PARA LA EMPRESA DELMONTE S.R.L. EN BASE A LA NORMA ISO 9001:2016</t>
  </si>
  <si>
    <t>PROPUESTA DE UN MODELO DE MEJORA CONTINUA BASADO EN UN SISTEMA DE GESTIÓN DE CALIDAD SEGÚN NORMA NB-ISO-IEC 17025:2005 PARA LA UNIDAD DE LABORATORIO DE MEDIDAS - LABMED DE ELFEC S.A.”</t>
  </si>
  <si>
    <t>ESTUDIO PARA MEJORAR LA CALIDAD Y LA PRODUCTIVIDAD EN LA EMPRESA NUEVA ERA, CON LA APLICACIÓN DE LAS HERRAMIENTAS DE MANUFACTURA ESBELTA.</t>
  </si>
  <si>
    <t>PLAN PARA LA IMPLEMENTACIÓN DE LAS HERRAMIENTAS DE LA METODOLOGÍA WCM (WORLD CLASS MANUFACTURING) DEL PILAR DE CALIDAD EN LA PLANTA DE DETERGENTES EN POLVO DE UNILEVER ANDINA BOLIVIA S.A.</t>
  </si>
  <si>
    <t>PROPUESTA DE UN MODELO DE MEJORA CONTINUA BASADO EN UN SISTEMA DE GESTIÓN DE CALIDAD SEGÚN NORMA NB-ISO-IEC 17025:2005 PARA LA UNIDAD DE LABORATORIO DE MEDIDAS - LABMED DE
ELFEC S.A.</t>
  </si>
  <si>
    <t>PLAN PARA LA IMPLEMENTACIÓN DE LAS HERRAMIENTAS DE LA METODOLOGÍA WCM (WORLD CLASS MANUFACTURING) DEL PILAR DE CALIDADEN LA PLANTA DE DETERGENTES EN POLVO DE UNILEVER ANDINA BOLIVIA S.A.</t>
  </si>
  <si>
    <t>ESTUDIO PARA LA MEJORA DEL INDICADOR DE MERMA MEDIANTE LA RECUPERACIÓN DE LEVADURA CBN-TAQUIÑA</t>
  </si>
  <si>
    <t xml:space="preserve">INGENIERÍA DE MÉTODOS
</t>
  </si>
  <si>
    <t>moraleszeballosfernanda@gmail.com</t>
  </si>
  <si>
    <t>DISEÑO E IMPLEMENTACIÓN DE LAS BUENAS PRÁCTICAS DE MANUFACTURA EN LA LINEA INDUSTRIAL DE CIA ALIMENTOS FOODS COMPANY S.R.L.</t>
  </si>
  <si>
    <t>DISEÑO DE UN SISTEMA DE GESTION DE LA CALIDAD SEGÚN NORMA NB/ISO 9001:2008 PARA LA LÍNEA FRACCIONAMIENTO DE LA EMPRESA FOODS COMPANY S.R.L.</t>
  </si>
  <si>
    <t>SISTEMA DE GESTIÓN DE SEGURIDAD Y SALUD EN ELTRABAJO BASADO EN LA NORMA NB/ISO 45001:2018 PARA LA EMPRESA COBOCE CERAMIL EN EL PARQUE INDUSTRIAL DE SANTIVAÑEZ PROYECTO DE GRADO, PRESENTADO PARA OPTAR AL DIPLOMADO ACADÉMICO</t>
  </si>
  <si>
    <t>PLAN DE SEGURIDAD INDUSTRIAL Y SALUD EN EL TRABAJO PARA LA EMPRESA
“CONSTRUCTORA WIFERA S.R.L”
SEGÚN NORMA ISO 45001:2016
DE LA CIUDAD DE COCHABAMBA</t>
  </si>
  <si>
    <t>IDENTIFICACIÓN DE PELIGROS, EVALUACIÓN DE RIESGOS Y DETERMINACIÓN DE CONTROLES SEGÚN NORMA OHSAS 18001:2007 PARA ELFEC S.A.</t>
  </si>
  <si>
    <t>PROYECTO DE FACTIBILIDAD PARA LA IMPLEMENTACIÓN DE UNA PLANTA PROCESADORA DE JUGOS DE NARANJA, PIÑA Y MARACUYÁ A SER COMERCIALIZADAS COMO DESAYUNO ESCOLAR</t>
  </si>
  <si>
    <t>PROYECTO DE FACTIBILIDAD PARA LAIMPLEMENTACIÓN DE UNA PLANTA PROCESADORA DE JUGOS DE NARANJA, PIÑA Y MARACUYÁ A SER COMERCIALIZADAS COMO DESAYUNO ESCOLAR</t>
  </si>
  <si>
    <t>DISEÑO DE UN SISTEMA DE GESTIÓN DE CALIDAD PARA LA EMPRESA DELMONTE S.R.L. EN BASE A LA NORMA ISO 9001:2017</t>
  </si>
  <si>
    <t>FACTIBILIDAD PARA LA INSTALACIÓN DE UNA PLANTA PILOTO PROCESOS INDUSTRIALES EN LA CARRERA DE INGENIERÍA INDUSTRIAL DE LA UMSS FACTIBILIDAD PARA LA INSTALACIÓN DE UNA PLANTA PILOTO PROCESOS INDUSTRIALES EN LA CARRERA DE INGENIERÍA INDUSTRIAL DE LA UMSS</t>
  </si>
  <si>
    <t>PLAN ESTRATEGICO PARA LA FEDERACION DE LA MICRO Y PEQUEÑA EMPRESA (FEDEMYPE) DEL RUBRO TEXTIL Y CONFECCIONES DEL DEPARTAMENTO DE COCHABAMBA PARA LAS GESTIONES 2019- 2023.</t>
  </si>
  <si>
    <t xml:space="preserve">GESTIÓN ESTRATÉGICA
</t>
  </si>
  <si>
    <t>ESTUDIO DE FACTIBILIDAD PARA LA INSTALACIÓN DE UN CENTRO DE CAPACITACIÓN Y FORMACIÓN TÉCNICA EN MECÁNICA INDUSTRIAL EN COCHABAMBA A TRAVÉS DE LA PREFECTURA DEL DEPARTAMENTO</t>
  </si>
  <si>
    <t>alvarodiaz090503@gmail.com</t>
  </si>
  <si>
    <t>DIAGNOSTICO Y ESTUDIO DE FACTIBILIDAD PARA LA AMPLIACION DE LA PLANTA AGROINDUSTRIAL “HIDROVIDA” EN EL MUNICIPIO DE COCHABAMBA.</t>
  </si>
  <si>
    <t>mdelgadillosandagorda@gmail.com</t>
  </si>
  <si>
    <t>ESTUDIO TÉCNICO FINANCIERO PARA LA AMPLIACIÓN DE LA PLANTA PROCESADORA DE CARBONATO DE CALCIO (CACO3) DE LA EMPRESA DURALIT S.A.</t>
  </si>
  <si>
    <t>EVALUCION TECNICA</t>
  </si>
  <si>
    <t>ESTUDIO DE FACTIBILIDAD PARA EL TRASLADO Y AMPLIACIÓN DE LA CAPACIDAD DE PRODUCCIÓN EN LA EMPRESA “MADERVAF” S.R.L.</t>
  </si>
  <si>
    <t>DESARROLLO DE UN PLAN DE SEGURIDAD INDUSTRIAL E
HIGIENE OCUPACIONAL PARA LA EMPRESA DE
CONFECCIONES “BRENNER JEANS”</t>
  </si>
  <si>
    <t>ESTUDIO DE FACTIBILIDAD PARA LA PRODUCCIÓN Y COMERCIALIZACION DE “GALLETAS DE QUINUA” DIRIGIDO AL MERCADO DE COCHABAMBA PARA LA EMPRESA “CORONILLA S.A.”</t>
  </si>
  <si>
    <t>silisquivillanueva@gmail.com</t>
  </si>
  <si>
    <t>ORGANIZACION INDUTRIAL</t>
  </si>
  <si>
    <t>natalymamani201@gmail.com </t>
  </si>
  <si>
    <t>cocolc34@gmail.com</t>
  </si>
  <si>
    <t>DISEÑO DE UN PLAN DE ANÁLISIS DE PELIGROS Y PUNTOS CRÍTICOS DE CONTROL (HACCP) Y UN PROGRAMA DE SEGURIDAD Y SALUD EN EL TRABAJO (PSST) PARA INDUSTRIAS YACOBS S.R.L</t>
  </si>
  <si>
    <t>rivera1995cris@gmail.com</t>
  </si>
  <si>
    <t>obed.mch15@gmail.com</t>
  </si>
  <si>
    <t>PROYECTO DE FACTIBILIDAD PARA IMPLEMENTAR UNA PANADERIA VEGANA EN LA CIUDAD DE COCHABAMBA BOLIVIA</t>
  </si>
  <si>
    <t>DISEÑO DE UN PLAN DE SEGURIDAD Y SALUD OCUPACIONAL BASADO EN LA NORMA NB/ISO 45001: 2018 PARA “MAESTRANZA FUNDICION QUILLACOLLO – MAFUQUI”</t>
  </si>
  <si>
    <t>DISEÑO DE UN SISTEMA DE GESTIÓN DE CALIDAD BASADO EN LA NORMA BOLIVIANA ISO 9001/2015 PARA LA EMPRESAN ISOFORTE S.R.L.</t>
  </si>
  <si>
    <t>DISEÑO DE UN SISTEMA DE GESTION DE CALIDAD ISO 9001:2015 CERTIFICABLE PARA LA EMPRESA PIERINI S.A.</t>
  </si>
  <si>
    <t>PROYECTO DE FACTIBILIDAD PARA LA IMPLEMENTACIÓN DEBUN CRIADERO DE TRUCHAS EN LA COMUNIDAD DE MONTE PUNCO, MUNICIPIO DE POCONA</t>
  </si>
  <si>
    <t>PROYECTO DE FACTIBILIDAD PARA LA IMPLEMENTACIÓN DE UN CRIADERO DE PEJERREY EN EL MUNICIPIO DE VACAS, PROVINCIA DE ARANI</t>
  </si>
  <si>
    <t>DESARROLLO DE UN PLAN COMERCIAL PARA INTRODUCIR AL MERCADO CARTERAS FEMENINAS ELABORADAS EN CUERO DE PESCADO POR ARTESANAS DEL TRÓPICO, EN LA CIUDAD DE COCHABAMBA</t>
  </si>
  <si>
    <t>MODELO DE GESTIÓN PARA MEJORAR LA PRODUCCIÓN DE ALIMENTO BALANCEADO PARA TRUCHA EN LA UNIDAD PRODCUCTIVA CARITAS</t>
  </si>
  <si>
    <t>ESTUDIO DE FACTIBILIDAD PARA LA INSTALACION DE UNA PLANTA DE PRODUCCIÓN DE ALEVINES DE TRUCHA EN COCHABAMBA</t>
  </si>
  <si>
    <t>ESTUDIO DE VIABILIDAD PARA LA IMPLEMENTACIÓN DE UN PLAN DE NEGOCIOS EN LA PRODUCCIÓN DE HORTALIZAS EN INVIERNO PARA EL SINDICATO “VILLA ROSARIO” DE YAPACANÍ-SANTA CRUZ</t>
  </si>
  <si>
    <t>PROYECTO DE PRE-FACTIBILIDAD PARA LA INSTALACIÓN DE UNA PLANTA DE PRODUCCIÓN DE “LECHUGA Y TOMATE HIDROPÓNICA” EN EL EJE METROPOLITANO DE COCHABAMBA.</t>
  </si>
  <si>
    <t>201310463@est.umss.edu</t>
  </si>
  <si>
    <t>PROYECTO DE TRANSFORMACIÓN CURRICULAR PARA LA CARRERA LICENCIATURA EN INGENIERÍA INDUSTRIAL DE LA FACULTAD DE CIENCIAS Y TECNOLOGÍA DE LA UNIVERSIDAD MAYOR DE SAN SIMÓN</t>
  </si>
  <si>
    <t>DIAGNOSTICO DEL SISTEMA DE COBRANZA INTERNO DE LA UNIDAD DE SERVICIOS FINANCIERO DE LA EMPRESA VIVA-GSM</t>
  </si>
  <si>
    <t>201600556@est.umss.edu</t>
  </si>
  <si>
    <t>201410673@est.umss.edu</t>
  </si>
  <si>
    <t>201505435@est.umss.edu</t>
  </si>
  <si>
    <t>201504887@est.umss.edu</t>
  </si>
  <si>
    <t>201400240@est.umss.edu</t>
  </si>
  <si>
    <t>201502051@est.umss.edu</t>
  </si>
  <si>
    <t>201701882@est.umss.edu</t>
  </si>
  <si>
    <t>201706692@est.umss.edu</t>
  </si>
  <si>
    <t>201603024@est.umss.edu</t>
  </si>
  <si>
    <t>201400203@est.umss.edu</t>
  </si>
  <si>
    <t>201400961@est.umss.edu</t>
  </si>
  <si>
    <t>201400135@est.umss.edu</t>
  </si>
  <si>
    <t>201603745@est.umss.edu</t>
  </si>
  <si>
    <t>201603794@est.umss.edu</t>
  </si>
  <si>
    <t>201500159@est.umss.edu</t>
  </si>
  <si>
    <t>201410678@est.umss.edu</t>
  </si>
  <si>
    <t>202000369@est.umss.edu</t>
  </si>
  <si>
    <t>201504150@est.umss.edu</t>
  </si>
  <si>
    <t>201300260@est.umss.edu</t>
  </si>
  <si>
    <t>201300155@est.umss.edu</t>
  </si>
  <si>
    <t>201504865@est.umss.edu</t>
  </si>
  <si>
    <t>201502029@est.umss.edu</t>
  </si>
  <si>
    <t>201200568@est.umss.edu</t>
  </si>
  <si>
    <t>201706623@est.umss.edu</t>
  </si>
  <si>
    <t>201701887@est.umss.edu</t>
  </si>
  <si>
    <t>201512277@est.umss.edu</t>
  </si>
  <si>
    <t>201505454@est.umss.edu</t>
  </si>
  <si>
    <t>201701889@est.umss.edu</t>
  </si>
  <si>
    <t>201603730@est.umss.edu</t>
  </si>
  <si>
    <t>201802059@est.umss.edu</t>
  </si>
  <si>
    <t>201512245@est.umss.edu</t>
  </si>
  <si>
    <t>201409247@est.umss.edu</t>
  </si>
  <si>
    <t>201603595@est.umss.edu</t>
  </si>
  <si>
    <t>201701864@est.umss.edu</t>
  </si>
  <si>
    <t>201209070@est.umss.edu</t>
  </si>
  <si>
    <t>201709792@est.umss.edu</t>
  </si>
  <si>
    <t>201701843@gmail.com</t>
  </si>
  <si>
    <t>201504900@est.umss.edu</t>
  </si>
  <si>
    <t>200703419@est.umss.edu</t>
  </si>
  <si>
    <t>201502262@est.umss.edu</t>
  </si>
  <si>
    <t>201506872@est.umss.edu</t>
  </si>
  <si>
    <t>201602995@est.umss.edu</t>
  </si>
  <si>
    <t>201706609@est.umss.edu</t>
  </si>
  <si>
    <t>201701868@est.umss.edu</t>
  </si>
  <si>
    <t>201800226@est.umss.edu</t>
  </si>
  <si>
    <t>201310392@est.umss.edu</t>
  </si>
  <si>
    <t>201100274@est.umss.edu</t>
  </si>
  <si>
    <t>201300263@est.umss.edu</t>
  </si>
  <si>
    <t>201603734@est.umss.edu</t>
  </si>
  <si>
    <t>201400177@est.umss.edu</t>
  </si>
  <si>
    <t>201603596@est.umss.edu</t>
  </si>
  <si>
    <t>201505626@est.umss.edu</t>
  </si>
  <si>
    <t>201505626@est.edu.umss</t>
  </si>
  <si>
    <t>201603615@est.umss.edu</t>
  </si>
  <si>
    <t>201709786@est.umss.edu</t>
  </si>
  <si>
    <t>200809197@est.umss.edu</t>
  </si>
  <si>
    <t>201801403@est.umss.edu</t>
  </si>
  <si>
    <t>201603625@est.umss.edu</t>
  </si>
  <si>
    <t>201400288@est.umss.edu</t>
  </si>
  <si>
    <t>201307334@est.umss.edu</t>
  </si>
  <si>
    <t>201209109@est.umss.edu</t>
  </si>
  <si>
    <t>ml.jhoan443556@gmail.com</t>
  </si>
  <si>
    <t>marianasoliz.98@gmail.com</t>
  </si>
  <si>
    <t>201800241@est.umss.edu</t>
  </si>
  <si>
    <t>201001362@est.umss.edu</t>
  </si>
  <si>
    <t>201800279@est.umss.edu</t>
  </si>
  <si>
    <t>201110791@est.umss.edu</t>
  </si>
  <si>
    <t>201110788@est.edu.bo</t>
  </si>
  <si>
    <t>201110788@est.umss.bo</t>
  </si>
  <si>
    <t>201309559@est.umss.edu</t>
  </si>
  <si>
    <t>200703463@est.umss.edu</t>
  </si>
  <si>
    <t>201603790@est.umss.edu</t>
  </si>
  <si>
    <t>201110788@est.umss.edu</t>
  </si>
  <si>
    <t>201502070@est.umss.edu</t>
  </si>
  <si>
    <t>201701839@est.umss.edu</t>
  </si>
  <si>
    <t>201309577@est.umss.edu</t>
  </si>
  <si>
    <t>201400221@est.umss.edu</t>
  </si>
  <si>
    <t>201611055@est.umss.edu</t>
  </si>
  <si>
    <t>201000042@est.umss.edu</t>
  </si>
  <si>
    <t>201612104@est.umss.edu</t>
  </si>
  <si>
    <t>201705673@est.umss.edu</t>
  </si>
  <si>
    <t>201103651@est.umss.edu</t>
  </si>
  <si>
    <t>201410688@est.umss.edu</t>
  </si>
  <si>
    <t>201701840@est.umss.edu</t>
  </si>
  <si>
    <t>201612063@est.umss.edu</t>
  </si>
  <si>
    <t>201700698@est.umss.edu</t>
  </si>
  <si>
    <t>201603635@est.umss.edu</t>
  </si>
  <si>
    <t>201709781@est.umss.edu</t>
  </si>
  <si>
    <t>201300148@est.umss.edu</t>
  </si>
  <si>
    <t>201603752@est.edu.bo</t>
  </si>
  <si>
    <t>201706608@est.umss.edu</t>
  </si>
  <si>
    <t>201709785@est.umss.edu</t>
  </si>
  <si>
    <t>201512269@est.umss.edu</t>
  </si>
  <si>
    <t>201700705@est.umss.edu</t>
  </si>
  <si>
    <t>201603630@est.umss.edu</t>
  </si>
  <si>
    <t>201709770@est.umss.edu</t>
  </si>
  <si>
    <t>201700697@est.umss.edu</t>
  </si>
  <si>
    <t>201709757@est.umss.edu</t>
  </si>
  <si>
    <t>201103651@est.edu.umss</t>
  </si>
  <si>
    <t>201607914@est.umss.edu</t>
  </si>
  <si>
    <t>201607869@est.umss.edu</t>
  </si>
  <si>
    <t>201709783@est.umss.edu</t>
  </si>
  <si>
    <t>200707213@est.umss.edu</t>
  </si>
  <si>
    <t>201603809@est.umss.edu</t>
  </si>
  <si>
    <t>201603807@est.umss.edu</t>
  </si>
  <si>
    <t>201704776@est.umss.edu</t>
  </si>
  <si>
    <t>201701866@est.umss.edu</t>
  </si>
  <si>
    <t>201606452@est.umss.edu</t>
  </si>
  <si>
    <t>201709759@est.umss.edu</t>
  </si>
  <si>
    <t>201705726@est.umss.edu</t>
  </si>
  <si>
    <t>201704769@est.umss.edu</t>
  </si>
  <si>
    <t>201705723@est.umss.edu</t>
  </si>
  <si>
    <t>201705726@est.umss.bo</t>
  </si>
  <si>
    <t>201700709@est.umss.edu</t>
  </si>
  <si>
    <t>201300135@est.umss.edu</t>
  </si>
  <si>
    <t>201400139@est.umss.edu</t>
  </si>
  <si>
    <t>201603765@est.umss.edu</t>
  </si>
  <si>
    <t>201410660@est.umss.edu</t>
  </si>
  <si>
    <t>201502020@est.umss.edu</t>
  </si>
  <si>
    <t>201206875@est.umss.edu</t>
  </si>
  <si>
    <t>201607918@est.umss.edu</t>
  </si>
  <si>
    <t>201801383@est.umss.edu</t>
  </si>
  <si>
    <t>201801396@est.umss.edu</t>
  </si>
  <si>
    <t>201200566@est.umss.edu</t>
  </si>
  <si>
    <t>200603057@est.umss.edu</t>
  </si>
  <si>
    <t>201709790@est.umss.edu</t>
  </si>
  <si>
    <t>201809488@est.umss.edu</t>
  </si>
  <si>
    <t>201100413@est.umss.edu</t>
  </si>
  <si>
    <t>201800239@est.umss.edu</t>
  </si>
  <si>
    <t>201108081@est.umss.edu</t>
  </si>
  <si>
    <t>201800253@est.umss.edu</t>
  </si>
  <si>
    <t>201709776@est.umss.edu</t>
  </si>
  <si>
    <t>200201034@est.umss.edu</t>
  </si>
  <si>
    <t>200808252@est.umss.edu</t>
  </si>
  <si>
    <t>201802048@est.umss.edu</t>
  </si>
  <si>
    <t>201311169@st.umss.edu</t>
  </si>
  <si>
    <t>201801427@est.umss.edu</t>
  </si>
  <si>
    <t>201900573@est.umss.edu</t>
  </si>
  <si>
    <t>201900248@est.umss.edu</t>
  </si>
  <si>
    <t>201504864@est.umss.edu</t>
  </si>
  <si>
    <t>201701863@est.umss.edu</t>
  </si>
  <si>
    <t>201800239@est.umms.edu</t>
  </si>
  <si>
    <t>201410661@est.umss.edu</t>
  </si>
  <si>
    <t>201800280@est.umss.edu</t>
  </si>
  <si>
    <t>201502049@est.umss.edu</t>
  </si>
  <si>
    <t>201409245@est.umss.edu</t>
  </si>
  <si>
    <t>201801400@est.umss.edu</t>
  </si>
  <si>
    <t>201612058@est.umss.edu</t>
  </si>
  <si>
    <t>201701867@est.umss.edu</t>
  </si>
  <si>
    <t>201907032@est.umss.edu</t>
  </si>
  <si>
    <t>201200551@est.umss.edu</t>
  </si>
  <si>
    <t>201904708@est.umss.edu</t>
  </si>
  <si>
    <t>201800584@est.umss.edu</t>
  </si>
  <si>
    <t>201603733@est.umss.edu</t>
  </si>
  <si>
    <t>201001364@est.umss.edu</t>
  </si>
  <si>
    <t>201005621@est.umss.edu</t>
  </si>
  <si>
    <t>201800035@est.umss.edu</t>
  </si>
  <si>
    <t>201506882@est.umss.edu</t>
  </si>
  <si>
    <t>202001484@est.umss.edu</t>
  </si>
  <si>
    <t>201909898@est.umss.edu</t>
  </si>
  <si>
    <t>201902220@est.umss.edu</t>
  </si>
  <si>
    <t>201905769@est.umss.edu</t>
  </si>
  <si>
    <t>201703767@est.umss.edu</t>
  </si>
  <si>
    <t>200607229@est.umss.edu</t>
  </si>
  <si>
    <t>201809296@est.umss.edu</t>
  </si>
  <si>
    <t>201701884@est.umss.edu</t>
  </si>
  <si>
    <t>201400202@est.umss.edu</t>
  </si>
  <si>
    <t>201701876@est.umss.edu</t>
  </si>
  <si>
    <t>201607861@est.umss.edu</t>
  </si>
  <si>
    <t>201309765@est.umss.edu</t>
  </si>
  <si>
    <t>201603699@est.umss.edu</t>
  </si>
  <si>
    <t>201900241@est.umss.edu</t>
  </si>
  <si>
    <t>201001356@est.umss.edu</t>
  </si>
  <si>
    <t>202102951@est.umss.edu</t>
  </si>
  <si>
    <t>201800283@est.umss.edu</t>
  </si>
  <si>
    <t>201801409@est.umss.edu</t>
  </si>
  <si>
    <t>201800277@est.umss.edu</t>
  </si>
  <si>
    <t>201603707@est.umss.edu</t>
  </si>
  <si>
    <t>201502090@est.umss.edu</t>
  </si>
  <si>
    <t>201700686@est.umss.edu</t>
  </si>
  <si>
    <t>201603641@est.umss.edu</t>
  </si>
  <si>
    <t>201809296@esr.umss.edu</t>
  </si>
  <si>
    <t>201900235@est.umss.edu</t>
  </si>
  <si>
    <t>201612105@est.umss.edu</t>
  </si>
  <si>
    <t>201700717@est.umss.edu</t>
  </si>
  <si>
    <t>201603756@est.umss.edu</t>
  </si>
  <si>
    <t>201603664@gmail.com</t>
  </si>
  <si>
    <t>201603664@est.umss.edu</t>
  </si>
  <si>
    <t>201902186@est.umss.edu</t>
  </si>
  <si>
    <t>201809300@est.umss.edu</t>
  </si>
  <si>
    <t>201309568@est.umss.edu</t>
  </si>
  <si>
    <t>201309568@edu.umss.edu</t>
  </si>
  <si>
    <t>201900217@est.umss.edu</t>
  </si>
  <si>
    <t>201805410@est.umss.edu</t>
  </si>
  <si>
    <t>201904677@est.umss.edu</t>
  </si>
  <si>
    <t>201904682@est.umss.edu</t>
  </si>
  <si>
    <t>201900626@est.umss.edu</t>
  </si>
  <si>
    <t>201603780@est.umss.edu</t>
  </si>
  <si>
    <t>201801363@est.umss.edu</t>
  </si>
  <si>
    <t>201904683@est.umss.edu</t>
  </si>
  <si>
    <t>201603616@est.umss.edu</t>
  </si>
  <si>
    <t>201900624@est.umss.edu</t>
  </si>
  <si>
    <t>202001528@est.umss.edu</t>
  </si>
  <si>
    <t>201706618@est.umss.edu</t>
  </si>
  <si>
    <t>201904718@est.umss.edu</t>
  </si>
  <si>
    <t>201502026@est.umss.edu</t>
  </si>
  <si>
    <t>201803279@est.umss.edu</t>
  </si>
  <si>
    <t>200206658@est.umss.edu</t>
  </si>
  <si>
    <t>201801413@est.umss.edu</t>
  </si>
  <si>
    <t>201902206@est.umss.edu</t>
  </si>
  <si>
    <t>201902178@est.umss.edu</t>
  </si>
  <si>
    <t>201407426@est.umss.edu</t>
  </si>
  <si>
    <t>201706621@est.umss.edu</t>
  </si>
  <si>
    <t>201508144@est.umss.edu</t>
  </si>
  <si>
    <t>201508174@est.umss.edu</t>
  </si>
  <si>
    <t>201709774@est.umss.edu</t>
  </si>
  <si>
    <t>201709743@est.umss.edu</t>
  </si>
  <si>
    <t>201900592@est.umss.edu</t>
  </si>
  <si>
    <t>201400305@est.umss.edu</t>
  </si>
  <si>
    <t>201904673@est.umss.edu</t>
  </si>
  <si>
    <t>201801806@est.umss.edu</t>
  </si>
  <si>
    <t>201801422@est.umss.edu</t>
  </si>
  <si>
    <t>201710272@est.umss.edu</t>
  </si>
  <si>
    <t>201008019@est.umss.edu</t>
  </si>
  <si>
    <t>201603017@est.umss.edu</t>
  </si>
  <si>
    <t>201506900@est.umss.edu</t>
  </si>
  <si>
    <t>200901787@est.umss.edu</t>
  </si>
  <si>
    <t>201706812@est.umss.edu</t>
  </si>
  <si>
    <t>201900615@est.umss.edu</t>
  </si>
  <si>
    <t>201709789@est.umss.edu</t>
  </si>
  <si>
    <t>201300914@est.umss.edu</t>
  </si>
  <si>
    <t>201309560@est.umss.edu</t>
  </si>
  <si>
    <t>201709753@est.umss.edu</t>
  </si>
  <si>
    <t>201908544@est.umss.edu</t>
  </si>
  <si>
    <t>201905745@est.umss.edu</t>
  </si>
  <si>
    <t>201909894@est.umss.edu</t>
  </si>
  <si>
    <t>201801359@est.umss.edu</t>
  </si>
  <si>
    <t>201900228@est.umss.edu</t>
  </si>
  <si>
    <t>201301238@est.umss.edu</t>
  </si>
  <si>
    <t>201508184@est.umss.edu</t>
  </si>
  <si>
    <t>201604040@est.umss.edu</t>
  </si>
  <si>
    <t>202000108@est.umss.edu</t>
  </si>
  <si>
    <t>202001511@est.umss.edu</t>
  </si>
  <si>
    <t>201410661@est.umss.bo</t>
  </si>
  <si>
    <t>201602991@est.umss.edu</t>
  </si>
  <si>
    <t>201809295@est.umss.edu</t>
  </si>
  <si>
    <t>201809532@est.umss.edu</t>
  </si>
  <si>
    <t>201800849@est.umss.edu</t>
  </si>
  <si>
    <t>201900612@est.umss.edu</t>
  </si>
  <si>
    <t>201607892@est.umss.edu</t>
  </si>
  <si>
    <t>201502052@est.umss.edu</t>
  </si>
  <si>
    <t>201603782@est.umss.edu</t>
  </si>
  <si>
    <t>201900576@est.umss.edu</t>
  </si>
  <si>
    <t>202009754@est.umss.edu</t>
  </si>
  <si>
    <t>202002333@est.umss.edu</t>
  </si>
  <si>
    <t>202001492@est.umss.edu</t>
  </si>
  <si>
    <t>202103406@est.umss.edu</t>
  </si>
  <si>
    <t>201508434@est.umss.edu</t>
  </si>
  <si>
    <t>201508184@umss.edu.bo</t>
  </si>
  <si>
    <t>201900587@est.umss.edu</t>
  </si>
  <si>
    <t>SIS</t>
  </si>
  <si>
    <t>APELLIDO</t>
  </si>
  <si>
    <t>NOMBRE</t>
  </si>
  <si>
    <t>ABAN TELLEZ</t>
  </si>
  <si>
    <t>PATRICIA PAMELA</t>
  </si>
  <si>
    <t>ABASTO MORALES</t>
  </si>
  <si>
    <t>ARMANDO</t>
  </si>
  <si>
    <t>ABASTO ZAPATA</t>
  </si>
  <si>
    <t>RAFAEL ANTONIO</t>
  </si>
  <si>
    <t>ACAPA FERNANDEZ</t>
  </si>
  <si>
    <t>ROCIO NAYELI</t>
  </si>
  <si>
    <t>ACARAPI BUSTOS</t>
  </si>
  <si>
    <t>CORINA ISABEL</t>
  </si>
  <si>
    <t>ACEBEY CESPEDES</t>
  </si>
  <si>
    <t>LUIS ROBERTO</t>
  </si>
  <si>
    <t>ACHACOLLO MARTÍNEZ</t>
  </si>
  <si>
    <t>NOELIA IVONNE</t>
  </si>
  <si>
    <t>ACHOCALLA TICONA</t>
  </si>
  <si>
    <t>NESTOR HUASCAR</t>
  </si>
  <si>
    <t>ACUÑA VEIZAGA</t>
  </si>
  <si>
    <t>DAYANA</t>
  </si>
  <si>
    <t>ADRIAZOLA VARGAS</t>
  </si>
  <si>
    <t>OSCAR</t>
  </si>
  <si>
    <t>ADUVIRI CALIZAYA</t>
  </si>
  <si>
    <t>LEONEL</t>
  </si>
  <si>
    <t>ADUVIRI MAMANI</t>
  </si>
  <si>
    <t>NESTOR</t>
  </si>
  <si>
    <t>AGREDA CANDIA</t>
  </si>
  <si>
    <t>NICOLE</t>
  </si>
  <si>
    <t>AGREDA RAMIREZ</t>
  </si>
  <si>
    <t>ALEX JUNNIOR</t>
  </si>
  <si>
    <t>AGUAYO ABASTO</t>
  </si>
  <si>
    <t>ANDREA</t>
  </si>
  <si>
    <t>AGUAYO ESCALERA</t>
  </si>
  <si>
    <t>ALEXANDER</t>
  </si>
  <si>
    <t>AGUILA ARAUCO</t>
  </si>
  <si>
    <t>NAYELI</t>
  </si>
  <si>
    <t>AGUILA ROJAS</t>
  </si>
  <si>
    <t>ALEX</t>
  </si>
  <si>
    <t>AGUILAR ALVAREZ</t>
  </si>
  <si>
    <t>JUAN CARLOS</t>
  </si>
  <si>
    <t>AGUILAR COLQUE</t>
  </si>
  <si>
    <t>ROLIA</t>
  </si>
  <si>
    <t>AGUILAR FLORES</t>
  </si>
  <si>
    <t>YLSEN MICHEL</t>
  </si>
  <si>
    <t>AGUILAR LAZARTE</t>
  </si>
  <si>
    <t>JHILMAR GUSTAVO</t>
  </si>
  <si>
    <t>AGUILAR MEDINA</t>
  </si>
  <si>
    <t>CRISTHIAN MAURICIO</t>
  </si>
  <si>
    <t>AGUILAR QUIROGA</t>
  </si>
  <si>
    <t>AMILKAR SEBASTIAN</t>
  </si>
  <si>
    <t>AGUILAR RODRIGUEZ</t>
  </si>
  <si>
    <t>MICAELA</t>
  </si>
  <si>
    <t>AGUILAR VARGAS</t>
  </si>
  <si>
    <t>ADRIANA MARISOL</t>
  </si>
  <si>
    <t>LIMBER</t>
  </si>
  <si>
    <t>NOEL</t>
  </si>
  <si>
    <t>AGUILAR VEIZAGA</t>
  </si>
  <si>
    <t>RIDER</t>
  </si>
  <si>
    <t>AGUILARIO CHAMBI</t>
  </si>
  <si>
    <t>VLADIMIR</t>
  </si>
  <si>
    <t>AGUIRRE AGUILAR</t>
  </si>
  <si>
    <t>ALVARO</t>
  </si>
  <si>
    <t>AGUIRRE HERBAS</t>
  </si>
  <si>
    <t>JOSE JULIO</t>
  </si>
  <si>
    <t>AJATA BARBOLIN</t>
  </si>
  <si>
    <t>JHENY KIMBERLY</t>
  </si>
  <si>
    <t>AJATA LAMAS</t>
  </si>
  <si>
    <t>ADONIS GIPTON</t>
  </si>
  <si>
    <t>KENNEDY ALEJANDRO</t>
  </si>
  <si>
    <t>AJATA VARGAS</t>
  </si>
  <si>
    <t>IVAN</t>
  </si>
  <si>
    <t>AJNO DORADO</t>
  </si>
  <si>
    <t>FERNANDO ANDRE</t>
  </si>
  <si>
    <t>AJNO MAMANI</t>
  </si>
  <si>
    <t>MIGUEL ANGEL</t>
  </si>
  <si>
    <t>ALANDIA LOBO</t>
  </si>
  <si>
    <t>ABDIEL JOSUE</t>
  </si>
  <si>
    <t>ALANOCA CALLE</t>
  </si>
  <si>
    <t>ESTEFANIA</t>
  </si>
  <si>
    <t>ALANOCA CORDOVA</t>
  </si>
  <si>
    <t>FILOMENA</t>
  </si>
  <si>
    <t>ALARCON DAZA</t>
  </si>
  <si>
    <t>FABIOLA ALEXANDRA</t>
  </si>
  <si>
    <t>ALARCON FLORES</t>
  </si>
  <si>
    <t>OSWALDO</t>
  </si>
  <si>
    <t>ALARCON FUENTES</t>
  </si>
  <si>
    <t>ARELY</t>
  </si>
  <si>
    <t>ALARCON MAURE</t>
  </si>
  <si>
    <t>KATTY</t>
  </si>
  <si>
    <t>ALARCON PAREDES</t>
  </si>
  <si>
    <t>VERONICA</t>
  </si>
  <si>
    <t>ALARCON SORIA</t>
  </si>
  <si>
    <t>NANCY</t>
  </si>
  <si>
    <t>ALAVE LOPEZ</t>
  </si>
  <si>
    <t>JOSUE ADOLFO</t>
  </si>
  <si>
    <t>ALBA FLORES</t>
  </si>
  <si>
    <t>KEYLA YESSENIA</t>
  </si>
  <si>
    <t>ALBA MEDRANO</t>
  </si>
  <si>
    <t>ALBA SANCHEZ</t>
  </si>
  <si>
    <t>JHENRY</t>
  </si>
  <si>
    <t>ALBARADO SANCHEZ</t>
  </si>
  <si>
    <t>EMILIANA MIRNA</t>
  </si>
  <si>
    <t>ALBARRACIN ALARCON</t>
  </si>
  <si>
    <t>ORLANDO</t>
  </si>
  <si>
    <t>ALBINO JANCO</t>
  </si>
  <si>
    <t>ANGELES ABRIL</t>
  </si>
  <si>
    <t>ALBIS FLORES</t>
  </si>
  <si>
    <t>MARIA KARINA</t>
  </si>
  <si>
    <t>ALCAZAR VILLARROEL</t>
  </si>
  <si>
    <t>MARIELA</t>
  </si>
  <si>
    <t>ALCOCER QUISPE</t>
  </si>
  <si>
    <t>GABRIELA ALEJANDRA</t>
  </si>
  <si>
    <t>ALCOCER VILLARROEL</t>
  </si>
  <si>
    <t>CARLOS CRISTHIAN</t>
  </si>
  <si>
    <t>ALDANA ROBLES</t>
  </si>
  <si>
    <t>PATRICIA LAURA</t>
  </si>
  <si>
    <t>ALDANA SANTOS</t>
  </si>
  <si>
    <t>JACINTA</t>
  </si>
  <si>
    <t>ALEGRE LAZARO</t>
  </si>
  <si>
    <t>ARIEL</t>
  </si>
  <si>
    <t>ALEGRE ROJAS</t>
  </si>
  <si>
    <t>ANGEL</t>
  </si>
  <si>
    <t>ALEJANDRO NINA</t>
  </si>
  <si>
    <t>DEYSI</t>
  </si>
  <si>
    <t>JOSE</t>
  </si>
  <si>
    <t>ALEJANDRO RAMIREZ</t>
  </si>
  <si>
    <t>ALDAIR JHOJAN</t>
  </si>
  <si>
    <t>ALEJO FLORES</t>
  </si>
  <si>
    <t>ANSELMO</t>
  </si>
  <si>
    <t>ALEJO SACA</t>
  </si>
  <si>
    <t>PRIMA</t>
  </si>
  <si>
    <t>ALI FUNES</t>
  </si>
  <si>
    <t>JUAN JOSE</t>
  </si>
  <si>
    <t>ALIAGA SARABIA</t>
  </si>
  <si>
    <t>PAOLA DAYANA</t>
  </si>
  <si>
    <t>ALMANZA AGUIRRE</t>
  </si>
  <si>
    <t>CARLOS BENJAMIN</t>
  </si>
  <si>
    <t>ALMANZA CONDORI</t>
  </si>
  <si>
    <t>LEONILDA</t>
  </si>
  <si>
    <t>ALMANZA GUTIERREZ</t>
  </si>
  <si>
    <t>TOMAS GUSTAVO MOISES</t>
  </si>
  <si>
    <t>ALMANZA HEREDIA</t>
  </si>
  <si>
    <t>ALMARAZ HINOJOSA</t>
  </si>
  <si>
    <t>THELMA</t>
  </si>
  <si>
    <t>ALMENDRAS AMPUERO</t>
  </si>
  <si>
    <t>ALMENDRAS AREQUIPA</t>
  </si>
  <si>
    <t>ISELLA ALEJANDRA</t>
  </si>
  <si>
    <t>ALMENDRAS MORALES</t>
  </si>
  <si>
    <t>BETTZY</t>
  </si>
  <si>
    <t>ALMENDRAS SOTO</t>
  </si>
  <si>
    <t>ROSY MARY</t>
  </si>
  <si>
    <t>ALONZO MAMANI</t>
  </si>
  <si>
    <t>CRISTHIAN MIGUEL</t>
  </si>
  <si>
    <t>ALTAMIRANO VARGAS</t>
  </si>
  <si>
    <t>SHEILA LINET</t>
  </si>
  <si>
    <t>ALVARADO CARICARI</t>
  </si>
  <si>
    <t>ELMER</t>
  </si>
  <si>
    <t>ALVARADO CONTRERAS</t>
  </si>
  <si>
    <t>JUAN MANUEL</t>
  </si>
  <si>
    <t>ALVARADO GRANDON</t>
  </si>
  <si>
    <t>NAARAI CARMEN</t>
  </si>
  <si>
    <t>ALVARADO TORRICO</t>
  </si>
  <si>
    <t>ELIANA</t>
  </si>
  <si>
    <t>ALVAREZ AGUILAR</t>
  </si>
  <si>
    <t>ROCIO JULIETA</t>
  </si>
  <si>
    <t>ALVAREZ ANDIA</t>
  </si>
  <si>
    <t>ELY</t>
  </si>
  <si>
    <t>ALVAREZ BALDERRAMA</t>
  </si>
  <si>
    <t>ALVAREZ CARBALLO</t>
  </si>
  <si>
    <t>FARELLA ISABEL</t>
  </si>
  <si>
    <t>ALVAREZ CLAROS</t>
  </si>
  <si>
    <t>VERÓNICA BELEN</t>
  </si>
  <si>
    <t>ALVAREZ CORREA</t>
  </si>
  <si>
    <t>DAYANA KEYLA</t>
  </si>
  <si>
    <t>ALVAREZ ESCALERA</t>
  </si>
  <si>
    <t>DAMARIS</t>
  </si>
  <si>
    <t>ALVAREZ HERRERA</t>
  </si>
  <si>
    <t>DAMARIS LINDALY</t>
  </si>
  <si>
    <t>ALVAREZ HINOJOSA</t>
  </si>
  <si>
    <t>CLAUDIA</t>
  </si>
  <si>
    <t>ALVAREZ JIMENEZ</t>
  </si>
  <si>
    <t>FRANZ RONALD</t>
  </si>
  <si>
    <t>ALVAREZ MAMANI</t>
  </si>
  <si>
    <t>LIZETH</t>
  </si>
  <si>
    <t>ALVAREZ RENGEL</t>
  </si>
  <si>
    <t>LISMENY</t>
  </si>
  <si>
    <t>ALVAREZ RODRIGUEZ</t>
  </si>
  <si>
    <t>ABDON</t>
  </si>
  <si>
    <t>ALVAREZ SANTOS</t>
  </si>
  <si>
    <t>PAMELA</t>
  </si>
  <si>
    <t>ALVAREZ SOLIZ</t>
  </si>
  <si>
    <t>EVY CAROLINE</t>
  </si>
  <si>
    <t>ALVAREZ TORREZ</t>
  </si>
  <si>
    <t>RODOLFO ANDREI</t>
  </si>
  <si>
    <t>AMARU SIMON</t>
  </si>
  <si>
    <t>MARIO</t>
  </si>
  <si>
    <t>AMBROCIO HUARACHI</t>
  </si>
  <si>
    <t>SANDIVEL</t>
  </si>
  <si>
    <t>AMPUERO FUENTES</t>
  </si>
  <si>
    <t>SERGIO</t>
  </si>
  <si>
    <t>AMPUERO JAILLITA</t>
  </si>
  <si>
    <t>GREBI ALEX</t>
  </si>
  <si>
    <t>ANAGUA QUISPE</t>
  </si>
  <si>
    <t>JHANETTH</t>
  </si>
  <si>
    <t>ANCALLE HUANCA</t>
  </si>
  <si>
    <t>JHOVANA CARMEN</t>
  </si>
  <si>
    <t>ANCASI GARNICA</t>
  </si>
  <si>
    <t>CARLOS EDUARDO</t>
  </si>
  <si>
    <t>ANCASI PEREZ</t>
  </si>
  <si>
    <t>CAROLINE MASSIEL</t>
  </si>
  <si>
    <t>ANDIA ACOSTA</t>
  </si>
  <si>
    <t>VANESSA</t>
  </si>
  <si>
    <t>ANDIA TORREZ</t>
  </si>
  <si>
    <t>KEVIN ARNOLD</t>
  </si>
  <si>
    <t>ANDIA ZEBALLOS</t>
  </si>
  <si>
    <t>RILMA</t>
  </si>
  <si>
    <t>ANDRADE DIAZ</t>
  </si>
  <si>
    <t>CESAR WILFREDO</t>
  </si>
  <si>
    <t>ANDRADE TRUJILLO</t>
  </si>
  <si>
    <t>GIOVANA</t>
  </si>
  <si>
    <t>ANDRE CALDERON</t>
  </si>
  <si>
    <t>VALERIA CAROLINA</t>
  </si>
  <si>
    <t>ANGULO BALDERRAMA</t>
  </si>
  <si>
    <t>CRISTIAN</t>
  </si>
  <si>
    <t>ANGULO GUEVARA</t>
  </si>
  <si>
    <t>JOSE ENRIQUE</t>
  </si>
  <si>
    <t>ANGULO MATURANO</t>
  </si>
  <si>
    <t>ANTEZANA ADRIAN</t>
  </si>
  <si>
    <t>FERNANDO</t>
  </si>
  <si>
    <t>ANTEZANA CHUQUICHAMBI</t>
  </si>
  <si>
    <t>RUTH GRECIA</t>
  </si>
  <si>
    <t>ANTEZANA GALARZA</t>
  </si>
  <si>
    <t>ANTEZANA VELARDE</t>
  </si>
  <si>
    <t>ANTONIO ARGOTE</t>
  </si>
  <si>
    <t>CHARLES MARCELO</t>
  </si>
  <si>
    <t>ANZALDO GARCIA</t>
  </si>
  <si>
    <t>JOB</t>
  </si>
  <si>
    <t>APAICO RAMOS</t>
  </si>
  <si>
    <t>NORA</t>
  </si>
  <si>
    <t>APARICIO COSSIO</t>
  </si>
  <si>
    <t>MARCO ANTONIO</t>
  </si>
  <si>
    <t>APAZA CALANI</t>
  </si>
  <si>
    <t>OSMAN VICTOR</t>
  </si>
  <si>
    <t>APAZA HUARACHI</t>
  </si>
  <si>
    <t>JULIO CESAR</t>
  </si>
  <si>
    <t>APAZA LAZO</t>
  </si>
  <si>
    <t>JHEMBER</t>
  </si>
  <si>
    <t>APAZA MAMANI</t>
  </si>
  <si>
    <t>RONALDO ARIEL</t>
  </si>
  <si>
    <t>APAZA ORELLANA</t>
  </si>
  <si>
    <t>JOSE ALFREDO</t>
  </si>
  <si>
    <t>APAZA PANIAGUA</t>
  </si>
  <si>
    <t>APAZA QUISPE</t>
  </si>
  <si>
    <t>ROXANA</t>
  </si>
  <si>
    <t>VANIA</t>
  </si>
  <si>
    <t>APONTE MORENO</t>
  </si>
  <si>
    <t>JORGE</t>
  </si>
  <si>
    <t>AQUINO HUARACHI</t>
  </si>
  <si>
    <t>FATIMA ALEJANDRA</t>
  </si>
  <si>
    <t>AQUINO LIMACHI</t>
  </si>
  <si>
    <t>MARCOS</t>
  </si>
  <si>
    <t>ARAGON VIA</t>
  </si>
  <si>
    <t>JONATAN RODRIGO</t>
  </si>
  <si>
    <t>ARAMAYO CAMACHO</t>
  </si>
  <si>
    <t>JAQUELINE JUANA</t>
  </si>
  <si>
    <t>ARAMAYO GUTIERREZ</t>
  </si>
  <si>
    <t>ANDREA XIMENA</t>
  </si>
  <si>
    <t>ARAMAYO MURRAY</t>
  </si>
  <si>
    <t>JOAQUIN</t>
  </si>
  <si>
    <t>ARANCIBIA CAMPEROS</t>
  </si>
  <si>
    <t>ROBERTO DANIEL</t>
  </si>
  <si>
    <t>ARANCIBIA GUILLEN</t>
  </si>
  <si>
    <t>ERICK NELSON</t>
  </si>
  <si>
    <t>ARANCIBIA MENESES</t>
  </si>
  <si>
    <t>ALISSON KATHERIN</t>
  </si>
  <si>
    <t>ARANCIBIA PAREDES</t>
  </si>
  <si>
    <t>EVANGELINA</t>
  </si>
  <si>
    <t>ARANCIBIA URQUIZU</t>
  </si>
  <si>
    <t>JHONATAN</t>
  </si>
  <si>
    <t>ARANIBAR FERRUFINO</t>
  </si>
  <si>
    <t>CARLOS GABRIEL</t>
  </si>
  <si>
    <t>ARANIBAR PARICAGUA</t>
  </si>
  <si>
    <t>JOSUE DAVID</t>
  </si>
  <si>
    <t>ARANIBAR ZAMBRANA</t>
  </si>
  <si>
    <t>AMMY SHALEM</t>
  </si>
  <si>
    <t>ARAOZ JALDIN</t>
  </si>
  <si>
    <t>CLAUDIA PATRICIA</t>
  </si>
  <si>
    <t>ARAOZ SANTA CRUZ</t>
  </si>
  <si>
    <t>EVER BRAYAN</t>
  </si>
  <si>
    <t>ARAOZ ZARATE</t>
  </si>
  <si>
    <t>ISRAEL</t>
  </si>
  <si>
    <t>ARCE</t>
  </si>
  <si>
    <t>ANGEL ABEL</t>
  </si>
  <si>
    <t>ARCE BUSTAMANTE</t>
  </si>
  <si>
    <t>ADEMAR</t>
  </si>
  <si>
    <t>ARCE CRUZ</t>
  </si>
  <si>
    <t>NATALIA DEL ROSARIO</t>
  </si>
  <si>
    <t>ARCE FERNANDEZ</t>
  </si>
  <si>
    <t>ADRIANO ANDREWS</t>
  </si>
  <si>
    <t>ARDAYA DURAN</t>
  </si>
  <si>
    <t>JASIEL ANDREA</t>
  </si>
  <si>
    <t>ARDAYA SOLIZ</t>
  </si>
  <si>
    <t>SUSANNE PATRICIA</t>
  </si>
  <si>
    <t>ARDAYA VALVERDE</t>
  </si>
  <si>
    <t>BRENDA BRIGITE</t>
  </si>
  <si>
    <t>AREBALO MENDEZ</t>
  </si>
  <si>
    <t>NORKA</t>
  </si>
  <si>
    <t>AREBALO PEREZ</t>
  </si>
  <si>
    <t>KAREN ROCIO</t>
  </si>
  <si>
    <t>AREBALO REJAS</t>
  </si>
  <si>
    <t>AREBALO SANDOVAL</t>
  </si>
  <si>
    <t>CARLA</t>
  </si>
  <si>
    <t>AREBALO SOLIZ</t>
  </si>
  <si>
    <t>DAIRA MAYERLI</t>
  </si>
  <si>
    <t>AREBALO TRUJILLO</t>
  </si>
  <si>
    <t>CRISTHIAN</t>
  </si>
  <si>
    <t>AREBALO VARGAS</t>
  </si>
  <si>
    <t>ARELLANO APAZA</t>
  </si>
  <si>
    <t>OMAR RENE</t>
  </si>
  <si>
    <t>AREVALO COCA</t>
  </si>
  <si>
    <t>KAREN JHOANI</t>
  </si>
  <si>
    <t>ARGANDOÑA CRESPO</t>
  </si>
  <si>
    <t>CLAUDIA MARIEL</t>
  </si>
  <si>
    <t>ARGANDOÑA MENESES</t>
  </si>
  <si>
    <t>KATHERINE</t>
  </si>
  <si>
    <t>ARGOLLO DELGADILLO</t>
  </si>
  <si>
    <t>LILIANA</t>
  </si>
  <si>
    <t>ARGOLLO HUARACHI</t>
  </si>
  <si>
    <t>ARGOLLO SOLIZ</t>
  </si>
  <si>
    <t>NEMIAS ISAAC</t>
  </si>
  <si>
    <t>ARGOTE LUNA</t>
  </si>
  <si>
    <t>FERNANDO ALBERTO</t>
  </si>
  <si>
    <t>ARGOTE NAVIA</t>
  </si>
  <si>
    <t>DIEGO</t>
  </si>
  <si>
    <t>ARGOTE RIVAS</t>
  </si>
  <si>
    <t>ARGOTE VIDAL</t>
  </si>
  <si>
    <t>MILDRED ROSARIO</t>
  </si>
  <si>
    <t>ARHUATA MAMANI</t>
  </si>
  <si>
    <t>ELIANA NORMA</t>
  </si>
  <si>
    <t>ARIAS DELGADILLO</t>
  </si>
  <si>
    <t>SABRINA TESSY</t>
  </si>
  <si>
    <t>ARIAS LAGRABA</t>
  </si>
  <si>
    <t>CARMINIA</t>
  </si>
  <si>
    <t>ARIAS MEJIA</t>
  </si>
  <si>
    <t>ARIAS MOLINA</t>
  </si>
  <si>
    <t>EDGAR BLAS</t>
  </si>
  <si>
    <t>ARIAS PAZ</t>
  </si>
  <si>
    <t>RODOLFO</t>
  </si>
  <si>
    <t>ARIAS REYNAGA</t>
  </si>
  <si>
    <t>RAUL GONZALO</t>
  </si>
  <si>
    <t>ARIAS ROCHA</t>
  </si>
  <si>
    <t>SHIRLEY WENDY</t>
  </si>
  <si>
    <t>ARIAS ROLDAN</t>
  </si>
  <si>
    <t>LENNY KAREN</t>
  </si>
  <si>
    <t>ARISPE LAFUENTE</t>
  </si>
  <si>
    <t>ABIGAIL SCARLET</t>
  </si>
  <si>
    <t>ARISPE MANIGUARY</t>
  </si>
  <si>
    <t>ARISPE SANCHEZ</t>
  </si>
  <si>
    <t>MARCELA</t>
  </si>
  <si>
    <t>ARISPE TERCEROS</t>
  </si>
  <si>
    <t>ANEL ALICIA</t>
  </si>
  <si>
    <t>ARISPE TORRICO</t>
  </si>
  <si>
    <t>GUSTAVO</t>
  </si>
  <si>
    <t>ARISTE SANTOS</t>
  </si>
  <si>
    <t>JORGE DANIEL</t>
  </si>
  <si>
    <t>ARNEZ AGREDA</t>
  </si>
  <si>
    <t>JHORDAN VLADIMIR</t>
  </si>
  <si>
    <t>ARNEZ AGUILAR</t>
  </si>
  <si>
    <t>MAYTE</t>
  </si>
  <si>
    <t>ARNEZ HERBAS</t>
  </si>
  <si>
    <t>ARNEZ MACHICADO</t>
  </si>
  <si>
    <t>SANDRA ESTEFANY</t>
  </si>
  <si>
    <t>ARNEZ MERUBIA</t>
  </si>
  <si>
    <t>JAEL</t>
  </si>
  <si>
    <t>ARNEZ ORELLANA</t>
  </si>
  <si>
    <t>LISBETH</t>
  </si>
  <si>
    <t>ARNEZ ROJAS</t>
  </si>
  <si>
    <t>ARNEZ SANCHEZ</t>
  </si>
  <si>
    <t>KEVIN YERY</t>
  </si>
  <si>
    <t>ARNEZ SEJAS</t>
  </si>
  <si>
    <t>JHOSELIN</t>
  </si>
  <si>
    <t>ARNEZ VASCONCELLOS</t>
  </si>
  <si>
    <t>ANDREA LILIANA</t>
  </si>
  <si>
    <t>AROCUTIPA MAYTA</t>
  </si>
  <si>
    <t>DANIELA</t>
  </si>
  <si>
    <t>ARRATIA GARCIA</t>
  </si>
  <si>
    <t>ALEJANDRO</t>
  </si>
  <si>
    <t>ARRATIA GASPAR</t>
  </si>
  <si>
    <t>SOFIA JUANA</t>
  </si>
  <si>
    <t>ARRATIA MAMANI</t>
  </si>
  <si>
    <t>SAUL DAVID</t>
  </si>
  <si>
    <t>ARRATIA VARGAS</t>
  </si>
  <si>
    <t>FELICIA</t>
  </si>
  <si>
    <t>ARTEAGA JAVIER</t>
  </si>
  <si>
    <t>RODRIGO</t>
  </si>
  <si>
    <t>ARTEAGA MERUVIA</t>
  </si>
  <si>
    <t>CAROLA</t>
  </si>
  <si>
    <t>ARUQUIPA NINA</t>
  </si>
  <si>
    <t>HELEN PAOLA</t>
  </si>
  <si>
    <t>ARZE SANCHEZ</t>
  </si>
  <si>
    <t>MAURICIO</t>
  </si>
  <si>
    <t>ASCUY PEZO</t>
  </si>
  <si>
    <t>JHOEL JAVIER</t>
  </si>
  <si>
    <t>ASPETI ALEJANDRO</t>
  </si>
  <si>
    <t>FRANCISCO</t>
  </si>
  <si>
    <t>AVILA CONDORI</t>
  </si>
  <si>
    <t>LUIS WILSON</t>
  </si>
  <si>
    <t>AVILA EGUEZ</t>
  </si>
  <si>
    <t>ALBERT MAURICIO</t>
  </si>
  <si>
    <t>AVILA MAEMO</t>
  </si>
  <si>
    <t>WILFREDO</t>
  </si>
  <si>
    <t>AVILA MENDOZA</t>
  </si>
  <si>
    <t>WILSON</t>
  </si>
  <si>
    <t>AVILA TORRICO</t>
  </si>
  <si>
    <t>JOSE FRANCISCO</t>
  </si>
  <si>
    <t>AVILES FLORES</t>
  </si>
  <si>
    <t>ARIANA CIELO</t>
  </si>
  <si>
    <t>AVILES RIBERA</t>
  </si>
  <si>
    <t>SERGIO ALBERTO</t>
  </si>
  <si>
    <t>AYALA</t>
  </si>
  <si>
    <t>GABRIEL</t>
  </si>
  <si>
    <t>AYALA CALCINA</t>
  </si>
  <si>
    <t>MAYRA ADRIANA</t>
  </si>
  <si>
    <t>AYALA COSTANA</t>
  </si>
  <si>
    <t>AYALA LLANQUE</t>
  </si>
  <si>
    <t>ADRIANA CAMILA</t>
  </si>
  <si>
    <t>AYALA LOPEZ</t>
  </si>
  <si>
    <t>ANELISSE MARIELA</t>
  </si>
  <si>
    <t>AYALA MARTINEZ</t>
  </si>
  <si>
    <t>CARLOS ENRIQUE</t>
  </si>
  <si>
    <t>ROMINA GISELLE</t>
  </si>
  <si>
    <t>AYALA RODRIGUEZ</t>
  </si>
  <si>
    <t>GEORGINA KATHERINE</t>
  </si>
  <si>
    <t>AYALA SUZAÑO</t>
  </si>
  <si>
    <t>MELANI NICOL</t>
  </si>
  <si>
    <t>AYALA VALLEJOS</t>
  </si>
  <si>
    <t>DYANA ALEJANDRA</t>
  </si>
  <si>
    <t>AYALA VARGAS</t>
  </si>
  <si>
    <t>ALEJANDRO DIEGO</t>
  </si>
  <si>
    <t>AYALA VELIZ</t>
  </si>
  <si>
    <t>JEAN KARLA</t>
  </si>
  <si>
    <t>AYALA VIDAL</t>
  </si>
  <si>
    <t>CAMILA</t>
  </si>
  <si>
    <t>AYAVIRI ALCON</t>
  </si>
  <si>
    <t>DEYNA ANAHI</t>
  </si>
  <si>
    <t>AYAVIRI COLQUE</t>
  </si>
  <si>
    <t>DENNIS</t>
  </si>
  <si>
    <t>AYAVIRI LEAÑO</t>
  </si>
  <si>
    <t>MARIA ROSMERY</t>
  </si>
  <si>
    <t>AYCA MENACHO</t>
  </si>
  <si>
    <t>NOEMI MERCEDES</t>
  </si>
  <si>
    <t>AYCA QUELCA</t>
  </si>
  <si>
    <t>MARIA TERESA</t>
  </si>
  <si>
    <t>AYMA SOTO</t>
  </si>
  <si>
    <t>DAVID MANUEL</t>
  </si>
  <si>
    <t>AYZAMA PEDRO</t>
  </si>
  <si>
    <t>JIMENA</t>
  </si>
  <si>
    <t>AZERO LAIME</t>
  </si>
  <si>
    <t>MARIBEL</t>
  </si>
  <si>
    <t>AZEÑAS MELGAREJO</t>
  </si>
  <si>
    <t>MELANIE ALEJANDRA</t>
  </si>
  <si>
    <t>AZOGUE LLANOS</t>
  </si>
  <si>
    <t>RODRIGO JAVIER</t>
  </si>
  <si>
    <t>BACOVIC ANZALDO</t>
  </si>
  <si>
    <t>ROBERT DYLAN</t>
  </si>
  <si>
    <t>BALANZA SANCHEZ</t>
  </si>
  <si>
    <t>NICOLE MINERVA</t>
  </si>
  <si>
    <t>BALDELOMAR POZO</t>
  </si>
  <si>
    <t>KARINA</t>
  </si>
  <si>
    <t>BALDELOMAR ROSALES</t>
  </si>
  <si>
    <t>JILMAR</t>
  </si>
  <si>
    <t>BALDERRAMA COSSIO</t>
  </si>
  <si>
    <t>YANCARLA</t>
  </si>
  <si>
    <t>BALDERRAMA JIMENEZ</t>
  </si>
  <si>
    <t>BALDERRAMA MARTINEZ</t>
  </si>
  <si>
    <t>GILDA NATALY</t>
  </si>
  <si>
    <t>BALDERRAMA SANCHEZ</t>
  </si>
  <si>
    <t>CAROLINA</t>
  </si>
  <si>
    <t>TRIFON</t>
  </si>
  <si>
    <t>BALDERRAMA VILLAZON</t>
  </si>
  <si>
    <t>LADY THALIA</t>
  </si>
  <si>
    <t>BALDERRAMA ZAMBRANA</t>
  </si>
  <si>
    <t>ESTER</t>
  </si>
  <si>
    <t>BALLESTEROS VILLEGAS</t>
  </si>
  <si>
    <t>LEONARDO JOHNNY</t>
  </si>
  <si>
    <t>BALTAZAR MOLLO</t>
  </si>
  <si>
    <t>SARAI</t>
  </si>
  <si>
    <t>BAPTISTA ROCHA</t>
  </si>
  <si>
    <t>MARIA NATIVIDAD</t>
  </si>
  <si>
    <t>BARAO CHURA</t>
  </si>
  <si>
    <t>DAVID ESTEBAN</t>
  </si>
  <si>
    <t>BARCAYA ROSALES</t>
  </si>
  <si>
    <t>LILIAN DANITZA</t>
  </si>
  <si>
    <t>BARCO ROCHA</t>
  </si>
  <si>
    <t>BARJA MANRIQUEZ</t>
  </si>
  <si>
    <t>ANDRES</t>
  </si>
  <si>
    <t>BARRAL TUDELA</t>
  </si>
  <si>
    <t>OSCAR ELIAS</t>
  </si>
  <si>
    <t>BARRENECHEA ORELLANA</t>
  </si>
  <si>
    <t>BARRERO ESCOBAR</t>
  </si>
  <si>
    <t>RUTH</t>
  </si>
  <si>
    <t>BARRERO QUISPE</t>
  </si>
  <si>
    <t>JOSE AUGUSTO</t>
  </si>
  <si>
    <t>BARRIENTOS MONTAÑO</t>
  </si>
  <si>
    <t>ESTEFANY ODALIZ</t>
  </si>
  <si>
    <t>BARRIGA RUA</t>
  </si>
  <si>
    <t>JOSE EDUARDO</t>
  </si>
  <si>
    <t>BARRIOS LOPEZ</t>
  </si>
  <si>
    <t>YOSHELIN</t>
  </si>
  <si>
    <t>BARRIOS MONTAÑO</t>
  </si>
  <si>
    <t>HILDA</t>
  </si>
  <si>
    <t>BARRIOS MUR</t>
  </si>
  <si>
    <t>RAUL</t>
  </si>
  <si>
    <t>BARRON ARISPE</t>
  </si>
  <si>
    <t>NICOLÁS FERNANDO</t>
  </si>
  <si>
    <t>BARTOLOME ORTUÑO</t>
  </si>
  <si>
    <t>DANIEL LEÓN</t>
  </si>
  <si>
    <t>BARTOLOME URRELO</t>
  </si>
  <si>
    <t>JEMUEL GEDZON</t>
  </si>
  <si>
    <t>ZULMA JUDIT</t>
  </si>
  <si>
    <t>BASCOPE DURAN</t>
  </si>
  <si>
    <t>BELEN ALEJANDRA</t>
  </si>
  <si>
    <t>BASCOPE MORALES</t>
  </si>
  <si>
    <t>DIEGO ALEJANDRO</t>
  </si>
  <si>
    <t>BASCOPE ZEBALLOS</t>
  </si>
  <si>
    <t>ANDRES ROMEL</t>
  </si>
  <si>
    <t>BAUTISTA ALAPA</t>
  </si>
  <si>
    <t>YERSON ANDY</t>
  </si>
  <si>
    <t>BAUTISTA ASIRICO</t>
  </si>
  <si>
    <t>HELEN MICHEL</t>
  </si>
  <si>
    <t>BAUTISTA CABEZAS</t>
  </si>
  <si>
    <t>EDGAR</t>
  </si>
  <si>
    <t>BAUTISTA GARCIA</t>
  </si>
  <si>
    <t>BAUTISTA MAMANI</t>
  </si>
  <si>
    <t>MISAEL YONATHAN</t>
  </si>
  <si>
    <t>BAUTISTA MERIDA</t>
  </si>
  <si>
    <t>SILVIA</t>
  </si>
  <si>
    <t>BAUTISTA PAGANELLI</t>
  </si>
  <si>
    <t>KATHERINE GUADALUPE</t>
  </si>
  <si>
    <t>BAUTISTA RAMIREZ</t>
  </si>
  <si>
    <t>CINTHIA</t>
  </si>
  <si>
    <t>BAZUALDO CARRILLO</t>
  </si>
  <si>
    <t>ADRIANA BELEN</t>
  </si>
  <si>
    <t>BAÑADO SEQUEIRA</t>
  </si>
  <si>
    <t>FABIOLA</t>
  </si>
  <si>
    <t>BECERRA HINOJOSA</t>
  </si>
  <si>
    <t>JUAN PABLO</t>
  </si>
  <si>
    <t>BEDOYA DEHEZA</t>
  </si>
  <si>
    <t>BEJARANO CONDORI</t>
  </si>
  <si>
    <t>FABIO FERNANDO</t>
  </si>
  <si>
    <t>BELLOT GALINDO</t>
  </si>
  <si>
    <t>KEVIN</t>
  </si>
  <si>
    <t>BELLOTT LAZARTE</t>
  </si>
  <si>
    <t>BENJAMIN</t>
  </si>
  <si>
    <t>BELTRAN ARANCIBIA</t>
  </si>
  <si>
    <t>JESSICA NICOLE</t>
  </si>
  <si>
    <t>BELTRAN CABRERA</t>
  </si>
  <si>
    <t>DARINKA GENESIS</t>
  </si>
  <si>
    <t>BELTRAN CHAMBI</t>
  </si>
  <si>
    <t>BELTRAN ENCINAS</t>
  </si>
  <si>
    <t>JACKY EVELYN</t>
  </si>
  <si>
    <t>BELTRAN LOPEZ</t>
  </si>
  <si>
    <t>KATERIN ROXANA</t>
  </si>
  <si>
    <t>BENITO CALDERON</t>
  </si>
  <si>
    <t>ZENON GROVER</t>
  </si>
  <si>
    <t>BERMUDEZ TORRICO</t>
  </si>
  <si>
    <t>KEILA VIVIANA</t>
  </si>
  <si>
    <t>BERNABE ARANCIBIA</t>
  </si>
  <si>
    <t>DEMIRSON</t>
  </si>
  <si>
    <t>BERNABE MAGNE</t>
  </si>
  <si>
    <t>PAOLA IBETH</t>
  </si>
  <si>
    <t>BERRIOS REYNAGA</t>
  </si>
  <si>
    <t>JHOAN MANUEL</t>
  </si>
  <si>
    <t>BETANCOURT YUNEZ</t>
  </si>
  <si>
    <t>LUIS FERNANDO</t>
  </si>
  <si>
    <t>BETANCUR RODRIGUEZ</t>
  </si>
  <si>
    <t>JHEYSON</t>
  </si>
  <si>
    <t>BETANCUR TORRICO</t>
  </si>
  <si>
    <t>MIRTHA</t>
  </si>
  <si>
    <t>BLANCO CÉSPEDES</t>
  </si>
  <si>
    <t>MARCIA</t>
  </si>
  <si>
    <t>BLANCO GARCIA</t>
  </si>
  <si>
    <t>ESTRELLA</t>
  </si>
  <si>
    <t>BLANCO LUNA</t>
  </si>
  <si>
    <t>BLANCO VARGAS</t>
  </si>
  <si>
    <t>MIJAIL FAUSTO</t>
  </si>
  <si>
    <t>BLANCO VIDAURRE</t>
  </si>
  <si>
    <t>MAYELI SUSANA</t>
  </si>
  <si>
    <t>BLANCO VILLARROEL</t>
  </si>
  <si>
    <t>BOLAÑOS CALLE</t>
  </si>
  <si>
    <t>DIEGO ARMANDO</t>
  </si>
  <si>
    <t>BOLIVAR ALEJO</t>
  </si>
  <si>
    <t>MADAY ESTEFANI</t>
  </si>
  <si>
    <t>BOLIVAR CARRILLO</t>
  </si>
  <si>
    <t>YESENIA ASLY</t>
  </si>
  <si>
    <t>BOLIVAR CUEVAS</t>
  </si>
  <si>
    <t>ESTER DORIS</t>
  </si>
  <si>
    <t>BORDA CHAVEZ</t>
  </si>
  <si>
    <t>RENÈ</t>
  </si>
  <si>
    <t>BORDA FLORES</t>
  </si>
  <si>
    <t>MIKAELA BELEN</t>
  </si>
  <si>
    <t>BORDA VALVERDE</t>
  </si>
  <si>
    <t>DIEGO HUMBERTO</t>
  </si>
  <si>
    <t>BORJA GUZMAN</t>
  </si>
  <si>
    <t>JOSE LUIS</t>
  </si>
  <si>
    <t>BOZO CARTAGENA</t>
  </si>
  <si>
    <t>JOSE SEBASTIAN</t>
  </si>
  <si>
    <t>BRAVO ESPINOZA</t>
  </si>
  <si>
    <t>FRANCO FERNANDO</t>
  </si>
  <si>
    <t>BRAVO QUIROZ</t>
  </si>
  <si>
    <t>MARIELY JEISYL</t>
  </si>
  <si>
    <t>BRAVO RUEDA</t>
  </si>
  <si>
    <t>JONATHAN</t>
  </si>
  <si>
    <t>BROUSET JAÉN</t>
  </si>
  <si>
    <t>MELANY CECILIA</t>
  </si>
  <si>
    <t>BUENDIA RIOJA</t>
  </si>
  <si>
    <t>BURGOA NICOLAS</t>
  </si>
  <si>
    <t>SHIRLEY KATERIN</t>
  </si>
  <si>
    <t>BURGOA ROSA</t>
  </si>
  <si>
    <t>ANGELICA MARCELA</t>
  </si>
  <si>
    <t>BUSTAMANTE BURGOS</t>
  </si>
  <si>
    <t>BRENDA BEATRIZ</t>
  </si>
  <si>
    <t>BUSTAMANTE COCA</t>
  </si>
  <si>
    <t>ERICK JHERSON</t>
  </si>
  <si>
    <t>BUSTAMANTE ESCOBAR</t>
  </si>
  <si>
    <t>JHOSSELIN STHAICY</t>
  </si>
  <si>
    <t>BUSTAMANTE ESPINOZA</t>
  </si>
  <si>
    <t>MARIANE GOLDDY</t>
  </si>
  <si>
    <t>BUSTAMANTE FERNANDEZ</t>
  </si>
  <si>
    <t>BISMARK ARTURO</t>
  </si>
  <si>
    <t>BUSTAMANTE MARQUINA</t>
  </si>
  <si>
    <t>KEVIN JHON</t>
  </si>
  <si>
    <t>BUSTAMANTE RODRIGUEZ</t>
  </si>
  <si>
    <t>BUSTILLOS SANCHEZ</t>
  </si>
  <si>
    <t>GRICELDA</t>
  </si>
  <si>
    <t>BYRON QUISPIA</t>
  </si>
  <si>
    <t>CABALLERO CARRASCO</t>
  </si>
  <si>
    <t>DAFNE ALEJANDRA</t>
  </si>
  <si>
    <t>CABALLERO CLAROS</t>
  </si>
  <si>
    <t>JAVIER ALFREDO</t>
  </si>
  <si>
    <t>CABALLERO VALLE</t>
  </si>
  <si>
    <t>LICED</t>
  </si>
  <si>
    <t>CABALLERO VILLARROEL</t>
  </si>
  <si>
    <t>CABEZAS CALLE</t>
  </si>
  <si>
    <t>CABRERA AMARGO</t>
  </si>
  <si>
    <t>ANA KAREN</t>
  </si>
  <si>
    <t>CABRERA CABRERA</t>
  </si>
  <si>
    <t>PATRICIA LENNA</t>
  </si>
  <si>
    <t>CABRERA CESPEDES</t>
  </si>
  <si>
    <t>JOSIAS RICARDO</t>
  </si>
  <si>
    <t>CABRERA DE LA VIA</t>
  </si>
  <si>
    <t>OSCAR BORIS</t>
  </si>
  <si>
    <t>CABRERA ESPINOZA</t>
  </si>
  <si>
    <t>CABRERA HUANVERDY</t>
  </si>
  <si>
    <t>MARTIN SALVADOR</t>
  </si>
  <si>
    <t>CABRERA MUÑOZ</t>
  </si>
  <si>
    <t>EDWIN</t>
  </si>
  <si>
    <t>CABRERA NOGALES</t>
  </si>
  <si>
    <t>JHONN HENRRY</t>
  </si>
  <si>
    <t>CABRERA ROJAS</t>
  </si>
  <si>
    <t>DANIA LINETT</t>
  </si>
  <si>
    <t>CABRERA TORRICO</t>
  </si>
  <si>
    <t>MARCOS ANDRES</t>
  </si>
  <si>
    <t>CABRERA TRIVEÑO</t>
  </si>
  <si>
    <t>CABRERA VILLARROEL</t>
  </si>
  <si>
    <t>JUAN ARIEL</t>
  </si>
  <si>
    <t>CACERES CRUZ</t>
  </si>
  <si>
    <t>MARCO GASTON</t>
  </si>
  <si>
    <t>CACERES HERRERA</t>
  </si>
  <si>
    <t>YERALDIN</t>
  </si>
  <si>
    <t>CACERES LOMA</t>
  </si>
  <si>
    <t>RUBEN ALFREDO</t>
  </si>
  <si>
    <t>CACERES ROJAS</t>
  </si>
  <si>
    <t>JORGE LUIS</t>
  </si>
  <si>
    <t>CACERES SILVESTRE</t>
  </si>
  <si>
    <t>CACERES VARGAS</t>
  </si>
  <si>
    <t>ALEJANDRO MATIAS</t>
  </si>
  <si>
    <t>CACERES ZARATE</t>
  </si>
  <si>
    <t>DANIEL</t>
  </si>
  <si>
    <t>CACHAMBI PASCUAL</t>
  </si>
  <si>
    <t>CLAUDIA NATALIA</t>
  </si>
  <si>
    <t>CACHI MAMANI</t>
  </si>
  <si>
    <t>ROMER SAMUEL</t>
  </si>
  <si>
    <t>CADIMA CORDOVA</t>
  </si>
  <si>
    <t>KEVIN EDDY</t>
  </si>
  <si>
    <t>CADIMA LEMUS</t>
  </si>
  <si>
    <t>CARLOS HUMBERTO</t>
  </si>
  <si>
    <t>CADIZ MONTAÑO</t>
  </si>
  <si>
    <t>MARIA ANDREA</t>
  </si>
  <si>
    <t>CADIZ SOTO</t>
  </si>
  <si>
    <t>HERNAN RUDIGER</t>
  </si>
  <si>
    <t>CAERO CONDORI</t>
  </si>
  <si>
    <t>FABIOLA DAYANA</t>
  </si>
  <si>
    <t>CAERO FERRUFINO</t>
  </si>
  <si>
    <t>DANIELA LUCERO</t>
  </si>
  <si>
    <t>CAERO QUIROGA</t>
  </si>
  <si>
    <t>HENDRIK</t>
  </si>
  <si>
    <t>CAERO TERRAZAS</t>
  </si>
  <si>
    <t>WILLIAN</t>
  </si>
  <si>
    <t>CAERO VALLEJOS</t>
  </si>
  <si>
    <t>JHONNY</t>
  </si>
  <si>
    <t>CAHUAYA CARDOZO</t>
  </si>
  <si>
    <t>GIOCONDA IRENE</t>
  </si>
  <si>
    <t>CALA TARAÑA</t>
  </si>
  <si>
    <t>DAMIAN</t>
  </si>
  <si>
    <t>CALAHUMA LOZA</t>
  </si>
  <si>
    <t>CALCINA RAMOS</t>
  </si>
  <si>
    <t>CALDERON PADILLA</t>
  </si>
  <si>
    <t>JOSE MIGUEL</t>
  </si>
  <si>
    <t>CALDERON PEREZ</t>
  </si>
  <si>
    <t>RINO ADAN</t>
  </si>
  <si>
    <t>CALDERON QUINTEROS</t>
  </si>
  <si>
    <t>MARIANELA</t>
  </si>
  <si>
    <t>CALDERÓN ARISPE</t>
  </si>
  <si>
    <t>FRANZ ESTEBAN</t>
  </si>
  <si>
    <t>CALDERÓN VENEROS</t>
  </si>
  <si>
    <t>CALI PUENTE</t>
  </si>
  <si>
    <t>SARAI CRISTINA</t>
  </si>
  <si>
    <t>CALICHO SIANCAS</t>
  </si>
  <si>
    <t>CALIZAYA LAMPA</t>
  </si>
  <si>
    <t>CALIZAYA NOGALES</t>
  </si>
  <si>
    <t>JOSÉ LUIS</t>
  </si>
  <si>
    <t>CALLAPA CHALLCO</t>
  </si>
  <si>
    <t>BRENDA MARIBEL</t>
  </si>
  <si>
    <t>CALLAU MEDRANO</t>
  </si>
  <si>
    <t>VALERIA</t>
  </si>
  <si>
    <t>CALLE</t>
  </si>
  <si>
    <t>BORIS</t>
  </si>
  <si>
    <t>CALLE ALA</t>
  </si>
  <si>
    <t>RUDDY</t>
  </si>
  <si>
    <t>CALLE BALDERRAMA</t>
  </si>
  <si>
    <t>CALLE CALLEJAS</t>
  </si>
  <si>
    <t>JEANNE</t>
  </si>
  <si>
    <t>CALLE FLORES</t>
  </si>
  <si>
    <t>MARCELO</t>
  </si>
  <si>
    <t>MOISES RODY</t>
  </si>
  <si>
    <t>CALLE LAZARTE</t>
  </si>
  <si>
    <t>BRENDA RUBY</t>
  </si>
  <si>
    <t>CALLE MACHACA</t>
  </si>
  <si>
    <t>LENNY ZORAIDA</t>
  </si>
  <si>
    <t>CALLE MAMANI</t>
  </si>
  <si>
    <t>JOSE ANDRES</t>
  </si>
  <si>
    <t>CALLEJAS BARRERA</t>
  </si>
  <si>
    <t>ISMAEL CARLOS</t>
  </si>
  <si>
    <t>CALLISAYA APAZA</t>
  </si>
  <si>
    <t>PEDRO GUIMBER</t>
  </si>
  <si>
    <t>CALLISAYA BUENO</t>
  </si>
  <si>
    <t>ANA MARIA</t>
  </si>
  <si>
    <t>CALLISAYA LEON</t>
  </si>
  <si>
    <t>CALLIZAYA ORELLANA</t>
  </si>
  <si>
    <t>CALLIZAYA RAMALLO</t>
  </si>
  <si>
    <t>BRAYAN</t>
  </si>
  <si>
    <t>CALVI RODRIGUEZ</t>
  </si>
  <si>
    <t>ALEJANDRA</t>
  </si>
  <si>
    <t>CALVO SALAZAR</t>
  </si>
  <si>
    <t>MARIANA</t>
  </si>
  <si>
    <t>CAMACHO ARANDIA</t>
  </si>
  <si>
    <t>RUTH BLANCA</t>
  </si>
  <si>
    <t>CAMACHO ARNEZ</t>
  </si>
  <si>
    <t>LISBET</t>
  </si>
  <si>
    <t>CAMACHO ARRAZOLA</t>
  </si>
  <si>
    <t>PETER</t>
  </si>
  <si>
    <t>CAMACHO ARROYO</t>
  </si>
  <si>
    <t>LUIS GABRIEL</t>
  </si>
  <si>
    <t>CAMACHO BALDIVIESO</t>
  </si>
  <si>
    <t>BRUNO</t>
  </si>
  <si>
    <t>CAMACHO CHOQUE</t>
  </si>
  <si>
    <t>EVER ADRIAN</t>
  </si>
  <si>
    <t>CAMACHO COCA</t>
  </si>
  <si>
    <t>ODALIS CLAUDIA</t>
  </si>
  <si>
    <t>CAMACHO ECHEVERRÍA</t>
  </si>
  <si>
    <t>ALVARO DAVID</t>
  </si>
  <si>
    <t>CAMACHO FERNÀNDEZ</t>
  </si>
  <si>
    <t>ADRIANA MELODY</t>
  </si>
  <si>
    <t>CAMACHO GARCIA</t>
  </si>
  <si>
    <t>GABRIELA ERLINDA</t>
  </si>
  <si>
    <t>CAMACHO GARNICA</t>
  </si>
  <si>
    <t>KATHERINE BRENDA</t>
  </si>
  <si>
    <t>CAMACHO MONTAÑO</t>
  </si>
  <si>
    <t>CAMACHO NOGALES</t>
  </si>
  <si>
    <t>JOSE HERNAN</t>
  </si>
  <si>
    <t>CAMACHO QUIROGA</t>
  </si>
  <si>
    <t>VICTOR MANUEL</t>
  </si>
  <si>
    <t>CAMACHO REYES</t>
  </si>
  <si>
    <t>LIMBERT</t>
  </si>
  <si>
    <t>CAMACHO RIVERA</t>
  </si>
  <si>
    <t>LINDA ROMANETH</t>
  </si>
  <si>
    <t>CAMACHO TERAN</t>
  </si>
  <si>
    <t>CAMACHO TORRICO</t>
  </si>
  <si>
    <t>ERWIN ENRIQUE</t>
  </si>
  <si>
    <t>CAMACHO VASQUEZ</t>
  </si>
  <si>
    <t>RUDDY ALEXANDER</t>
  </si>
  <si>
    <t>CAMACHO VELARDE</t>
  </si>
  <si>
    <t>CLAUDIA YARA</t>
  </si>
  <si>
    <t>CAMACHO VIDAL</t>
  </si>
  <si>
    <t>ELIANE MARISELA</t>
  </si>
  <si>
    <t>CAMACHO YAVI</t>
  </si>
  <si>
    <t>ADRIANA MARCELA</t>
  </si>
  <si>
    <t>CAMACHO ZENZANO</t>
  </si>
  <si>
    <t>ARIANA</t>
  </si>
  <si>
    <t>CAMARGO CAPARI</t>
  </si>
  <si>
    <t>CAROLA LOLA</t>
  </si>
  <si>
    <t>CAMATA AGUILAR</t>
  </si>
  <si>
    <t>BENJAMIN ENRRIQUE</t>
  </si>
  <si>
    <t>CAMATA MENDOZA</t>
  </si>
  <si>
    <t>VICTORIA ELIDA</t>
  </si>
  <si>
    <t>CAMPOS ANDRADE</t>
  </si>
  <si>
    <t>ALISON ROMINA</t>
  </si>
  <si>
    <t>CAMPOS MELCON</t>
  </si>
  <si>
    <t>CARLOS ALEXANDER</t>
  </si>
  <si>
    <t>CAMPOS MERLO</t>
  </si>
  <si>
    <t>RAQUEL</t>
  </si>
  <si>
    <t>CAMPOS VARGAS</t>
  </si>
  <si>
    <t>KEVIN FAVIO</t>
  </si>
  <si>
    <t>RAUL ALFRED</t>
  </si>
  <si>
    <t>CANAVIRI ASTETE</t>
  </si>
  <si>
    <t>ANAHI FABIOLA</t>
  </si>
  <si>
    <t>CANAVIRI GASPAR</t>
  </si>
  <si>
    <t>CANAVIRI HUANCA</t>
  </si>
  <si>
    <t>TATIANA</t>
  </si>
  <si>
    <t>CANAVIRI MAMANI</t>
  </si>
  <si>
    <t>ADA LIZELA</t>
  </si>
  <si>
    <t>LORENSA</t>
  </si>
  <si>
    <t>CANAVIRI RIOS</t>
  </si>
  <si>
    <t>REINA LAURA</t>
  </si>
  <si>
    <t>CANAVIRI VILLCA</t>
  </si>
  <si>
    <t>EDGAR ANDRES</t>
  </si>
  <si>
    <t>CANAZA</t>
  </si>
  <si>
    <t>KELLY</t>
  </si>
  <si>
    <t>CANDIA AYAVIRI</t>
  </si>
  <si>
    <t>CAROLINA ELIZABETH</t>
  </si>
  <si>
    <t>CANDIA RODRIGUEZ</t>
  </si>
  <si>
    <t>KATHERINE JASIEL</t>
  </si>
  <si>
    <t>CANEDO RODRIGUEZ</t>
  </si>
  <si>
    <t>MARILIN</t>
  </si>
  <si>
    <t>CANELAS ADRIAZOLA</t>
  </si>
  <si>
    <t>CANO ALMENDRAS</t>
  </si>
  <si>
    <t>RUTH MABEL</t>
  </si>
  <si>
    <t>CANO BRICHER</t>
  </si>
  <si>
    <t>SALVADOR CHRISTIAN</t>
  </si>
  <si>
    <t>CANO GUTIERREZ</t>
  </si>
  <si>
    <t>ALEXIS FABRICIO</t>
  </si>
  <si>
    <t>CANQUI OLGUIN</t>
  </si>
  <si>
    <t>DIEGO ANTONIO</t>
  </si>
  <si>
    <t>CAPRIROLO JAIMES</t>
  </si>
  <si>
    <t>BRENDA DENISSE</t>
  </si>
  <si>
    <t>CAPUMA MAMANI</t>
  </si>
  <si>
    <t>BERTHA NELLY</t>
  </si>
  <si>
    <t>CAPUMA TUCO</t>
  </si>
  <si>
    <t>ISAIAS NILO</t>
  </si>
  <si>
    <t>CARACARA FLORES</t>
  </si>
  <si>
    <t>JOSUE</t>
  </si>
  <si>
    <t>CARACARA VILLCA</t>
  </si>
  <si>
    <t>CARAMACHI CHOQUE</t>
  </si>
  <si>
    <t>LENY NAYELY</t>
  </si>
  <si>
    <t>CARBAJAL GUZMAN</t>
  </si>
  <si>
    <t>SANDRO</t>
  </si>
  <si>
    <t>CARBALLO ORELLANA</t>
  </si>
  <si>
    <t>JUAN</t>
  </si>
  <si>
    <t>CARBALLO VARGAS</t>
  </si>
  <si>
    <t>CARDENAS CAETANO</t>
  </si>
  <si>
    <t>BORIS RENE</t>
  </si>
  <si>
    <t>CARDENAS CANDIA</t>
  </si>
  <si>
    <t>DAVID</t>
  </si>
  <si>
    <t>CARDENAS CAPARI</t>
  </si>
  <si>
    <t>GERALDINE</t>
  </si>
  <si>
    <t>PATRICIA</t>
  </si>
  <si>
    <t>CARDENAS SAINZ</t>
  </si>
  <si>
    <t>GILMA LETICIA</t>
  </si>
  <si>
    <t>CARDOZO ALBA</t>
  </si>
  <si>
    <t>FATIMA VALERIA</t>
  </si>
  <si>
    <t>CARDOZO IBAÑEZ</t>
  </si>
  <si>
    <t>SILVIA KIKAR</t>
  </si>
  <si>
    <t>CARDOZO VALLEJOS</t>
  </si>
  <si>
    <t>CARITAS MEJILLONES</t>
  </si>
  <si>
    <t>JOSÉ HUMBERTO</t>
  </si>
  <si>
    <t>CARMONA PEREZ</t>
  </si>
  <si>
    <t>PAOLA ANDREA</t>
  </si>
  <si>
    <t>CARO MONTAÑO</t>
  </si>
  <si>
    <t>JHONN FELIX</t>
  </si>
  <si>
    <t>CARPIO ALVAREZ</t>
  </si>
  <si>
    <t>JHOEL ENRIQUE</t>
  </si>
  <si>
    <t>CARRASCO LUQUE</t>
  </si>
  <si>
    <t>CARRASCO ORTEGA</t>
  </si>
  <si>
    <t>GEMMA REGINA</t>
  </si>
  <si>
    <t>CARTAGENA AVILES</t>
  </si>
  <si>
    <t>JHOSETH</t>
  </si>
  <si>
    <t>CARTAGENA CHAO</t>
  </si>
  <si>
    <t>ETHEL ROSARIO</t>
  </si>
  <si>
    <t>CARTAGENA MAMANI</t>
  </si>
  <si>
    <t>MARIA ELENA</t>
  </si>
  <si>
    <t>CARTAGENA ROMERO</t>
  </si>
  <si>
    <t>RUTH MAGALI</t>
  </si>
  <si>
    <t>CARTAGENA YURICEVIC</t>
  </si>
  <si>
    <t>ANAHI CAMILA</t>
  </si>
  <si>
    <t>CARVAJAL CRUZ</t>
  </si>
  <si>
    <t>RICARDO HUASCAR</t>
  </si>
  <si>
    <t>CARVAJAL FLORES</t>
  </si>
  <si>
    <t>EDSON</t>
  </si>
  <si>
    <t>CARVAJAL PANIAGUA</t>
  </si>
  <si>
    <t>DAYANA SCARLEN</t>
  </si>
  <si>
    <t>CARVAJAL PASTOR</t>
  </si>
  <si>
    <t>ALEJANDRO EDMUNDO</t>
  </si>
  <si>
    <t>CARVALLO ZAMBRANA</t>
  </si>
  <si>
    <t>SHIRLEY LIZETH</t>
  </si>
  <si>
    <t>CASILLA CRUZ</t>
  </si>
  <si>
    <t>CASILLA LOZA</t>
  </si>
  <si>
    <t>KAREM INGRID</t>
  </si>
  <si>
    <t>CASTAÑEDA CHOQUE</t>
  </si>
  <si>
    <t>ERICK RICARDO</t>
  </si>
  <si>
    <t>CASTELLON ACUÑA</t>
  </si>
  <si>
    <t>NATALY YESENIA</t>
  </si>
  <si>
    <t>CASTELLON CUELLAR</t>
  </si>
  <si>
    <t>CRISTHIAN FRANKLIN</t>
  </si>
  <si>
    <t>CASTELLON MOLINA</t>
  </si>
  <si>
    <t>LESLIE</t>
  </si>
  <si>
    <t>CASTELLON PINTO</t>
  </si>
  <si>
    <t>ALEIDA ANDREA</t>
  </si>
  <si>
    <t>CASTELLON SARAVIA</t>
  </si>
  <si>
    <t>SOFIA</t>
  </si>
  <si>
    <t>CASTELLON VASQUEZ</t>
  </si>
  <si>
    <t>DAYSI</t>
  </si>
  <si>
    <t>CASTELLÓN IBAÑEZ</t>
  </si>
  <si>
    <t>CASTILLO</t>
  </si>
  <si>
    <t>RICHARD</t>
  </si>
  <si>
    <t>CASTILLO CHOQUE</t>
  </si>
  <si>
    <t>CASTILLO MAIDANA</t>
  </si>
  <si>
    <t>AIDE LIZETH</t>
  </si>
  <si>
    <t>CASTILLO PRADO</t>
  </si>
  <si>
    <t>WILLY JUNIOR</t>
  </si>
  <si>
    <t>CASTRO FIGUEROA</t>
  </si>
  <si>
    <t>TANIA</t>
  </si>
  <si>
    <t>CASTRO RODRIGUEZ</t>
  </si>
  <si>
    <t>DANITZA KAREN</t>
  </si>
  <si>
    <t>CASTRO SANCHEZ</t>
  </si>
  <si>
    <t>MARLENE</t>
  </si>
  <si>
    <t>CASTRO VARGAS</t>
  </si>
  <si>
    <t>ALDO</t>
  </si>
  <si>
    <t>CASTRO VILLCA</t>
  </si>
  <si>
    <t>JENNY</t>
  </si>
  <si>
    <t>CASTRO ZAMBRANA</t>
  </si>
  <si>
    <t>NICOLE BELEN</t>
  </si>
  <si>
    <t>CATALAN PAICO</t>
  </si>
  <si>
    <t>KATHERINE DAYANA</t>
  </si>
  <si>
    <t>CATARI CLADERA</t>
  </si>
  <si>
    <t>ISAI ALAN</t>
  </si>
  <si>
    <t>CATORCENO CARBALLO</t>
  </si>
  <si>
    <t>JOSE ADRIAN</t>
  </si>
  <si>
    <t>CAVIADEZ AVILA</t>
  </si>
  <si>
    <t>IVETTE MARY</t>
  </si>
  <si>
    <t>CAYO</t>
  </si>
  <si>
    <t>CAYO ALCONS</t>
  </si>
  <si>
    <t>JAZMIN JAHAIRA</t>
  </si>
  <si>
    <t>CAYO VILLCA</t>
  </si>
  <si>
    <t>FLORIAN</t>
  </si>
  <si>
    <t>CAZZOL ROJAS</t>
  </si>
  <si>
    <t>FABIO GINO</t>
  </si>
  <si>
    <t>CENTELLAS PINTO</t>
  </si>
  <si>
    <t>ERIKA</t>
  </si>
  <si>
    <t>CERDA MAMANI</t>
  </si>
  <si>
    <t>CEREZO ANTEZANA</t>
  </si>
  <si>
    <t>JHOSELYN</t>
  </si>
  <si>
    <t>CEREZO MARCA</t>
  </si>
  <si>
    <t>ROLY IVAN</t>
  </si>
  <si>
    <t>CERON RIVERO</t>
  </si>
  <si>
    <t>CERRUTO RODRIGUEZ</t>
  </si>
  <si>
    <t>CESPEDES ESPINOZA</t>
  </si>
  <si>
    <t>CESPEDES FERNANDEZ</t>
  </si>
  <si>
    <t>MIRKO</t>
  </si>
  <si>
    <t>PAOLA</t>
  </si>
  <si>
    <t>CESPEDES MUÑOZ</t>
  </si>
  <si>
    <t>DANTE JOEL</t>
  </si>
  <si>
    <t>CESPEDES NUÑEZ</t>
  </si>
  <si>
    <t>CARLOS ALEJANDRO</t>
  </si>
  <si>
    <t>CESPEDES PARRA</t>
  </si>
  <si>
    <t>MARYSOL</t>
  </si>
  <si>
    <t>CESPEDES SANABRIA</t>
  </si>
  <si>
    <t>DAVID RENE</t>
  </si>
  <si>
    <t>CHACON CUBA</t>
  </si>
  <si>
    <t>CHALLAPA SANCHEZ</t>
  </si>
  <si>
    <t>LUCERO</t>
  </si>
  <si>
    <t>CHAMBI ARAMAYO</t>
  </si>
  <si>
    <t>CHAMBI ARIAS</t>
  </si>
  <si>
    <t>NELSON</t>
  </si>
  <si>
    <t>CHAMBI FERNANDEZ</t>
  </si>
  <si>
    <t>RICARDO</t>
  </si>
  <si>
    <t>CHAMBI ISNADO</t>
  </si>
  <si>
    <t>JAZMIN</t>
  </si>
  <si>
    <t>CHAMBI LOPEZ</t>
  </si>
  <si>
    <t>GREYSI SILVIA</t>
  </si>
  <si>
    <t>CHAMBI MANZANO</t>
  </si>
  <si>
    <t>SAMUEL</t>
  </si>
  <si>
    <t>CHAMBI MITMA</t>
  </si>
  <si>
    <t>ABDIEL</t>
  </si>
  <si>
    <t>CHAMBI MÚJICA</t>
  </si>
  <si>
    <t>ANGHELO JUNIOR</t>
  </si>
  <si>
    <t>CHAMBI ROJAS</t>
  </si>
  <si>
    <t>ALDAIR</t>
  </si>
  <si>
    <t>CHAMBI ROMANO</t>
  </si>
  <si>
    <t>ULISES ALBERTO</t>
  </si>
  <si>
    <t>CHAMBI SANCHEZ</t>
  </si>
  <si>
    <t>OVAN SAID</t>
  </si>
  <si>
    <t>CHAMBI SEGUNDO</t>
  </si>
  <si>
    <t>CAMILA ADRIANA</t>
  </si>
  <si>
    <t>CHAMBI TOLA</t>
  </si>
  <si>
    <t>BERTHA</t>
  </si>
  <si>
    <t>CHAMBI ZEQUITA</t>
  </si>
  <si>
    <t>JOSE MANUEL</t>
  </si>
  <si>
    <t>CHAVARRIA LEON</t>
  </si>
  <si>
    <t>CAREN ANAHY</t>
  </si>
  <si>
    <t>CHAVEZ CHOQUE</t>
  </si>
  <si>
    <t>GROVER</t>
  </si>
  <si>
    <t>CHAVEZ COAQUIRA</t>
  </si>
  <si>
    <t>CHAVEZ HERBAS</t>
  </si>
  <si>
    <t>RENE GUILLERMO</t>
  </si>
  <si>
    <t>CHAVEZ LLANQUE</t>
  </si>
  <si>
    <t>CHAVEZ MAMANI</t>
  </si>
  <si>
    <t>DANIEL JAVIER</t>
  </si>
  <si>
    <t>CHAVEZ MENESES</t>
  </si>
  <si>
    <t>MADELEYN</t>
  </si>
  <si>
    <t>CHAVEZ MIRANDA</t>
  </si>
  <si>
    <t>HUASCAR HAROL</t>
  </si>
  <si>
    <t>CHAVEZ ORELLANA</t>
  </si>
  <si>
    <t>JESSICA</t>
  </si>
  <si>
    <t>NOEMI</t>
  </si>
  <si>
    <t>THAIS MILDRED</t>
  </si>
  <si>
    <t>CHAVEZ PARRA</t>
  </si>
  <si>
    <t>JOHN ELVIS</t>
  </si>
  <si>
    <t>CHAVEZ PONCE</t>
  </si>
  <si>
    <t>LIZET</t>
  </si>
  <si>
    <t>CHAVEZ SEJAS</t>
  </si>
  <si>
    <t>STHEFANNY DANIELA</t>
  </si>
  <si>
    <t>CHAVEZ SILES</t>
  </si>
  <si>
    <t>BEYMAR</t>
  </si>
  <si>
    <t>CHAVEZ SOLIZ</t>
  </si>
  <si>
    <t>RANDY BRAYAN</t>
  </si>
  <si>
    <t>CHAVEZ VASQUEZ</t>
  </si>
  <si>
    <t>CARLOS MANUEL</t>
  </si>
  <si>
    <t>CHECA MONTAÑO</t>
  </si>
  <si>
    <t>ROSALIA</t>
  </si>
  <si>
    <t>CHIALLA FLORES</t>
  </si>
  <si>
    <t>DELIA</t>
  </si>
  <si>
    <t>CHILENO</t>
  </si>
  <si>
    <t>PILAR DANIELA</t>
  </si>
  <si>
    <t>CHILENO BARBERITO</t>
  </si>
  <si>
    <t>CHILENO MAMANI</t>
  </si>
  <si>
    <t>CHINTARI MAMANI</t>
  </si>
  <si>
    <t>ABIGAIL</t>
  </si>
  <si>
    <t>CHINTARI TARQUI</t>
  </si>
  <si>
    <t>CHIPANA CALLIZAYA</t>
  </si>
  <si>
    <t>JHONNY BENJAMIN</t>
  </si>
  <si>
    <t>CHIPANA FERNANDEZ</t>
  </si>
  <si>
    <t>WILMER</t>
  </si>
  <si>
    <t>CHIRI MALDONADO</t>
  </si>
  <si>
    <t>CARLOS JHOAN</t>
  </si>
  <si>
    <t>CHIRI VIDAL</t>
  </si>
  <si>
    <t>OLIVIA</t>
  </si>
  <si>
    <t>CHIRILLA PALLY</t>
  </si>
  <si>
    <t>JHONATHAN JOSSUE</t>
  </si>
  <si>
    <t>CHOCAMANI FLORES</t>
  </si>
  <si>
    <t>CHOCAMANI PIZARRO</t>
  </si>
  <si>
    <t>EVER</t>
  </si>
  <si>
    <t>CHOQUE</t>
  </si>
  <si>
    <t>GROVER HERIBERTO</t>
  </si>
  <si>
    <t>CHOQUE AGUILAR</t>
  </si>
  <si>
    <t>ALVARO DENNIS</t>
  </si>
  <si>
    <t>JAHISEN</t>
  </si>
  <si>
    <t>CHOQUE AYAVIRI</t>
  </si>
  <si>
    <t>WANDA CINTHIA</t>
  </si>
  <si>
    <t>CHOQUE CATORCENO</t>
  </si>
  <si>
    <t>DILAN AREL</t>
  </si>
  <si>
    <t>CHOQUE CHARACAYO</t>
  </si>
  <si>
    <t>CHOQUE CHOQUE</t>
  </si>
  <si>
    <t>JUAN DIEGO</t>
  </si>
  <si>
    <t>CHOQUE CONDORI</t>
  </si>
  <si>
    <t>VIDAL</t>
  </si>
  <si>
    <t>CHOQUE ESCALERA</t>
  </si>
  <si>
    <t>CHOQUE FERNANDEZ</t>
  </si>
  <si>
    <t>MARY CRUZ</t>
  </si>
  <si>
    <t>CHOQUE FUENTES</t>
  </si>
  <si>
    <t>DENISSE SUSANA</t>
  </si>
  <si>
    <t>CHOQUE GALAN</t>
  </si>
  <si>
    <t>NATALY DARSIN</t>
  </si>
  <si>
    <t>CHOQUE GOMEZ</t>
  </si>
  <si>
    <t>CHOQUE GONZALES</t>
  </si>
  <si>
    <t>DIANA ALEXANDRA</t>
  </si>
  <si>
    <t>CHOQUE GUILLEN</t>
  </si>
  <si>
    <t>ESTHER VIRGINIA</t>
  </si>
  <si>
    <t>CHOQUE GUZMAN</t>
  </si>
  <si>
    <t>DARWIN CRISTIAN</t>
  </si>
  <si>
    <t>CHOQUE JIMENEZ</t>
  </si>
  <si>
    <t>WILDER</t>
  </si>
  <si>
    <t>CHOQUE LIMA</t>
  </si>
  <si>
    <t>CAMILA CAROLINA</t>
  </si>
  <si>
    <t>CHOQUE MAMANI</t>
  </si>
  <si>
    <t>ANDRA MICHELLE</t>
  </si>
  <si>
    <t>CHOQUE MATOS</t>
  </si>
  <si>
    <t>CHOQUE MATTOS</t>
  </si>
  <si>
    <t>SABRINA ABRIL</t>
  </si>
  <si>
    <t>CHOQUE NINA</t>
  </si>
  <si>
    <t>ABRAHAN</t>
  </si>
  <si>
    <t>CHOQUE PACA</t>
  </si>
  <si>
    <t>ELDI RUBY</t>
  </si>
  <si>
    <t>CHOQUE QUILO</t>
  </si>
  <si>
    <t>MARIA ALEJANDRA</t>
  </si>
  <si>
    <t>CHOQUE TRUJILLO</t>
  </si>
  <si>
    <t>DANIA</t>
  </si>
  <si>
    <t>CHOQUE UREY</t>
  </si>
  <si>
    <t>CHOQUE VALLEJOS</t>
  </si>
  <si>
    <t>CHOQUE VARGAS</t>
  </si>
  <si>
    <t>CHOQUE VERGARA</t>
  </si>
  <si>
    <t>RUTH LILIANA</t>
  </si>
  <si>
    <t>CHOQUE VILLA</t>
  </si>
  <si>
    <t>CHOQUE ZUNAGUA</t>
  </si>
  <si>
    <t>YOSELIN</t>
  </si>
  <si>
    <t>CHOQUECALLATA CAYOJA</t>
  </si>
  <si>
    <t>ROSAURA</t>
  </si>
  <si>
    <t>CHOQUECALLATA CHOQUE</t>
  </si>
  <si>
    <t>CHOQUELA VENTURA</t>
  </si>
  <si>
    <t>CHOQUENAIRA MORALES</t>
  </si>
  <si>
    <t>CRISTHIAN JHIMY</t>
  </si>
  <si>
    <t>CHOQUERIVE CHOQUE</t>
  </si>
  <si>
    <t>ROMER</t>
  </si>
  <si>
    <t>CHOQUERIVE RAMOS</t>
  </si>
  <si>
    <t>CHOQUETICLLA SALAZAR</t>
  </si>
  <si>
    <t>CARLA MARIEL</t>
  </si>
  <si>
    <t>CHOQUEVILLCA CACHACA</t>
  </si>
  <si>
    <t>MARIVEL</t>
  </si>
  <si>
    <t>CHOQUEVILLCA CAMACHO</t>
  </si>
  <si>
    <t>MARISOL</t>
  </si>
  <si>
    <t>CHOQUEVILLCA FERNANDEZ</t>
  </si>
  <si>
    <t>NICOL RUSSELL</t>
  </si>
  <si>
    <t>CHOQUEVILLCA VILLCA</t>
  </si>
  <si>
    <t>SUSANA</t>
  </si>
  <si>
    <t>CHUI JIMENEZ</t>
  </si>
  <si>
    <t>CHULBERT ALMENDRAS</t>
  </si>
  <si>
    <t>HERBERT WAGNER</t>
  </si>
  <si>
    <t>CHUMACERO ARRIERAN</t>
  </si>
  <si>
    <t>ELIO JOEL</t>
  </si>
  <si>
    <t>CHUMACERO LEON</t>
  </si>
  <si>
    <t>EVA</t>
  </si>
  <si>
    <t>CHUMACERO MEDRANO</t>
  </si>
  <si>
    <t>MARIA DANIELA</t>
  </si>
  <si>
    <t>CHUQUICHAMBI CRUZ</t>
  </si>
  <si>
    <t>MONICA</t>
  </si>
  <si>
    <t>CHURA CHOQUE</t>
  </si>
  <si>
    <t>RONALDO</t>
  </si>
  <si>
    <t>CHURA MAMANI</t>
  </si>
  <si>
    <t>RAFAEL GUSTAVO</t>
  </si>
  <si>
    <t>CHURQUE NINACHOQUE</t>
  </si>
  <si>
    <t>MARIA MABEL</t>
  </si>
  <si>
    <t>CHURQUI FUENTES</t>
  </si>
  <si>
    <t>ADRIANA VICTORIA</t>
  </si>
  <si>
    <t>CHURQUI MOLLE</t>
  </si>
  <si>
    <t>ROSARIO</t>
  </si>
  <si>
    <t>CLAROS</t>
  </si>
  <si>
    <t>DIEGO FERNANDO</t>
  </si>
  <si>
    <t>CLAROS AJHUACHO</t>
  </si>
  <si>
    <t>XIMENA LIZETH</t>
  </si>
  <si>
    <t>CLAROS AREBALO</t>
  </si>
  <si>
    <t>ZULMA</t>
  </si>
  <si>
    <t>CLAROS CHOQUE</t>
  </si>
  <si>
    <t>MELANY SOLANGE</t>
  </si>
  <si>
    <t>CLAROS INTURIAS</t>
  </si>
  <si>
    <t>DANIEL ALEJANDRO</t>
  </si>
  <si>
    <t>CLAROS JIMENES</t>
  </si>
  <si>
    <t>DEYMAR</t>
  </si>
  <si>
    <t>CLAROS MAYUBE</t>
  </si>
  <si>
    <t>FELIX FRANCISCO</t>
  </si>
  <si>
    <t>CLAROS REVOLLO</t>
  </si>
  <si>
    <t>JHOAN DILAN</t>
  </si>
  <si>
    <t>CLAROS RODRIGUEZ</t>
  </si>
  <si>
    <t>MELISA</t>
  </si>
  <si>
    <t>CLAROS VARGAS</t>
  </si>
  <si>
    <t>DAYANA ESCARLEN</t>
  </si>
  <si>
    <t>CLAURE ALBORNOZ</t>
  </si>
  <si>
    <t>LAURA</t>
  </si>
  <si>
    <t>CLAURE ZURITA</t>
  </si>
  <si>
    <t>CLAVEL TUDOR</t>
  </si>
  <si>
    <t>GWENDOLINE</t>
  </si>
  <si>
    <t>CLAVIJO FLORES</t>
  </si>
  <si>
    <t>JUAN ANGEL</t>
  </si>
  <si>
    <t>CLAVIJO PINTO</t>
  </si>
  <si>
    <t>NATHALY PRISCILLA</t>
  </si>
  <si>
    <t>CLEMENTE</t>
  </si>
  <si>
    <t>VICTOR RICARDO</t>
  </si>
  <si>
    <t>COA MAMANI</t>
  </si>
  <si>
    <t>ADRIANA</t>
  </si>
  <si>
    <t>COAQUIRA CARI</t>
  </si>
  <si>
    <t>ARNALDO JUNIOR</t>
  </si>
  <si>
    <t>GONZALO JUNIOR</t>
  </si>
  <si>
    <t>COCA ALDUNATE</t>
  </si>
  <si>
    <t>MONICA VANESSA</t>
  </si>
  <si>
    <t>COCA CONDORI</t>
  </si>
  <si>
    <t>GLADYS</t>
  </si>
  <si>
    <t>COCA ESPINOZA</t>
  </si>
  <si>
    <t>COCA LUIZAGA</t>
  </si>
  <si>
    <t>COCA MAGARIÑOS</t>
  </si>
  <si>
    <t>JOEL</t>
  </si>
  <si>
    <t>COCA MARCA</t>
  </si>
  <si>
    <t>MAYRA FERNANDA</t>
  </si>
  <si>
    <t>COCA PEREIRA</t>
  </si>
  <si>
    <t>ANAY</t>
  </si>
  <si>
    <t>COCA PEREZ</t>
  </si>
  <si>
    <t>THAIS</t>
  </si>
  <si>
    <t>COCA RUIZ</t>
  </si>
  <si>
    <t>CARLOS GUALBERTO</t>
  </si>
  <si>
    <t>COCA ZEBALLOS</t>
  </si>
  <si>
    <t>ARIEL VICENTE</t>
  </si>
  <si>
    <t>CODIA FERNANDEZ</t>
  </si>
  <si>
    <t>COILA VALLEJOS</t>
  </si>
  <si>
    <t>YERSON</t>
  </si>
  <si>
    <t>COLLAZOS LESCANO</t>
  </si>
  <si>
    <t>HAROLD</t>
  </si>
  <si>
    <t>COLQUE CAUNA</t>
  </si>
  <si>
    <t>LUZ NEIDA</t>
  </si>
  <si>
    <t>COLQUE CONDO</t>
  </si>
  <si>
    <t>MARCELO ADRIAN</t>
  </si>
  <si>
    <t>COLQUE CORRALES</t>
  </si>
  <si>
    <t>COLQUE ESCALANTE</t>
  </si>
  <si>
    <t>CHRISTIAN ALEJANDRO</t>
  </si>
  <si>
    <t>COLQUE ESCOBAR</t>
  </si>
  <si>
    <t>ANA GABRIELA</t>
  </si>
  <si>
    <t>COLQUE GONZALES</t>
  </si>
  <si>
    <t>COLQUE HUARACHI</t>
  </si>
  <si>
    <t>JUAN GABRIEL</t>
  </si>
  <si>
    <t>COLQUE LIZARAZU</t>
  </si>
  <si>
    <t>JHANETH</t>
  </si>
  <si>
    <t>COLQUE MAGNE</t>
  </si>
  <si>
    <t>AYAK</t>
  </si>
  <si>
    <t>COLQUE MARCA</t>
  </si>
  <si>
    <t>GABRIELA</t>
  </si>
  <si>
    <t>COLQUE POMA</t>
  </si>
  <si>
    <t>ADELA</t>
  </si>
  <si>
    <t>COLQUE PRADO</t>
  </si>
  <si>
    <t>COLQUE YAVI</t>
  </si>
  <si>
    <t>ELIZABETH</t>
  </si>
  <si>
    <t>COLQUE ZAMBRANA</t>
  </si>
  <si>
    <t>MARIA ISABEL</t>
  </si>
  <si>
    <t>COLQUE ZURITA</t>
  </si>
  <si>
    <t>COLQUECHUIMA COLQUE</t>
  </si>
  <si>
    <t>DAYANA GLADIS</t>
  </si>
  <si>
    <t>CONDE CAJCHAYA</t>
  </si>
  <si>
    <t>YOVANA</t>
  </si>
  <si>
    <t>CONDE COLINA</t>
  </si>
  <si>
    <t>MARIEL KARINA</t>
  </si>
  <si>
    <t>CONDE RIOS</t>
  </si>
  <si>
    <t>MAYRA VANESSA</t>
  </si>
  <si>
    <t>CONDE RODRIGUEZ</t>
  </si>
  <si>
    <t>CONDE SAAVEDRA</t>
  </si>
  <si>
    <t>MACIEL SILVIA</t>
  </si>
  <si>
    <t>CONDO CHOQUE</t>
  </si>
  <si>
    <t>CONDORETTY TAPIA</t>
  </si>
  <si>
    <t>JHOHANEL VITTORIO</t>
  </si>
  <si>
    <t>CONDORI ACAPA</t>
  </si>
  <si>
    <t>ELVIS RIMBERTH</t>
  </si>
  <si>
    <t>CONDORI ACHA</t>
  </si>
  <si>
    <t>CONDORI BOJORGES</t>
  </si>
  <si>
    <t>CONDORI CALANI</t>
  </si>
  <si>
    <t>CONDORI CALICHO</t>
  </si>
  <si>
    <t>ARIEL FERNANDO</t>
  </si>
  <si>
    <t>CONDORI CARRILLO</t>
  </si>
  <si>
    <t>CONDORI CHAMBI</t>
  </si>
  <si>
    <t>ABRAHAM SOCRATES</t>
  </si>
  <si>
    <t>CONDORI CHOQUE</t>
  </si>
  <si>
    <t>RUBEN MOISES</t>
  </si>
  <si>
    <t>CONDORI COCA</t>
  </si>
  <si>
    <t>PAOLA IVONNE</t>
  </si>
  <si>
    <t>CONDORI CONTRERAS</t>
  </si>
  <si>
    <t>MARVIN SCOTT</t>
  </si>
  <si>
    <t>CONDORI CORDOVA</t>
  </si>
  <si>
    <t>BLANCA MARIBEL</t>
  </si>
  <si>
    <t>CONDORI DELGADILLO</t>
  </si>
  <si>
    <t>JOSE ARMANDO</t>
  </si>
  <si>
    <t>CONDORI EQUILEA</t>
  </si>
  <si>
    <t>CONDORI FERNANDEZ</t>
  </si>
  <si>
    <t>ANA</t>
  </si>
  <si>
    <t>CONDORI FERRUFINO</t>
  </si>
  <si>
    <t>PEDRO DANIEL</t>
  </si>
  <si>
    <t>CONDORI GOMEZ</t>
  </si>
  <si>
    <t>CONDORI GRABIEL</t>
  </si>
  <si>
    <t>AIDEE</t>
  </si>
  <si>
    <t>CONDORI GRANADERO</t>
  </si>
  <si>
    <t>GERMÁN</t>
  </si>
  <si>
    <t>CONDORI JAMACHI</t>
  </si>
  <si>
    <t>CONDORI MAMANI</t>
  </si>
  <si>
    <t>MERY</t>
  </si>
  <si>
    <t>NAYALY</t>
  </si>
  <si>
    <t>CONDORI MURIEL</t>
  </si>
  <si>
    <t>ERICK</t>
  </si>
  <si>
    <t>CONDORI MUÑOZ</t>
  </si>
  <si>
    <t>MAYRA ISABEL</t>
  </si>
  <si>
    <t>CONDORI OSINAGA</t>
  </si>
  <si>
    <t>DANNY ALEXANDER</t>
  </si>
  <si>
    <t>CONDORI PACAJA</t>
  </si>
  <si>
    <t>PAOLA ALEJANDRA</t>
  </si>
  <si>
    <t>CONDORI PINAYA</t>
  </si>
  <si>
    <t>ERIK BRANDON</t>
  </si>
  <si>
    <t>CONDORI QUISPE</t>
  </si>
  <si>
    <t>CONDORI RAMOS</t>
  </si>
  <si>
    <t>CONDORI VASQUEZ</t>
  </si>
  <si>
    <t>CONDORI YUCRA</t>
  </si>
  <si>
    <t>NEYER</t>
  </si>
  <si>
    <t>CONTRERAS CALDERON</t>
  </si>
  <si>
    <t>BRIAN VALERIO</t>
  </si>
  <si>
    <t>COPA CONDO</t>
  </si>
  <si>
    <t>NELDY</t>
  </si>
  <si>
    <t>COPA GUARACHI</t>
  </si>
  <si>
    <t>LUIS ANTONIO</t>
  </si>
  <si>
    <t>COPA MAMANI</t>
  </si>
  <si>
    <t>MICHEL JORDY</t>
  </si>
  <si>
    <t>CORDERO ARANDIA</t>
  </si>
  <si>
    <t>NICOLE NAYHELI</t>
  </si>
  <si>
    <t>CORDERO GUTIERREZ</t>
  </si>
  <si>
    <t>CINTHYA ZEYLA</t>
  </si>
  <si>
    <t>ROGER ZELMAR</t>
  </si>
  <si>
    <t>CORDERO LOPEZ</t>
  </si>
  <si>
    <t>KATHERINE MICHELLE</t>
  </si>
  <si>
    <t>CORDOVA CORTES</t>
  </si>
  <si>
    <t>FREDDY</t>
  </si>
  <si>
    <t>CORDOVA CRUZ</t>
  </si>
  <si>
    <t>KATERIN</t>
  </si>
  <si>
    <t>CORDOVA DELGADILLO</t>
  </si>
  <si>
    <t>GONZALO DANIEL</t>
  </si>
  <si>
    <t>CORDOVA ORELLANA</t>
  </si>
  <si>
    <t>MICHELLE ERIKA</t>
  </si>
  <si>
    <t>CORDOVA VEGAMONTE</t>
  </si>
  <si>
    <t>ROGER</t>
  </si>
  <si>
    <t>CORDOVA VELIZ</t>
  </si>
  <si>
    <t>CORI PEREDO</t>
  </si>
  <si>
    <t>CORI QUENTA</t>
  </si>
  <si>
    <t>WENDY</t>
  </si>
  <si>
    <t>CORIA LEDEZMA</t>
  </si>
  <si>
    <t>YESICA MAJHOLINA</t>
  </si>
  <si>
    <t>CORNEJO CAMACHO</t>
  </si>
  <si>
    <t>DELINA</t>
  </si>
  <si>
    <t>CORNEJO FLORES</t>
  </si>
  <si>
    <t>GILMAR JHONATAN</t>
  </si>
  <si>
    <t>CORNEJO MERCADO</t>
  </si>
  <si>
    <t>CORO SANTI</t>
  </si>
  <si>
    <t>OSCAR HENRY</t>
  </si>
  <si>
    <t>CORONEL ARIAS</t>
  </si>
  <si>
    <t>CORONEL PINTO</t>
  </si>
  <si>
    <t>REBECA</t>
  </si>
  <si>
    <t>CORRALES VENEROS</t>
  </si>
  <si>
    <t>NATHALY</t>
  </si>
  <si>
    <t>CORREA SAAVEDRA</t>
  </si>
  <si>
    <t>CRISTIAN RONALD</t>
  </si>
  <si>
    <t>CORTEZ FERNANDEZ</t>
  </si>
  <si>
    <t>SHEYLA</t>
  </si>
  <si>
    <t>CORZO AREVALO</t>
  </si>
  <si>
    <t>WENDY AIDEE</t>
  </si>
  <si>
    <t>COSME CONDORI</t>
  </si>
  <si>
    <t>ROLANDO</t>
  </si>
  <si>
    <t>COSSIO AGUILAR</t>
  </si>
  <si>
    <t>NATALIA BELEN</t>
  </si>
  <si>
    <t>COSSIO ANTEZANA</t>
  </si>
  <si>
    <t>BIANCA DANIELLE</t>
  </si>
  <si>
    <t>COSSIO CHOQUETOPA</t>
  </si>
  <si>
    <t>VIANKA ELIZABETTE</t>
  </si>
  <si>
    <t>COSSIO LEDEZMA</t>
  </si>
  <si>
    <t>YESSICA JHAQUELINE</t>
  </si>
  <si>
    <t>COSSIO ORTIZ</t>
  </si>
  <si>
    <t>BRENDA</t>
  </si>
  <si>
    <t>COSSO LUPE</t>
  </si>
  <si>
    <t>BASILIA</t>
  </si>
  <si>
    <t>COTA JIMENEZ</t>
  </si>
  <si>
    <t>COTARI CAMACHO</t>
  </si>
  <si>
    <t>BRANDON</t>
  </si>
  <si>
    <t>COVARRUBIAS BALDERRAMA</t>
  </si>
  <si>
    <t>ARMANDO EDDY</t>
  </si>
  <si>
    <t>CRESPO FLORES</t>
  </si>
  <si>
    <t>JOSE ELIAS</t>
  </si>
  <si>
    <t>CRESPO GARCIA</t>
  </si>
  <si>
    <t>CRESPO VALENCIA</t>
  </si>
  <si>
    <t>FILEMON</t>
  </si>
  <si>
    <t>CRISPIN PAREDES</t>
  </si>
  <si>
    <t>CRUZ ALVAREZ</t>
  </si>
  <si>
    <t>CARLA MARIBEL</t>
  </si>
  <si>
    <t>CRUZ ARGOTE</t>
  </si>
  <si>
    <t>GUSTAVO ELIO</t>
  </si>
  <si>
    <t>CRUZ CLAROS</t>
  </si>
  <si>
    <t>SHEILA</t>
  </si>
  <si>
    <t>CRUZ CORIA</t>
  </si>
  <si>
    <t>CRUZ ESPINOZA</t>
  </si>
  <si>
    <t>NAZARENO LEONEL</t>
  </si>
  <si>
    <t>CRUZ FLORES</t>
  </si>
  <si>
    <t>JUANITO</t>
  </si>
  <si>
    <t>CRUZ GARCIA</t>
  </si>
  <si>
    <t>ALETZY ELIZABETH</t>
  </si>
  <si>
    <t>CRUZ GONZALES</t>
  </si>
  <si>
    <t>KEVIN BRAYAN</t>
  </si>
  <si>
    <t>CRUZ GUISADA</t>
  </si>
  <si>
    <t>VILMA</t>
  </si>
  <si>
    <t>CRUZ GUZMAN</t>
  </si>
  <si>
    <t>ESTEFANI INGRID</t>
  </si>
  <si>
    <t>CRUZ MUÑOZ</t>
  </si>
  <si>
    <t>JONATHAN BISMARK</t>
  </si>
  <si>
    <t>CRUZ NAVIA</t>
  </si>
  <si>
    <t>CRUZ OROSCO</t>
  </si>
  <si>
    <t>CRUZ QUILLCA</t>
  </si>
  <si>
    <t>CRUZ QUISPE</t>
  </si>
  <si>
    <t>DANIEL BENJAMIN</t>
  </si>
  <si>
    <t>CRUZ RAMIREZ</t>
  </si>
  <si>
    <t>CRUZ RICALDES</t>
  </si>
  <si>
    <t>DAYANA ZULEMA</t>
  </si>
  <si>
    <t>CRUZ TERCEROS</t>
  </si>
  <si>
    <t>GERALD RUBEN</t>
  </si>
  <si>
    <t>CRUZ VARGAS</t>
  </si>
  <si>
    <t>CARMEN ROSA</t>
  </si>
  <si>
    <t>RICARDO EVANDER</t>
  </si>
  <si>
    <t>CUAQUER AGUILAR</t>
  </si>
  <si>
    <t>RULIANA</t>
  </si>
  <si>
    <t>CUBA CESPEDES</t>
  </si>
  <si>
    <t>ANA CAROLINA</t>
  </si>
  <si>
    <t>CUBA LOPEZ</t>
  </si>
  <si>
    <t>ANA LUISA</t>
  </si>
  <si>
    <t>CUBA OJEDA</t>
  </si>
  <si>
    <t>CUBA SAAVEDRA</t>
  </si>
  <si>
    <t>MANUEL ALEJANDRO</t>
  </si>
  <si>
    <t>CUCHALLO VIDAL</t>
  </si>
  <si>
    <t>ALEXANDER JHONATAN</t>
  </si>
  <si>
    <t>CUENCA MARQUEZ</t>
  </si>
  <si>
    <t>CUETO VELASQUEZ</t>
  </si>
  <si>
    <t>SALMA HELLEN</t>
  </si>
  <si>
    <t>CUEVAS DALENCE</t>
  </si>
  <si>
    <t>YAEKO NORMA</t>
  </si>
  <si>
    <t>CUICO MOLINA</t>
  </si>
  <si>
    <t>WILBER</t>
  </si>
  <si>
    <t>CUIZARA PEDRO</t>
  </si>
  <si>
    <t>NORMA</t>
  </si>
  <si>
    <t>CUSI COÑACA</t>
  </si>
  <si>
    <t>ABEL</t>
  </si>
  <si>
    <t>CUSI TOCO</t>
  </si>
  <si>
    <t>CUSI VILLCA</t>
  </si>
  <si>
    <t>DIONATAN</t>
  </si>
  <si>
    <t>CUSIQUISPE MOLLE</t>
  </si>
  <si>
    <t>OLGA ROSMERY</t>
  </si>
  <si>
    <t>DAKDUKI GUTIERREZ</t>
  </si>
  <si>
    <t>DHAMAR MILENA</t>
  </si>
  <si>
    <t>DAVILA CARRASCO</t>
  </si>
  <si>
    <t>MARCELO RODRIGO</t>
  </si>
  <si>
    <t>DAZA CHAVEZ</t>
  </si>
  <si>
    <t>CLAUDETT</t>
  </si>
  <si>
    <t>DE IRAOLA ILLANES</t>
  </si>
  <si>
    <t>DE LA FUENTE</t>
  </si>
  <si>
    <t>EDUARDO</t>
  </si>
  <si>
    <t>DE LA FUENTE YANQUE</t>
  </si>
  <si>
    <t>DE LA TORRE JAIME</t>
  </si>
  <si>
    <t>ANDRÉS EDUARDO</t>
  </si>
  <si>
    <t>DEHEZA SARMIENTO</t>
  </si>
  <si>
    <t>LUIS BERNARDO</t>
  </si>
  <si>
    <t>DEHEZA VARGAS</t>
  </si>
  <si>
    <t>DEL CALLEJO CADIMA</t>
  </si>
  <si>
    <t>DEL CARPIO CEREZO</t>
  </si>
  <si>
    <t>DELGADILLO ALVAREZ</t>
  </si>
  <si>
    <t>PAOLA GABRIELA</t>
  </si>
  <si>
    <t>DELGADILLO ARISPE</t>
  </si>
  <si>
    <t>DELGADILLO BLANCO</t>
  </si>
  <si>
    <t>XIMENA</t>
  </si>
  <si>
    <t>DELGADILLO CALLE</t>
  </si>
  <si>
    <t>LUIS ALBERTO</t>
  </si>
  <si>
    <t>DELGADILLO CHAVEZ</t>
  </si>
  <si>
    <t>CLAUDIA PAOLA</t>
  </si>
  <si>
    <t>DELGADILLO FLORES</t>
  </si>
  <si>
    <t>VANESSA FABIOLA</t>
  </si>
  <si>
    <t>DELGADILLO IMACA</t>
  </si>
  <si>
    <t>VIVIAN</t>
  </si>
  <si>
    <t>DELGADILLO LOPEZ</t>
  </si>
  <si>
    <t>DELGADILLO PASTOR</t>
  </si>
  <si>
    <t>DELGADILLO SANDAGORDA</t>
  </si>
  <si>
    <t>MARIA CRISTINA</t>
  </si>
  <si>
    <t>DELGADILLO ZENTENO</t>
  </si>
  <si>
    <t>DELGADO BUSTILLOS</t>
  </si>
  <si>
    <t>CARLA ANDREA</t>
  </si>
  <si>
    <t>DELGADO CAMACHO</t>
  </si>
  <si>
    <t>LUIS EDUARDO</t>
  </si>
  <si>
    <t>DELGADO CHOQUE</t>
  </si>
  <si>
    <t>JENNY NANCY</t>
  </si>
  <si>
    <t>DELGADO MORALES</t>
  </si>
  <si>
    <t>ALEJANDRA GABRIELA</t>
  </si>
  <si>
    <t>DELGADO VALLEJOS</t>
  </si>
  <si>
    <t>ABISAG MADAI</t>
  </si>
  <si>
    <t>DIAS BARRIGA</t>
  </si>
  <si>
    <t>ROSA</t>
  </si>
  <si>
    <t>DIAZ FERNANDEZ</t>
  </si>
  <si>
    <t>BRYAN WILSON</t>
  </si>
  <si>
    <t>DIAZ PACO</t>
  </si>
  <si>
    <t>NOELIA</t>
  </si>
  <si>
    <t>DIAZ QUISPE</t>
  </si>
  <si>
    <t>RAFAEL</t>
  </si>
  <si>
    <t>DIAZ RAMOS</t>
  </si>
  <si>
    <t>YAMIL</t>
  </si>
  <si>
    <t>DIAZ UGALDE</t>
  </si>
  <si>
    <t>ERIKA VANESA</t>
  </si>
  <si>
    <t>DOMINGUEZ GONZALES</t>
  </si>
  <si>
    <t>PABLO OCTAVIO</t>
  </si>
  <si>
    <t>DORADO MARTINEZ</t>
  </si>
  <si>
    <t>LINA MARIA</t>
  </si>
  <si>
    <t>DUCHEN DE LA BARRA</t>
  </si>
  <si>
    <t>SABDY NAIDINE</t>
  </si>
  <si>
    <t>DUEÑAS PEÑARANDA</t>
  </si>
  <si>
    <t>SERGIO REYNALDO</t>
  </si>
  <si>
    <t>DURAN CALDERON</t>
  </si>
  <si>
    <t>DURAN CARVAJAL</t>
  </si>
  <si>
    <t>LUIS ALEJANDRO</t>
  </si>
  <si>
    <t>DURAN TORRICO</t>
  </si>
  <si>
    <t>KEVIN FERNANDO</t>
  </si>
  <si>
    <t>DURAN VARGAS</t>
  </si>
  <si>
    <t>ARIEL HUGO</t>
  </si>
  <si>
    <t>DURAN VEIZAGA</t>
  </si>
  <si>
    <t>JAEL RUTH</t>
  </si>
  <si>
    <t>DÁVILA PÉREZ</t>
  </si>
  <si>
    <t>FLAVIA MAYLIN</t>
  </si>
  <si>
    <t>ENCINAS ALMARAZ</t>
  </si>
  <si>
    <t>NELLY</t>
  </si>
  <si>
    <t>ENCINAS CACERES</t>
  </si>
  <si>
    <t>JHOSELINE</t>
  </si>
  <si>
    <t>ENRIQUEZ MORALES</t>
  </si>
  <si>
    <t>CARLOS CESAR</t>
  </si>
  <si>
    <t>EQUILEA MAMANI</t>
  </si>
  <si>
    <t>SCARLEN</t>
  </si>
  <si>
    <t>EQUISE GUZMÁN</t>
  </si>
  <si>
    <t>ENRIQUE</t>
  </si>
  <si>
    <t>ESCALANTE BORGES</t>
  </si>
  <si>
    <t>GUADALUPE</t>
  </si>
  <si>
    <t>ESCALERA CASTRO</t>
  </si>
  <si>
    <t>ESCALERA GARCIA</t>
  </si>
  <si>
    <t>ROSSIO</t>
  </si>
  <si>
    <t>ESCALERA LAZARTE</t>
  </si>
  <si>
    <t>EVELYN GLADYS</t>
  </si>
  <si>
    <t>ESCALERA ROJAS</t>
  </si>
  <si>
    <t>GABRIELA RENEE</t>
  </si>
  <si>
    <t>ESCALIER ANGULO</t>
  </si>
  <si>
    <t>KENNETH ERHARD STEVEN</t>
  </si>
  <si>
    <t>ESCOBAR</t>
  </si>
  <si>
    <t>MARIANNE LORENA</t>
  </si>
  <si>
    <t>ESCOBAR AVILA</t>
  </si>
  <si>
    <t>ESCOBAR AYALA</t>
  </si>
  <si>
    <t>ESCOBAR CARPIO</t>
  </si>
  <si>
    <t>JUAN RODRIGO</t>
  </si>
  <si>
    <t>ESCOBAR CONDO</t>
  </si>
  <si>
    <t>ESCOBAR DELGADO</t>
  </si>
  <si>
    <t>ERICKSON RUFINO</t>
  </si>
  <si>
    <t>ESCOBAR SUAREZ</t>
  </si>
  <si>
    <t>CINDY</t>
  </si>
  <si>
    <t>MAYA LUCERO</t>
  </si>
  <si>
    <t>ESCOBAR ZURITA</t>
  </si>
  <si>
    <t>ESPADA QUIROGA</t>
  </si>
  <si>
    <t>ANA CLAUDIA</t>
  </si>
  <si>
    <t>ESPEJO POMACUSI</t>
  </si>
  <si>
    <t>JUDITH</t>
  </si>
  <si>
    <t>ESPEJO RIOJA</t>
  </si>
  <si>
    <t>MAURICIO DRAZENT</t>
  </si>
  <si>
    <t>ESPINOZA ARENAS</t>
  </si>
  <si>
    <t>ESPINOZA ARIAS</t>
  </si>
  <si>
    <t>ANDRES DANIEL</t>
  </si>
  <si>
    <t>ESPINOZA CABERO</t>
  </si>
  <si>
    <t>MAYELY PAOLA</t>
  </si>
  <si>
    <t>ESPINOZA CALIZAYA</t>
  </si>
  <si>
    <t>HORACIO DE JESUS</t>
  </si>
  <si>
    <t>ESPINOZA CANO</t>
  </si>
  <si>
    <t>MARITZA</t>
  </si>
  <si>
    <t>ESPINOZA CORNEJO</t>
  </si>
  <si>
    <t>ANDREA NIEVES</t>
  </si>
  <si>
    <t>ESPINOZA CRUZ</t>
  </si>
  <si>
    <t>VIVIANA</t>
  </si>
  <si>
    <t>ESPINOZA GARCIA</t>
  </si>
  <si>
    <t>ESPINOZA LOPEZ</t>
  </si>
  <si>
    <t>MELVY STEFANY</t>
  </si>
  <si>
    <t>ESPINOZA LUCERO</t>
  </si>
  <si>
    <t>ESPINOZA PAREDES</t>
  </si>
  <si>
    <t>DENNIS RUBEN</t>
  </si>
  <si>
    <t>ESPINOZA PEREDO</t>
  </si>
  <si>
    <t>JORGE RAJU</t>
  </si>
  <si>
    <t>ESPINOZA PEREZ</t>
  </si>
  <si>
    <t>EDWARDS</t>
  </si>
  <si>
    <t>ESPINOZA QUIROZ</t>
  </si>
  <si>
    <t>CARLA BERENICE</t>
  </si>
  <si>
    <t>ESPINOZA ROMERO</t>
  </si>
  <si>
    <t>EUNISE ROCIO</t>
  </si>
  <si>
    <t>ESPINOZA TORDOYA</t>
  </si>
  <si>
    <t>JHON JULIO</t>
  </si>
  <si>
    <t>ESPINOZA ZERNA</t>
  </si>
  <si>
    <t>JOSE LIMBERTH</t>
  </si>
  <si>
    <t>ESPOSO GARABITO</t>
  </si>
  <si>
    <t>CRISTIAN WILSON</t>
  </si>
  <si>
    <t>ESTRADA ALMANZA</t>
  </si>
  <si>
    <t>RONALD</t>
  </si>
  <si>
    <t>ESTRADA CHOQUE</t>
  </si>
  <si>
    <t>ANDREA ALEJANDRA</t>
  </si>
  <si>
    <t>ESTRADA MENDOZA</t>
  </si>
  <si>
    <t>ANDRE RODRIGO</t>
  </si>
  <si>
    <t>ESTRADA TICONA</t>
  </si>
  <si>
    <t>ESTRADA UZEDA</t>
  </si>
  <si>
    <t>ALANA ROSA</t>
  </si>
  <si>
    <t>ESTRADA VELA</t>
  </si>
  <si>
    <t>ESTRADA ZAMBRANA</t>
  </si>
  <si>
    <t>YESENIA GABRIELA</t>
  </si>
  <si>
    <t>FABIAN REYNAGA</t>
  </si>
  <si>
    <t>ESTEPHANIE</t>
  </si>
  <si>
    <t>FABRICA CHOQUE</t>
  </si>
  <si>
    <t>ESPERANZA</t>
  </si>
  <si>
    <t>FELIPE CALANI</t>
  </si>
  <si>
    <t>FELIPE GUTIERREZ</t>
  </si>
  <si>
    <t>ELIAN</t>
  </si>
  <si>
    <t>FELIPE SIPE</t>
  </si>
  <si>
    <t>FELIPEZ BUSTAMANTE</t>
  </si>
  <si>
    <t>JOCELIN AILEM</t>
  </si>
  <si>
    <t>FELIPEZ TAPIA</t>
  </si>
  <si>
    <t>SEBASTIAN PLACIDO</t>
  </si>
  <si>
    <t>FERNANDEZ AGUILERA</t>
  </si>
  <si>
    <t>GAMALIEL</t>
  </si>
  <si>
    <t>FERNANDEZ ALBA</t>
  </si>
  <si>
    <t>EMANUEL</t>
  </si>
  <si>
    <t>FERNANDEZ ANDRADE</t>
  </si>
  <si>
    <t>ALAN JOSUE</t>
  </si>
  <si>
    <t>FERNANDEZ BERNAL</t>
  </si>
  <si>
    <t>LEYDI MELISSA</t>
  </si>
  <si>
    <t>FERNANDEZ CAMACHO</t>
  </si>
  <si>
    <t>NEYZA</t>
  </si>
  <si>
    <t>FERNANDEZ CONDORI</t>
  </si>
  <si>
    <t>JHIMMY BRANDON</t>
  </si>
  <si>
    <t>FERNANDEZ GARCIA</t>
  </si>
  <si>
    <t>FERNANDEZ HERBAS</t>
  </si>
  <si>
    <t>ADRIEL CAROLINA</t>
  </si>
  <si>
    <t>FERNANDEZ HINOJOSA</t>
  </si>
  <si>
    <t>FERNANDEZ IBARRA</t>
  </si>
  <si>
    <t>FERNANDEZ LOPEZ</t>
  </si>
  <si>
    <t>YAMIL LUIS</t>
  </si>
  <si>
    <t>FERNANDEZ MACIAS</t>
  </si>
  <si>
    <t>FERNANDEZ MARCA</t>
  </si>
  <si>
    <t>FERNANDEZ MENDOZA</t>
  </si>
  <si>
    <t>JHORDY CARLOS</t>
  </si>
  <si>
    <t>FERNANDEZ MONTAÑO</t>
  </si>
  <si>
    <t>FERNANDEZ ORELLANA</t>
  </si>
  <si>
    <t>FERNANDEZ OVIEDO</t>
  </si>
  <si>
    <t>FERNANDEZ SAAVEDRA</t>
  </si>
  <si>
    <t>MARIA LIZBETH</t>
  </si>
  <si>
    <t>FERNANDEZ TOMAS</t>
  </si>
  <si>
    <t>OCTAVIO</t>
  </si>
  <si>
    <t>PABLO EDUARDO</t>
  </si>
  <si>
    <t>FERNANDEZ VIDAURRE</t>
  </si>
  <si>
    <t>DANIEL ADRIAN</t>
  </si>
  <si>
    <t>FERNANDEZ ZEBALLOS</t>
  </si>
  <si>
    <t>ESTEFANY ALEJANDRA</t>
  </si>
  <si>
    <t>FERNÁNDEZ DAMIAN</t>
  </si>
  <si>
    <t>MAYTE LUCIA</t>
  </si>
  <si>
    <t>FERNÁNDEZ GUTIÉRREZ</t>
  </si>
  <si>
    <t>KIARA BELÉN</t>
  </si>
  <si>
    <t>FERNÁNDEZ MENDOZA</t>
  </si>
  <si>
    <t>HYRUM MELVIN</t>
  </si>
  <si>
    <t>FERNÁNDEZ RIOS</t>
  </si>
  <si>
    <t>KIMBERLY MICHELLE</t>
  </si>
  <si>
    <t>FERRUFINO GALARZA</t>
  </si>
  <si>
    <t>CAMILA VICTORIA</t>
  </si>
  <si>
    <t>FERRUFINO MENECES</t>
  </si>
  <si>
    <t>EDUAR</t>
  </si>
  <si>
    <t>FERRUFINO MONTAÑO</t>
  </si>
  <si>
    <t>OSMAND JASSON</t>
  </si>
  <si>
    <t>FERRUFINO POMA</t>
  </si>
  <si>
    <t>FAVIANA</t>
  </si>
  <si>
    <t>FERRUFINO SOTO</t>
  </si>
  <si>
    <t>NAYRA BELICE</t>
  </si>
  <si>
    <t>FERRUFINO VARGAS</t>
  </si>
  <si>
    <t>EDSON ELVIS</t>
  </si>
  <si>
    <t>FIGUEREDO PIEROLA</t>
  </si>
  <si>
    <t>DAVID ELISEO</t>
  </si>
  <si>
    <t>FIGUEROA CAMACHO</t>
  </si>
  <si>
    <t>FIGUEROA ROJAS</t>
  </si>
  <si>
    <t>MARIA FERNANDA</t>
  </si>
  <si>
    <t>FLORES</t>
  </si>
  <si>
    <t>FLORES ANAGUA</t>
  </si>
  <si>
    <t>WILIAN</t>
  </si>
  <si>
    <t>FLORES ANTONIO</t>
  </si>
  <si>
    <t>FLORES ARROYO</t>
  </si>
  <si>
    <t>KATHERINE JIMENA</t>
  </si>
  <si>
    <t>FLORES BALDERRAMA</t>
  </si>
  <si>
    <t>ELYANETH</t>
  </si>
  <si>
    <t>FLORES BALDIVIEZO</t>
  </si>
  <si>
    <t>FLORES BLANCO</t>
  </si>
  <si>
    <t>MANUEL VLADIMIR</t>
  </si>
  <si>
    <t>FLORES BLAS</t>
  </si>
  <si>
    <t>FLORES BUSTAMANTE</t>
  </si>
  <si>
    <t>FLORES CANAVIRI</t>
  </si>
  <si>
    <t>FLORES CARMONA</t>
  </si>
  <si>
    <t>HENRY</t>
  </si>
  <si>
    <t>FLORES CHIRINOS</t>
  </si>
  <si>
    <t>EDITH BELEN</t>
  </si>
  <si>
    <t>FLORES CHOQUE</t>
  </si>
  <si>
    <t>JHOVANA</t>
  </si>
  <si>
    <t>FLORES CLAURE</t>
  </si>
  <si>
    <t>FLORES CONDORI</t>
  </si>
  <si>
    <t>FLORES CORAITE</t>
  </si>
  <si>
    <t>FLORES CORDOVA</t>
  </si>
  <si>
    <t>FLORES CRUZ</t>
  </si>
  <si>
    <t>REYNALDO</t>
  </si>
  <si>
    <t>FLORES FLORES</t>
  </si>
  <si>
    <t>FLORES GRAGEDA</t>
  </si>
  <si>
    <t>FLORES GUARDIA</t>
  </si>
  <si>
    <t>ADRIAN LUCIO</t>
  </si>
  <si>
    <t>FLORES GUZMAN</t>
  </si>
  <si>
    <t>LUIS JHONNY</t>
  </si>
  <si>
    <t>FLORES HUARACHI</t>
  </si>
  <si>
    <t>JHOSIEL</t>
  </si>
  <si>
    <t>FLORES MAMANI</t>
  </si>
  <si>
    <t>FLORES ONOFRE</t>
  </si>
  <si>
    <t>LUIS FELIPE</t>
  </si>
  <si>
    <t>FLORES OROSCO</t>
  </si>
  <si>
    <t>FLORES PATIÑO</t>
  </si>
  <si>
    <t>ANDY GONZALO</t>
  </si>
  <si>
    <t>FLORES QUISPE</t>
  </si>
  <si>
    <t>LEYDI BELEN</t>
  </si>
  <si>
    <t>FLORES RODRIGUEZ</t>
  </si>
  <si>
    <t>FLORES SANCHEZ</t>
  </si>
  <si>
    <t>FLORES SEJAS</t>
  </si>
  <si>
    <t>FLORES SOLIZ</t>
  </si>
  <si>
    <t>FLORES SOTO</t>
  </si>
  <si>
    <t>LIZ ELINA</t>
  </si>
  <si>
    <t>FLORES TITO</t>
  </si>
  <si>
    <t>IAN SAMUEL</t>
  </si>
  <si>
    <t>FLORES TOLA</t>
  </si>
  <si>
    <t>FLAVIA LODINA</t>
  </si>
  <si>
    <t>FLORES TOROYA</t>
  </si>
  <si>
    <t>FLORES TORRES</t>
  </si>
  <si>
    <t>NATANIEL</t>
  </si>
  <si>
    <t>FLORES VARGAS</t>
  </si>
  <si>
    <t>JORGE EDUARDO</t>
  </si>
  <si>
    <t>FLORES VASQUEZ</t>
  </si>
  <si>
    <t>RAMIRO</t>
  </si>
  <si>
    <t>FLORES ZAPANA</t>
  </si>
  <si>
    <t>OSCAR GUSTAVO</t>
  </si>
  <si>
    <t>FLORIDO GUZMAN</t>
  </si>
  <si>
    <t>KATHERINE ADRIANA</t>
  </si>
  <si>
    <t>FRANCISCO CHAMBILLA</t>
  </si>
  <si>
    <t>VALIA SHELL</t>
  </si>
  <si>
    <t>FRANCO MARTINEZ</t>
  </si>
  <si>
    <t>MEZVY MIREYA</t>
  </si>
  <si>
    <t>FRANCO MONTAÑO</t>
  </si>
  <si>
    <t>JOHANS MICHAEL</t>
  </si>
  <si>
    <t>FRANCO ORELLANA</t>
  </si>
  <si>
    <t>FRANCO SOTO</t>
  </si>
  <si>
    <t>BEATRIZ</t>
  </si>
  <si>
    <t>FRIAS CALIZAYA</t>
  </si>
  <si>
    <t>YHEICY VANEZA</t>
  </si>
  <si>
    <t>FRIAS PAREDES</t>
  </si>
  <si>
    <t>ALEX ISAAC</t>
  </si>
  <si>
    <t>FRIAS POMA</t>
  </si>
  <si>
    <t>HARRY</t>
  </si>
  <si>
    <t>FUENTES CLAROS</t>
  </si>
  <si>
    <t>ROBERTO</t>
  </si>
  <si>
    <t>FUENTES CUAQUIRA</t>
  </si>
  <si>
    <t>WILBOR SAMUEL</t>
  </si>
  <si>
    <t>FUENTES MONTAÑO</t>
  </si>
  <si>
    <t>NICOLE VALERIA</t>
  </si>
  <si>
    <t>FUENTES MOYA</t>
  </si>
  <si>
    <t>FUENTES OCHOA</t>
  </si>
  <si>
    <t>ALEX GRUSVER</t>
  </si>
  <si>
    <t>FUENTES ORTIZ</t>
  </si>
  <si>
    <t>JHAN CARLA</t>
  </si>
  <si>
    <t>FUENTES RIVERO</t>
  </si>
  <si>
    <t>JAROL JESUS</t>
  </si>
  <si>
    <t>FUERTES ROJAS</t>
  </si>
  <si>
    <t>FULGUERA CONDORI</t>
  </si>
  <si>
    <t>WANKAR</t>
  </si>
  <si>
    <t>FULGUERA LUNA</t>
  </si>
  <si>
    <t>IVAR LUCIO</t>
  </si>
  <si>
    <t>FULGUERA VILLCA</t>
  </si>
  <si>
    <t>EMERSON MAYER</t>
  </si>
  <si>
    <t>FURUYA CABRERA</t>
  </si>
  <si>
    <t>RUBEN ELIAN</t>
  </si>
  <si>
    <t>GABRIEL QUISPE</t>
  </si>
  <si>
    <t>MARIA LIZ</t>
  </si>
  <si>
    <t>GABRIEL TOLA</t>
  </si>
  <si>
    <t>CAROLINA ELYNOR</t>
  </si>
  <si>
    <t>GALARZA NAVIA</t>
  </si>
  <si>
    <t>GALDO RIVERO</t>
  </si>
  <si>
    <t>KELLY DANNA</t>
  </si>
  <si>
    <t>GALINDO REVOLLO</t>
  </si>
  <si>
    <t>GALINDO VARGAS</t>
  </si>
  <si>
    <t>JORGE ANDRES</t>
  </si>
  <si>
    <t>GALLARDO BARRIGA</t>
  </si>
  <si>
    <t>PASTOR LENIN</t>
  </si>
  <si>
    <t>GALLARDO ROJAS</t>
  </si>
  <si>
    <t>PEDRO</t>
  </si>
  <si>
    <t>GALLEGOS AUZA</t>
  </si>
  <si>
    <t>DIEGO AMERICO</t>
  </si>
  <si>
    <t>GALLINATE VILLARROEL</t>
  </si>
  <si>
    <t>KAREN DANIELA</t>
  </si>
  <si>
    <t>GAMBOA ALBA</t>
  </si>
  <si>
    <t>HAROLD MAURICIO</t>
  </si>
  <si>
    <t>GAMBOA COSSIO</t>
  </si>
  <si>
    <t>JOSE MIJAIL</t>
  </si>
  <si>
    <t>GAMEZ ORTEGA</t>
  </si>
  <si>
    <t>MASIEL GABRIELA</t>
  </si>
  <si>
    <t>GANDARILLAS GARCIA</t>
  </si>
  <si>
    <t>DAYANA FLORENCIA</t>
  </si>
  <si>
    <t>GARABITO VILLEGAS</t>
  </si>
  <si>
    <t>SERGIO ARTURO</t>
  </si>
  <si>
    <t>GARCIA AMPUERO</t>
  </si>
  <si>
    <t>ZAIDA RUTH</t>
  </si>
  <si>
    <t>GARCIA ANTEZANA</t>
  </si>
  <si>
    <t>GARCIA ARRIARAN</t>
  </si>
  <si>
    <t>GARCIA AVILA</t>
  </si>
  <si>
    <t>ERIKA ALEJANDRA</t>
  </si>
  <si>
    <t>GARCIA BRUN</t>
  </si>
  <si>
    <t>SERGIO ANDRES</t>
  </si>
  <si>
    <t>GARCIA CHIRI</t>
  </si>
  <si>
    <t>ROLY ANDY</t>
  </si>
  <si>
    <t>GARCIA COLQUE</t>
  </si>
  <si>
    <t>GARCIA CRUZ</t>
  </si>
  <si>
    <t>EDMUNDO</t>
  </si>
  <si>
    <t>GARCIA CUIZARA</t>
  </si>
  <si>
    <t>ALDO SERGIO</t>
  </si>
  <si>
    <t>GARCIA DELGADO</t>
  </si>
  <si>
    <t>MELVY</t>
  </si>
  <si>
    <t>GARCIA ESPINOZA</t>
  </si>
  <si>
    <t>MARIANA IRIS</t>
  </si>
  <si>
    <t>GARCIA FIGUEROA</t>
  </si>
  <si>
    <t>MARCELO BENJAMIN</t>
  </si>
  <si>
    <t>GARCIA FLORES</t>
  </si>
  <si>
    <t>GARCIA GONZALES</t>
  </si>
  <si>
    <t>LUIS ANGEL</t>
  </si>
  <si>
    <t>GARCIA HEREDIA</t>
  </si>
  <si>
    <t>BEYDA</t>
  </si>
  <si>
    <t>DANNY HALDEN</t>
  </si>
  <si>
    <t>GARCIA HIDALGO</t>
  </si>
  <si>
    <t>EVELIN JHOSSETH</t>
  </si>
  <si>
    <t>GARCIA JALDIN</t>
  </si>
  <si>
    <t>GARCIA MALDONADO</t>
  </si>
  <si>
    <t>GARCIA MAMANI</t>
  </si>
  <si>
    <t>JAVIER</t>
  </si>
  <si>
    <t>REINA NOEMI</t>
  </si>
  <si>
    <t>GARCIA MELCHOR</t>
  </si>
  <si>
    <t>PAOLA LISBETH</t>
  </si>
  <si>
    <t>GARCIA MENDOZA</t>
  </si>
  <si>
    <t>NICOLAS GONZALO</t>
  </si>
  <si>
    <t>GARCIA MONTAÑO</t>
  </si>
  <si>
    <t>JESSICA YAJAIRA</t>
  </si>
  <si>
    <t>GARCIA MORALES</t>
  </si>
  <si>
    <t>VIVIAN JAZMINE</t>
  </si>
  <si>
    <t>GARCIA MUYURICO</t>
  </si>
  <si>
    <t>ROCIO NATHALI</t>
  </si>
  <si>
    <t>GARCIA PABLO</t>
  </si>
  <si>
    <t>HILVER AMADEO</t>
  </si>
  <si>
    <t>GARCIA RODRIGUEZ</t>
  </si>
  <si>
    <t>DAVID ALEJANDRO</t>
  </si>
  <si>
    <t>GARCIA SANDOVAL</t>
  </si>
  <si>
    <t>GARCIA SOLARES</t>
  </si>
  <si>
    <t>GARCIA TERAN</t>
  </si>
  <si>
    <t>ANDRES DENNIS</t>
  </si>
  <si>
    <t>GARCIA TOLA</t>
  </si>
  <si>
    <t>CARLOS BRAYAN</t>
  </si>
  <si>
    <t>GARCIA VALENCIA</t>
  </si>
  <si>
    <t>ADRIANA BARBARA</t>
  </si>
  <si>
    <t>WILVER</t>
  </si>
  <si>
    <t>GARCIA VARGAS</t>
  </si>
  <si>
    <t>ESTEFANY JHAZMIN</t>
  </si>
  <si>
    <t>JAEL NICOLE</t>
  </si>
  <si>
    <t>GARCIA VASQUEZ</t>
  </si>
  <si>
    <t>GETSI</t>
  </si>
  <si>
    <t>GARCIA VELASQUEZ</t>
  </si>
  <si>
    <t>JHANET</t>
  </si>
  <si>
    <t>GARCIA YAVIRA</t>
  </si>
  <si>
    <t>CRISTIAN ALBERTO</t>
  </si>
  <si>
    <t>GARCIA ZAPATA</t>
  </si>
  <si>
    <t>GARCÍA ATOCHA</t>
  </si>
  <si>
    <t>GARCÍA REQUE</t>
  </si>
  <si>
    <t>GARECA ALVAREZ</t>
  </si>
  <si>
    <t>GARECA ESCOBAR</t>
  </si>
  <si>
    <t>ALEX MIGUEL</t>
  </si>
  <si>
    <t>GARECA SALVATIERRA</t>
  </si>
  <si>
    <t>MAYRA MAITY</t>
  </si>
  <si>
    <t>GARNICA FELIPE</t>
  </si>
  <si>
    <t>GARNICA SALAZAR</t>
  </si>
  <si>
    <t>NICOLE ARACELY</t>
  </si>
  <si>
    <t>GARVIZU CANDIA</t>
  </si>
  <si>
    <t>MELISSA ANDREA</t>
  </si>
  <si>
    <t>GARVIZU ORODOÑEZ</t>
  </si>
  <si>
    <t>MATEO</t>
  </si>
  <si>
    <t>GARZOFINO ESPINOZA</t>
  </si>
  <si>
    <t>FABIAN RODRIGO</t>
  </si>
  <si>
    <t>GASPAR BAUTISTA</t>
  </si>
  <si>
    <t>NANCY ROXANA</t>
  </si>
  <si>
    <t>GASPAR ROQUE</t>
  </si>
  <si>
    <t>GLADYS NILIANA</t>
  </si>
  <si>
    <t>GERONIMO SANCHEZ</t>
  </si>
  <si>
    <t>GIGUERBA LAGUNA</t>
  </si>
  <si>
    <t>JHOSELY BRENDA</t>
  </si>
  <si>
    <t>GIRONDA BUSTOS</t>
  </si>
  <si>
    <t>GERALDINNE VICTORIA</t>
  </si>
  <si>
    <t>GOMEZ ARNEZ</t>
  </si>
  <si>
    <t>BRENDA SOLEDAD</t>
  </si>
  <si>
    <t>GOMEZ CUBA</t>
  </si>
  <si>
    <t>GOMEZ FLORES</t>
  </si>
  <si>
    <t>JORGE RODRIGO</t>
  </si>
  <si>
    <t>GOMEZ GUARDIA</t>
  </si>
  <si>
    <t>PAOLA PATRICIA</t>
  </si>
  <si>
    <t>GOMEZ GUTIERREZ</t>
  </si>
  <si>
    <t>MINERVA KAROLAY</t>
  </si>
  <si>
    <t>GOMEZ MOLLO</t>
  </si>
  <si>
    <t>DAYANA FRESIA</t>
  </si>
  <si>
    <t>GABRIELA LIZETH</t>
  </si>
  <si>
    <t>GOMEZ MONTAÑO</t>
  </si>
  <si>
    <t>ARIEL IVAN</t>
  </si>
  <si>
    <t>GOMEZ PEREDO</t>
  </si>
  <si>
    <t>ADRIANA HUAYRA</t>
  </si>
  <si>
    <t>GOMEZ QUIROGA</t>
  </si>
  <si>
    <t>RUSSLAM LUIS</t>
  </si>
  <si>
    <t>GOMEZ ROCHA</t>
  </si>
  <si>
    <t>JOELYN ANDREA</t>
  </si>
  <si>
    <t>GOMEZ ROMERO</t>
  </si>
  <si>
    <t>MIGUEL</t>
  </si>
  <si>
    <t>GOMEZ VILLAN</t>
  </si>
  <si>
    <t>ELIAN MIGUEL</t>
  </si>
  <si>
    <t>GONZALES AIZA</t>
  </si>
  <si>
    <t>KAREN NOELIA</t>
  </si>
  <si>
    <t>GONZALES APAZA</t>
  </si>
  <si>
    <t>MASIEL LILIANA</t>
  </si>
  <si>
    <t>GONZALES BOHORQUEZ</t>
  </si>
  <si>
    <t>MADELEN SOFIA</t>
  </si>
  <si>
    <t>GONZALES BUSTAMANTE</t>
  </si>
  <si>
    <t>GONZALES CASTRO</t>
  </si>
  <si>
    <t>GONZALES CHAMBI</t>
  </si>
  <si>
    <t>JASMINN NEIWA</t>
  </si>
  <si>
    <t>GONZALES CHOQUE</t>
  </si>
  <si>
    <t>CHRISTIAN JHONATAN</t>
  </si>
  <si>
    <t>GONZALES CUBA</t>
  </si>
  <si>
    <t>KATERINE CIELO</t>
  </si>
  <si>
    <t>GONZALES HIDALGO</t>
  </si>
  <si>
    <t>GONZALES LAURA</t>
  </si>
  <si>
    <t>GONZALES LEDEZMA</t>
  </si>
  <si>
    <t>ALEXIA CAROLINA</t>
  </si>
  <si>
    <t>GONZALES MAMANI</t>
  </si>
  <si>
    <t>GONZALES MEDRANO</t>
  </si>
  <si>
    <t>VANIA GISELLE</t>
  </si>
  <si>
    <t>GONZALES ONTIVEROS</t>
  </si>
  <si>
    <t>JANNETTE NINOSKA</t>
  </si>
  <si>
    <t>GONZALES RAMOS</t>
  </si>
  <si>
    <t>GONZALES REYES</t>
  </si>
  <si>
    <t>ANDRES WILSON</t>
  </si>
  <si>
    <t>GONZALES ROCHA</t>
  </si>
  <si>
    <t>LUIS ADOLFO</t>
  </si>
  <si>
    <t>GONZALES RODRIGUEZ</t>
  </si>
  <si>
    <t>GONZALES ROJAS</t>
  </si>
  <si>
    <t>RASHIR</t>
  </si>
  <si>
    <t>GONZALES SALAZAR</t>
  </si>
  <si>
    <t>CLIDER MARIO</t>
  </si>
  <si>
    <t>GONZALES SANDOVAL</t>
  </si>
  <si>
    <t>BORIS NASSKO</t>
  </si>
  <si>
    <t>GONZALES SANTA CRUZ</t>
  </si>
  <si>
    <t>GONZALES TERAN</t>
  </si>
  <si>
    <t>ALEJANDRO OSCAR</t>
  </si>
  <si>
    <t>GONZALES TORREZ</t>
  </si>
  <si>
    <t>ROCIO SADYTH</t>
  </si>
  <si>
    <t>GONZALES VALLEJOS</t>
  </si>
  <si>
    <t>LUZ BELEN</t>
  </si>
  <si>
    <t>GONZALES VARGAS</t>
  </si>
  <si>
    <t>DENILSON</t>
  </si>
  <si>
    <t>GONZALES VEGA</t>
  </si>
  <si>
    <t>FRANZ OLIVER</t>
  </si>
  <si>
    <t>GRAGEDA FERNANDEZ</t>
  </si>
  <si>
    <t>TITO EMILIO</t>
  </si>
  <si>
    <t>GRAGEDA POZO</t>
  </si>
  <si>
    <t>MICHELLE MAYA</t>
  </si>
  <si>
    <t>GRAGEDA VARGAS</t>
  </si>
  <si>
    <t>GRAJEDA VELASQUEZ</t>
  </si>
  <si>
    <t>JAIME ISAAC</t>
  </si>
  <si>
    <t>GREGORIO RAMIREZ</t>
  </si>
  <si>
    <t>CRISMAR RODRIGO</t>
  </si>
  <si>
    <t>GRIMALDES KORAGUA</t>
  </si>
  <si>
    <t>MARCOS IVAN</t>
  </si>
  <si>
    <t>GUACHALLA CHOQUE</t>
  </si>
  <si>
    <t>MAYA CIELO</t>
  </si>
  <si>
    <t>GUACHALLA COSSIO</t>
  </si>
  <si>
    <t>RODRIGO ADRIAN</t>
  </si>
  <si>
    <t>GUAMAN RIOS</t>
  </si>
  <si>
    <t>GUARACHI MAMANI</t>
  </si>
  <si>
    <t>JOSE ALBERTO</t>
  </si>
  <si>
    <t>GUARACHI MARZANA</t>
  </si>
  <si>
    <t>CRISTIAN ALVARO</t>
  </si>
  <si>
    <t>GUARACHI OLIVERA</t>
  </si>
  <si>
    <t>LITZY ABIGAIL</t>
  </si>
  <si>
    <t>GUEVARA CANAVIRI</t>
  </si>
  <si>
    <t>SONIA</t>
  </si>
  <si>
    <t>GUEVARA MERCADO</t>
  </si>
  <si>
    <t>FAVIO</t>
  </si>
  <si>
    <t>GUEVARA ORURO</t>
  </si>
  <si>
    <t>GUILLEN ARZE</t>
  </si>
  <si>
    <t>GUILLEN VERDUGUEZ</t>
  </si>
  <si>
    <t>NATALIA</t>
  </si>
  <si>
    <t>GUTIERREZ AGUILAR</t>
  </si>
  <si>
    <t>STEPHANY ANDREA</t>
  </si>
  <si>
    <t>GUTIERREZ ALANES</t>
  </si>
  <si>
    <t>GUTIERREZ ANGULO</t>
  </si>
  <si>
    <t>JONATAN ANDRES</t>
  </si>
  <si>
    <t>GUTIERREZ AQUINO</t>
  </si>
  <si>
    <t>LUZ MARINA</t>
  </si>
  <si>
    <t>GUTIERREZ ARANCIBIA</t>
  </si>
  <si>
    <t>CARLA ALEJANDRA</t>
  </si>
  <si>
    <t>GUTIERREZ CALDERON</t>
  </si>
  <si>
    <t>DANIEL EDUARDO</t>
  </si>
  <si>
    <t>GUTIERREZ CAMACHO</t>
  </si>
  <si>
    <t>GUTIERREZ CARLO</t>
  </si>
  <si>
    <t>VEICKY SHIRLEE</t>
  </si>
  <si>
    <t>GUTIERREZ CATARI</t>
  </si>
  <si>
    <t>ILDA</t>
  </si>
  <si>
    <t>GUTIERREZ CHOQUE</t>
  </si>
  <si>
    <t>ELIZABETH XIMENA</t>
  </si>
  <si>
    <t>JOSUE LUIS ÁNGEL</t>
  </si>
  <si>
    <t>GUTIERREZ CLAROS</t>
  </si>
  <si>
    <t>YESICA JANETH</t>
  </si>
  <si>
    <t>GUTIERREZ CONDORI</t>
  </si>
  <si>
    <t>AIDA LUZ</t>
  </si>
  <si>
    <t>CORALY MILDRETH</t>
  </si>
  <si>
    <t>GUTIERREZ FERNANDEZ</t>
  </si>
  <si>
    <t>GUTIERREZ LOPEZ</t>
  </si>
  <si>
    <t>GUTIERREZ MANCILLA</t>
  </si>
  <si>
    <t>GUTIERREZ OTALORA</t>
  </si>
  <si>
    <t>CLAUDIA ROSDELI</t>
  </si>
  <si>
    <t>GUTIERREZ SANCHEZ</t>
  </si>
  <si>
    <t>RICHAR</t>
  </si>
  <si>
    <t>GUTIERREZ SEJAS</t>
  </si>
  <si>
    <t>PABLO RAFAEL</t>
  </si>
  <si>
    <t>GUTIERREZ ZAMBRANA</t>
  </si>
  <si>
    <t>JORGE AUGUSTO</t>
  </si>
  <si>
    <t>GUZMAN AGUAYO</t>
  </si>
  <si>
    <t>GUZMAN BAUTISTA</t>
  </si>
  <si>
    <t>CARLA CECILIA</t>
  </si>
  <si>
    <t>GUZMAN CAMACHO</t>
  </si>
  <si>
    <t>NINOSKA</t>
  </si>
  <si>
    <t>GUZMAN GUZMAN</t>
  </si>
  <si>
    <t>SOFIA LIDIA</t>
  </si>
  <si>
    <t>GUZMAN HERRERA</t>
  </si>
  <si>
    <t>GUZMAN LOROCACHI</t>
  </si>
  <si>
    <t>SARA</t>
  </si>
  <si>
    <t>GUZMAN MERCADO</t>
  </si>
  <si>
    <t>LIZBETH</t>
  </si>
  <si>
    <t>GUZMAN OROSCO</t>
  </si>
  <si>
    <t>JHAMIL</t>
  </si>
  <si>
    <t>GUZMAN PACHECO</t>
  </si>
  <si>
    <t>ALAIN CRISTHIAN</t>
  </si>
  <si>
    <t>GUZMAN PEREZ</t>
  </si>
  <si>
    <t>GUZMAN ROJAS</t>
  </si>
  <si>
    <t>GUZMAN TORRICO</t>
  </si>
  <si>
    <t>GUZMAN VACA</t>
  </si>
  <si>
    <t>ROCIO SUSAN</t>
  </si>
  <si>
    <t>GUZMAN VILLCA</t>
  </si>
  <si>
    <t>ABIGAIL DAMAR</t>
  </si>
  <si>
    <t>GUZMAN ZAPATA</t>
  </si>
  <si>
    <t>MARISOL NATALY</t>
  </si>
  <si>
    <t>GUZMÁN VARGAS</t>
  </si>
  <si>
    <t>ALEXANDER EDDY</t>
  </si>
  <si>
    <t>GÓMEZ CACHIAGA</t>
  </si>
  <si>
    <t>ANGEL DAVID</t>
  </si>
  <si>
    <t>HERBAS ANDIA</t>
  </si>
  <si>
    <t>ANAHI</t>
  </si>
  <si>
    <t>HERBAS ARNEZ</t>
  </si>
  <si>
    <t>MARIA ALEYDA</t>
  </si>
  <si>
    <t>HERBAS FLORES</t>
  </si>
  <si>
    <t>ALAN MAURICIO</t>
  </si>
  <si>
    <t>SERGIO RODRIGO</t>
  </si>
  <si>
    <t>HERBAS GUZMAN</t>
  </si>
  <si>
    <t>KENNY ANDRES</t>
  </si>
  <si>
    <t>HERBAS RODRIGUEZ</t>
  </si>
  <si>
    <t>DANA NOELIA</t>
  </si>
  <si>
    <t>HERBAS SEVERICH</t>
  </si>
  <si>
    <t>NATALIA NORELYS</t>
  </si>
  <si>
    <t>HERBAS TASTACA</t>
  </si>
  <si>
    <t>CESAR</t>
  </si>
  <si>
    <t>HERBAS ZARATE</t>
  </si>
  <si>
    <t>ANDRES FERNANDO</t>
  </si>
  <si>
    <t>HERBOSO MENDIETA</t>
  </si>
  <si>
    <t>DENNYS FERNANDO</t>
  </si>
  <si>
    <t>HEREDIA BALDERRAMA</t>
  </si>
  <si>
    <t>CARLOS</t>
  </si>
  <si>
    <t>HEREDIA FERRUFINO</t>
  </si>
  <si>
    <t>LEANDRO FABIO</t>
  </si>
  <si>
    <t>HEREDIA PERALTA</t>
  </si>
  <si>
    <t>FERNANDA EMILY</t>
  </si>
  <si>
    <t>HEREDIA PEREZ</t>
  </si>
  <si>
    <t>ROCIO</t>
  </si>
  <si>
    <t>HEREDIA VALENCIA</t>
  </si>
  <si>
    <t>ELVIS</t>
  </si>
  <si>
    <t>HERRADA CRUZ</t>
  </si>
  <si>
    <t>AMY ALISSON</t>
  </si>
  <si>
    <t>HERRERA ALVAREZ</t>
  </si>
  <si>
    <t>ANDREA DEL ROSARIO</t>
  </si>
  <si>
    <t>HERRERA LIENDRO</t>
  </si>
  <si>
    <t>HERRERA MAMANI</t>
  </si>
  <si>
    <t>CLEYTON</t>
  </si>
  <si>
    <t>HERRERA MANCILLA</t>
  </si>
  <si>
    <t>CLAUDIA MONICA</t>
  </si>
  <si>
    <t>HERRERA REQUE</t>
  </si>
  <si>
    <t>ERICKA LORENA</t>
  </si>
  <si>
    <t>HIDALGO ALCOCER</t>
  </si>
  <si>
    <t>MANUEL</t>
  </si>
  <si>
    <t>HIDALGO MACIAS</t>
  </si>
  <si>
    <t>JOSE NOE</t>
  </si>
  <si>
    <t>HIDALGO ROJAS</t>
  </si>
  <si>
    <t>HIDALGO VIDOVIC</t>
  </si>
  <si>
    <t>LAURO</t>
  </si>
  <si>
    <t>HIGUERAS LOPEZ</t>
  </si>
  <si>
    <t>ALEYDA LIDDY</t>
  </si>
  <si>
    <t>HINOJOSA</t>
  </si>
  <si>
    <t>SARA DANIELA</t>
  </si>
  <si>
    <t>HINOJOSA HERBAS</t>
  </si>
  <si>
    <t>MIRIAN</t>
  </si>
  <si>
    <t>HINOJOSA MAMANI</t>
  </si>
  <si>
    <t>HINOJOSA MARCE</t>
  </si>
  <si>
    <t>HINOJOSA OROSCO</t>
  </si>
  <si>
    <t>HINOJOSA REYES</t>
  </si>
  <si>
    <t>DEYVI</t>
  </si>
  <si>
    <t>HINOJOSA SILVA</t>
  </si>
  <si>
    <t>ERNESTO</t>
  </si>
  <si>
    <t>HINOJOSA VILLARROEL</t>
  </si>
  <si>
    <t>KEVIN JOEL</t>
  </si>
  <si>
    <t>HOLGUÍN ÁLVAREZ</t>
  </si>
  <si>
    <t>MELANI NICOLE</t>
  </si>
  <si>
    <t>HONOR</t>
  </si>
  <si>
    <t>HONOR ALVAREZ</t>
  </si>
  <si>
    <t>DANIA ADRIANA</t>
  </si>
  <si>
    <t>HUAIPARA MAMANI</t>
  </si>
  <si>
    <t>TERESA ERIKA</t>
  </si>
  <si>
    <t>HUALLPA FLORES</t>
  </si>
  <si>
    <t>LUANA</t>
  </si>
  <si>
    <t>HUALLPA MAMANI</t>
  </si>
  <si>
    <t>ERLINDA</t>
  </si>
  <si>
    <t>HUANCA</t>
  </si>
  <si>
    <t>CRISTIAN ANDRES</t>
  </si>
  <si>
    <t>HUANCA ALCANTARA</t>
  </si>
  <si>
    <t>ROSALINDA</t>
  </si>
  <si>
    <t>HUANCA ALCAZAR</t>
  </si>
  <si>
    <t>HUANCA AREVALO</t>
  </si>
  <si>
    <t>HUANCA CALLE</t>
  </si>
  <si>
    <t>MARIA EVA</t>
  </si>
  <si>
    <t>HUANCA CALSINA</t>
  </si>
  <si>
    <t>PAOLA JIMENA</t>
  </si>
  <si>
    <t>HUANCA CONDORI</t>
  </si>
  <si>
    <t>KAREN NICOL</t>
  </si>
  <si>
    <t>HUANCA GUARACHI</t>
  </si>
  <si>
    <t>MIREYA</t>
  </si>
  <si>
    <t>HUANCA JUNTUTA</t>
  </si>
  <si>
    <t>CARLOS DANIEL</t>
  </si>
  <si>
    <t>HUANCA LEÓN</t>
  </si>
  <si>
    <t>MARCELO ENRRIQUE</t>
  </si>
  <si>
    <t>HUANCA LOZA</t>
  </si>
  <si>
    <t>BRISMA</t>
  </si>
  <si>
    <t>HUANCA MAMANI</t>
  </si>
  <si>
    <t>MONICA ANDREA</t>
  </si>
  <si>
    <t>HUANCA PINEDO</t>
  </si>
  <si>
    <t>HUANCA SILVA</t>
  </si>
  <si>
    <t>ABRAHAM</t>
  </si>
  <si>
    <t>HUARACHI ARANCIBIA</t>
  </si>
  <si>
    <t>SERGIO ALEJANDRO</t>
  </si>
  <si>
    <t>HUARACHI QUISPE</t>
  </si>
  <si>
    <t>ADELAIDA REYNA</t>
  </si>
  <si>
    <t>HUARACHI RODRIGUEZ</t>
  </si>
  <si>
    <t>HUARANCA MAMANI</t>
  </si>
  <si>
    <t>JHOEL</t>
  </si>
  <si>
    <t>HUARANCA TORREZ</t>
  </si>
  <si>
    <t>ALAN KEVIN</t>
  </si>
  <si>
    <t>HUARAYO HUANACO</t>
  </si>
  <si>
    <t>ZENAIDA</t>
  </si>
  <si>
    <t>HUARITO CALSINA</t>
  </si>
  <si>
    <t>HUAYCHO QUISPE</t>
  </si>
  <si>
    <t>HUAYCHU LAURA</t>
  </si>
  <si>
    <t>ISMAEL</t>
  </si>
  <si>
    <t>HUAYHUA RAMOS</t>
  </si>
  <si>
    <t>ROSA BEATRIS</t>
  </si>
  <si>
    <t>HUAYLLANI CONDORI</t>
  </si>
  <si>
    <t>ERICKA NINOSKA</t>
  </si>
  <si>
    <t>HUAYLLANI TOLABA</t>
  </si>
  <si>
    <t>MAYRA JOSSELYN</t>
  </si>
  <si>
    <t>HUAYLLAS ALVARADO</t>
  </si>
  <si>
    <t>MIRIAM</t>
  </si>
  <si>
    <t>HUAYLLAS MALLCU</t>
  </si>
  <si>
    <t>DAYLER ANDRES</t>
  </si>
  <si>
    <t>HUAYLLAS PERALTA</t>
  </si>
  <si>
    <t>ANEL LINETH</t>
  </si>
  <si>
    <t>HUAÑAPACO GUTIERREZ</t>
  </si>
  <si>
    <t>LIZBETH KAREN</t>
  </si>
  <si>
    <t>HUCHANI QUISPE</t>
  </si>
  <si>
    <t>HUMANA CONDORI</t>
  </si>
  <si>
    <t>JHORDAN</t>
  </si>
  <si>
    <t>SANDRA GIMENA</t>
  </si>
  <si>
    <t>HUMEREZ VICENTE</t>
  </si>
  <si>
    <t>ANA ANAHI</t>
  </si>
  <si>
    <t>HURTADO CAPIA</t>
  </si>
  <si>
    <t>NATALY NARELY</t>
  </si>
  <si>
    <t>IBARRA VERA</t>
  </si>
  <si>
    <t>IBAÑEZ AYALA</t>
  </si>
  <si>
    <t>GERALDINE PATRICIA</t>
  </si>
  <si>
    <t>IBAÑEZ CAMPOS</t>
  </si>
  <si>
    <t>GONZALO</t>
  </si>
  <si>
    <t>IBAÑEZ ROJAS</t>
  </si>
  <si>
    <t>IGNACIO APAZA</t>
  </si>
  <si>
    <t>BONIFACIO</t>
  </si>
  <si>
    <t>IGNACIO LIMA</t>
  </si>
  <si>
    <t>IGNACIO PORTANDA</t>
  </si>
  <si>
    <t>RAQUELIN</t>
  </si>
  <si>
    <t>ILLANES VARGAS</t>
  </si>
  <si>
    <t>FABRIZZIO LUIS</t>
  </si>
  <si>
    <t>INCA BALTAZAR</t>
  </si>
  <si>
    <t>GISELA</t>
  </si>
  <si>
    <t>INCLAN PIEROLA</t>
  </si>
  <si>
    <t>NEIL IVER</t>
  </si>
  <si>
    <t>INOCENTE ALVAREZ</t>
  </si>
  <si>
    <t>PAOLA NAGELY</t>
  </si>
  <si>
    <t>INTURIAS ROCHA</t>
  </si>
  <si>
    <t>ARACELY JHAREN</t>
  </si>
  <si>
    <t>INTURIAS SEGOVIA</t>
  </si>
  <si>
    <t>MARIBEL ADRIANA</t>
  </si>
  <si>
    <t>IQUISE ROMERO</t>
  </si>
  <si>
    <t>CARLOS EDWIN</t>
  </si>
  <si>
    <t>IQUIZE ACHATA</t>
  </si>
  <si>
    <t>EVARISTO ROLANDO</t>
  </si>
  <si>
    <t>IRIARTE ALVAREZ</t>
  </si>
  <si>
    <t>LEANDRO JHONNY</t>
  </si>
  <si>
    <t>IRIARTE MISHIRO</t>
  </si>
  <si>
    <t>BORIS ROMMEL</t>
  </si>
  <si>
    <t>IRIARTE ZEBALLOS</t>
  </si>
  <si>
    <t>IRUSTA TOLEDO</t>
  </si>
  <si>
    <t>BRANDON JASON</t>
  </si>
  <si>
    <t>IÑIGUEZ AVIZ</t>
  </si>
  <si>
    <t>JACHACOLLO CORRALES</t>
  </si>
  <si>
    <t>ELVA</t>
  </si>
  <si>
    <t>JACINTO QUISPE</t>
  </si>
  <si>
    <t>JAILLITA BALDERRAMA</t>
  </si>
  <si>
    <t>GUSTAVO DAVID</t>
  </si>
  <si>
    <t>JAILLITA TORRICO</t>
  </si>
  <si>
    <t>JAIMES CRESPO</t>
  </si>
  <si>
    <t>CARLOS ALBERTO</t>
  </si>
  <si>
    <t>JAIMES MAMANI</t>
  </si>
  <si>
    <t>JOSÉ ALBERT</t>
  </si>
  <si>
    <t>JALACORI RIOS</t>
  </si>
  <si>
    <t>JALDIN CASTRO</t>
  </si>
  <si>
    <t>JULISA KELY</t>
  </si>
  <si>
    <t>JALDIN LUJAN</t>
  </si>
  <si>
    <t>JALDIN PACHECO</t>
  </si>
  <si>
    <t>PAULO ROBERTO</t>
  </si>
  <si>
    <t>JALDIN SAAVEDRA</t>
  </si>
  <si>
    <t>NILDA</t>
  </si>
  <si>
    <t>JAMACHI FRANCO</t>
  </si>
  <si>
    <t>JAMACHI RAMOS</t>
  </si>
  <si>
    <t>JAMIRA MAMANI</t>
  </si>
  <si>
    <t>ELISABETH</t>
  </si>
  <si>
    <t>JAMIRA PACCI</t>
  </si>
  <si>
    <t>JANCKO CAMACHO</t>
  </si>
  <si>
    <t>JANCKO MAMANI</t>
  </si>
  <si>
    <t>JANCO MAMANI</t>
  </si>
  <si>
    <t>VIRGINIA</t>
  </si>
  <si>
    <t>JANCOÑA JAITA</t>
  </si>
  <si>
    <t>JAIRO</t>
  </si>
  <si>
    <t>JARRO CHOQUE</t>
  </si>
  <si>
    <t>CLAUDIA ALEJANDRA</t>
  </si>
  <si>
    <t>JARRO MAMANI</t>
  </si>
  <si>
    <t>MARIA RAQUEL</t>
  </si>
  <si>
    <t>JAVIER JALDIN</t>
  </si>
  <si>
    <t>AURELIO</t>
  </si>
  <si>
    <t>JESUS GARCIA</t>
  </si>
  <si>
    <t>ERIKA JHEIMY</t>
  </si>
  <si>
    <t>JIMENES CHOQUE</t>
  </si>
  <si>
    <t>ALEJANDRA LIZETH</t>
  </si>
  <si>
    <t>JIMENEZ ANTEZANA</t>
  </si>
  <si>
    <t>WILLIAMS BORIS</t>
  </si>
  <si>
    <t>JIMENEZ ASCUY</t>
  </si>
  <si>
    <t>MICHAEL JHONATAN</t>
  </si>
  <si>
    <t>JIMENEZ DELGADILLO</t>
  </si>
  <si>
    <t>BRYAN ANGEL</t>
  </si>
  <si>
    <t>JIMENEZ GARCIA</t>
  </si>
  <si>
    <t>JEISON</t>
  </si>
  <si>
    <t>JIMENEZ GONZALES</t>
  </si>
  <si>
    <t>JIMENEZ HUANCA</t>
  </si>
  <si>
    <t>ADRIAN MARCELO</t>
  </si>
  <si>
    <t>JIMENEZ MENDOZA</t>
  </si>
  <si>
    <t>FAVIOLA</t>
  </si>
  <si>
    <t>JIMENEZ MONTAÑO</t>
  </si>
  <si>
    <t>JIMENEZ QUIROZ</t>
  </si>
  <si>
    <t>LINDA</t>
  </si>
  <si>
    <t>JIMENEZ SALAZAR</t>
  </si>
  <si>
    <t>JIMENEZ SENZANO</t>
  </si>
  <si>
    <t>JIMENEZ TORO</t>
  </si>
  <si>
    <t>JIMÉNEZ LEDEZMA</t>
  </si>
  <si>
    <t>NAYRA GABRIELA</t>
  </si>
  <si>
    <t>JORA CHOCATA</t>
  </si>
  <si>
    <t>RUBEN</t>
  </si>
  <si>
    <t>JORGE FUENTES</t>
  </si>
  <si>
    <t>NOEMI ESTHER</t>
  </si>
  <si>
    <t>JUANES</t>
  </si>
  <si>
    <t>KENIA YAMILA</t>
  </si>
  <si>
    <t>JUAREZ OLGUIN</t>
  </si>
  <si>
    <t>JUCHASARA JAITA</t>
  </si>
  <si>
    <t>JUCHATUMA CHOQUE</t>
  </si>
  <si>
    <t>KARIHATA PINAYA</t>
  </si>
  <si>
    <t>TAKESHI JOSUE</t>
  </si>
  <si>
    <t>LA FUENTE DURAN</t>
  </si>
  <si>
    <t>VICTOR MAURICIO</t>
  </si>
  <si>
    <t>LA FUENTE ZURITA</t>
  </si>
  <si>
    <t>ESTEFANY MELISA</t>
  </si>
  <si>
    <t>LAFUENTE CAETANO</t>
  </si>
  <si>
    <t>GUILDER DANDELVI</t>
  </si>
  <si>
    <t>LAFUENTE CLAROS</t>
  </si>
  <si>
    <t>GERARDO DANIEL</t>
  </si>
  <si>
    <t>LAFUENTE ISIDRO</t>
  </si>
  <si>
    <t>JHOSELYN FAVIANA</t>
  </si>
  <si>
    <t>LAFUENTE OMONTE</t>
  </si>
  <si>
    <t>ASHLEY RITA</t>
  </si>
  <si>
    <t>LAFUENTE REQUE</t>
  </si>
  <si>
    <t>ANGEL SAUL</t>
  </si>
  <si>
    <t>LAIME ACUÑA</t>
  </si>
  <si>
    <t>ESCARLEN</t>
  </si>
  <si>
    <t>LAIME MERCADO</t>
  </si>
  <si>
    <t>LAMAS FLORES</t>
  </si>
  <si>
    <t>AYDA</t>
  </si>
  <si>
    <t>LAMAS MENDOZA</t>
  </si>
  <si>
    <t>CARLOS FERNANDO</t>
  </si>
  <si>
    <t>LAMAS NUÑEZ</t>
  </si>
  <si>
    <t>MARILI MAIRA</t>
  </si>
  <si>
    <t>LAMAS PARRA</t>
  </si>
  <si>
    <t>DANITZA MAITE</t>
  </si>
  <si>
    <t>HECTOR RUDDY</t>
  </si>
  <si>
    <t>LARA MITA</t>
  </si>
  <si>
    <t>NEIL GUERY</t>
  </si>
  <si>
    <t>LARREA RODRIGUEZ</t>
  </si>
  <si>
    <t>MARCIA SURIMANA</t>
  </si>
  <si>
    <t>LAURA APAZA</t>
  </si>
  <si>
    <t>LAURA CORIA</t>
  </si>
  <si>
    <t>LAURA CUISARA</t>
  </si>
  <si>
    <t>VANIA VANESSA</t>
  </si>
  <si>
    <t>LAURA JAUREGUI</t>
  </si>
  <si>
    <t>NIELSEN MIKAELA</t>
  </si>
  <si>
    <t>LAURA LIMACHI</t>
  </si>
  <si>
    <t>LUIS GUSTAVO</t>
  </si>
  <si>
    <t>LAURA MOLLO</t>
  </si>
  <si>
    <t>LAVAYEN IGUAY</t>
  </si>
  <si>
    <t>LAYME LUGONES</t>
  </si>
  <si>
    <t>LAZARTE</t>
  </si>
  <si>
    <t>LAZARTE FLORES</t>
  </si>
  <si>
    <t>ANDREA FERNANDA</t>
  </si>
  <si>
    <t>LAZARTE HERBAS</t>
  </si>
  <si>
    <t>HILEN</t>
  </si>
  <si>
    <t>LAZARTE PEREZ</t>
  </si>
  <si>
    <t>DAILER</t>
  </si>
  <si>
    <t>LAZARTE SALGUERO</t>
  </si>
  <si>
    <t>MARIO LEONEL</t>
  </si>
  <si>
    <t>RAISSA ESTEFANY</t>
  </si>
  <si>
    <t>LAZCANO CONDORI</t>
  </si>
  <si>
    <t>LENNY FABIOLA</t>
  </si>
  <si>
    <t>LAZCANO GARCIA</t>
  </si>
  <si>
    <t>JIMMY ADRIAN</t>
  </si>
  <si>
    <t>LEDEZMA GUAMAN</t>
  </si>
  <si>
    <t>LEIDY</t>
  </si>
  <si>
    <t>LEDEZMA GUZMAN</t>
  </si>
  <si>
    <t>NICOLE RAISA</t>
  </si>
  <si>
    <t>LEDEZMA LAIME</t>
  </si>
  <si>
    <t>ALBERTH</t>
  </si>
  <si>
    <t>LEDEZMA MORALES</t>
  </si>
  <si>
    <t>MIRYAN</t>
  </si>
  <si>
    <t>LEDEZMA PAICHUCAMA</t>
  </si>
  <si>
    <t>LEDEZMA VARGAS</t>
  </si>
  <si>
    <t>LEIGUE DARA</t>
  </si>
  <si>
    <t>LENZ ROJAS</t>
  </si>
  <si>
    <t>PAMELA STACY</t>
  </si>
  <si>
    <t>LEON CANCEJO</t>
  </si>
  <si>
    <t>LEON CHECA</t>
  </si>
  <si>
    <t>LEON QUIROZ</t>
  </si>
  <si>
    <t>VANESSA JHOVANETTE</t>
  </si>
  <si>
    <t>LEON SIVILA</t>
  </si>
  <si>
    <t>LEYTÓN CONTRERAS</t>
  </si>
  <si>
    <t>ITZEL DALINE</t>
  </si>
  <si>
    <t>LEZANO IGNACIO</t>
  </si>
  <si>
    <t>BRENELY MAYRA</t>
  </si>
  <si>
    <t>LIA MAMANI</t>
  </si>
  <si>
    <t>JIMMY</t>
  </si>
  <si>
    <t>LIENDO LIENDO</t>
  </si>
  <si>
    <t>MAURO SERGIO</t>
  </si>
  <si>
    <t>LIMA ESCOBAR</t>
  </si>
  <si>
    <t>JHOEL DICKSON</t>
  </si>
  <si>
    <t>LIMA OTALORA</t>
  </si>
  <si>
    <t>MIRNA FABIOLA</t>
  </si>
  <si>
    <t>LIMACHI CASTILLO</t>
  </si>
  <si>
    <t>JORGE ANTONIO</t>
  </si>
  <si>
    <t>LIMACHI CORO</t>
  </si>
  <si>
    <t>LIMACHI HUANCA</t>
  </si>
  <si>
    <t>MARILUZ</t>
  </si>
  <si>
    <t>LIMACHI JUAN</t>
  </si>
  <si>
    <t>LIMACHI MENDOZA</t>
  </si>
  <si>
    <t>EDDY</t>
  </si>
  <si>
    <t>LIMACHI OVADO</t>
  </si>
  <si>
    <t>LIMACHI QUENTA</t>
  </si>
  <si>
    <t>LIMACHI VELASQUEZ</t>
  </si>
  <si>
    <t>EDSON ROLANDO</t>
  </si>
  <si>
    <t>LINARES GUAMAN</t>
  </si>
  <si>
    <t>ERIKA DANIELA</t>
  </si>
  <si>
    <t>LINARES JORGE</t>
  </si>
  <si>
    <t>ESTEFANY DANIELA</t>
  </si>
  <si>
    <t>LIQUE SARZURI</t>
  </si>
  <si>
    <t>RUBEN ALEX</t>
  </si>
  <si>
    <t>LIZARRAGA VARGAS</t>
  </si>
  <si>
    <t>JOSE JAVIER</t>
  </si>
  <si>
    <t>LLALLI SALAZAR</t>
  </si>
  <si>
    <t>LLAMPA MAMANI</t>
  </si>
  <si>
    <t>LLANO COLQUE</t>
  </si>
  <si>
    <t>SANTIAGO JOAQUIN</t>
  </si>
  <si>
    <t>LLANOS AIZA</t>
  </si>
  <si>
    <t>GARRI DIETER</t>
  </si>
  <si>
    <t>LLANOS ORTIZ</t>
  </si>
  <si>
    <t>FREDDY STEFANO</t>
  </si>
  <si>
    <t>LLANQUE SANGUEZA</t>
  </si>
  <si>
    <t>YARUSKA</t>
  </si>
  <si>
    <t>LLANQUE TORRICO</t>
  </si>
  <si>
    <t>LOA LIMACHI</t>
  </si>
  <si>
    <t>HENRY ADRIAN</t>
  </si>
  <si>
    <t>LOAYZA BALDELLON</t>
  </si>
  <si>
    <t>JENNIFER MICHELLE</t>
  </si>
  <si>
    <t>LOAYZA MAMANI</t>
  </si>
  <si>
    <t>LOBO NINA</t>
  </si>
  <si>
    <t>DANIELA ESTHER</t>
  </si>
  <si>
    <t>LOKA VELASQUEZ</t>
  </si>
  <si>
    <t>LOMAR JAIN</t>
  </si>
  <si>
    <t>MIGUEL ORLANDO</t>
  </si>
  <si>
    <t>LOPEZ</t>
  </si>
  <si>
    <t>GERAL ANTONY</t>
  </si>
  <si>
    <t>LOPEZ ACOSTA</t>
  </si>
  <si>
    <t>LOPEZ ANZALDO</t>
  </si>
  <si>
    <t>PABLO ALBERTO</t>
  </si>
  <si>
    <t>LOPEZ ARAMBURO</t>
  </si>
  <si>
    <t>LOPEZ BERDUGUEZ</t>
  </si>
  <si>
    <t>NAELY</t>
  </si>
  <si>
    <t>LOPEZ BLANCO</t>
  </si>
  <si>
    <t>LOPEZ CHAMBI</t>
  </si>
  <si>
    <t>ORLANDO JAIME</t>
  </si>
  <si>
    <t>LOPEZ CHINO</t>
  </si>
  <si>
    <t>EDWIN JUNIOR</t>
  </si>
  <si>
    <t>LOPEZ COCA</t>
  </si>
  <si>
    <t>LISSANDRA</t>
  </si>
  <si>
    <t>LOPEZ DAGA</t>
  </si>
  <si>
    <t>LOPEZ DIAZ</t>
  </si>
  <si>
    <t>LOPEZ FELIPÈZ</t>
  </si>
  <si>
    <t>ANDRÉS ENRIQUE</t>
  </si>
  <si>
    <t>LOPEZ GUTIERREZ</t>
  </si>
  <si>
    <t>ROSMERY</t>
  </si>
  <si>
    <t>LOPEZ JESUS</t>
  </si>
  <si>
    <t>LOPEZ LEDEZMA</t>
  </si>
  <si>
    <t>PAMELA GUADALUPE</t>
  </si>
  <si>
    <t>LOPEZ LOPEZ</t>
  </si>
  <si>
    <t>LOPEZ MAGNE</t>
  </si>
  <si>
    <t>MAYRA NOELIA</t>
  </si>
  <si>
    <t>LOPEZ MEDINA</t>
  </si>
  <si>
    <t>ALEXIS</t>
  </si>
  <si>
    <t>LOPEZ MOLLE</t>
  </si>
  <si>
    <t>VANESA</t>
  </si>
  <si>
    <t>LOPEZ MONTAÑO</t>
  </si>
  <si>
    <t>OSCAR ENRIQUE</t>
  </si>
  <si>
    <t>LOPEZ MOREIRA</t>
  </si>
  <si>
    <t>RICARDO FABIAN</t>
  </si>
  <si>
    <t>LOPEZ MOYA</t>
  </si>
  <si>
    <t>LOPEZ QUISPE</t>
  </si>
  <si>
    <t>SEBASTIAN</t>
  </si>
  <si>
    <t>LOPEZ RODRIGUEZ</t>
  </si>
  <si>
    <t>EVELIN</t>
  </si>
  <si>
    <t>LOPEZ SOLIZ</t>
  </si>
  <si>
    <t>LOPEZ TERRAZAS</t>
  </si>
  <si>
    <t>MICHAEL</t>
  </si>
  <si>
    <t>LOPEZ VARGAS</t>
  </si>
  <si>
    <t>KEVIN RODRIGO</t>
  </si>
  <si>
    <t>LOPEZ VASQUEZ</t>
  </si>
  <si>
    <t>JOSE ANTHONY</t>
  </si>
  <si>
    <t>LOPEZ VILLARROEL</t>
  </si>
  <si>
    <t>LOPEZ ZURITA</t>
  </si>
  <si>
    <t>JOSE FERNANDO</t>
  </si>
  <si>
    <t>MARIA CLAUDIA</t>
  </si>
  <si>
    <t>LORA ROCHA</t>
  </si>
  <si>
    <t>JHONATAN LIMBERT</t>
  </si>
  <si>
    <t>LORA SANCHEZ</t>
  </si>
  <si>
    <t>ANA MILENKA</t>
  </si>
  <si>
    <t>LOREDO CHOQUE</t>
  </si>
  <si>
    <t>LOREDO SALAZAR</t>
  </si>
  <si>
    <t>DARIAN ROXANA</t>
  </si>
  <si>
    <t>LORENZO CHUNGARA</t>
  </si>
  <si>
    <t>LOZA ALVAREZ</t>
  </si>
  <si>
    <t>ANDRES ANTONIO</t>
  </si>
  <si>
    <t>LOZA NOGALES</t>
  </si>
  <si>
    <t>LIZ ABIGAIL</t>
  </si>
  <si>
    <t>LOZADA LAMAS</t>
  </si>
  <si>
    <t>NAHOMI NICOLE</t>
  </si>
  <si>
    <t>LOZANO RIVAS</t>
  </si>
  <si>
    <t>GUSTAVO NELSON</t>
  </si>
  <si>
    <t>LUCANA</t>
  </si>
  <si>
    <t>LUIZAGA ACOSTA</t>
  </si>
  <si>
    <t>LUIZAGA BALDERRAMA</t>
  </si>
  <si>
    <t>MAYUMI</t>
  </si>
  <si>
    <t>LUIZAGA BARRIONUEVO</t>
  </si>
  <si>
    <t>HERNAN ISRAEL</t>
  </si>
  <si>
    <t>LUIZAGA CRUZ</t>
  </si>
  <si>
    <t>WINNY</t>
  </si>
  <si>
    <t>LUIZAGA LAIME</t>
  </si>
  <si>
    <t>LUIZAGA ROJAS</t>
  </si>
  <si>
    <t>BRIAN</t>
  </si>
  <si>
    <t>LUIZAGA VIA</t>
  </si>
  <si>
    <t>FABIO ALEJANDRO</t>
  </si>
  <si>
    <t>LUJAN</t>
  </si>
  <si>
    <t>SERGIO LUIS</t>
  </si>
  <si>
    <t>LUJAN ALVARADO</t>
  </si>
  <si>
    <t>BRANDON PAUL</t>
  </si>
  <si>
    <t>LUJAN CERROGRANDE</t>
  </si>
  <si>
    <t>BRAYAN JUNIOR</t>
  </si>
  <si>
    <t>LUJAN LAZARO</t>
  </si>
  <si>
    <t>JESSICA ALEJANDRA</t>
  </si>
  <si>
    <t>LUJAN MARIACA</t>
  </si>
  <si>
    <t>JORGE BRANDON</t>
  </si>
  <si>
    <t>LUJAN NUÑEZ</t>
  </si>
  <si>
    <t>LUNA AGUILAR</t>
  </si>
  <si>
    <t>LUNA CAYO</t>
  </si>
  <si>
    <t>JORGE ALEJANDRO</t>
  </si>
  <si>
    <t>LUNA COCHI</t>
  </si>
  <si>
    <t>CAROLINA EUGENIA</t>
  </si>
  <si>
    <t>LUNA LOPEZ</t>
  </si>
  <si>
    <t>LUNA ORACIO</t>
  </si>
  <si>
    <t>JOEL CARLOS</t>
  </si>
  <si>
    <t>LUPE ESCALERA</t>
  </si>
  <si>
    <t>GABRIEL ALVARO</t>
  </si>
  <si>
    <t>LUQUE LOPEZ</t>
  </si>
  <si>
    <t>JOSE JOSE</t>
  </si>
  <si>
    <t>LÓPEZ RODRIGUEZ</t>
  </si>
  <si>
    <t>VERÓNICA</t>
  </si>
  <si>
    <t>LÓPEZ VÁSQUEZ</t>
  </si>
  <si>
    <t>MARCELA ANDREA</t>
  </si>
  <si>
    <t>MACHACA</t>
  </si>
  <si>
    <t>MACHACA QUIÑONES</t>
  </si>
  <si>
    <t>RONAL</t>
  </si>
  <si>
    <t>MACHACA VILLARROEL</t>
  </si>
  <si>
    <t>MACHICADO CALVI</t>
  </si>
  <si>
    <t>SARAI SUSANA</t>
  </si>
  <si>
    <t>MACHICADO LAURA</t>
  </si>
  <si>
    <t>BRAYAN CARLOS</t>
  </si>
  <si>
    <t>MACIAS ALMANZA</t>
  </si>
  <si>
    <t>IVANA</t>
  </si>
  <si>
    <t>MAGNE ANDIA</t>
  </si>
  <si>
    <t>CARLA ROMANETH</t>
  </si>
  <si>
    <t>MAGNE SEJAS</t>
  </si>
  <si>
    <t>ANGELICA ROCIO</t>
  </si>
  <si>
    <t>MAIDA GARCIA</t>
  </si>
  <si>
    <t>DANIELA FABIOLA</t>
  </si>
  <si>
    <t>MAIDA PRADO</t>
  </si>
  <si>
    <t>IRMA</t>
  </si>
  <si>
    <t>MAITA PAINA</t>
  </si>
  <si>
    <t>CRISTINA</t>
  </si>
  <si>
    <t>MALAGA CATARI</t>
  </si>
  <si>
    <t>GUIDO</t>
  </si>
  <si>
    <t>MALDONADO ALMENDRAS</t>
  </si>
  <si>
    <t>ALICIA</t>
  </si>
  <si>
    <t>MALDONADO CESPEDES</t>
  </si>
  <si>
    <t>MALDONADO FERNANDEZ</t>
  </si>
  <si>
    <t>NAIRA</t>
  </si>
  <si>
    <t>MALDONADO FUENTES</t>
  </si>
  <si>
    <t>MARIA DEL CARMEN</t>
  </si>
  <si>
    <t>MALDONADO HUARANCA</t>
  </si>
  <si>
    <t>JUAN DANIEL</t>
  </si>
  <si>
    <t>MALDONADO MOLINA</t>
  </si>
  <si>
    <t>MALDONADO ROMERO</t>
  </si>
  <si>
    <t>ALISON ESTRELLA</t>
  </si>
  <si>
    <t>MALDONADO SANDRINI</t>
  </si>
  <si>
    <t>MALDONADO SUAREZ</t>
  </si>
  <si>
    <t>IBETH</t>
  </si>
  <si>
    <t>MALDONADO VARGAS</t>
  </si>
  <si>
    <t>MARCIA SELENE</t>
  </si>
  <si>
    <t>MALDONADO ZABALA</t>
  </si>
  <si>
    <t>MALLON CESPEDES</t>
  </si>
  <si>
    <t>JULIO FERNANDO</t>
  </si>
  <si>
    <t>MAMANI ABASTO</t>
  </si>
  <si>
    <t>ARLETH PAMELA</t>
  </si>
  <si>
    <t>MAMANI APAZA</t>
  </si>
  <si>
    <t>MAMANI ARUQUIPA</t>
  </si>
  <si>
    <t>HEIDY ELIZABETH</t>
  </si>
  <si>
    <t>MAMANI BECERRA</t>
  </si>
  <si>
    <t>SHIRLEY</t>
  </si>
  <si>
    <t>MAMANI CACERES</t>
  </si>
  <si>
    <t>ADAID NIRVANA</t>
  </si>
  <si>
    <t>MAYRA EVELYN</t>
  </si>
  <si>
    <t>MAMANI CANAZA</t>
  </si>
  <si>
    <t>MAMANI CASTELLON</t>
  </si>
  <si>
    <t>JASMIN</t>
  </si>
  <si>
    <t>MAMANI CESPEDES</t>
  </si>
  <si>
    <t>LENNY NEIZA</t>
  </si>
  <si>
    <t>MAMANI CHARA</t>
  </si>
  <si>
    <t>DANIEL VICENTE</t>
  </si>
  <si>
    <t>MAMANI CHAVARRIA</t>
  </si>
  <si>
    <t>JELES MADIAN</t>
  </si>
  <si>
    <t>MAMANI CHOQUE</t>
  </si>
  <si>
    <t>ANA CORINA</t>
  </si>
  <si>
    <t>MAMANI CHURA</t>
  </si>
  <si>
    <t>MAMANI CRUZ</t>
  </si>
  <si>
    <t>ESTEBAN</t>
  </si>
  <si>
    <t>MAMANI CUTILE</t>
  </si>
  <si>
    <t>RAUL ADOLFO</t>
  </si>
  <si>
    <t>MAMANI DELGADILLO</t>
  </si>
  <si>
    <t>MAMANI ESCALERA</t>
  </si>
  <si>
    <t>MAMANI ESPINOZA</t>
  </si>
  <si>
    <t>ADRIANA ANTONIA</t>
  </si>
  <si>
    <t>MAMANI FILI</t>
  </si>
  <si>
    <t>MAMANI FLORES</t>
  </si>
  <si>
    <t>JULISSA LUPE</t>
  </si>
  <si>
    <t>ROSSELIN</t>
  </si>
  <si>
    <t>MAMANI GABRIEL</t>
  </si>
  <si>
    <t>ROBERTA</t>
  </si>
  <si>
    <t>MAMANI GONZALES</t>
  </si>
  <si>
    <t>DANIEL AMERICO</t>
  </si>
  <si>
    <t>MAMANI HERRERA</t>
  </si>
  <si>
    <t>JHEYMAR ALEX</t>
  </si>
  <si>
    <t>MAMANI HUANCA</t>
  </si>
  <si>
    <t>HUASCAR</t>
  </si>
  <si>
    <t>MAMANI INCA</t>
  </si>
  <si>
    <t>MAYNETH JULIETA</t>
  </si>
  <si>
    <t>MAMANI INFANTE</t>
  </si>
  <si>
    <t>BASILIA PAOLA</t>
  </si>
  <si>
    <t>MAMANI LAURA</t>
  </si>
  <si>
    <t>CARLOS ESTIVEN</t>
  </si>
  <si>
    <t>MAMANI LLANQUI</t>
  </si>
  <si>
    <t>MAMANI LOPEZ</t>
  </si>
  <si>
    <t>LEYDI</t>
  </si>
  <si>
    <t>MAMANI MACHACA</t>
  </si>
  <si>
    <t>ROSARIO KARINA</t>
  </si>
  <si>
    <t>MAMANI MAMANI</t>
  </si>
  <si>
    <t>NATALY</t>
  </si>
  <si>
    <t>MAMANI MONTAÑO</t>
  </si>
  <si>
    <t>MAYRA NICOLE</t>
  </si>
  <si>
    <t>MAMANI MORALES</t>
  </si>
  <si>
    <t>JHONNY HENRY</t>
  </si>
  <si>
    <t>MAMANI OVANDO</t>
  </si>
  <si>
    <t>MAMANI PATZI</t>
  </si>
  <si>
    <t>MARIA ELISA</t>
  </si>
  <si>
    <t>MAMANI PINAYA</t>
  </si>
  <si>
    <t>MAMANI QUIRUCHI</t>
  </si>
  <si>
    <t>LUIS ADAN</t>
  </si>
  <si>
    <t>MAMANI QUISPE</t>
  </si>
  <si>
    <t>JESSICA HELEN</t>
  </si>
  <si>
    <t>SHARON</t>
  </si>
  <si>
    <t>MAMANI RAMOS</t>
  </si>
  <si>
    <t>IVONNE</t>
  </si>
  <si>
    <t>MAMANI RIVERO</t>
  </si>
  <si>
    <t>MAMANI ROCHA</t>
  </si>
  <si>
    <t>MAMANI ROSADO</t>
  </si>
  <si>
    <t>NEYDA JACQUELINE</t>
  </si>
  <si>
    <t>MAMANI SANCHEZ</t>
  </si>
  <si>
    <t>ELMER MICHAEL</t>
  </si>
  <si>
    <t>MAMANI SOLARES</t>
  </si>
  <si>
    <t>MAMANI VALLEJOS</t>
  </si>
  <si>
    <t>MAMANI VARGAS</t>
  </si>
  <si>
    <t>LIDIA</t>
  </si>
  <si>
    <t>MAMANI VILLANUEVA</t>
  </si>
  <si>
    <t>MANCILLA COCA</t>
  </si>
  <si>
    <t>ANALIZ</t>
  </si>
  <si>
    <t>MANCILLA QUISPE</t>
  </si>
  <si>
    <t>JONATTAN</t>
  </si>
  <si>
    <t>MANCILLA VEGA</t>
  </si>
  <si>
    <t>CLAUDIA ANDREA</t>
  </si>
  <si>
    <t>MANZANEDA MONRROY</t>
  </si>
  <si>
    <t>MARCA CALLE</t>
  </si>
  <si>
    <t>MARCA CORANI</t>
  </si>
  <si>
    <t>MARIA</t>
  </si>
  <si>
    <t>MARCA MAMANI</t>
  </si>
  <si>
    <t>FRANS REYNALDO</t>
  </si>
  <si>
    <t>MARCA MENECES</t>
  </si>
  <si>
    <t>JHONY ANTONIO</t>
  </si>
  <si>
    <t>MARCA VILLCA</t>
  </si>
  <si>
    <t>MARCANI CONDORI</t>
  </si>
  <si>
    <t>LOURDES</t>
  </si>
  <si>
    <t>MARCONI ALCAZAR</t>
  </si>
  <si>
    <t>KENY ARIEL</t>
  </si>
  <si>
    <t>MARCOS AGUILAR</t>
  </si>
  <si>
    <t>JOSE JHASMANY</t>
  </si>
  <si>
    <t>MARCOS HUALLPA</t>
  </si>
  <si>
    <t>CESAR GUSTAVO</t>
  </si>
  <si>
    <t>MAREÑO LOREDO</t>
  </si>
  <si>
    <t>IVAN MARCO</t>
  </si>
  <si>
    <t>MARIACA GOMEZ</t>
  </si>
  <si>
    <t>MARINO VENTURA</t>
  </si>
  <si>
    <t>MARISCAL ALCOCER</t>
  </si>
  <si>
    <t>DARWIN</t>
  </si>
  <si>
    <t>MARISCAL APAZA</t>
  </si>
  <si>
    <t>CLAUDIA KAREN</t>
  </si>
  <si>
    <t>MARISCAL ROJAS</t>
  </si>
  <si>
    <t>MARQUEZ ARANIBAR</t>
  </si>
  <si>
    <t>KATERINE DIANA</t>
  </si>
  <si>
    <t>MARQUEZ MARCA</t>
  </si>
  <si>
    <t>KATERINE NICOLE</t>
  </si>
  <si>
    <t>MARQUEZ TORRICO</t>
  </si>
  <si>
    <t>LOURDES MARGARITA</t>
  </si>
  <si>
    <t>MARQUINA VILLARROEL</t>
  </si>
  <si>
    <t>JOSE RONALD</t>
  </si>
  <si>
    <t>MARTINEZ BOLIVAR</t>
  </si>
  <si>
    <t>MARCELO ANDREWS</t>
  </si>
  <si>
    <t>MARTINEZ CACERES</t>
  </si>
  <si>
    <t>IVER FRANKLIN</t>
  </si>
  <si>
    <t>MARTINEZ FALZO</t>
  </si>
  <si>
    <t>GLADIS</t>
  </si>
  <si>
    <t>MARTINEZ JANCO</t>
  </si>
  <si>
    <t>DAVID JHONATAN</t>
  </si>
  <si>
    <t>MARTINEZ MENDOZA</t>
  </si>
  <si>
    <t>DANIELA FERNANDA</t>
  </si>
  <si>
    <t>MARTINEZ MONTAÑO</t>
  </si>
  <si>
    <t>KELLY ALISON</t>
  </si>
  <si>
    <t>MARTINEZ TEJERINA</t>
  </si>
  <si>
    <t>BRENDA ENILSE</t>
  </si>
  <si>
    <t>MARTINEZ TOLEDO</t>
  </si>
  <si>
    <t>IRENE VICTORIA</t>
  </si>
  <si>
    <t>MATIAS AMBROCIO</t>
  </si>
  <si>
    <t>GUZMAN</t>
  </si>
  <si>
    <t>MATURANO FLORES</t>
  </si>
  <si>
    <t>JERSON JUSTINIANO</t>
  </si>
  <si>
    <t>MAYDANA VIDAL</t>
  </si>
  <si>
    <t>JEMIMA</t>
  </si>
  <si>
    <t>MAYORGA ORELLANA</t>
  </si>
  <si>
    <t>CAROLA GIOVANA</t>
  </si>
  <si>
    <t>MAYTA QUISPE</t>
  </si>
  <si>
    <t>MAYTA VELIZ</t>
  </si>
  <si>
    <t>MEDINA GARVIZU</t>
  </si>
  <si>
    <t>RODRIGO HILARION</t>
  </si>
  <si>
    <t>MEDINA ORELLANA</t>
  </si>
  <si>
    <t>ADALUZ AMARANTA</t>
  </si>
  <si>
    <t>MEDINA PAITI</t>
  </si>
  <si>
    <t>DEYSA JHENNY</t>
  </si>
  <si>
    <t>MEDRANO ARTEAGA</t>
  </si>
  <si>
    <t>BRENDA ARIANNA</t>
  </si>
  <si>
    <t>MEDRANO CALVI</t>
  </si>
  <si>
    <t>LITZI</t>
  </si>
  <si>
    <t>MEDRANO QUIROZ</t>
  </si>
  <si>
    <t>PERCY</t>
  </si>
  <si>
    <t>MEDRANO SOLIZ</t>
  </si>
  <si>
    <t>ALFREDO</t>
  </si>
  <si>
    <t>MEDRANO VERA</t>
  </si>
  <si>
    <t>CARLOS JOSUE</t>
  </si>
  <si>
    <t>MEDRANO VILLARROEL</t>
  </si>
  <si>
    <t>SEBASTIAN GONZALO</t>
  </si>
  <si>
    <t>MEJIA</t>
  </si>
  <si>
    <t>MEJIA CORDOVA</t>
  </si>
  <si>
    <t>KAREN GRACIELA</t>
  </si>
  <si>
    <t>MEJIA VALDIVIA</t>
  </si>
  <si>
    <t>LAURA ANDREA</t>
  </si>
  <si>
    <t>MEJIA VARGAS</t>
  </si>
  <si>
    <t>DAYAN PAMELA</t>
  </si>
  <si>
    <t>MEJIA VILLARROEL</t>
  </si>
  <si>
    <t>MELEAN HINOJOSA</t>
  </si>
  <si>
    <t>LIMBANIA</t>
  </si>
  <si>
    <t>MENACHO ARNEZ</t>
  </si>
  <si>
    <t>MENACHO SEQUEIROS</t>
  </si>
  <si>
    <t>MENDEZ ACOSTA</t>
  </si>
  <si>
    <t>MENDEZ ALCOCER</t>
  </si>
  <si>
    <t>ALISSON NIKOL</t>
  </si>
  <si>
    <t>MENDEZ BUTRON</t>
  </si>
  <si>
    <t>MENDEZ CONDORI</t>
  </si>
  <si>
    <t>MENDEZ LOZA</t>
  </si>
  <si>
    <t>MARIEL ANGELES</t>
  </si>
  <si>
    <t>MENDIETA IBARRA</t>
  </si>
  <si>
    <t>MENDO DURAN</t>
  </si>
  <si>
    <t>MENDOZA CABRERA</t>
  </si>
  <si>
    <t>MENDOZA ESCOBAR</t>
  </si>
  <si>
    <t>MARIA MERCEDES</t>
  </si>
  <si>
    <t>MENDOZA FERNANDEZ</t>
  </si>
  <si>
    <t>FRANKLIN</t>
  </si>
  <si>
    <t>MENDOZA LOZANO</t>
  </si>
  <si>
    <t>CINTHYA ELENA</t>
  </si>
  <si>
    <t>MENDOZA MAMANI</t>
  </si>
  <si>
    <t>MENDOZA VARGAS</t>
  </si>
  <si>
    <t>MENDOZA VELASQUEZ</t>
  </si>
  <si>
    <t>MENECES LAZARTE</t>
  </si>
  <si>
    <t>MENECES TERCEROS</t>
  </si>
  <si>
    <t>FERNANDO ARIEL</t>
  </si>
  <si>
    <t>MENESES CABALLERO</t>
  </si>
  <si>
    <t>MENESES CARDOZO</t>
  </si>
  <si>
    <t>JUAN DEMETRIO</t>
  </si>
  <si>
    <t>MENESES HERRERA</t>
  </si>
  <si>
    <t>NEISON DAIL</t>
  </si>
  <si>
    <t>MENESES LIMA</t>
  </si>
  <si>
    <t>ARACELY</t>
  </si>
  <si>
    <t>MENESES ORELLANA</t>
  </si>
  <si>
    <t>MENESES SEBALLOS</t>
  </si>
  <si>
    <t>MENESES VILLEGAS</t>
  </si>
  <si>
    <t>PAMELA BERTHA</t>
  </si>
  <si>
    <t>MERCADO ARIAS</t>
  </si>
  <si>
    <t>LIZBETH JUANA</t>
  </si>
  <si>
    <t>MERCADO CESPEDES</t>
  </si>
  <si>
    <t>CRISTHIAN BRYAN</t>
  </si>
  <si>
    <t>MERCADO CHAVEZ</t>
  </si>
  <si>
    <t>HUASCAR OBED</t>
  </si>
  <si>
    <t>MERCADO GUZMAN</t>
  </si>
  <si>
    <t>MARIO LUIS</t>
  </si>
  <si>
    <t>MERCADO LEON</t>
  </si>
  <si>
    <t>MAURICIO ELVIS</t>
  </si>
  <si>
    <t>MERCADO VALDIVIA</t>
  </si>
  <si>
    <t>BRADLEE MICHAEL</t>
  </si>
  <si>
    <t>MERCADO YAVI</t>
  </si>
  <si>
    <t>MERCADO ZURITA</t>
  </si>
  <si>
    <t>MERIDA BEJAR</t>
  </si>
  <si>
    <t>MHUR BERNAL</t>
  </si>
  <si>
    <t>MICHEL BELLOTT</t>
  </si>
  <si>
    <t>JESSIE</t>
  </si>
  <si>
    <t>MICHEL DIAZ</t>
  </si>
  <si>
    <t>MICHEL QUIROZ</t>
  </si>
  <si>
    <t>MICHEL SOLAMAYO</t>
  </si>
  <si>
    <t>KARLA ESTEFANY</t>
  </si>
  <si>
    <t>MICO DELGADO</t>
  </si>
  <si>
    <t>MINA ROJAS</t>
  </si>
  <si>
    <t>MIRANDA</t>
  </si>
  <si>
    <t>MIRANDA BASCOPE</t>
  </si>
  <si>
    <t>JOSIAS SAUL</t>
  </si>
  <si>
    <t>MIRANDA BAZÁN</t>
  </si>
  <si>
    <t>AMPARO GUADALUPE</t>
  </si>
  <si>
    <t>MIRANDA GALINDO</t>
  </si>
  <si>
    <t>MELODY</t>
  </si>
  <si>
    <t>MIRANDA GUTIERREZ</t>
  </si>
  <si>
    <t>INTI EDWIN</t>
  </si>
  <si>
    <t>MIRANDA INTURIAS</t>
  </si>
  <si>
    <t>MIRANDA LEON</t>
  </si>
  <si>
    <t>JHONNY YELSON</t>
  </si>
  <si>
    <t>MIRANDA MAMANI</t>
  </si>
  <si>
    <t>HORACIO</t>
  </si>
  <si>
    <t>MIRANDA PEREZ</t>
  </si>
  <si>
    <t>BRYAN</t>
  </si>
  <si>
    <t>MIRANDA PINTO</t>
  </si>
  <si>
    <t>MIRANDA SALGUERO</t>
  </si>
  <si>
    <t>MITA AMPUERO</t>
  </si>
  <si>
    <t>XIMENA GENESIS</t>
  </si>
  <si>
    <t>MITMA QUISPE</t>
  </si>
  <si>
    <t>NORBERTO ALONSO</t>
  </si>
  <si>
    <t>MODRAGON MEJIA</t>
  </si>
  <si>
    <t>NAIDA</t>
  </si>
  <si>
    <t>MOGRO BARRIOS</t>
  </si>
  <si>
    <t>SANDRA</t>
  </si>
  <si>
    <t>MOLINA NUÑEZ</t>
  </si>
  <si>
    <t>WALTER</t>
  </si>
  <si>
    <t>MOLINA QUISPE</t>
  </si>
  <si>
    <t>GIOVANNI EDSON</t>
  </si>
  <si>
    <t>MOLINA SEJAS</t>
  </si>
  <si>
    <t>MOLINA TORRICO</t>
  </si>
  <si>
    <t>WILLIAMS IRVIN</t>
  </si>
  <si>
    <t>MOLLE VIDAL</t>
  </si>
  <si>
    <t>CLARA BELEN</t>
  </si>
  <si>
    <t>MOLLO CALLE</t>
  </si>
  <si>
    <t>MELIZA</t>
  </si>
  <si>
    <t>MOLLO DELGADO</t>
  </si>
  <si>
    <t>FLORENTINO</t>
  </si>
  <si>
    <t>MOLLO FLORES</t>
  </si>
  <si>
    <t>MARIBEL MAURA</t>
  </si>
  <si>
    <t>MOLLO JAMACHI</t>
  </si>
  <si>
    <t>MOLLO ROJAS</t>
  </si>
  <si>
    <t>ROSSY JADITH</t>
  </si>
  <si>
    <t>MONTALVO ESCOBAR</t>
  </si>
  <si>
    <t>BENSLY ABRIL</t>
  </si>
  <si>
    <t>MONTALVO ROJAS</t>
  </si>
  <si>
    <t>MONTANO AIMA</t>
  </si>
  <si>
    <t>RAMIRO IVAN</t>
  </si>
  <si>
    <t>MONTAÑO CHIRINOS</t>
  </si>
  <si>
    <t>MARIANA ANDREA</t>
  </si>
  <si>
    <t>MONTAÑO FRIAS</t>
  </si>
  <si>
    <t>MONTAÑO GARCIA</t>
  </si>
  <si>
    <t>WARA ILUMINADA</t>
  </si>
  <si>
    <t>MONTAÑO IVAÑEZ</t>
  </si>
  <si>
    <t>LUCAS NOEL</t>
  </si>
  <si>
    <t>MONTAÑO LOPEZ</t>
  </si>
  <si>
    <t>DENILSON ALEJANDRO</t>
  </si>
  <si>
    <t>MONTAÑO MALDONADO</t>
  </si>
  <si>
    <t>AMELIA</t>
  </si>
  <si>
    <t>MONTAÑO MAMANI</t>
  </si>
  <si>
    <t>MONTAÑO MASIAS</t>
  </si>
  <si>
    <t>MONTAÑO MENDOZA</t>
  </si>
  <si>
    <t>DAYANA LEYDI</t>
  </si>
  <si>
    <t>MONTAÑO PRADO</t>
  </si>
  <si>
    <t>MAYRA YAMILE</t>
  </si>
  <si>
    <t>MONTAÑO ROCHA</t>
  </si>
  <si>
    <t>MELISSA</t>
  </si>
  <si>
    <t>MONTAÑO TORRICO</t>
  </si>
  <si>
    <t>CHRISTIAN</t>
  </si>
  <si>
    <t>MONTAÑO URIONA</t>
  </si>
  <si>
    <t>MONTAÑO VALLEJO</t>
  </si>
  <si>
    <t>DARINKA FABIOLA</t>
  </si>
  <si>
    <t>MONTAÑO VILLARROEL</t>
  </si>
  <si>
    <t>MONTAÑO YUCRA</t>
  </si>
  <si>
    <t>MONTE JARRO</t>
  </si>
  <si>
    <t>MONTECINOS APODACA</t>
  </si>
  <si>
    <t>JHON SANTIAGO</t>
  </si>
  <si>
    <t>MONTECINOS ARROYO</t>
  </si>
  <si>
    <t>MONTECINOS CARDOSO</t>
  </si>
  <si>
    <t>AIDE MARISOL</t>
  </si>
  <si>
    <t>MONTECINOS JORDAN</t>
  </si>
  <si>
    <t>ADRIANA DAYANA</t>
  </si>
  <si>
    <t>MONTECINOS OBANDO</t>
  </si>
  <si>
    <t>MONTENEGRO AGUILAR</t>
  </si>
  <si>
    <t>SUSANA MONICA</t>
  </si>
  <si>
    <t>MONTENEGRO LARA</t>
  </si>
  <si>
    <t>RUDDY MARCELO</t>
  </si>
  <si>
    <t>MONTERO PALENQUE</t>
  </si>
  <si>
    <t>XAVIER</t>
  </si>
  <si>
    <t>MONTERO TORRICO</t>
  </si>
  <si>
    <t>ALDANA</t>
  </si>
  <si>
    <t>MONTES JIMENEZ</t>
  </si>
  <si>
    <t>MONTOYA VELASQUEZ</t>
  </si>
  <si>
    <t>ERIKA TATIANA</t>
  </si>
  <si>
    <t>MORA AGUIRRE</t>
  </si>
  <si>
    <t>ANDY KEVIN</t>
  </si>
  <si>
    <t>MORALES ALVIS</t>
  </si>
  <si>
    <t>BEATRIZ ROSEMARY</t>
  </si>
  <si>
    <t>MORALES ANDRADE</t>
  </si>
  <si>
    <t>NELCY GRASIELA</t>
  </si>
  <si>
    <t>MORALES CADIZ</t>
  </si>
  <si>
    <t>ALDAHIR REYNALDO</t>
  </si>
  <si>
    <t>MORALES CAMACHO</t>
  </si>
  <si>
    <t>GABRIEL ALEJANDRO</t>
  </si>
  <si>
    <t>MORALES COLQUE</t>
  </si>
  <si>
    <t>MORALES CRESPO</t>
  </si>
  <si>
    <t>ABIGAIL MADYSON</t>
  </si>
  <si>
    <t>MORALES JIMENEZ</t>
  </si>
  <si>
    <t>MORALES MONTALVO</t>
  </si>
  <si>
    <t>GELEN</t>
  </si>
  <si>
    <t>MORALES PANIAGUA</t>
  </si>
  <si>
    <t>SERGIO LEWIS</t>
  </si>
  <si>
    <t>MORALES POZO</t>
  </si>
  <si>
    <t>MORALES QUEZADA</t>
  </si>
  <si>
    <t>ALEJANDRA GISELLE</t>
  </si>
  <si>
    <t>MORALES SILES</t>
  </si>
  <si>
    <t>KENNETH ERICKS</t>
  </si>
  <si>
    <t>MORALES TRONCOSO</t>
  </si>
  <si>
    <t>ANGELA NINOSKA</t>
  </si>
  <si>
    <t>MORALES VELASCO</t>
  </si>
  <si>
    <t>DANIELA ZENAIDA</t>
  </si>
  <si>
    <t>MORALES ZEBALLOS</t>
  </si>
  <si>
    <t>FERNANDA</t>
  </si>
  <si>
    <t>MORALES ZULETA</t>
  </si>
  <si>
    <t>EDSON GUSTAVO</t>
  </si>
  <si>
    <t>MORATÓ SORUCO</t>
  </si>
  <si>
    <t>JORGE ALEJANDO</t>
  </si>
  <si>
    <t>MOREIRA BERBETY</t>
  </si>
  <si>
    <t>CATRIEL</t>
  </si>
  <si>
    <t>MORGANA RODRIGUEZ</t>
  </si>
  <si>
    <t>MARGARITA BELEN</t>
  </si>
  <si>
    <t>MORON FUENTES</t>
  </si>
  <si>
    <t>LINETH DANITZA</t>
  </si>
  <si>
    <t>MORUNO CANELAS</t>
  </si>
  <si>
    <t>NATALY SHALON</t>
  </si>
  <si>
    <t>MOSCOSO FERNANDEZ</t>
  </si>
  <si>
    <t>ALBA NAYELY</t>
  </si>
  <si>
    <t>MOSCOSO SANZETENEA</t>
  </si>
  <si>
    <t>DIEGO RODOLFO</t>
  </si>
  <si>
    <t>MOSQUERA COLQUE</t>
  </si>
  <si>
    <t>ROSALIA ANDREA</t>
  </si>
  <si>
    <t>MOSUA ARANIBAR</t>
  </si>
  <si>
    <t>MOYA CACERES</t>
  </si>
  <si>
    <t>DENNIS ROGER</t>
  </si>
  <si>
    <t>MOYA CARTAGENA</t>
  </si>
  <si>
    <t>MOYA GOMEZ</t>
  </si>
  <si>
    <t>CAMILA AYDA</t>
  </si>
  <si>
    <t>MUGUERTEGUI ALDANA</t>
  </si>
  <si>
    <t>WILSON DAVID</t>
  </si>
  <si>
    <t>MUJICA RAMOS</t>
  </si>
  <si>
    <t>RODRIGO MIGUEL</t>
  </si>
  <si>
    <t>MUNDACA LUJAN</t>
  </si>
  <si>
    <t>ELIZABETH ZULEMA</t>
  </si>
  <si>
    <t>MUNDOCORRE MAMANI</t>
  </si>
  <si>
    <t>JEANETH</t>
  </si>
  <si>
    <t>MUNI CHALLCO</t>
  </si>
  <si>
    <t>MARIA BELEN</t>
  </si>
  <si>
    <t>MURGUIA ARAMAYO</t>
  </si>
  <si>
    <t>ISABELLA</t>
  </si>
  <si>
    <t>MURIEL ABASTO</t>
  </si>
  <si>
    <t>JOSE MARCELO</t>
  </si>
  <si>
    <t>MURIEL CALATAYUD</t>
  </si>
  <si>
    <t>RUDY WALTER</t>
  </si>
  <si>
    <t>MURIEL LAZO</t>
  </si>
  <si>
    <t>KATYA</t>
  </si>
  <si>
    <t>MURIEL RODRIGUEZ</t>
  </si>
  <si>
    <t>MURIEL SAGARDIA</t>
  </si>
  <si>
    <t>ALEJANDRA PAOLA</t>
  </si>
  <si>
    <t>MURIEL TERRAZAS</t>
  </si>
  <si>
    <t>MURILLO BOLAÑOS</t>
  </si>
  <si>
    <t>ANDRE JACOB</t>
  </si>
  <si>
    <t>MURILLO RIOS</t>
  </si>
  <si>
    <t>BOLIVIA</t>
  </si>
  <si>
    <t>MURILLO VARGAS</t>
  </si>
  <si>
    <t>MURUCHI ROMERO</t>
  </si>
  <si>
    <t>MUÑOZ OROSCO</t>
  </si>
  <si>
    <t>MUÑOZ RAMIREZ</t>
  </si>
  <si>
    <t>MARIA FABIOLA</t>
  </si>
  <si>
    <t>NARVAEZ CORPA</t>
  </si>
  <si>
    <t>KAREN</t>
  </si>
  <si>
    <t>NAVA VELIZ</t>
  </si>
  <si>
    <t>NAVIA BARRIOS</t>
  </si>
  <si>
    <t>MIRZA FATIMA</t>
  </si>
  <si>
    <t>WALKIRIA YULI</t>
  </si>
  <si>
    <t>NAVIA MAMANI</t>
  </si>
  <si>
    <t>MARIZOL</t>
  </si>
  <si>
    <t>NAVIA ROJAS</t>
  </si>
  <si>
    <t>FRANZ NEIL</t>
  </si>
  <si>
    <t>NAVIA TASTACA</t>
  </si>
  <si>
    <t>NAVIA ULLOA</t>
  </si>
  <si>
    <t>ANGELA MARIAN</t>
  </si>
  <si>
    <t>NAVILLO AZPITE</t>
  </si>
  <si>
    <t>NINA CONDORI</t>
  </si>
  <si>
    <t>NINA GOMEZ</t>
  </si>
  <si>
    <t>CECILIA GABRIELA</t>
  </si>
  <si>
    <t>NINA HUANCA</t>
  </si>
  <si>
    <t>CRISTIAN GUALBERTO</t>
  </si>
  <si>
    <t>NINA LUCANA</t>
  </si>
  <si>
    <t>MIRIAM CESIA</t>
  </si>
  <si>
    <t>NINA MEDINA</t>
  </si>
  <si>
    <t>ALVARO BENJAMIN</t>
  </si>
  <si>
    <t>NINA OLMOS</t>
  </si>
  <si>
    <t>ANABEL ROSARIO</t>
  </si>
  <si>
    <t>NINA RIOS</t>
  </si>
  <si>
    <t>ALICE YOMANE</t>
  </si>
  <si>
    <t>NINA SARMIENTO</t>
  </si>
  <si>
    <t>DARWIN PABLO</t>
  </si>
  <si>
    <t>NINA SILES</t>
  </si>
  <si>
    <t>NINAVIA TUNARI</t>
  </si>
  <si>
    <t>YAZMIN MELISSA</t>
  </si>
  <si>
    <t>NOGALES CADIMA</t>
  </si>
  <si>
    <t>KAREN JOANA</t>
  </si>
  <si>
    <t>NOGALES CASTELLON</t>
  </si>
  <si>
    <t>NOGALES CASTELLÓN</t>
  </si>
  <si>
    <t>FÁTIMA</t>
  </si>
  <si>
    <t>NOGALES COCA</t>
  </si>
  <si>
    <t>LEONEL FABIO</t>
  </si>
  <si>
    <t>NOGALES HERMOSO</t>
  </si>
  <si>
    <t>YESMI</t>
  </si>
  <si>
    <t>NOGALES HINOJOSA</t>
  </si>
  <si>
    <t>JHON KEVIN</t>
  </si>
  <si>
    <t>NUÑEZ SILVA</t>
  </si>
  <si>
    <t>JUBAL EMANUEL</t>
  </si>
  <si>
    <t>OCAMPO ANGULO</t>
  </si>
  <si>
    <t>NAYELI ELENA</t>
  </si>
  <si>
    <t>OCHOA</t>
  </si>
  <si>
    <t>JULIETA</t>
  </si>
  <si>
    <t>OCHOA CLAVIJO</t>
  </si>
  <si>
    <t>ZAIDA</t>
  </si>
  <si>
    <t>OCHOA SEJAS</t>
  </si>
  <si>
    <t>OJEDA HERRERA</t>
  </si>
  <si>
    <t>JOSUE JONATHAN</t>
  </si>
  <si>
    <t>OJOPI CADIMA</t>
  </si>
  <si>
    <t>PAUL</t>
  </si>
  <si>
    <t>OLAGUIVEL HERRERA</t>
  </si>
  <si>
    <t>FAVIO KEVIN</t>
  </si>
  <si>
    <t>OLIVERA AVILA</t>
  </si>
  <si>
    <t>OLIVERA FERNANDEZ</t>
  </si>
  <si>
    <t>ANDRES EDUARDO</t>
  </si>
  <si>
    <t>OLIVERA GARCIA</t>
  </si>
  <si>
    <t>OLIVERA GONZALES</t>
  </si>
  <si>
    <t>OLIVERA HIDALGO</t>
  </si>
  <si>
    <t>ALEIDA</t>
  </si>
  <si>
    <t>OLIVERA QUIROGA</t>
  </si>
  <si>
    <t>OLIVERA VALVERDE</t>
  </si>
  <si>
    <t>YAMIL ALEXANDER</t>
  </si>
  <si>
    <t>OLMOS</t>
  </si>
  <si>
    <t>OLMOS CHOQUE</t>
  </si>
  <si>
    <t>GABRIELA ABIGAIL</t>
  </si>
  <si>
    <t>OLMOS MARQUEZ</t>
  </si>
  <si>
    <t>ULISES HUASCAR</t>
  </si>
  <si>
    <t>OLMOS PAHUASI</t>
  </si>
  <si>
    <t>OMONTE GONZALES</t>
  </si>
  <si>
    <t>LEANDRO EZEQUIEL</t>
  </si>
  <si>
    <t>OMONTE MORATO</t>
  </si>
  <si>
    <t>DANITZA</t>
  </si>
  <si>
    <t>ONOFRE LEDO</t>
  </si>
  <si>
    <t>CRECENCIA</t>
  </si>
  <si>
    <t>OPORTO LUJAN</t>
  </si>
  <si>
    <t>DAVID BENJAMIN</t>
  </si>
  <si>
    <t>DENNYS MICHEL</t>
  </si>
  <si>
    <t>ORDOÑEZ BUEZO</t>
  </si>
  <si>
    <t>PAOLA DANIELA</t>
  </si>
  <si>
    <t>ORDOÑEZ CORDOVA</t>
  </si>
  <si>
    <t>ORDOÑEZ GONZALES</t>
  </si>
  <si>
    <t>KELLY JHOANA</t>
  </si>
  <si>
    <t>ORDOÑEZ MARISCAL</t>
  </si>
  <si>
    <t>ORDOÑEZ PANIAGUA</t>
  </si>
  <si>
    <t>ORDOÑEZ QUILO</t>
  </si>
  <si>
    <t>DANIEL JULIAN</t>
  </si>
  <si>
    <t>ORDOÑEZ TERRAZAS</t>
  </si>
  <si>
    <t>ORELLANA ALMENDRAS</t>
  </si>
  <si>
    <t>LUIS BRAYAN</t>
  </si>
  <si>
    <t>ORELLANA ANTEZANA</t>
  </si>
  <si>
    <t>ORELLANA CACERES</t>
  </si>
  <si>
    <t>JIMENA MACIEL</t>
  </si>
  <si>
    <t>ORELLANA LUJAN</t>
  </si>
  <si>
    <t>LAURA MARLENE</t>
  </si>
  <si>
    <t>ORELLANA MERINO</t>
  </si>
  <si>
    <t>CLARA ISABEL</t>
  </si>
  <si>
    <t>ORELLANA MITMA</t>
  </si>
  <si>
    <t>HEDER ARON</t>
  </si>
  <si>
    <t>ORELLANA ORELLANA</t>
  </si>
  <si>
    <t>MIGUEL FERNANDO</t>
  </si>
  <si>
    <t>ORELLANA PARDO</t>
  </si>
  <si>
    <t>MARIAM ALEJANDRA</t>
  </si>
  <si>
    <t>ORELLANA POZO</t>
  </si>
  <si>
    <t>ORELLANA QUIÑONEZ</t>
  </si>
  <si>
    <t>ZOLEDAD</t>
  </si>
  <si>
    <t>ORELLANA RODRIGUEZ</t>
  </si>
  <si>
    <t>ORELLANA ROJAS</t>
  </si>
  <si>
    <t>ORELLANA SUAREZ</t>
  </si>
  <si>
    <t>ADRIANA NATALY</t>
  </si>
  <si>
    <t>ORELLANA VALDIVIA</t>
  </si>
  <si>
    <t>ORELLANA VASQUEZ</t>
  </si>
  <si>
    <t>OMAR</t>
  </si>
  <si>
    <t>ORELLANA VIA</t>
  </si>
  <si>
    <t>MELANI EVELIN</t>
  </si>
  <si>
    <t>ORELLANA VILLANUEVA</t>
  </si>
  <si>
    <t>ORIHUELA ROJAS</t>
  </si>
  <si>
    <t>ORMACHEA JORGE</t>
  </si>
  <si>
    <t>MADELIN ANAHEL</t>
  </si>
  <si>
    <t>OROPEZA MORALES</t>
  </si>
  <si>
    <t>KARLA LITZIE</t>
  </si>
  <si>
    <t>OROSCO CHACON</t>
  </si>
  <si>
    <t>MARIO BRAYAN</t>
  </si>
  <si>
    <t>OROSCO SOLARES</t>
  </si>
  <si>
    <t>JHENNY STEPHANIE</t>
  </si>
  <si>
    <t>OROZCO MENDEZ</t>
  </si>
  <si>
    <t>JOSUE IGNACIO</t>
  </si>
  <si>
    <t>OROZCO NOGALES</t>
  </si>
  <si>
    <t>JUAN PEDRO</t>
  </si>
  <si>
    <t>ORTEGA ARDAYA</t>
  </si>
  <si>
    <t>BIANCA</t>
  </si>
  <si>
    <t>ORTIZ CAZORLA</t>
  </si>
  <si>
    <t>PEDRO JESUS</t>
  </si>
  <si>
    <t>ORTIZ GOMEZ</t>
  </si>
  <si>
    <t>LUIS MAURICIO</t>
  </si>
  <si>
    <t>ORTUÑO</t>
  </si>
  <si>
    <t>ORTUÑO AGUIRRE</t>
  </si>
  <si>
    <t>ORTUÑO ARCE</t>
  </si>
  <si>
    <t>ORTUÑO CANAVIRI</t>
  </si>
  <si>
    <t>VALERIA KINMONYKE</t>
  </si>
  <si>
    <t>ORTUÑO ESPINOZA</t>
  </si>
  <si>
    <t>DEIBI</t>
  </si>
  <si>
    <t>ORTUÑO MEJIA</t>
  </si>
  <si>
    <t>FREDDY OLIVER</t>
  </si>
  <si>
    <t>ORTUÑO ORTUÑO</t>
  </si>
  <si>
    <t>PAULA NISA</t>
  </si>
  <si>
    <t>ORTUÑO PANOZO</t>
  </si>
  <si>
    <t>VALERY DARIANA</t>
  </si>
  <si>
    <t>ORTUÑO SEJAS</t>
  </si>
  <si>
    <t>AILTON</t>
  </si>
  <si>
    <t>OSSIO PACHECO</t>
  </si>
  <si>
    <t>OVANDO</t>
  </si>
  <si>
    <t>NICOLAS</t>
  </si>
  <si>
    <t>OVANDO ARIAS</t>
  </si>
  <si>
    <t>OVANDO CRESPO</t>
  </si>
  <si>
    <t>MISHELLE SHARETH</t>
  </si>
  <si>
    <t>SHARLETH</t>
  </si>
  <si>
    <t>OVANDO GUEVARA</t>
  </si>
  <si>
    <t>LAURA MADEYBA</t>
  </si>
  <si>
    <t>OVANDO OLMOS</t>
  </si>
  <si>
    <t>XIMENA BELEN</t>
  </si>
  <si>
    <t>OVARIO SALVATIERRA</t>
  </si>
  <si>
    <t>JHENNY CAROL</t>
  </si>
  <si>
    <t>OVIDIO AYALA</t>
  </si>
  <si>
    <t>HILBER</t>
  </si>
  <si>
    <t>OVIDIO COLQUE</t>
  </si>
  <si>
    <t>ALEJANDRA MISHEL</t>
  </si>
  <si>
    <t>OVIDIO ROJAS</t>
  </si>
  <si>
    <t>MARIA LAURA</t>
  </si>
  <si>
    <t>OVIEDO FERNANDEZ</t>
  </si>
  <si>
    <t>OYARDO MEJIA</t>
  </si>
  <si>
    <t>JESUS ALBERTO</t>
  </si>
  <si>
    <t>PABON ILLANES</t>
  </si>
  <si>
    <t>FAVIOLA ROXANA</t>
  </si>
  <si>
    <t>PABON TOLA</t>
  </si>
  <si>
    <t>PACA CHOQUE</t>
  </si>
  <si>
    <t>ISABEL</t>
  </si>
  <si>
    <t>PACA FRIAS</t>
  </si>
  <si>
    <t>LIA ABIGAIL</t>
  </si>
  <si>
    <t>PACARA OJEDA</t>
  </si>
  <si>
    <t>PACHECO CHOQUE</t>
  </si>
  <si>
    <t>CLAUDINA</t>
  </si>
  <si>
    <t>PACHECO CÁCERES</t>
  </si>
  <si>
    <t>PACHECO FLORES</t>
  </si>
  <si>
    <t>ALEXANDER FELIPE</t>
  </si>
  <si>
    <t>PACHECO PILLCO</t>
  </si>
  <si>
    <t>PACHECO SAHONERO</t>
  </si>
  <si>
    <t>JHOSELIN VIANCA</t>
  </si>
  <si>
    <t>PACHECO ZURITA</t>
  </si>
  <si>
    <t>PACO CONDORI</t>
  </si>
  <si>
    <t>MAGALY</t>
  </si>
  <si>
    <t>PACO MAMANI</t>
  </si>
  <si>
    <t>PACO MARCA</t>
  </si>
  <si>
    <t>PACO MASQUE</t>
  </si>
  <si>
    <t>VICTOR</t>
  </si>
  <si>
    <t>PACO OLGUIN</t>
  </si>
  <si>
    <t>SHIRLEY SANDRA</t>
  </si>
  <si>
    <t>PADILLA LUJAN</t>
  </si>
  <si>
    <t>EVELIN SUSANA</t>
  </si>
  <si>
    <t>PADILLA MAMANI</t>
  </si>
  <si>
    <t>PADILLA SANTIESTEBAN</t>
  </si>
  <si>
    <t>PADILLA ZERDA</t>
  </si>
  <si>
    <t>PAEZ ARANO</t>
  </si>
  <si>
    <t>ALEJANDRO RODRIGO</t>
  </si>
  <si>
    <t>PALACIOS CHOQUE</t>
  </si>
  <si>
    <t>PALACIOS RODRIGUEZ</t>
  </si>
  <si>
    <t>JACKELIN MILENKA</t>
  </si>
  <si>
    <t>PALAZUELOS VIDAL</t>
  </si>
  <si>
    <t>BRISA JHAMINA</t>
  </si>
  <si>
    <t>PANIAGUA CONDORI</t>
  </si>
  <si>
    <t>PANIAGUA DELGADILLO</t>
  </si>
  <si>
    <t>VLADIMIR ILICH</t>
  </si>
  <si>
    <t>PANIAGUA GUZMAN</t>
  </si>
  <si>
    <t>PABLO</t>
  </si>
  <si>
    <t>PANIAGUA HERRERA</t>
  </si>
  <si>
    <t>JUANA IRIS</t>
  </si>
  <si>
    <t>PANIAGUA RODRIGUEZ</t>
  </si>
  <si>
    <t>CELINA</t>
  </si>
  <si>
    <t>PANOSO LIZARAZU</t>
  </si>
  <si>
    <t>JHEYMI</t>
  </si>
  <si>
    <t>PANOZO ESPINOZA</t>
  </si>
  <si>
    <t>JOSE ANGEL</t>
  </si>
  <si>
    <t>PANOZO VARGAS</t>
  </si>
  <si>
    <t>PARAGUAYO NINA</t>
  </si>
  <si>
    <t>MIGUELIAN</t>
  </si>
  <si>
    <t>PARDO ANZALDO</t>
  </si>
  <si>
    <t>JOSE ANTONIO</t>
  </si>
  <si>
    <t>PARDO CLAROS</t>
  </si>
  <si>
    <t>PARDO MENA</t>
  </si>
  <si>
    <t>PARDO ORELLANA</t>
  </si>
  <si>
    <t>JOHANNA GERALDINE</t>
  </si>
  <si>
    <t>PARDO ROMERO</t>
  </si>
  <si>
    <t>EDSON FRANZ</t>
  </si>
  <si>
    <t>PARDO SALAZAR</t>
  </si>
  <si>
    <t>PARDO VELIZ</t>
  </si>
  <si>
    <t>PAREDES CORIA</t>
  </si>
  <si>
    <t>JHESICA JHEMIMA</t>
  </si>
  <si>
    <t>PAREDES ESPINOZA</t>
  </si>
  <si>
    <t>PAREDES HIDALGO</t>
  </si>
  <si>
    <t>CHRISTIAN OMAR</t>
  </si>
  <si>
    <t>PAREDES NUÑEZ</t>
  </si>
  <si>
    <t>YOLANDA</t>
  </si>
  <si>
    <t>PAREDES SAAVEDRA</t>
  </si>
  <si>
    <t>GUIDO EDSON</t>
  </si>
  <si>
    <t>PAREDES ZEGARRA</t>
  </si>
  <si>
    <t>KEVIN ARNOL</t>
  </si>
  <si>
    <t>PAREDEZ MAMANI</t>
  </si>
  <si>
    <t>PAREJA MEO</t>
  </si>
  <si>
    <t>LAURA ISABEL</t>
  </si>
  <si>
    <t>PAREJA ROJAS</t>
  </si>
  <si>
    <t>CAMILA ANDREA</t>
  </si>
  <si>
    <t>PARI HUACARA</t>
  </si>
  <si>
    <t>MAX</t>
  </si>
  <si>
    <t>PARRA CALLISAYA</t>
  </si>
  <si>
    <t>CARLOS JORDAN</t>
  </si>
  <si>
    <t>TAMARA PAOLA</t>
  </si>
  <si>
    <t>PARRA GUARACHI</t>
  </si>
  <si>
    <t>PARRA QUINTEROS</t>
  </si>
  <si>
    <t>PARRA VARGAS</t>
  </si>
  <si>
    <t>DANITZA ADRIANA</t>
  </si>
  <si>
    <t>PARRILLA SOTO</t>
  </si>
  <si>
    <t>ROBERTO CARLOS</t>
  </si>
  <si>
    <t>PATIÑO PUMA</t>
  </si>
  <si>
    <t>FRANZ</t>
  </si>
  <si>
    <t>PATIÑO VALLEJOS</t>
  </si>
  <si>
    <t>PATIÑO VILLARROEL</t>
  </si>
  <si>
    <t>JHOSELY</t>
  </si>
  <si>
    <t>PATZI MONTOYA</t>
  </si>
  <si>
    <t>DEYMAR ANDRES</t>
  </si>
  <si>
    <t>PAUCARA GUTIERREZ</t>
  </si>
  <si>
    <t>ERWIN BRAYAN</t>
  </si>
  <si>
    <t>PAXI LUNA</t>
  </si>
  <si>
    <t>VANESA DELIA</t>
  </si>
  <si>
    <t>PAZ CANO</t>
  </si>
  <si>
    <t>KATHIA LORENA</t>
  </si>
  <si>
    <t>PAZ PARIENTE</t>
  </si>
  <si>
    <t>JHOSELYN CHRISTELLE</t>
  </si>
  <si>
    <t>PAZ PONCE</t>
  </si>
  <si>
    <t>HAIN RUBEN</t>
  </si>
  <si>
    <t>PAZ SUAREZ</t>
  </si>
  <si>
    <t>PEDRAZA MONTERO</t>
  </si>
  <si>
    <t>PAULA ANDREA</t>
  </si>
  <si>
    <t>PEDRAZA VILLARROEL</t>
  </si>
  <si>
    <t>PEDRO ALEJANDRO</t>
  </si>
  <si>
    <t>PELAEZ CAMPOS</t>
  </si>
  <si>
    <t>PELAEZ FLORES</t>
  </si>
  <si>
    <t>PEREDO CABERO</t>
  </si>
  <si>
    <t>DANIELA LENNY</t>
  </si>
  <si>
    <t>PEREDO CABRERA</t>
  </si>
  <si>
    <t>DANA BELEN</t>
  </si>
  <si>
    <t>PEREDO CLAROS</t>
  </si>
  <si>
    <t>PEREDO DIAZ</t>
  </si>
  <si>
    <t>PEREDO DOMINGUEZ</t>
  </si>
  <si>
    <t>ELIANE</t>
  </si>
  <si>
    <t>PEREDO RAMALLO</t>
  </si>
  <si>
    <t>JACQUELINE VIVIANA</t>
  </si>
  <si>
    <t>PEREDO VARGAS</t>
  </si>
  <si>
    <t>CARLOS ROLANDO</t>
  </si>
  <si>
    <t>PEREIRA CATALAN</t>
  </si>
  <si>
    <t>IRENE</t>
  </si>
  <si>
    <t>PEREIRA DELGADILLO</t>
  </si>
  <si>
    <t>LAURA ALEJANDRA</t>
  </si>
  <si>
    <t>PEREIRA FIORILO</t>
  </si>
  <si>
    <t>GERSON CRISTHIAN</t>
  </si>
  <si>
    <t>PEREIRA SANCHEZ</t>
  </si>
  <si>
    <t>PABLO ADEMAR</t>
  </si>
  <si>
    <t>PEREYRA PEREZ</t>
  </si>
  <si>
    <t>GABRIELA NICOL</t>
  </si>
  <si>
    <t>PEREZ ALANES</t>
  </si>
  <si>
    <t>GIOBANA</t>
  </si>
  <si>
    <t>PEREZ CANO</t>
  </si>
  <si>
    <t>JOSE BRANIMIR</t>
  </si>
  <si>
    <t>PEREZ CARVAJAL</t>
  </si>
  <si>
    <t>PEREZ COCA</t>
  </si>
  <si>
    <t>ISAAC</t>
  </si>
  <si>
    <t>PEREZ DORADO</t>
  </si>
  <si>
    <t>PEREZ ESCALERA</t>
  </si>
  <si>
    <t>PEREZ FARES</t>
  </si>
  <si>
    <t>PEREZ FERNANDEZ</t>
  </si>
  <si>
    <t>PEREZ FLORES</t>
  </si>
  <si>
    <t>SHEILA DARLIN</t>
  </si>
  <si>
    <t>PEREZ FULGUERA</t>
  </si>
  <si>
    <t>PEREZ GUZMAN</t>
  </si>
  <si>
    <t>PEREZ JAIMES</t>
  </si>
  <si>
    <t>ESTEBAN GUILLERMO</t>
  </si>
  <si>
    <t>PEREZ LIZARAZU</t>
  </si>
  <si>
    <t>PEREZ MONTES</t>
  </si>
  <si>
    <t>LAURA RUBY</t>
  </si>
  <si>
    <t>PEREZ OJEDA</t>
  </si>
  <si>
    <t>ALVARO ERICK</t>
  </si>
  <si>
    <t>PEREZ ORELLANA</t>
  </si>
  <si>
    <t>ROCIO VIVIANA</t>
  </si>
  <si>
    <t>PEREZ ORTIZ</t>
  </si>
  <si>
    <t>PEREZ PIEROLA</t>
  </si>
  <si>
    <t>EDDY HUGO</t>
  </si>
  <si>
    <t>PEREZ RICALDES</t>
  </si>
  <si>
    <t>YESENIA LEYSA</t>
  </si>
  <si>
    <t>PEREZ RIGUERA</t>
  </si>
  <si>
    <t>LUIS ARMANDO</t>
  </si>
  <si>
    <t>PEREZ SILES</t>
  </si>
  <si>
    <t>PEREZ TORREZ</t>
  </si>
  <si>
    <t>MARIOLY RANDY</t>
  </si>
  <si>
    <t>PERLAS PERLAS</t>
  </si>
  <si>
    <t>JAMES TIMOTHY</t>
  </si>
  <si>
    <t>PEÑA AREBALO</t>
  </si>
  <si>
    <t>ANDREA MICHAEL</t>
  </si>
  <si>
    <t>PEÑA CARRILLO</t>
  </si>
  <si>
    <t>MARIA EMILIA</t>
  </si>
  <si>
    <t>PEÑA FUENTES</t>
  </si>
  <si>
    <t>BEIMAR</t>
  </si>
  <si>
    <t>PEÑA QUIROZ</t>
  </si>
  <si>
    <t>PEDRO LUIS</t>
  </si>
  <si>
    <t>PEÑA SEJAS</t>
  </si>
  <si>
    <t>PEÑA SOLIS</t>
  </si>
  <si>
    <t>MARIA LUCY</t>
  </si>
  <si>
    <t>PEÑA SOSSA</t>
  </si>
  <si>
    <t>PEÑALOZA HUARACHI</t>
  </si>
  <si>
    <t>JAEL CARMEN</t>
  </si>
  <si>
    <t>PEÑARANDA GONZALES</t>
  </si>
  <si>
    <t>PEÑARANDA SORIA</t>
  </si>
  <si>
    <t>YURI OSWALDO</t>
  </si>
  <si>
    <t>PEÑARRIETA ABASTO</t>
  </si>
  <si>
    <t>ZORAIDA</t>
  </si>
  <si>
    <t>PHURO BUSTAMANTE</t>
  </si>
  <si>
    <t>PIEDRA ZEBALLOS</t>
  </si>
  <si>
    <t>PINAYA ARAYA</t>
  </si>
  <si>
    <t>BRAYAN WALTER</t>
  </si>
  <si>
    <t>PINAYA JIMENES</t>
  </si>
  <si>
    <t>PINEDO CASTRO</t>
  </si>
  <si>
    <t>VALERY ARIANA</t>
  </si>
  <si>
    <t>PINTO CALDERON</t>
  </si>
  <si>
    <t>JESSICA ELIZABETH</t>
  </si>
  <si>
    <t>PINTO COLQUE</t>
  </si>
  <si>
    <t>ZULEMA</t>
  </si>
  <si>
    <t>PINTO ESCOBAR</t>
  </si>
  <si>
    <t>KATERINE</t>
  </si>
  <si>
    <t>PINTO FERNANDEZ</t>
  </si>
  <si>
    <t>MINEL</t>
  </si>
  <si>
    <t>PINTO LORA</t>
  </si>
  <si>
    <t>NAYHELY JHOANA</t>
  </si>
  <si>
    <t>PINTO POZO</t>
  </si>
  <si>
    <t>PINTO ROCHA</t>
  </si>
  <si>
    <t>PISCONTE ROSALES</t>
  </si>
  <si>
    <t>ROSA VALERIA</t>
  </si>
  <si>
    <t>PIZARRO ARISPE</t>
  </si>
  <si>
    <t>YANDIRA</t>
  </si>
  <si>
    <t>PIZO VIDAL</t>
  </si>
  <si>
    <t>PLATA LAIME</t>
  </si>
  <si>
    <t>LINNETH NAYELI</t>
  </si>
  <si>
    <t>PLAZA CABERO</t>
  </si>
  <si>
    <t>BRANDON ELIOT</t>
  </si>
  <si>
    <t>POCA ZARATE</t>
  </si>
  <si>
    <t>POCORI</t>
  </si>
  <si>
    <t>POKA YUJRA</t>
  </si>
  <si>
    <t>POMA FLORES</t>
  </si>
  <si>
    <t>MARY LILIAN</t>
  </si>
  <si>
    <t>POMA MARCA</t>
  </si>
  <si>
    <t>MARY TATIHANA</t>
  </si>
  <si>
    <t>POMA QUINTEROS</t>
  </si>
  <si>
    <t>POMA VALLEJOS</t>
  </si>
  <si>
    <t>PONCE CAMPERO</t>
  </si>
  <si>
    <t>DANA YACIL</t>
  </si>
  <si>
    <t>PONCE CHOQUE</t>
  </si>
  <si>
    <t>PONCE MELENDRES</t>
  </si>
  <si>
    <t>PONCE ROMERO</t>
  </si>
  <si>
    <t>KIMBERLY NATALY</t>
  </si>
  <si>
    <t>PONCE VASQUEZ</t>
  </si>
  <si>
    <t>PORCEL RAMIREZ</t>
  </si>
  <si>
    <t>FABIO ISRAEL</t>
  </si>
  <si>
    <t>PORCO APATA</t>
  </si>
  <si>
    <t>JOSE CLAUDIO</t>
  </si>
  <si>
    <t>PORRES LOPEZ</t>
  </si>
  <si>
    <t>PORRES MONTAÑO</t>
  </si>
  <si>
    <t>PORTILLO CALICHO</t>
  </si>
  <si>
    <t>GIOVANY RUBEN</t>
  </si>
  <si>
    <t>PORTILLO GARCIA</t>
  </si>
  <si>
    <t>SARAH</t>
  </si>
  <si>
    <t>PORTUGUEZ MOREIRA</t>
  </si>
  <si>
    <t>POZO INTURIAS</t>
  </si>
  <si>
    <t>POZO MELGARES</t>
  </si>
  <si>
    <t>POZO MENDOZA</t>
  </si>
  <si>
    <t>QUENALLATA RODRIGUEZ</t>
  </si>
  <si>
    <t>QUENTA RIVERO</t>
  </si>
  <si>
    <t>QUILLCA CESPEDES</t>
  </si>
  <si>
    <t>PAOLA NATALY</t>
  </si>
  <si>
    <t>QUINTANA BAUTISTA</t>
  </si>
  <si>
    <t>REINA</t>
  </si>
  <si>
    <t>QUINTANA MAMANI</t>
  </si>
  <si>
    <t>DOUGLAS COSME</t>
  </si>
  <si>
    <t>QUINTANA PATIÑO</t>
  </si>
  <si>
    <t>ERIKA MICHELLE</t>
  </si>
  <si>
    <t>QUINTANA PEREZ</t>
  </si>
  <si>
    <t>EDUARDO RICARDO</t>
  </si>
  <si>
    <t>QUINTEROS BOHORQUEZ</t>
  </si>
  <si>
    <t>QUINTEROS CLAROS</t>
  </si>
  <si>
    <t>MARIA ARACELY</t>
  </si>
  <si>
    <t>QUINTEROS MAITA</t>
  </si>
  <si>
    <t>MISHEL</t>
  </si>
  <si>
    <t>QUINTEROS MONTECINOS</t>
  </si>
  <si>
    <t>QUINTEROS RAMIREZ</t>
  </si>
  <si>
    <t>QUINTEROS RICALDEZ</t>
  </si>
  <si>
    <t>QUINTEROS RODRIGUEZ</t>
  </si>
  <si>
    <t>NICOLE CATHERINE</t>
  </si>
  <si>
    <t>QUINTEROS TERAN</t>
  </si>
  <si>
    <t>MADELIN DANITZA</t>
  </si>
  <si>
    <t>QUIROGA ALVAREZ</t>
  </si>
  <si>
    <t>QUIROGA ATAUCURI</t>
  </si>
  <si>
    <t>QUIROGA FERNANDEZ</t>
  </si>
  <si>
    <t>JOSE GABRIEL</t>
  </si>
  <si>
    <t>QUIROGA LINARES</t>
  </si>
  <si>
    <t>QUIROGA MILLAN</t>
  </si>
  <si>
    <t>BISMARCK</t>
  </si>
  <si>
    <t>QUIROGA SALINAS</t>
  </si>
  <si>
    <t>GUERY MARCELO</t>
  </si>
  <si>
    <t>QUIROZ</t>
  </si>
  <si>
    <t>RUTH CAROLINA</t>
  </si>
  <si>
    <t>QUIROZ BARRIOS</t>
  </si>
  <si>
    <t>ESTEFANY</t>
  </si>
  <si>
    <t>QUIROZ CABRERA</t>
  </si>
  <si>
    <t>QUIROZ HANO</t>
  </si>
  <si>
    <t>GARY CHRISTIAN</t>
  </si>
  <si>
    <t>QUIROZ MAIRANA</t>
  </si>
  <si>
    <t>RONIE RUBEN</t>
  </si>
  <si>
    <t>QUIROZ SOLIZ</t>
  </si>
  <si>
    <t>NICOLE ALEJANDRA</t>
  </si>
  <si>
    <t>QUIROZ VEIZAGA</t>
  </si>
  <si>
    <t>ENZO MATEO</t>
  </si>
  <si>
    <t>QUISBERT MONTALVO</t>
  </si>
  <si>
    <t>EDWIN RUDY</t>
  </si>
  <si>
    <t>QUISBERT REZA</t>
  </si>
  <si>
    <t>QUISBERT ROJAS</t>
  </si>
  <si>
    <t>QUISPE</t>
  </si>
  <si>
    <t>QUISPE ALANOCA</t>
  </si>
  <si>
    <t>NEYDA</t>
  </si>
  <si>
    <t>QUISPE CHAVEZ</t>
  </si>
  <si>
    <t>MADISSON ABIGAIL</t>
  </si>
  <si>
    <t>QUISPE COLQUE</t>
  </si>
  <si>
    <t>MAGALY LUCIA</t>
  </si>
  <si>
    <t>YESENIA ESPERANZA</t>
  </si>
  <si>
    <t>QUISPE CONDORI</t>
  </si>
  <si>
    <t>ISAIAS</t>
  </si>
  <si>
    <t>QUISPE COPANA</t>
  </si>
  <si>
    <t>HENRY ELMER</t>
  </si>
  <si>
    <t>QUISPE GALARZA</t>
  </si>
  <si>
    <t>QUISPE GUARACHI</t>
  </si>
  <si>
    <t>QUISPE GUZMAN</t>
  </si>
  <si>
    <t>QUISPE HURTADO</t>
  </si>
  <si>
    <t>ALISSON ABIGAIL</t>
  </si>
  <si>
    <t>QUISPE JIMENEZ</t>
  </si>
  <si>
    <t>LIBIO ARIEL</t>
  </si>
  <si>
    <t>QUISPE MAMANI</t>
  </si>
  <si>
    <t>ROYHER RODRIGO</t>
  </si>
  <si>
    <t>QUISPE MEJIA</t>
  </si>
  <si>
    <t>DEYSI INGRID</t>
  </si>
  <si>
    <t>QUISPE MENESES</t>
  </si>
  <si>
    <t>ELMER WILFORD</t>
  </si>
  <si>
    <t>QUISPE QUISPE</t>
  </si>
  <si>
    <t>AGUSTIN JAIME</t>
  </si>
  <si>
    <t>QUISPE RIOJA</t>
  </si>
  <si>
    <t>QUISPE RIOS</t>
  </si>
  <si>
    <t>KAREN SILVANA</t>
  </si>
  <si>
    <t>QUISPE ROCHA</t>
  </si>
  <si>
    <t>MICAELA ITATY</t>
  </si>
  <si>
    <t>QUISPE ROMANO</t>
  </si>
  <si>
    <t>QUISPE SAGARDIA</t>
  </si>
  <si>
    <t>VICTOR ENRIQUE</t>
  </si>
  <si>
    <t>QUISPE SALAZAR</t>
  </si>
  <si>
    <t>HAROL BRUCE</t>
  </si>
  <si>
    <t>QUISPE SOSSA</t>
  </si>
  <si>
    <t>JOEL JHONATAN</t>
  </si>
  <si>
    <t>QUISPE VELASCO</t>
  </si>
  <si>
    <t>JHUNIOR</t>
  </si>
  <si>
    <t>QUISPE VENTURA</t>
  </si>
  <si>
    <t>WALBERTO</t>
  </si>
  <si>
    <t>QUISPE YUJRA</t>
  </si>
  <si>
    <t>RENE CRISTIAN</t>
  </si>
  <si>
    <t>QUISPE ZURITA</t>
  </si>
  <si>
    <t>QUIÑONES CHAMBI</t>
  </si>
  <si>
    <t>QUIÑONES MEJIA</t>
  </si>
  <si>
    <t>ANGELA ROMINA</t>
  </si>
  <si>
    <t>QUIÑONES PEDRO</t>
  </si>
  <si>
    <t>RACHI GONZALES</t>
  </si>
  <si>
    <t>RADA CAVERO</t>
  </si>
  <si>
    <t>WARA NAHIR</t>
  </si>
  <si>
    <t>RAFAEL CUENTAS</t>
  </si>
  <si>
    <t>DANIEL RODRIGO</t>
  </si>
  <si>
    <t>RAMALLO ARZE</t>
  </si>
  <si>
    <t>RAMALLO HUANCA</t>
  </si>
  <si>
    <t>JAIME</t>
  </si>
  <si>
    <t>RAMIREZ ACAPA</t>
  </si>
  <si>
    <t>SAIDA CAROL</t>
  </si>
  <si>
    <t>RAMIREZ ARNEZ</t>
  </si>
  <si>
    <t>RAMIREZ ASPETI</t>
  </si>
  <si>
    <t>FATIMA</t>
  </si>
  <si>
    <t>RAMIREZ CALUSTRO</t>
  </si>
  <si>
    <t>TEDDY SERGIO</t>
  </si>
  <si>
    <t>RAMIREZ CONDORI</t>
  </si>
  <si>
    <t>YEXBER</t>
  </si>
  <si>
    <t>RAMIREZ FUENTES</t>
  </si>
  <si>
    <t>MARCIA FABIANA</t>
  </si>
  <si>
    <t>RAMIREZ GODOY</t>
  </si>
  <si>
    <t>RAMIREZ MOLLO</t>
  </si>
  <si>
    <t>RAMIREZ ROMAN</t>
  </si>
  <si>
    <t>RAMIREZ SORIA</t>
  </si>
  <si>
    <t>KEVIN NELSON</t>
  </si>
  <si>
    <t>RAMOS ANTEZANA</t>
  </si>
  <si>
    <t>LEYDI DAYANA</t>
  </si>
  <si>
    <t>RAMOS CORDOVA</t>
  </si>
  <si>
    <t>JAIRO CARLOS</t>
  </si>
  <si>
    <t>RAMOS FLORES</t>
  </si>
  <si>
    <t>RAMOS GUTIERREZ</t>
  </si>
  <si>
    <t>MOISES</t>
  </si>
  <si>
    <t>RAMOS HINOJOSA</t>
  </si>
  <si>
    <t>FRANZ SAUL</t>
  </si>
  <si>
    <t>RAMOS IGNACIO</t>
  </si>
  <si>
    <t>FABIOLA ALEJANDRA</t>
  </si>
  <si>
    <t>RAMOS LOPEZ</t>
  </si>
  <si>
    <t>RAMOS MALDONADO</t>
  </si>
  <si>
    <t>ERIKA NOELIA</t>
  </si>
  <si>
    <t>RAMOS MENDOZA</t>
  </si>
  <si>
    <t>RAMOS MONTAÑO</t>
  </si>
  <si>
    <t>NOHELIA VARINIA</t>
  </si>
  <si>
    <t>RAMOS PUMA</t>
  </si>
  <si>
    <t>AYDEE SOLEDAD</t>
  </si>
  <si>
    <t>RAMOS QUIROGA</t>
  </si>
  <si>
    <t>LILIAN</t>
  </si>
  <si>
    <t>RAMOS RICALDE</t>
  </si>
  <si>
    <t>LUCY LORENA</t>
  </si>
  <si>
    <t>RAMOS VALDEZ</t>
  </si>
  <si>
    <t>JHERSON SAMUEL</t>
  </si>
  <si>
    <t>RAMOS ZAMBRANA</t>
  </si>
  <si>
    <t>ALEX RAFAEL</t>
  </si>
  <si>
    <t>RAMÍREZ VILLCA</t>
  </si>
  <si>
    <t>RASGUIDO ROSALES</t>
  </si>
  <si>
    <t>JHASMIN JHANIRA</t>
  </si>
  <si>
    <t>RASGUIDO VILLARROEL</t>
  </si>
  <si>
    <t>RAYA SANCHEZ</t>
  </si>
  <si>
    <t>CARLOS DIEGO</t>
  </si>
  <si>
    <t>REAL QUILLA</t>
  </si>
  <si>
    <t>LUIS MIGUEL</t>
  </si>
  <si>
    <t>RELUZ QUIROZ</t>
  </si>
  <si>
    <t>ANAI</t>
  </si>
  <si>
    <t>RENDON SEJAS</t>
  </si>
  <si>
    <t>REQUE ROCHA</t>
  </si>
  <si>
    <t>REQUE RODRIGUEZ</t>
  </si>
  <si>
    <t>REQUIS CARBALLO</t>
  </si>
  <si>
    <t>HENRY GERMAN</t>
  </si>
  <si>
    <t>REVOLLO MITA</t>
  </si>
  <si>
    <t>REVOLLO MONZÓN</t>
  </si>
  <si>
    <t>CARLOS ANDRE</t>
  </si>
  <si>
    <t>REVOLLO RODRIGUEZ</t>
  </si>
  <si>
    <t>JAIRO DOUGLAS</t>
  </si>
  <si>
    <t>REVOLLO SUZAÑO</t>
  </si>
  <si>
    <t>REVOLLO VEIZAGA</t>
  </si>
  <si>
    <t>CINTHIA MONICA</t>
  </si>
  <si>
    <t>REVOLLO VICKER</t>
  </si>
  <si>
    <t>SHARON DANAE</t>
  </si>
  <si>
    <t>REY SEJAS</t>
  </si>
  <si>
    <t>REYES AVILA</t>
  </si>
  <si>
    <t>ALEXANDRA NICOLE</t>
  </si>
  <si>
    <t>REYES LAZO</t>
  </si>
  <si>
    <t>SERGIO ANDREE</t>
  </si>
  <si>
    <t>REYES TOLA</t>
  </si>
  <si>
    <t>LUISA ANDREA</t>
  </si>
  <si>
    <t>REYES TÓRREZ</t>
  </si>
  <si>
    <t>KEVIN JESSY</t>
  </si>
  <si>
    <t>RICALDES LEDEZMA</t>
  </si>
  <si>
    <t>WALDIR</t>
  </si>
  <si>
    <t>RICALDES ROJAS</t>
  </si>
  <si>
    <t>EVO</t>
  </si>
  <si>
    <t>RIOJA ALCOBA</t>
  </si>
  <si>
    <t>RIOJA LOPEZ</t>
  </si>
  <si>
    <t>RIOJA PANOZO</t>
  </si>
  <si>
    <t>SARAI BELEN</t>
  </si>
  <si>
    <t>RIOJA ROCHA</t>
  </si>
  <si>
    <t>RIOJA SEJAS</t>
  </si>
  <si>
    <t>ALISON CORE</t>
  </si>
  <si>
    <t>RIOS</t>
  </si>
  <si>
    <t>LESLY GABRIELA</t>
  </si>
  <si>
    <t>RIOS BEJARANO</t>
  </si>
  <si>
    <t>RIOS CLAURE</t>
  </si>
  <si>
    <t>PAMELA JENNY</t>
  </si>
  <si>
    <t>RIOS GAMBOA</t>
  </si>
  <si>
    <t>JHOSELIN AIDE</t>
  </si>
  <si>
    <t>RIOS LEDEZMA</t>
  </si>
  <si>
    <t>RIOS LEON</t>
  </si>
  <si>
    <t>ANGHELO JOAQUIN</t>
  </si>
  <si>
    <t>RIOS MAMANI</t>
  </si>
  <si>
    <t>RIOS MARCA</t>
  </si>
  <si>
    <t>RIOS ORTEGA</t>
  </si>
  <si>
    <t>LIONEL MIGUEL</t>
  </si>
  <si>
    <t>RIOS PARRA</t>
  </si>
  <si>
    <t>KEVIN GROVER</t>
  </si>
  <si>
    <t>RIOS VARGAS</t>
  </si>
  <si>
    <t>DIEGO MAURICIO</t>
  </si>
  <si>
    <t>RIVAS CALVI</t>
  </si>
  <si>
    <t>KAROL GENESIS</t>
  </si>
  <si>
    <t>RIVAS CHOQUE</t>
  </si>
  <si>
    <t>JHOSSELIN</t>
  </si>
  <si>
    <t>RIVAS ROJAS</t>
  </si>
  <si>
    <t>WILSON RICARDO</t>
  </si>
  <si>
    <t>RIVERA BAZOALTO</t>
  </si>
  <si>
    <t>CRISTHIAN DEYVIS</t>
  </si>
  <si>
    <t>RIVERA CAZAS</t>
  </si>
  <si>
    <t>MARIA DE LOS ANGELES</t>
  </si>
  <si>
    <t>RIVERA GRAGEDA</t>
  </si>
  <si>
    <t>DENIS RUBEN</t>
  </si>
  <si>
    <t>RIVERA MARCOS</t>
  </si>
  <si>
    <t>JERRY JAVIER</t>
  </si>
  <si>
    <t>RIVERA OROZCO</t>
  </si>
  <si>
    <t>RIVERA SALINAS</t>
  </si>
  <si>
    <t>JEANCARLA</t>
  </si>
  <si>
    <t>RIVERA TORDOYA</t>
  </si>
  <si>
    <t>RIVERA ZURITA</t>
  </si>
  <si>
    <t>NATALY KEYLA</t>
  </si>
  <si>
    <t>RIVERO LOGUERCIO</t>
  </si>
  <si>
    <t>CLARA</t>
  </si>
  <si>
    <t>RIVERO MOYA</t>
  </si>
  <si>
    <t>RIVERO SEMPERTEGUI</t>
  </si>
  <si>
    <t>ADRIANA ESTEFANIA</t>
  </si>
  <si>
    <t>ROA RAMIREZ</t>
  </si>
  <si>
    <t>MIGUEL ALEJANDRO</t>
  </si>
  <si>
    <t>ROBLES MONTAÑO</t>
  </si>
  <si>
    <t>ROMEL</t>
  </si>
  <si>
    <t>ROCABADO CHOQUE</t>
  </si>
  <si>
    <t>GHESMY RUTH</t>
  </si>
  <si>
    <t>ROCABADO LISARAZU</t>
  </si>
  <si>
    <t>DAYANA FATIMA</t>
  </si>
  <si>
    <t>ROCABADO LORA</t>
  </si>
  <si>
    <t>ROCABADO MANCILLA</t>
  </si>
  <si>
    <t>NAZARIA LORENA</t>
  </si>
  <si>
    <t>ROCABADO VIDAURRE</t>
  </si>
  <si>
    <t>ROSARIO JIMENA</t>
  </si>
  <si>
    <t>ROCHA</t>
  </si>
  <si>
    <t>ROCHA ALVAREZ</t>
  </si>
  <si>
    <t>ROCHA ARIAS</t>
  </si>
  <si>
    <t>HECTOR NELSON</t>
  </si>
  <si>
    <t>ROCHA BALDERRAMA</t>
  </si>
  <si>
    <t>EDIVANIA ADRIANA</t>
  </si>
  <si>
    <t>ROCHA BARRIENTOS</t>
  </si>
  <si>
    <t>ROCHA CAMACHO</t>
  </si>
  <si>
    <t>KAREN YUCELY</t>
  </si>
  <si>
    <t>PAOLA CRISTINA</t>
  </si>
  <si>
    <t>ROCHA CHUMACERO</t>
  </si>
  <si>
    <t>ROCHA FERNANDEZ</t>
  </si>
  <si>
    <t>ROCHA HUANCA</t>
  </si>
  <si>
    <t>ROCHA LLANOS</t>
  </si>
  <si>
    <t>SANDIBEL</t>
  </si>
  <si>
    <t>ROCHA NOGALES</t>
  </si>
  <si>
    <t>ROCHA OMONTE</t>
  </si>
  <si>
    <t>ROCHA PANOZO</t>
  </si>
  <si>
    <t>ROCHA PEREIRA</t>
  </si>
  <si>
    <t>ROCHA PEREZ</t>
  </si>
  <si>
    <t>ROCHA RODRÍGUEZ</t>
  </si>
  <si>
    <t>MARIEL LUCÍA</t>
  </si>
  <si>
    <t>ROCHA ROMAN</t>
  </si>
  <si>
    <t>ROCHA SAAVEDRA</t>
  </si>
  <si>
    <t>LINNETH ESTEFANI</t>
  </si>
  <si>
    <t>ROCHA SALAZAR</t>
  </si>
  <si>
    <t>TERESA</t>
  </si>
  <si>
    <t>ROCHA SOLIS</t>
  </si>
  <si>
    <t>NAYRA</t>
  </si>
  <si>
    <t>ROCHA SOLIZ</t>
  </si>
  <si>
    <t>DIEGO ALEXANDER</t>
  </si>
  <si>
    <t>ROCHA TAPIA</t>
  </si>
  <si>
    <t>CARLOS FABRIZIO</t>
  </si>
  <si>
    <t>ROCHA TEMPRANO</t>
  </si>
  <si>
    <t>NICOLE ANDREA</t>
  </si>
  <si>
    <t>ROCHA VILLARROEL</t>
  </si>
  <si>
    <t>GARY</t>
  </si>
  <si>
    <t>ROCHA ZAMBRANA</t>
  </si>
  <si>
    <t>MARIA ALINA</t>
  </si>
  <si>
    <t>RODRIGUEZ AGREDA</t>
  </si>
  <si>
    <t>ALEJANDRO JAVIER</t>
  </si>
  <si>
    <t>RODRIGUEZ AGUIRRE</t>
  </si>
  <si>
    <t>RODRIGUEZ ALVAREZ</t>
  </si>
  <si>
    <t>RODRIGUEZ ANTEZANA</t>
  </si>
  <si>
    <t>LAURA BELEN</t>
  </si>
  <si>
    <t>RODRIGUEZ ARGOTE</t>
  </si>
  <si>
    <t>RODRIGUEZ ARIAS</t>
  </si>
  <si>
    <t>ISRAEL RODRIGO</t>
  </si>
  <si>
    <t>JOSUE FERNANDO</t>
  </si>
  <si>
    <t>RODRIGUEZ BENAVIDES</t>
  </si>
  <si>
    <t>RODRIGUEZ BLACUTT</t>
  </si>
  <si>
    <t>RODRIGUEZ BLANCO</t>
  </si>
  <si>
    <t>GALYA LUZ</t>
  </si>
  <si>
    <t>RODRIGUEZ CASTRO</t>
  </si>
  <si>
    <t>JHOAN MARCELO</t>
  </si>
  <si>
    <t>RODRIGUEZ CESPEDES</t>
  </si>
  <si>
    <t>ALEJANDRA EVELYN</t>
  </si>
  <si>
    <t>RODRIGUEZ COCA</t>
  </si>
  <si>
    <t>RODRIGUEZ CONTRERAS</t>
  </si>
  <si>
    <t>RODRIGUEZ ESCOBAR</t>
  </si>
  <si>
    <t>RODRIGO MICHAEL</t>
  </si>
  <si>
    <t>RODRIGUEZ ESPINOZA</t>
  </si>
  <si>
    <t>RODRIGUEZ FERNANDEZ</t>
  </si>
  <si>
    <t>RODRIGUEZ FLORES</t>
  </si>
  <si>
    <t>JONATAN PABLO</t>
  </si>
  <si>
    <t>RODRIGUEZ GUTIERREZ</t>
  </si>
  <si>
    <t>SCARLETH MABEL</t>
  </si>
  <si>
    <t>RODRIGUEZ GUZMAN</t>
  </si>
  <si>
    <t>JHON KELVIN</t>
  </si>
  <si>
    <t>RODRIGUEZ MAITA</t>
  </si>
  <si>
    <t>RODRIGUEZ MAMANI</t>
  </si>
  <si>
    <t>RODRIGUEZ MENECES</t>
  </si>
  <si>
    <t>LUCILA</t>
  </si>
  <si>
    <t>RODRIGUEZ MERIDA</t>
  </si>
  <si>
    <t>RODRIGUEZ MONTAÑO</t>
  </si>
  <si>
    <t>SERGIO MARCELO</t>
  </si>
  <si>
    <t>RODRIGUEZ MONTERO</t>
  </si>
  <si>
    <t>RODRIGUEZ NICOLAS</t>
  </si>
  <si>
    <t>ALEX VLADIMIR</t>
  </si>
  <si>
    <t>RODRIGUEZ PARRA</t>
  </si>
  <si>
    <t>JAEL ROMANE</t>
  </si>
  <si>
    <t>RODRIGUEZ PEREZ</t>
  </si>
  <si>
    <t>JHOVANA ERIKA</t>
  </si>
  <si>
    <t>RODRIGUEZ QUIROGA</t>
  </si>
  <si>
    <t>RODRIGUEZ SALAS</t>
  </si>
  <si>
    <t>REMER</t>
  </si>
  <si>
    <t>RODRIGUEZ SALGUERO</t>
  </si>
  <si>
    <t>RODRIGUEZ VALLEJOS</t>
  </si>
  <si>
    <t>JHAN CAREN</t>
  </si>
  <si>
    <t>RODRIGUEZ VERA</t>
  </si>
  <si>
    <t>RODRIGUEZ ZAPATA</t>
  </si>
  <si>
    <t>ROJAS ACHACATA</t>
  </si>
  <si>
    <t>ROJAS ADUVIRI</t>
  </si>
  <si>
    <t>ROJAS ALCOCER</t>
  </si>
  <si>
    <t>MIGUEL MATEO</t>
  </si>
  <si>
    <t>ROJAS ALVAREZ</t>
  </si>
  <si>
    <t>ROJAS ANDRADE</t>
  </si>
  <si>
    <t>ENRIQUETA JAQUELIN</t>
  </si>
  <si>
    <t>ROJAS CAISIRI</t>
  </si>
  <si>
    <t>ROJAS CALLE</t>
  </si>
  <si>
    <t>JHOSELINE ADRIANA</t>
  </si>
  <si>
    <t>ROJAS CAMACHO</t>
  </si>
  <si>
    <t>LESLY EISSEN</t>
  </si>
  <si>
    <t>ROJAS CAMPERO</t>
  </si>
  <si>
    <t>MICAELA KEITHIN</t>
  </si>
  <si>
    <t>ROJAS CARDONA</t>
  </si>
  <si>
    <t>ROJAS CAYO</t>
  </si>
  <si>
    <t>MARIANA PAOLA</t>
  </si>
  <si>
    <t>ROJAS CHOQUE</t>
  </si>
  <si>
    <t>LUIS CARLOS</t>
  </si>
  <si>
    <t>ROJAS COCA</t>
  </si>
  <si>
    <t>IVANA CORAL</t>
  </si>
  <si>
    <t>ROJAS COILLO</t>
  </si>
  <si>
    <t>ROJAS CONDARCO</t>
  </si>
  <si>
    <t>MARCEL ANDREE</t>
  </si>
  <si>
    <t>ROJAS CONDORI</t>
  </si>
  <si>
    <t>DANIELA PATRICIA</t>
  </si>
  <si>
    <t>ROJAS CONTRERAS</t>
  </si>
  <si>
    <t>ROJAS ENCINAS</t>
  </si>
  <si>
    <t>ROJAS GARCIA</t>
  </si>
  <si>
    <t>KEVIN PEDRO</t>
  </si>
  <si>
    <t>ROJAS GONZA</t>
  </si>
  <si>
    <t>AXEL</t>
  </si>
  <si>
    <t>ROJAS HINOJOSA</t>
  </si>
  <si>
    <t>ALEJANDRO TITO</t>
  </si>
  <si>
    <t>ROJAS LEON</t>
  </si>
  <si>
    <t>ROJAS LOPEZ</t>
  </si>
  <si>
    <t>ROJAS MALDONADO</t>
  </si>
  <si>
    <t>CAMILA DENISSE</t>
  </si>
  <si>
    <t>ROJAS MAMANI</t>
  </si>
  <si>
    <t>NELVY ESTEFANNY</t>
  </si>
  <si>
    <t>ROJAS ORELLANA</t>
  </si>
  <si>
    <t>DAMIAN BRAYAN</t>
  </si>
  <si>
    <t>MADELIN</t>
  </si>
  <si>
    <t>ROJAS OROZCO</t>
  </si>
  <si>
    <t>STEPHANNY BELEN</t>
  </si>
  <si>
    <t>ROJAS REYNAGA</t>
  </si>
  <si>
    <t>ALISON</t>
  </si>
  <si>
    <t>ROJAS RIVERA</t>
  </si>
  <si>
    <t>BRIAN SERGIO</t>
  </si>
  <si>
    <t>LEONARDO ANDRES</t>
  </si>
  <si>
    <t>ROJAS RODRIGUEZ</t>
  </si>
  <si>
    <t>ANGELICA SONIA</t>
  </si>
  <si>
    <t>ROJAS SALAS</t>
  </si>
  <si>
    <t>ROJAS SALAZAR</t>
  </si>
  <si>
    <t>ROJAS SALDAÑA</t>
  </si>
  <si>
    <t>SULMA</t>
  </si>
  <si>
    <t>ROJAS SILES</t>
  </si>
  <si>
    <t>YATZARI NAOMI</t>
  </si>
  <si>
    <t>ROJAS TERRAZAS</t>
  </si>
  <si>
    <t>HAROLD AUSTIN</t>
  </si>
  <si>
    <t>ROJAS TORRICOS</t>
  </si>
  <si>
    <t>ROJAS VELIZ</t>
  </si>
  <si>
    <t>RICARDO MAURICIO</t>
  </si>
  <si>
    <t>ROJAS ZAMBRANA</t>
  </si>
  <si>
    <t>JHAQUELINE</t>
  </si>
  <si>
    <t>ROMAN CAMACHO</t>
  </si>
  <si>
    <t>JORGE CARLOS</t>
  </si>
  <si>
    <t>ROMAN ESCOBAR</t>
  </si>
  <si>
    <t>MARIA ANGELICA</t>
  </si>
  <si>
    <t>ROMAN LOPEZ</t>
  </si>
  <si>
    <t>ROMAN VERDUGUEZ</t>
  </si>
  <si>
    <t>ROMERO ALCOCER</t>
  </si>
  <si>
    <t>LEONARDO JUNIOR</t>
  </si>
  <si>
    <t>ROMERO ARANDA</t>
  </si>
  <si>
    <t>DIANA DE FATIMA</t>
  </si>
  <si>
    <t>ROMERO ARCE</t>
  </si>
  <si>
    <t>ROMERO CESPEDES</t>
  </si>
  <si>
    <t>CARLA LORENA</t>
  </si>
  <si>
    <t>ROMERO CHAVEZ</t>
  </si>
  <si>
    <t>JAIRO JANDIEL</t>
  </si>
  <si>
    <t>ROMERO COCA</t>
  </si>
  <si>
    <t>MIROSLAVA LINNETE</t>
  </si>
  <si>
    <t>ROMERO COCHI</t>
  </si>
  <si>
    <t>JHONNY WILSON</t>
  </si>
  <si>
    <t>ROMERO CORNEJO</t>
  </si>
  <si>
    <t>ROMERO GARCIA</t>
  </si>
  <si>
    <t>ROMERO REINA</t>
  </si>
  <si>
    <t>ARMINDA</t>
  </si>
  <si>
    <t>ROQUE PRIETO</t>
  </si>
  <si>
    <t>JULIO EDSON</t>
  </si>
  <si>
    <t>ROSA CATORCENO</t>
  </si>
  <si>
    <t>YESICA</t>
  </si>
  <si>
    <t>ROSALES LOPEZ</t>
  </si>
  <si>
    <t>DUSAN AMILCAR</t>
  </si>
  <si>
    <t>ROSALES MENDIETA</t>
  </si>
  <si>
    <t>ROSALES SOTO</t>
  </si>
  <si>
    <t>NELSON ROMMEL</t>
  </si>
  <si>
    <t>ROSALES TAPIA</t>
  </si>
  <si>
    <t>PABLO ANTONIO</t>
  </si>
  <si>
    <t>ROSALES URIONA</t>
  </si>
  <si>
    <t>ROLANDO RUDDY</t>
  </si>
  <si>
    <t>ROSAS CHAVEZ</t>
  </si>
  <si>
    <t>ROSAS FERNANDEZ</t>
  </si>
  <si>
    <t>NEYKO</t>
  </si>
  <si>
    <t>ROSAS ZAPATA</t>
  </si>
  <si>
    <t>JERSON DANIEL</t>
  </si>
  <si>
    <t>ROSSEL ROSALES</t>
  </si>
  <si>
    <t>ANDRES HUGO</t>
  </si>
  <si>
    <t>RUIZ CONDORI</t>
  </si>
  <si>
    <t>DIANA</t>
  </si>
  <si>
    <t>RUIZ MENDOZA</t>
  </si>
  <si>
    <t>RUIZ RIBA</t>
  </si>
  <si>
    <t>SAAVEDRA ESPINOZA</t>
  </si>
  <si>
    <t>BORIS KEVIN</t>
  </si>
  <si>
    <t>SAAVEDRA GARCIA</t>
  </si>
  <si>
    <t>YANDERLY</t>
  </si>
  <si>
    <t>SAAVEDRA INCA</t>
  </si>
  <si>
    <t>VANESA SOLEDAD</t>
  </si>
  <si>
    <t>SAAVEDRA IQUISE</t>
  </si>
  <si>
    <t>ELIAN RODRIGO</t>
  </si>
  <si>
    <t>SAAVEDRA MOLINA</t>
  </si>
  <si>
    <t>ABNER GABRIEL</t>
  </si>
  <si>
    <t>SAAVEDRA PADILLA</t>
  </si>
  <si>
    <t>SAAVEDRA VASQUEZ</t>
  </si>
  <si>
    <t>SAAVEDRA ZURITA</t>
  </si>
  <si>
    <t>SAENZ VIDAURRE</t>
  </si>
  <si>
    <t>CLAUDIA JIMENA</t>
  </si>
  <si>
    <t>SAHONERO LUIZAGA</t>
  </si>
  <si>
    <t>DARWIN HUASCAR</t>
  </si>
  <si>
    <t>SAHONERO RIOJA</t>
  </si>
  <si>
    <t>KAREN CELINA</t>
  </si>
  <si>
    <t>SAINZ LEONI</t>
  </si>
  <si>
    <t>SAJAMA CONDO</t>
  </si>
  <si>
    <t>SALAMANCA CARMONA</t>
  </si>
  <si>
    <t>SALAMANCA MORALES</t>
  </si>
  <si>
    <t>LUIS ELMER</t>
  </si>
  <si>
    <t>SALAZAR ALBARES</t>
  </si>
  <si>
    <t>MILTON</t>
  </si>
  <si>
    <t>SALAZAR ALCOCER</t>
  </si>
  <si>
    <t>SALAZAR ARAMAYO</t>
  </si>
  <si>
    <t>KARINA FABIOLA</t>
  </si>
  <si>
    <t>SALAZAR CALVI</t>
  </si>
  <si>
    <t>SALAZAR CHAMBI</t>
  </si>
  <si>
    <t>SALAZAR DURAN</t>
  </si>
  <si>
    <t>SALAZAR ESPIRITU</t>
  </si>
  <si>
    <t>JOHN ENDERSSON</t>
  </si>
  <si>
    <t>SALAZAR MAMANI</t>
  </si>
  <si>
    <t>BRISSA MIREYA</t>
  </si>
  <si>
    <t>SALAZAR RODRIGUEZ</t>
  </si>
  <si>
    <t>SALAZAR VARGAS</t>
  </si>
  <si>
    <t>SALAZAR VEIZAGA</t>
  </si>
  <si>
    <t>SALCEDO DELGADO</t>
  </si>
  <si>
    <t>MISHEL LAURA</t>
  </si>
  <si>
    <t>SALGUERO CASILLA</t>
  </si>
  <si>
    <t>SALGUERO ESPINOZA</t>
  </si>
  <si>
    <t>KEVIN HENRY</t>
  </si>
  <si>
    <t>SALINAS CLAROS</t>
  </si>
  <si>
    <t>SALINAS OSINAGA</t>
  </si>
  <si>
    <t>DARIL YAMIL</t>
  </si>
  <si>
    <t>SALVATIERRA GARCIA</t>
  </si>
  <si>
    <t>SANABRIA ARIAS</t>
  </si>
  <si>
    <t>ALAIN RUSSEL</t>
  </si>
  <si>
    <t>SANCA MAMANI</t>
  </si>
  <si>
    <t>BISMARK</t>
  </si>
  <si>
    <t>SANCHEZ ADUVIRI</t>
  </si>
  <si>
    <t>RODRIGO ANGEL</t>
  </si>
  <si>
    <t>SANCHEZ ARIAS</t>
  </si>
  <si>
    <t>SANCHEZ AVENDAÑO</t>
  </si>
  <si>
    <t>SANCHEZ CARITA</t>
  </si>
  <si>
    <t>SANCHEZ RAMIREZ</t>
  </si>
  <si>
    <t>SANCHEZ ROMERO</t>
  </si>
  <si>
    <t>LUZ NAYELI</t>
  </si>
  <si>
    <t>SANCHEZ ROSALES</t>
  </si>
  <si>
    <t>NOELIA ALEJANDRA</t>
  </si>
  <si>
    <t>SANCHEZ SALAZAR</t>
  </si>
  <si>
    <t>ADELAIDA KENIA</t>
  </si>
  <si>
    <t>SANCHEZ UREY</t>
  </si>
  <si>
    <t>ARIEL EMILIO</t>
  </si>
  <si>
    <t>SANCHEZ VARGAS</t>
  </si>
  <si>
    <t>KATHIA</t>
  </si>
  <si>
    <t>SANCHEZ VERGARA</t>
  </si>
  <si>
    <t>CHRISTIAN RODRIGO</t>
  </si>
  <si>
    <t>SANDIVAR VALENCIA</t>
  </si>
  <si>
    <t>SANDOVAL COLQUE</t>
  </si>
  <si>
    <t>PAOLA STEFANI</t>
  </si>
  <si>
    <t>SANDOVAL GUZMAN</t>
  </si>
  <si>
    <t>MIRIAM ESTEPHANY</t>
  </si>
  <si>
    <t>SANDOVAL HIDALGO</t>
  </si>
  <si>
    <t>SANDOVAL ROCHA</t>
  </si>
  <si>
    <t>CLAUDIA JESUS</t>
  </si>
  <si>
    <t>SANDOVAL ROJAS</t>
  </si>
  <si>
    <t>HEIDI</t>
  </si>
  <si>
    <t>SANDOVAL SAAVEDRA</t>
  </si>
  <si>
    <t>SANDOVAL SEBALLOS</t>
  </si>
  <si>
    <t>SANGA CHOQUE</t>
  </si>
  <si>
    <t>SANGREDI NIETO</t>
  </si>
  <si>
    <t>ALEX ALBERT</t>
  </si>
  <si>
    <t>SANJINES BALLADARES</t>
  </si>
  <si>
    <t>BERNARDA LORETTO</t>
  </si>
  <si>
    <t>SANTA CRUZ CHACON</t>
  </si>
  <si>
    <t>ANDRES JULIO</t>
  </si>
  <si>
    <t>SANTA MARIA ARIAS</t>
  </si>
  <si>
    <t>SANTOS DUFENTTI</t>
  </si>
  <si>
    <t>MISHELI</t>
  </si>
  <si>
    <t>SANTOS LAURA</t>
  </si>
  <si>
    <t>SARABIA CASILLA</t>
  </si>
  <si>
    <t>SARAVIA ORELLANA</t>
  </si>
  <si>
    <t>LEANDRO</t>
  </si>
  <si>
    <t>SARAVIA TORRICO</t>
  </si>
  <si>
    <t>SARMIENTO UGARTE</t>
  </si>
  <si>
    <t>SECKO AVILES</t>
  </si>
  <si>
    <t>JAQUELINE</t>
  </si>
  <si>
    <t>SECKO GUZMAN</t>
  </si>
  <si>
    <t>SEGOVIA MAGNANI</t>
  </si>
  <si>
    <t>ALEJANDRA ANAHI</t>
  </si>
  <si>
    <t>SEGURONDO RODRIGUEZ</t>
  </si>
  <si>
    <t>JOSE ARIEL</t>
  </si>
  <si>
    <t>SEJAS</t>
  </si>
  <si>
    <t>JHOEL EMERSON</t>
  </si>
  <si>
    <t>MAEYLIN NICOLE</t>
  </si>
  <si>
    <t>SEJAS ANDRADE</t>
  </si>
  <si>
    <t>SEJAS BALDERAS</t>
  </si>
  <si>
    <t>JORGE JUNIOR</t>
  </si>
  <si>
    <t>SEJAS TAPIA</t>
  </si>
  <si>
    <t>ANA SILVIA</t>
  </si>
  <si>
    <t>SEMPÉRTEGUI RUELAS</t>
  </si>
  <si>
    <t>JORGE NICK</t>
  </si>
  <si>
    <t>SENZANO MERIDA</t>
  </si>
  <si>
    <t>RAYZA BELEN</t>
  </si>
  <si>
    <t>SERRUDO GARCIA</t>
  </si>
  <si>
    <t>MABEL</t>
  </si>
  <si>
    <t>SEVERICHE ARANCIBIA</t>
  </si>
  <si>
    <t>SEVERICHE SANCHEZ</t>
  </si>
  <si>
    <t>JUAN MARCOS</t>
  </si>
  <si>
    <t>SEVERICHE VILLARROEL</t>
  </si>
  <si>
    <t>ANA FERNANDA</t>
  </si>
  <si>
    <t>SEVILLA GUTIERREZ</t>
  </si>
  <si>
    <t>JULIO ALBERTO</t>
  </si>
  <si>
    <t>SEVILLA MORALES</t>
  </si>
  <si>
    <t>LAURA LIA</t>
  </si>
  <si>
    <t>SIANGAS FLORES</t>
  </si>
  <si>
    <t>SIERRA CHAMBI</t>
  </si>
  <si>
    <t>SIERRA SORIA</t>
  </si>
  <si>
    <t>MAYRA</t>
  </si>
  <si>
    <t>SILES CUELLAR</t>
  </si>
  <si>
    <t>MARCIA ALEJANDRA</t>
  </si>
  <si>
    <t>SILES DE LA BARRA</t>
  </si>
  <si>
    <t>YOSEF BENJAMIN</t>
  </si>
  <si>
    <t>SILES LUNA</t>
  </si>
  <si>
    <t>SILES SANCHEZ</t>
  </si>
  <si>
    <t>BRAYAN CHARLY</t>
  </si>
  <si>
    <t>SILES YUCRA</t>
  </si>
  <si>
    <t>ESAHU</t>
  </si>
  <si>
    <t>SILISQUI VILLANUEVA</t>
  </si>
  <si>
    <t>ROMER CRISTIAN</t>
  </si>
  <si>
    <t>SILISQUI VILLENA</t>
  </si>
  <si>
    <t>JESUS EXALTACION</t>
  </si>
  <si>
    <t>SILLERICO CHOQUE</t>
  </si>
  <si>
    <t>MARY LEE</t>
  </si>
  <si>
    <t>SILVA ZARATE</t>
  </si>
  <si>
    <t>YESSICA</t>
  </si>
  <si>
    <t>SILVESTRE GUZMAN</t>
  </si>
  <si>
    <t>SILVESTRE SALGUERO</t>
  </si>
  <si>
    <t>SIPE ASPETY</t>
  </si>
  <si>
    <t>EFRAIN</t>
  </si>
  <si>
    <t>SIÑANIZ CAMACHO</t>
  </si>
  <si>
    <t>ADRIAN</t>
  </si>
  <si>
    <t>SIÑANIZ GALLEGOS</t>
  </si>
  <si>
    <t>LICETT</t>
  </si>
  <si>
    <t>SOLA PORCO</t>
  </si>
  <si>
    <t>SOLANO NIETO</t>
  </si>
  <si>
    <t>SOLANO VALVERDE</t>
  </si>
  <si>
    <t>PABLO ANDRES</t>
  </si>
  <si>
    <t>SOLARES OÑOJA</t>
  </si>
  <si>
    <t>SOLIS</t>
  </si>
  <si>
    <t>SOLIS ANTEZANA</t>
  </si>
  <si>
    <t>PAULA LORENA</t>
  </si>
  <si>
    <t>SOLIS POSTIGO</t>
  </si>
  <si>
    <t>LEIDY DIANA</t>
  </si>
  <si>
    <t>SOLIS ZAMORA</t>
  </si>
  <si>
    <t>CRISTHIAN LEONEL</t>
  </si>
  <si>
    <t>SOLIZ ALARCON</t>
  </si>
  <si>
    <t>PAULO ALEJANDRO</t>
  </si>
  <si>
    <t>SOLIZ ARZE</t>
  </si>
  <si>
    <t>SOLIZ CALIZAYA</t>
  </si>
  <si>
    <t>JHON JHIMER</t>
  </si>
  <si>
    <t>SOLIZ DIAZ</t>
  </si>
  <si>
    <t>LITSY</t>
  </si>
  <si>
    <t>SOLIZ GARCIA</t>
  </si>
  <si>
    <t>SOLIZ GUTIERREZ</t>
  </si>
  <si>
    <t>SOLIZ MALDONADO</t>
  </si>
  <si>
    <t>DAYANA BEATRIZ</t>
  </si>
  <si>
    <t>SOLIZ PAREDES</t>
  </si>
  <si>
    <t>SOLIZ RAMOS</t>
  </si>
  <si>
    <t>ANER JEUS</t>
  </si>
  <si>
    <t>SOLIZ SOLIZ</t>
  </si>
  <si>
    <t>DENISSE ALEJANDRA</t>
  </si>
  <si>
    <t>SOLIZ TORRICO</t>
  </si>
  <si>
    <t>JIMMY RONALD</t>
  </si>
  <si>
    <t>SOLIZ VEIZAGA</t>
  </si>
  <si>
    <t>SORIA FERNANDEZ</t>
  </si>
  <si>
    <t>FRANZ DELFIN</t>
  </si>
  <si>
    <t>SORIA GALVARRO GOMEZ</t>
  </si>
  <si>
    <t>LUIS GONZALO</t>
  </si>
  <si>
    <t>SORIA LARA</t>
  </si>
  <si>
    <t>MELANI ANEL</t>
  </si>
  <si>
    <t>SORIA ORELLANA</t>
  </si>
  <si>
    <t>SAIDA</t>
  </si>
  <si>
    <t>SORUCO BALTAZAR</t>
  </si>
  <si>
    <t>CECILIO</t>
  </si>
  <si>
    <t>SOSA TICONA</t>
  </si>
  <si>
    <t>SOTO CASTELLON</t>
  </si>
  <si>
    <t>SOTO CUIZARA</t>
  </si>
  <si>
    <t>SOTO FUENTES</t>
  </si>
  <si>
    <t>LEONELA</t>
  </si>
  <si>
    <t>SOTO QUEZADA</t>
  </si>
  <si>
    <t>SOTO RIOS</t>
  </si>
  <si>
    <t>RUTH SARAIN</t>
  </si>
  <si>
    <t>SOTO RODRIGUEZ</t>
  </si>
  <si>
    <t>IVAN WALDO</t>
  </si>
  <si>
    <t>SOTO SAYALI</t>
  </si>
  <si>
    <t>DIEGO JHONNY</t>
  </si>
  <si>
    <t>SUAREZ CABRERA</t>
  </si>
  <si>
    <t>SUAREZ CLAURE</t>
  </si>
  <si>
    <t>MASIEL</t>
  </si>
  <si>
    <t>SUAREZ VILLAVICENCIO</t>
  </si>
  <si>
    <t>INGRID NEREA</t>
  </si>
  <si>
    <t>SUBIRANA CARRILLO</t>
  </si>
  <si>
    <t>MARCOS ANTONIO</t>
  </si>
  <si>
    <t>SUCRE REYES</t>
  </si>
  <si>
    <t>SUYO CONDORI</t>
  </si>
  <si>
    <t>REYNA</t>
  </si>
  <si>
    <t>TABEL MEJIA</t>
  </si>
  <si>
    <t>MILORT MARK EUDIS</t>
  </si>
  <si>
    <t>TABOADA HEREDIA</t>
  </si>
  <si>
    <t>DIANA MARIZELA</t>
  </si>
  <si>
    <t>TABOADA TERRAZAS</t>
  </si>
  <si>
    <t>SHIRLEY VERONICA</t>
  </si>
  <si>
    <t>TACURI</t>
  </si>
  <si>
    <t>TAJIMA MATSUHARA</t>
  </si>
  <si>
    <t>NICOLAS KIYOTAKA</t>
  </si>
  <si>
    <t>TAKUSI AVILA</t>
  </si>
  <si>
    <t>MIDORI MARGOTH</t>
  </si>
  <si>
    <t>TAMBO CARDOZO</t>
  </si>
  <si>
    <t>LUIS FERMIN</t>
  </si>
  <si>
    <t>TANCARA CANELAS</t>
  </si>
  <si>
    <t>ALBERT BRYAN</t>
  </si>
  <si>
    <t>TANGARA HINOJOSA</t>
  </si>
  <si>
    <t>FERNANDO JAVIER</t>
  </si>
  <si>
    <t>TANGARA ORTIZ</t>
  </si>
  <si>
    <t>TANGARA VILLAZON</t>
  </si>
  <si>
    <t>ERIK RODRIGO</t>
  </si>
  <si>
    <t>TAPIA ADRIAN</t>
  </si>
  <si>
    <t>TAPIA AGREDA</t>
  </si>
  <si>
    <t>DAYANA JANETT</t>
  </si>
  <si>
    <t>TAPIA ALANIS</t>
  </si>
  <si>
    <t>LEYDY</t>
  </si>
  <si>
    <t>TAPIA ARANDIA</t>
  </si>
  <si>
    <t>TAPIA COLQUE</t>
  </si>
  <si>
    <t>LUIS ALVARO</t>
  </si>
  <si>
    <t>TAPIA CUIZA</t>
  </si>
  <si>
    <t>ANA LUCIA</t>
  </si>
  <si>
    <t>TAPIA FERNANDEZ</t>
  </si>
  <si>
    <t>TAPIA HEREDIA</t>
  </si>
  <si>
    <t>PAOLA VIVIANA</t>
  </si>
  <si>
    <t>TAPIA MONTAÑO</t>
  </si>
  <si>
    <t>PATTY</t>
  </si>
  <si>
    <t>TAPIA OCHOA</t>
  </si>
  <si>
    <t>YESIKA ABIGAIL</t>
  </si>
  <si>
    <t>TAPIA OROSCO</t>
  </si>
  <si>
    <t>ANDREA MAYRA</t>
  </si>
  <si>
    <t>TAPIA SAAVEDRA</t>
  </si>
  <si>
    <t>STEPHANIE FERNANDA</t>
  </si>
  <si>
    <t>TAPIA SALAZAR</t>
  </si>
  <si>
    <t>TAPIA ZARATE</t>
  </si>
  <si>
    <t>SYHOMARA</t>
  </si>
  <si>
    <t>TARDIO ALTAMIRANO</t>
  </si>
  <si>
    <t>TARQUINO FLORES</t>
  </si>
  <si>
    <t>DEYMAR DILAN</t>
  </si>
  <si>
    <t>KATHERINE ROCIO</t>
  </si>
  <si>
    <t>TASTACA CATORCENO</t>
  </si>
  <si>
    <t>TEJERINA CONDORI</t>
  </si>
  <si>
    <t>MARIA JESUS</t>
  </si>
  <si>
    <t>TELLERIA REVOLLO</t>
  </si>
  <si>
    <t>JHANINA MIRTHA</t>
  </si>
  <si>
    <t>TELLEZ ALMAZAN</t>
  </si>
  <si>
    <t>TELLEZ INCATA</t>
  </si>
  <si>
    <t>ALBERTA RASHEL</t>
  </si>
  <si>
    <t>TELLEZ LOREDO</t>
  </si>
  <si>
    <t>TENORIO ALCAZAR</t>
  </si>
  <si>
    <t>JHONNATAN</t>
  </si>
  <si>
    <t>TENORIO ROJAS</t>
  </si>
  <si>
    <t>BRAYAN PABLO</t>
  </si>
  <si>
    <t>TERAN CESPEDEZ</t>
  </si>
  <si>
    <t>TERAN CHANA</t>
  </si>
  <si>
    <t>RUBEN DARIO</t>
  </si>
  <si>
    <t>TERAN CLAROS</t>
  </si>
  <si>
    <t>PATRICK FERNANDO</t>
  </si>
  <si>
    <t>TERAN DELGADILLO</t>
  </si>
  <si>
    <t>TERAN MUÑOZ</t>
  </si>
  <si>
    <t>TERAN PEREIRA</t>
  </si>
  <si>
    <t>MAURICIO FABIÁN</t>
  </si>
  <si>
    <t>TERCEROS CABALLERO</t>
  </si>
  <si>
    <t>IVO CESAR</t>
  </si>
  <si>
    <t>TERCEROS CAYO</t>
  </si>
  <si>
    <t>JHAZMIN</t>
  </si>
  <si>
    <t>TERCEROS DELGADILLO</t>
  </si>
  <si>
    <t>TERRAZAS AMUSQUIVAR</t>
  </si>
  <si>
    <t>NATHALY AYLLINE</t>
  </si>
  <si>
    <t>STEPHANIE JENIFER</t>
  </si>
  <si>
    <t>TERRAZAS ARZE</t>
  </si>
  <si>
    <t>TERRAZAS BOADO QUIROGA</t>
  </si>
  <si>
    <t>TERRAZAS CANAZA</t>
  </si>
  <si>
    <t>TERRAZAS CHAVEZ</t>
  </si>
  <si>
    <t>ARABELA</t>
  </si>
  <si>
    <t>TERRAZAS CHÁVEZ</t>
  </si>
  <si>
    <t>TERRAZAS CONDORI</t>
  </si>
  <si>
    <t>MARISABEL</t>
  </si>
  <si>
    <t>TERRAZAS HUANCA</t>
  </si>
  <si>
    <t>TERRAZAS JALDIN</t>
  </si>
  <si>
    <t>TERRAZAS LUNA</t>
  </si>
  <si>
    <t>KEVIN GIOVANI</t>
  </si>
  <si>
    <t>TERRAZAS MENESES</t>
  </si>
  <si>
    <t>TERRAZAS MIRANDA</t>
  </si>
  <si>
    <t>TERRAZAS NÚÑEZ</t>
  </si>
  <si>
    <t>FARIDY</t>
  </si>
  <si>
    <t>TERRAZAS PARRA</t>
  </si>
  <si>
    <t>MARVIN RODRIGO</t>
  </si>
  <si>
    <t>TERRAZAS RODRIGUEZ</t>
  </si>
  <si>
    <t>NEIDA ANDREA</t>
  </si>
  <si>
    <t>TERRAZAS SANCHEZ</t>
  </si>
  <si>
    <t>TERRAZAS SARAVIA</t>
  </si>
  <si>
    <t>TERRAZAS SEJAS</t>
  </si>
  <si>
    <t>TERRAZAS VARGAS</t>
  </si>
  <si>
    <t>DIEGO ANDRES</t>
  </si>
  <si>
    <t>TERRAZAS VASQUEZ</t>
  </si>
  <si>
    <t>TERRAZAS VELA</t>
  </si>
  <si>
    <t>AMILCAR</t>
  </si>
  <si>
    <t>TICACOLQUE ANGUELA</t>
  </si>
  <si>
    <t>TICLLA MAMANI</t>
  </si>
  <si>
    <t>TICOLLANO CONDORI</t>
  </si>
  <si>
    <t>TICONA HUANCA</t>
  </si>
  <si>
    <t>TICONA MACHACA</t>
  </si>
  <si>
    <t>GABY ANDREA</t>
  </si>
  <si>
    <t>TICONA MAMANI</t>
  </si>
  <si>
    <t>CLARA SOLEDAD</t>
  </si>
  <si>
    <t>TICONA MEDRANO</t>
  </si>
  <si>
    <t>GRISEL MORELIA</t>
  </si>
  <si>
    <t>TICONA MICAYO</t>
  </si>
  <si>
    <t>HELEN</t>
  </si>
  <si>
    <t>TIRADO GONGORA</t>
  </si>
  <si>
    <t>LIZBETH LAURA</t>
  </si>
  <si>
    <t>TITO ALLI</t>
  </si>
  <si>
    <t>BANIA</t>
  </si>
  <si>
    <t>TOACA TOLA</t>
  </si>
  <si>
    <t>TOCOKARI AGUILAR</t>
  </si>
  <si>
    <t>NESTOR ADOLFO</t>
  </si>
  <si>
    <t>TOLA COLQUE</t>
  </si>
  <si>
    <t>TOLA FLORES</t>
  </si>
  <si>
    <t>TOLA MUÑOZ</t>
  </si>
  <si>
    <t>EDDY DANIEL</t>
  </si>
  <si>
    <t>TOLA PEREZ</t>
  </si>
  <si>
    <t>TOLA VILLCA</t>
  </si>
  <si>
    <t>WILMA</t>
  </si>
  <si>
    <t>TOMAS RUIZ</t>
  </si>
  <si>
    <t>TORDOYA CABANA</t>
  </si>
  <si>
    <t>VERONICA CARLA</t>
  </si>
  <si>
    <t>TORDOYA GONZALES</t>
  </si>
  <si>
    <t>TORDOYA MONTERO</t>
  </si>
  <si>
    <t>TORIBIO ALMANZA</t>
  </si>
  <si>
    <t>TORO ALVAREZ</t>
  </si>
  <si>
    <t>SERGIO ARIEL</t>
  </si>
  <si>
    <t>TORRES CARDOZO</t>
  </si>
  <si>
    <t>TORRES CONDORI</t>
  </si>
  <si>
    <t>TORRES MORALES</t>
  </si>
  <si>
    <t>SHADEN EDELIN</t>
  </si>
  <si>
    <t>TORREZ</t>
  </si>
  <si>
    <t>TORREZ ALCALA</t>
  </si>
  <si>
    <t>TORREZ ARANCIBIA</t>
  </si>
  <si>
    <t>TORREZ BILBAO</t>
  </si>
  <si>
    <t>TORREZ CAMPOS</t>
  </si>
  <si>
    <t>MAURICIO ESTEBAN</t>
  </si>
  <si>
    <t>TORREZ ECHALAR</t>
  </si>
  <si>
    <t>TORREZ FELIPE</t>
  </si>
  <si>
    <t>VIVI MANUELA</t>
  </si>
  <si>
    <t>TORREZ FUENTES</t>
  </si>
  <si>
    <t>JHONATAN PATRICK</t>
  </si>
  <si>
    <t>TORREZ HUMEREZ</t>
  </si>
  <si>
    <t>CESAR MOISES</t>
  </si>
  <si>
    <t>TORREZ MAMANI</t>
  </si>
  <si>
    <t>ALVARO DIEGO</t>
  </si>
  <si>
    <t>TORREZ MORALES</t>
  </si>
  <si>
    <t>KIMBERLY ANDREA</t>
  </si>
  <si>
    <t>TORREZ ONORI</t>
  </si>
  <si>
    <t>ARIADNA ITZETY</t>
  </si>
  <si>
    <t>TORREZ PORCEL</t>
  </si>
  <si>
    <t>GABRIEL HAROLD</t>
  </si>
  <si>
    <t>TORREZ RODRIGUEZ</t>
  </si>
  <si>
    <t>SILVER CATRIEL</t>
  </si>
  <si>
    <t>TORREZ SARABIA</t>
  </si>
  <si>
    <t>ISABO CLARA</t>
  </si>
  <si>
    <t>TORREZ SIRPA</t>
  </si>
  <si>
    <t>TORREZ TINTA</t>
  </si>
  <si>
    <t>TORRICO</t>
  </si>
  <si>
    <t>TORRICO ALVAREZ</t>
  </si>
  <si>
    <t>MARCELO VLADIMIR</t>
  </si>
  <si>
    <t>TORRICO ARNEZ</t>
  </si>
  <si>
    <t>DENIS</t>
  </si>
  <si>
    <t>TORRICO CLAROS</t>
  </si>
  <si>
    <t>TORRICO CONDE</t>
  </si>
  <si>
    <t>TORRICO DELGADILLO</t>
  </si>
  <si>
    <t>TORRICO ESPINOZA</t>
  </si>
  <si>
    <t>JAMES EDWARD</t>
  </si>
  <si>
    <t>TORRICO FORONDA</t>
  </si>
  <si>
    <t>JHONNY KEVIN</t>
  </si>
  <si>
    <t>TORRICO HEREDIA</t>
  </si>
  <si>
    <t>ADRIANA DANESSA</t>
  </si>
  <si>
    <t>TORRICO LA FUENTE</t>
  </si>
  <si>
    <t>BENJAMIN ALEX</t>
  </si>
  <si>
    <t>TORRICO LOPEZ</t>
  </si>
  <si>
    <t>SARAH BELEN</t>
  </si>
  <si>
    <t>TORRICO LUPE</t>
  </si>
  <si>
    <t>TORRICO MAMANI</t>
  </si>
  <si>
    <t>NADIR</t>
  </si>
  <si>
    <t>TORRICO MARIACA</t>
  </si>
  <si>
    <t>CARMEN</t>
  </si>
  <si>
    <t>TORRICO ORELLANA</t>
  </si>
  <si>
    <t>SDENKA JHOANA</t>
  </si>
  <si>
    <t>TORRICO PINO</t>
  </si>
  <si>
    <t>MARTHA ISABEL</t>
  </si>
  <si>
    <t>TORRICO ROCHA</t>
  </si>
  <si>
    <t>JOAN GUILBER</t>
  </si>
  <si>
    <t>TORRICO ROMAN</t>
  </si>
  <si>
    <t>TORRICO RÍOS</t>
  </si>
  <si>
    <t>EMILY LUCERO</t>
  </si>
  <si>
    <t>TORRICO VARGAS</t>
  </si>
  <si>
    <t>ANNABEL</t>
  </si>
  <si>
    <t>TORRICO VEGA</t>
  </si>
  <si>
    <t>HEIDY</t>
  </si>
  <si>
    <t>TORRICO VILLARROEL</t>
  </si>
  <si>
    <t>TRUJILLO BALDERRAMA</t>
  </si>
  <si>
    <t>JOSE ALEX</t>
  </si>
  <si>
    <t>TRUJILLO ESCOBAR</t>
  </si>
  <si>
    <t>BRAYAN YERCO</t>
  </si>
  <si>
    <t>TRUJILLO MONTAÑO</t>
  </si>
  <si>
    <t>OSMAN</t>
  </si>
  <si>
    <t>TRUJILLO POZO</t>
  </si>
  <si>
    <t>TRUJILLO ZURITA</t>
  </si>
  <si>
    <t>TUDELA VARGAS</t>
  </si>
  <si>
    <t>MARIA LUISA</t>
  </si>
  <si>
    <t>UMAÑA FUENTES</t>
  </si>
  <si>
    <t>JHISSEL</t>
  </si>
  <si>
    <t>URAQUINA RIVAS</t>
  </si>
  <si>
    <t>JAIR</t>
  </si>
  <si>
    <t>UREY FLORES</t>
  </si>
  <si>
    <t>JAIME DANIEL</t>
  </si>
  <si>
    <t>URIA MEAVE</t>
  </si>
  <si>
    <t>MARY LUZ</t>
  </si>
  <si>
    <t>URIONA CANDIA</t>
  </si>
  <si>
    <t>URQUIDI</t>
  </si>
  <si>
    <t>URQUIDI GUAYAO</t>
  </si>
  <si>
    <t>URURI SEJAS</t>
  </si>
  <si>
    <t>JUAN JESUS</t>
  </si>
  <si>
    <t>URUÑA CHAVINA</t>
  </si>
  <si>
    <t>UTURONCO MOYA</t>
  </si>
  <si>
    <t>UZEDA BALLESTEROS</t>
  </si>
  <si>
    <t>IGMAR RODRIGO</t>
  </si>
  <si>
    <t>VALDEZ LOPEZ</t>
  </si>
  <si>
    <t>VALDEZ MOLLO</t>
  </si>
  <si>
    <t>MELANI JHOSELIN</t>
  </si>
  <si>
    <t>VALDEZ PARRA</t>
  </si>
  <si>
    <t>VALDEZ POSTIGO</t>
  </si>
  <si>
    <t>ALEJANDRO EDILSON</t>
  </si>
  <si>
    <t>VALDEZ VALVERDE</t>
  </si>
  <si>
    <t>VALDEZ VARGAS</t>
  </si>
  <si>
    <t>DANIELA NICOLE</t>
  </si>
  <si>
    <t>VALDIVIA NAVARRO</t>
  </si>
  <si>
    <t>JOSE ADHEMAR</t>
  </si>
  <si>
    <t>VALDIVIEZO QUISPE</t>
  </si>
  <si>
    <t>VALE ARENA</t>
  </si>
  <si>
    <t>VICTORIA</t>
  </si>
  <si>
    <t>VALENCIA CAMACHO</t>
  </si>
  <si>
    <t>VALENCIA CASTRO</t>
  </si>
  <si>
    <t>ARACELLY LAURA</t>
  </si>
  <si>
    <t>VALENCIA PEREDO</t>
  </si>
  <si>
    <t>LUIS REINALDO</t>
  </si>
  <si>
    <t>VALENZUELA FUENTES</t>
  </si>
  <si>
    <t>SUSAN LESLIE</t>
  </si>
  <si>
    <t>VALENZUELA MEDRANO</t>
  </si>
  <si>
    <t>VALERA RODRIGUEZ</t>
  </si>
  <si>
    <t>EDUARDO SEBASTIAN</t>
  </si>
  <si>
    <t>VALERIANO CHOQUEVILLCA</t>
  </si>
  <si>
    <t>VALERIANO LOMAR</t>
  </si>
  <si>
    <t>ALEJANDRO ERICK</t>
  </si>
  <si>
    <t>VALERIANO NUÑEZ</t>
  </si>
  <si>
    <t>VALLEJOS JIMENEZ</t>
  </si>
  <si>
    <t>LINETH ZEIDA</t>
  </si>
  <si>
    <t>VALLEJOS PACO</t>
  </si>
  <si>
    <t>JOEL ABRAHAN</t>
  </si>
  <si>
    <t>VALLEJOS QUISPE</t>
  </si>
  <si>
    <t>HENAR EDDY</t>
  </si>
  <si>
    <t>VALLEJOS RODRIGUEZ</t>
  </si>
  <si>
    <t>VALERY</t>
  </si>
  <si>
    <t>VALLEJOS ROSALES</t>
  </si>
  <si>
    <t>ALEJANDRA MICHELLE</t>
  </si>
  <si>
    <t>VALLEJOS SILES</t>
  </si>
  <si>
    <t>VARGAS</t>
  </si>
  <si>
    <t>RONALD SANDRO</t>
  </si>
  <si>
    <t>YERSON ARIEL</t>
  </si>
  <si>
    <t>VARGAS AGUILAR</t>
  </si>
  <si>
    <t>DYLAN EDUARDO</t>
  </si>
  <si>
    <t>VARGAS AHERN</t>
  </si>
  <si>
    <t>SOPHIA KARINA</t>
  </si>
  <si>
    <t>VARGAS ARANIBAR</t>
  </si>
  <si>
    <t>ILVA</t>
  </si>
  <si>
    <t>VARGAS AREVALO</t>
  </si>
  <si>
    <t>VARGAS BALDIVIESO</t>
  </si>
  <si>
    <t>DANIEL BRUNO</t>
  </si>
  <si>
    <t>VARGAS BARRA</t>
  </si>
  <si>
    <t>VARGAS CACERES</t>
  </si>
  <si>
    <t>SILVIA MARISOL</t>
  </si>
  <si>
    <t>VARGAS CAMPERO</t>
  </si>
  <si>
    <t>TITO</t>
  </si>
  <si>
    <t>VARGAS CASTELLON</t>
  </si>
  <si>
    <t>VARGAS CASTRO</t>
  </si>
  <si>
    <t>NICOL</t>
  </si>
  <si>
    <t>VARGAS CERON</t>
  </si>
  <si>
    <t>YOBANA</t>
  </si>
  <si>
    <t>VARGAS CHINO</t>
  </si>
  <si>
    <t>JULIO FELIPE</t>
  </si>
  <si>
    <t>VARGAS COPA</t>
  </si>
  <si>
    <t>SELEN FERNANDA</t>
  </si>
  <si>
    <t>VARGAS CUELLAR</t>
  </si>
  <si>
    <t>JORGE ADOLFO</t>
  </si>
  <si>
    <t>VARGAS DIAZ</t>
  </si>
  <si>
    <t>VARGAS FERNANDEZ</t>
  </si>
  <si>
    <t>GABRIELA DEL CARMEN</t>
  </si>
  <si>
    <t>VARGAS FERRUFINO</t>
  </si>
  <si>
    <t>MARIOLY</t>
  </si>
  <si>
    <t>VARGAS FLORES</t>
  </si>
  <si>
    <t>VARGAS FUENTES</t>
  </si>
  <si>
    <t>ISAAC JACOB</t>
  </si>
  <si>
    <t>VARGAS GUEVARA</t>
  </si>
  <si>
    <t>VARGAS GUTIERREZ</t>
  </si>
  <si>
    <t>JHOANA GABRIELA</t>
  </si>
  <si>
    <t>VARGAS HERRERA</t>
  </si>
  <si>
    <t>VARGAS LIPE</t>
  </si>
  <si>
    <t>VARGAS LOZADA</t>
  </si>
  <si>
    <t>EDGAR MICHAEL</t>
  </si>
  <si>
    <t>VARGAS MAMANI</t>
  </si>
  <si>
    <t>HENRI</t>
  </si>
  <si>
    <t>VARGAS MEINARDE</t>
  </si>
  <si>
    <t>MONICA EVELIN</t>
  </si>
  <si>
    <t>VARGAS MONTECINOS</t>
  </si>
  <si>
    <t>MARIA SELVA</t>
  </si>
  <si>
    <t>VARGAS MOSTACEDO</t>
  </si>
  <si>
    <t>JUAN CARLOS MARCELO</t>
  </si>
  <si>
    <t>VARGAS MUÑOZ</t>
  </si>
  <si>
    <t>LUCAS</t>
  </si>
  <si>
    <t>VARGAS ORTUÑO</t>
  </si>
  <si>
    <t>JOSE GUILLERMO</t>
  </si>
  <si>
    <t>VARGAS PEREDO</t>
  </si>
  <si>
    <t>VARGAS RIVERA</t>
  </si>
  <si>
    <t>VARGAS ROCABADO</t>
  </si>
  <si>
    <t>VARGAS SAAVEDRA</t>
  </si>
  <si>
    <t>MARIA RENE</t>
  </si>
  <si>
    <t>VARGAS TERCEROS</t>
  </si>
  <si>
    <t>DAYELI DARIAM</t>
  </si>
  <si>
    <t>VARGAS TERRAZAS</t>
  </si>
  <si>
    <t>VARGAS TORDOYA</t>
  </si>
  <si>
    <t>LINDSAY ANAHI</t>
  </si>
  <si>
    <t>VARGAS TORRICO</t>
  </si>
  <si>
    <t>ALEJANDRA LAURA</t>
  </si>
  <si>
    <t>VARGAS TRUJILLO</t>
  </si>
  <si>
    <t>VARGAS VARGAS</t>
  </si>
  <si>
    <t>ALBERTO</t>
  </si>
  <si>
    <t>VARGAS VIA</t>
  </si>
  <si>
    <t>MARIA ESTHER</t>
  </si>
  <si>
    <t>VARGAS VIDAURRE</t>
  </si>
  <si>
    <t>EUGENIA JOCELINE</t>
  </si>
  <si>
    <t>VARGAS ZACONETA</t>
  </si>
  <si>
    <t>NICOLE GILIAN</t>
  </si>
  <si>
    <t>VARGAS ZARDAN</t>
  </si>
  <si>
    <t>VASQUEZ AGUILAR</t>
  </si>
  <si>
    <t>VASQUEZ ALVAREZ</t>
  </si>
  <si>
    <t>JIMY HENRY</t>
  </si>
  <si>
    <t>VASQUEZ CARATA</t>
  </si>
  <si>
    <t>ROSARIO ANDREA</t>
  </si>
  <si>
    <t>VASQUEZ CARDENAS</t>
  </si>
  <si>
    <t>VASQUEZ CHAVEZ</t>
  </si>
  <si>
    <t>VASQUEZ CLAURE</t>
  </si>
  <si>
    <t>NATALY DEYSI</t>
  </si>
  <si>
    <t>VASQUEZ CRESPO</t>
  </si>
  <si>
    <t>CARLOS GUNNAR</t>
  </si>
  <si>
    <t>VASQUEZ HINOJOSA</t>
  </si>
  <si>
    <t>BORIS IVAN</t>
  </si>
  <si>
    <t>VASQUEZ LOPEZ</t>
  </si>
  <si>
    <t>JANN MARCO</t>
  </si>
  <si>
    <t>VASQUEZ MACEDO</t>
  </si>
  <si>
    <t>HARRY ANDERSON</t>
  </si>
  <si>
    <t>VASQUEZ MALLCU</t>
  </si>
  <si>
    <t>LENAR CARLOS</t>
  </si>
  <si>
    <t>VASQUEZ MURIEL</t>
  </si>
  <si>
    <t>VASQUEZ OLIVARES</t>
  </si>
  <si>
    <t>ANGELES BELEN</t>
  </si>
  <si>
    <t>VASQUEZ PARINA</t>
  </si>
  <si>
    <t>VASQUEZ PEREZ</t>
  </si>
  <si>
    <t>VEGA CHAMBI</t>
  </si>
  <si>
    <t>SHARON LESLIE</t>
  </si>
  <si>
    <t>VEGA SANCHEZ</t>
  </si>
  <si>
    <t>AYLIN ARACELY</t>
  </si>
  <si>
    <t>VEIZAGA ALMARAZ</t>
  </si>
  <si>
    <t>VEIZAGA BARRIOS</t>
  </si>
  <si>
    <t>NARDY LILIAN</t>
  </si>
  <si>
    <t>VEIZAGA GUTIERREZ</t>
  </si>
  <si>
    <t>JEREMIAS DAVID</t>
  </si>
  <si>
    <t>VEIZAGA JIMENEZ</t>
  </si>
  <si>
    <t>VEIZAGA MEDINA</t>
  </si>
  <si>
    <t>CHANEL HUGO</t>
  </si>
  <si>
    <t>VEIZAGA ORTIZ</t>
  </si>
  <si>
    <t>THAIS KELY</t>
  </si>
  <si>
    <t>VEIZAGA VALLEJOS</t>
  </si>
  <si>
    <t>ROMINA NOELIA</t>
  </si>
  <si>
    <t>VELA FLORES</t>
  </si>
  <si>
    <t>CARLA RUBY</t>
  </si>
  <si>
    <t>VELA IRIARTE</t>
  </si>
  <si>
    <t>VELARDE CAMACHO</t>
  </si>
  <si>
    <t>VELARDE FERNANDEZ</t>
  </si>
  <si>
    <t>LUIS MARCELO</t>
  </si>
  <si>
    <t>VELARDE MAMANI</t>
  </si>
  <si>
    <t>JUAN ALBERTO</t>
  </si>
  <si>
    <t>VELARDE MUÑOZ</t>
  </si>
  <si>
    <t>KENIA</t>
  </si>
  <si>
    <t>VELARDE VARGAS</t>
  </si>
  <si>
    <t>DARA ANNELISE</t>
  </si>
  <si>
    <t>VELARDE ZURITA</t>
  </si>
  <si>
    <t>VELASCO CONDORI</t>
  </si>
  <si>
    <t>FABIOLA LISBETH</t>
  </si>
  <si>
    <t>VELASCO GONZALES</t>
  </si>
  <si>
    <t>CRISTIAN ALAN</t>
  </si>
  <si>
    <t>VELASCO SALAZAR</t>
  </si>
  <si>
    <t>VELASCO SOZA</t>
  </si>
  <si>
    <t>YOLANDA LIZETH</t>
  </si>
  <si>
    <t>VELASQUEZ CACERES</t>
  </si>
  <si>
    <t>BRUNO JOEL</t>
  </si>
  <si>
    <t>VELASQUEZ DONAIRE</t>
  </si>
  <si>
    <t>VELASQUEZ ESCOBAR</t>
  </si>
  <si>
    <t>OMAR MOISES</t>
  </si>
  <si>
    <t>VELASQUEZ TORRICO</t>
  </si>
  <si>
    <t>VELEZ BILBAO</t>
  </si>
  <si>
    <t>DAVID ENRIQUE</t>
  </si>
  <si>
    <t>VELIZ FLORES</t>
  </si>
  <si>
    <t>KAREN CLARA</t>
  </si>
  <si>
    <t>VELIZ MORALES</t>
  </si>
  <si>
    <t>SAUL DORIAM</t>
  </si>
  <si>
    <t>VELIZ URRELO</t>
  </si>
  <si>
    <t>ANAHI VANESA</t>
  </si>
  <si>
    <t>VENEROS PARICOLLO</t>
  </si>
  <si>
    <t>VENTURA LEDEZMA</t>
  </si>
  <si>
    <t>VENTURA SERRUDO</t>
  </si>
  <si>
    <t>DAYANA NICOLE</t>
  </si>
  <si>
    <t>VERA HUARAYO</t>
  </si>
  <si>
    <t>JORGE ORLANDO</t>
  </si>
  <si>
    <t>VERA MAMANI</t>
  </si>
  <si>
    <t>VERA MUÑOZ</t>
  </si>
  <si>
    <t>SARAHI MELANY</t>
  </si>
  <si>
    <t>VERA RODRIGUEZ</t>
  </si>
  <si>
    <t>VERA TERAN</t>
  </si>
  <si>
    <t>VERAMENDI SALCEDO</t>
  </si>
  <si>
    <t>GABRIELA FABIANA</t>
  </si>
  <si>
    <t>VERDUGUEZ RIVAS</t>
  </si>
  <si>
    <t>BETHY</t>
  </si>
  <si>
    <t>VERGARA CAMPOS</t>
  </si>
  <si>
    <t>VERGARA MENDOZA</t>
  </si>
  <si>
    <t>DOUGLAS ARTURO</t>
  </si>
  <si>
    <t>VERTIZ TERAN</t>
  </si>
  <si>
    <t>NATALY NICOLE</t>
  </si>
  <si>
    <t>VIA FIGUEROA</t>
  </si>
  <si>
    <t>CIELO</t>
  </si>
  <si>
    <t>VIA HINOJOSA</t>
  </si>
  <si>
    <t>VIA MEDRANO</t>
  </si>
  <si>
    <t>VIA RICALDEZ</t>
  </si>
  <si>
    <t>SANDY</t>
  </si>
  <si>
    <t>VIDAL ESCALERA</t>
  </si>
  <si>
    <t>FAVIOLA LIZETH</t>
  </si>
  <si>
    <t>VIDAL MENDEZ</t>
  </si>
  <si>
    <t>REYSHA ADRIANA</t>
  </si>
  <si>
    <t>VIDAL PONCE</t>
  </si>
  <si>
    <t>VIDANGOS</t>
  </si>
  <si>
    <t>LUIS PABLO</t>
  </si>
  <si>
    <t>VILLAGOMEZ ARNEZ</t>
  </si>
  <si>
    <t>VILLANUEVA CARDOZO</t>
  </si>
  <si>
    <t>JERALDIN</t>
  </si>
  <si>
    <t>VILLANUEVA VISCARRA</t>
  </si>
  <si>
    <t>GINA FABIANA</t>
  </si>
  <si>
    <t>VILLARPANDO YUCRA</t>
  </si>
  <si>
    <t>JESUS MARCELO</t>
  </si>
  <si>
    <t>VILLARREAL TAPIA</t>
  </si>
  <si>
    <t>GABRIELA MARIA</t>
  </si>
  <si>
    <t>VILLARROEL AQUINO</t>
  </si>
  <si>
    <t>NELSON SANTIAGO</t>
  </si>
  <si>
    <t>VILLARROEL AYALA</t>
  </si>
  <si>
    <t>GARDENIA</t>
  </si>
  <si>
    <t>VILLARROEL BALDERRAMA</t>
  </si>
  <si>
    <t>VILLARROEL BARRIENTOS</t>
  </si>
  <si>
    <t>VILLARROEL CABEROS</t>
  </si>
  <si>
    <t>VILLARROEL CARBALLO</t>
  </si>
  <si>
    <t>VILLARROEL COCA</t>
  </si>
  <si>
    <t>FLAVIO CESAR</t>
  </si>
  <si>
    <t>VILLARROEL EDUARDO</t>
  </si>
  <si>
    <t>HELMY</t>
  </si>
  <si>
    <t>VILLARROEL GARCIA</t>
  </si>
  <si>
    <t>RAIZA GRETA</t>
  </si>
  <si>
    <t>VILLARROEL GOMEZ</t>
  </si>
  <si>
    <t>JHAMIL JAVIER</t>
  </si>
  <si>
    <t>VILLARROEL GUTIERREZ</t>
  </si>
  <si>
    <t>VILLARROEL HINOJOZA</t>
  </si>
  <si>
    <t>VILLARROEL INOCENTE</t>
  </si>
  <si>
    <t>EMIRA</t>
  </si>
  <si>
    <t>VILLARROEL LAZARTE</t>
  </si>
  <si>
    <t>DANIELA JESSICA</t>
  </si>
  <si>
    <t>VILLARROEL PACCHI</t>
  </si>
  <si>
    <t>VILLARROEL RODRIGUEZ</t>
  </si>
  <si>
    <t>ALEJANDRO ANTONIO</t>
  </si>
  <si>
    <t>VILLARROEL SALAZAR</t>
  </si>
  <si>
    <t>VILLARROEL SANDOVAL</t>
  </si>
  <si>
    <t>ARMIN</t>
  </si>
  <si>
    <t>JIMMY WALDO</t>
  </si>
  <si>
    <t>VILLARROEL TERRAZAS</t>
  </si>
  <si>
    <t>MANUEL ANTONIO</t>
  </si>
  <si>
    <t>VILLARROEL VELASCO</t>
  </si>
  <si>
    <t>VILLARROEL ZAMBRANA</t>
  </si>
  <si>
    <t>VILLARTE JARRO</t>
  </si>
  <si>
    <t>CARLA REBECA</t>
  </si>
  <si>
    <t>VILLAZON HIDALGO</t>
  </si>
  <si>
    <t>VILLAZON VILLCA</t>
  </si>
  <si>
    <t>SARA LIZETH</t>
  </si>
  <si>
    <t>VILLCA FRANCO</t>
  </si>
  <si>
    <t>VILLCA GOMEZ</t>
  </si>
  <si>
    <t>ELIANA VIRGINIA</t>
  </si>
  <si>
    <t>VILLCA HUANACO</t>
  </si>
  <si>
    <t>VILLCA PILLCO</t>
  </si>
  <si>
    <t>VILLCA ROSAS</t>
  </si>
  <si>
    <t>MELODI CARLA</t>
  </si>
  <si>
    <t>VILLCA SACAMA</t>
  </si>
  <si>
    <t>MARIA INES</t>
  </si>
  <si>
    <t>VILLCA TERRAZAS</t>
  </si>
  <si>
    <t>VILLE LAYME</t>
  </si>
  <si>
    <t>VILLEGAS APAZA</t>
  </si>
  <si>
    <t>VILLENA ERQUICIA</t>
  </si>
  <si>
    <t>JESUS SEBASTIAN</t>
  </si>
  <si>
    <t>VILLMAN CALLE</t>
  </si>
  <si>
    <t>CINTHYA JUDITH</t>
  </si>
  <si>
    <t>VILTE MARTINEZ</t>
  </si>
  <si>
    <t>NOEMI ANDREA</t>
  </si>
  <si>
    <t>VINCENTY SINGURI</t>
  </si>
  <si>
    <t>VIRACA TITICHOCA</t>
  </si>
  <si>
    <t>VISCARRA POZO</t>
  </si>
  <si>
    <t>GIOVANNI ARIEL</t>
  </si>
  <si>
    <t>WIELER NOGALES</t>
  </si>
  <si>
    <t>NAILA KATHERINE</t>
  </si>
  <si>
    <t>YAMPARA GUTIERREZ</t>
  </si>
  <si>
    <t>LUIS ENRIQUE</t>
  </si>
  <si>
    <t>YAMPARA MAMANI</t>
  </si>
  <si>
    <t>YANA CABEZAS</t>
  </si>
  <si>
    <t>ISRAEL CRISTIAN</t>
  </si>
  <si>
    <t>YAPURA ROCHA</t>
  </si>
  <si>
    <t>DUBAN JHELSON</t>
  </si>
  <si>
    <t>YARHUI LAIME</t>
  </si>
  <si>
    <t>JOSE ALVARO</t>
  </si>
  <si>
    <t>YAULI VEGA</t>
  </si>
  <si>
    <t>GERSON</t>
  </si>
  <si>
    <t>YUCRA REVOLLO</t>
  </si>
  <si>
    <t>AYELEN DANITZA</t>
  </si>
  <si>
    <t>YUPANQUI VILLARROEL</t>
  </si>
  <si>
    <t>SIMÓN TITO</t>
  </si>
  <si>
    <t>ZABALA FUENTES</t>
  </si>
  <si>
    <t>ARIEL EDWIN</t>
  </si>
  <si>
    <t>ZABALA TORRICO</t>
  </si>
  <si>
    <t>ANGELA</t>
  </si>
  <si>
    <t>ZABALA VARGAS</t>
  </si>
  <si>
    <t>BRENDA ADELAIDA</t>
  </si>
  <si>
    <t>ZAMBRANA</t>
  </si>
  <si>
    <t>GABRIEL EDWIN</t>
  </si>
  <si>
    <t>ZAMBRANA AGUILAR</t>
  </si>
  <si>
    <t>ZAMBRANA FERNANDEZ</t>
  </si>
  <si>
    <t>GABRIELA TAMARA</t>
  </si>
  <si>
    <t>ZAMBRANA FLORES</t>
  </si>
  <si>
    <t>ZAMBRANA MAMANI</t>
  </si>
  <si>
    <t>DANALY</t>
  </si>
  <si>
    <t>ZAMBRANA MENESES</t>
  </si>
  <si>
    <t>ALEJANDRA NICOLE</t>
  </si>
  <si>
    <t>ZAMBRANA NINA</t>
  </si>
  <si>
    <t>ZAMBRANA OLIVERA</t>
  </si>
  <si>
    <t>CLILIAN</t>
  </si>
  <si>
    <t>ZAMBRANA OTALORA</t>
  </si>
  <si>
    <t>LENY</t>
  </si>
  <si>
    <t>ZAPATA GUZMAN</t>
  </si>
  <si>
    <t>EDYTH</t>
  </si>
  <si>
    <t>ZAPATA MONTAÑO</t>
  </si>
  <si>
    <t>NEYERS</t>
  </si>
  <si>
    <t>ZAPATA TORRICO</t>
  </si>
  <si>
    <t>ISAAC ORLANDO</t>
  </si>
  <si>
    <t>ZAPATA VASQUEZ</t>
  </si>
  <si>
    <t>ZARATE COLQUE</t>
  </si>
  <si>
    <t>ZARATE FLORES</t>
  </si>
  <si>
    <t>ZARATE ORELLANA</t>
  </si>
  <si>
    <t>FRANZ ROLANDO</t>
  </si>
  <si>
    <t>ZEBALLOS</t>
  </si>
  <si>
    <t>JOSE RODOLFO</t>
  </si>
  <si>
    <t>ZEBALLOS GARCIA</t>
  </si>
  <si>
    <t>WILLAMS BEIMAR</t>
  </si>
  <si>
    <t>ZEBALLOS GARNICA</t>
  </si>
  <si>
    <t>ANDY AARON</t>
  </si>
  <si>
    <t>ZEBALLOS LAZARTE</t>
  </si>
  <si>
    <t>MILENKA ESCARLETT</t>
  </si>
  <si>
    <t>ZEBALLOS LEDEZMA</t>
  </si>
  <si>
    <t>ERICKA BELÉN</t>
  </si>
  <si>
    <t>MARCOS AARON</t>
  </si>
  <si>
    <t>ZEBALLOS PEREZ</t>
  </si>
  <si>
    <t>VANIA MIREYA</t>
  </si>
  <si>
    <t>ZEBALLOS ROJAS</t>
  </si>
  <si>
    <t>NADESKA ALEIDA</t>
  </si>
  <si>
    <t>ZEBALLOS SALAZAR</t>
  </si>
  <si>
    <t>ZEGALES VIGNOLA</t>
  </si>
  <si>
    <t>IVLIN ADRIANA</t>
  </si>
  <si>
    <t>ZELAES RICALDE</t>
  </si>
  <si>
    <t>KARINE</t>
  </si>
  <si>
    <t>ZENTENO ALARCON</t>
  </si>
  <si>
    <t>ZENTENO LUNA</t>
  </si>
  <si>
    <t>ZENTENO MARTINEZ</t>
  </si>
  <si>
    <t>ZENTENO MEDINA</t>
  </si>
  <si>
    <t>DANIELA GERALDINE</t>
  </si>
  <si>
    <t>ZENTENO RIOS</t>
  </si>
  <si>
    <t>ZENTENO ROCHA</t>
  </si>
  <si>
    <t>VICTOR RUBEN</t>
  </si>
  <si>
    <t>ZERDA JAIMES</t>
  </si>
  <si>
    <t>JHOSELINE DIANA</t>
  </si>
  <si>
    <t>ZOLA ACHO</t>
  </si>
  <si>
    <t>ZOLA BUSTILLOS</t>
  </si>
  <si>
    <t>PABLO CRISTIAN</t>
  </si>
  <si>
    <t>ZUNA CACERES</t>
  </si>
  <si>
    <t>ZURITA AGUILAR</t>
  </si>
  <si>
    <t>ZURITA FARFAN</t>
  </si>
  <si>
    <t>RUTH NOEMI</t>
  </si>
  <si>
    <t>ZURITA MEJIA</t>
  </si>
  <si>
    <t>EVELYN</t>
  </si>
  <si>
    <t>ZURITA OCAÑA</t>
  </si>
  <si>
    <t>SAUL ALBERT</t>
  </si>
  <si>
    <t>ZURITA PONCE</t>
  </si>
  <si>
    <t>ZURITA ROJAS</t>
  </si>
  <si>
    <t>NEISA</t>
  </si>
  <si>
    <t>ZURITA SANDOVAL</t>
  </si>
  <si>
    <t>JUANA</t>
  </si>
  <si>
    <t>ZURITA SANGUEZA</t>
  </si>
  <si>
    <t>HAROLD MIGUEL</t>
  </si>
  <si>
    <t>ZURITA VALLEJOS</t>
  </si>
  <si>
    <t>ZURITA VASQUEZ</t>
  </si>
  <si>
    <t>ZUÑAGUA SOTO</t>
  </si>
  <si>
    <t>CARLA YESENIA</t>
  </si>
  <si>
    <t>ZUÑIGA CHAMBILLA</t>
  </si>
  <si>
    <t>VIANCA LOURDES</t>
  </si>
  <si>
    <t>ZUÑIGA GERONIMO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</si>
</sst>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h:mm:ss"/>
  </numFmts>
  <fonts count="41">
    <font>
      <sz val="10.0"/>
      <color rgb="FF000000"/>
      <name val="Arial"/>
      <scheme val="minor"/>
    </font>
    <font>
      <b/>
      <color rgb="FF000000"/>
      <name val="Arial"/>
    </font>
    <font>
      <b/>
      <color rgb="FF1155CC"/>
      <name val="Arial"/>
    </font>
    <font>
      <color rgb="FF000000"/>
      <name val="Arial"/>
    </font>
    <font>
      <b/>
      <u/>
      <color rgb="FF1155CC"/>
      <name val="Arial"/>
    </font>
    <font>
      <u/>
      <color rgb="FF0000FF"/>
    </font>
    <font>
      <u/>
      <color rgb="FF0000FF"/>
      <name val="Arial"/>
    </font>
    <font>
      <b/>
      <u/>
      <color rgb="FF1155CC"/>
      <name val="Arial"/>
    </font>
    <font>
      <b/>
      <u/>
      <color rgb="FF0000FF"/>
      <name val="Arial"/>
    </font>
    <font>
      <color rgb="FF000000"/>
      <name val="Roboto"/>
    </font>
    <font>
      <b/>
      <u/>
      <color rgb="FF1155CC"/>
      <name val="Arial"/>
    </font>
    <font>
      <u/>
      <color rgb="FF0000FF"/>
      <name val="Arial"/>
    </font>
    <font>
      <color theme="1"/>
      <name val="Arial"/>
      <scheme val="minor"/>
    </font>
    <font>
      <u/>
      <color rgb="FF000000"/>
      <name val="Arial"/>
    </font>
    <font>
      <u/>
      <color rgb="FF1155CC"/>
      <name val="Arial"/>
    </font>
    <font>
      <b/>
      <u/>
      <color rgb="FF1155CC"/>
      <name val="Arial"/>
    </font>
    <font>
      <u/>
      <color rgb="FF0000FF"/>
      <name val="Arial"/>
    </font>
    <font>
      <u/>
      <color rgb="FF000000"/>
      <name val="Arial"/>
    </font>
    <font>
      <u/>
      <color rgb="FF000000"/>
      <name val="Arial"/>
    </font>
    <font>
      <u/>
      <color rgb="FF1155CC"/>
      <name val="Arial"/>
    </font>
    <font>
      <u/>
      <color rgb="FF000000"/>
    </font>
    <font>
      <u/>
      <color rgb="FF1155CC"/>
    </font>
    <font>
      <b/>
      <u/>
      <color rgb="FF1155CC"/>
    </font>
    <font>
      <u/>
      <color rgb="FF1155CC"/>
      <name val="Arial"/>
    </font>
    <font>
      <b/>
      <u/>
      <color rgb="FF1155CC"/>
      <name val="Arial"/>
    </font>
    <font>
      <u/>
      <color rgb="FF0000FF"/>
      <name val="Arial"/>
    </font>
    <font>
      <u/>
      <color rgb="FF0000FF"/>
      <name val="Arial"/>
    </font>
    <font>
      <u/>
      <color rgb="FF3367D6"/>
      <name val="Roboto"/>
    </font>
    <font>
      <u/>
      <color rgb="FF000000"/>
      <name val="Roboto"/>
    </font>
    <font>
      <b/>
      <u/>
      <color rgb="FF1155CC"/>
      <name val="Arial"/>
    </font>
    <font>
      <b/>
      <u/>
      <color rgb="FF1155CC"/>
      <name val="Arial"/>
    </font>
    <font>
      <b/>
      <u/>
      <color rgb="FF1155CC"/>
      <name val="Arial"/>
    </font>
    <font>
      <u/>
      <color rgb="FF0000FF"/>
      <name val="Arial"/>
    </font>
    <font>
      <u/>
      <color rgb="FF000000"/>
      <name val="Arial"/>
    </font>
    <font>
      <u/>
      <color rgb="FF0000FF"/>
      <name val="Arial"/>
    </font>
    <font>
      <u/>
      <color rgb="FF1155CC"/>
      <name val="Arial"/>
    </font>
    <font>
      <b/>
      <u/>
      <color rgb="FF1C4587"/>
      <name val="Arial"/>
    </font>
    <font>
      <b/>
      <color theme="1"/>
      <name val="Arial"/>
      <scheme val="minor"/>
    </font>
    <font>
      <sz val="11.0"/>
      <color rgb="FF000000"/>
      <name val="Calibri"/>
    </font>
    <font>
      <sz val="11.0"/>
      <color rgb="FF000000"/>
      <name val="Inconsolata"/>
    </font>
    <font>
      <b/>
      <color theme="1"/>
      <name val="Arial"/>
    </font>
  </fonts>
  <fills count="7">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FFF00"/>
        <bgColor rgb="FFFFFF00"/>
      </patternFill>
    </fill>
    <fill>
      <patternFill patternType="solid">
        <fgColor rgb="FFFFE599"/>
        <bgColor rgb="FFFFE599"/>
      </patternFill>
    </fill>
    <fill>
      <patternFill patternType="solid">
        <fgColor rgb="FFFF9900"/>
        <bgColor rgb="FFFF99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2" fillId="2" fontId="2" numFmtId="0" xfId="0" applyAlignment="1" applyBorder="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3" fontId="9" numFmtId="0" xfId="0" applyAlignment="1" applyFill="1" applyFont="1">
      <alignment readingOrder="0" shrinkToFit="0" vertical="bottom" wrapText="0"/>
    </xf>
    <xf borderId="0" fillId="4" fontId="3" numFmtId="0" xfId="0" applyAlignment="1" applyFill="1" applyFont="1">
      <alignment horizontal="right" readingOrder="0" shrinkToFit="0" vertical="bottom" wrapText="0"/>
    </xf>
    <xf borderId="0" fillId="4" fontId="3" numFmtId="0" xfId="0" applyAlignment="1" applyFont="1">
      <alignment readingOrder="0" shrinkToFit="0" vertical="bottom" wrapText="0"/>
    </xf>
    <xf borderId="0" fillId="4" fontId="1" numFmtId="0" xfId="0" applyAlignment="1" applyFont="1">
      <alignment readingOrder="0" shrinkToFit="0" vertical="bottom" wrapText="0"/>
    </xf>
    <xf borderId="0" fillId="4" fontId="10" numFmtId="0" xfId="0" applyAlignment="1" applyFont="1">
      <alignment readingOrder="0" shrinkToFit="0" vertical="bottom" wrapText="0"/>
    </xf>
    <xf borderId="0" fillId="4" fontId="11" numFmtId="0" xfId="0" applyAlignment="1" applyFont="1">
      <alignment readingOrder="0" shrinkToFit="0" vertical="bottom" wrapText="0"/>
    </xf>
    <xf borderId="0" fillId="4" fontId="12" numFmtId="0" xfId="0" applyFont="1"/>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3" numFmtId="0" xfId="0" applyAlignment="1" applyFont="1">
      <alignment readingOrder="0" shrinkToFit="0" vertical="bottom" wrapText="0"/>
    </xf>
    <xf borderId="0" fillId="5" fontId="3" numFmtId="0" xfId="0" applyAlignment="1" applyFill="1" applyFont="1">
      <alignment horizontal="right" readingOrder="0" shrinkToFit="0" vertical="bottom" wrapText="0"/>
    </xf>
    <xf borderId="0" fillId="5" fontId="3" numFmtId="0" xfId="0" applyAlignment="1" applyFont="1">
      <alignment readingOrder="0" shrinkToFit="0" vertical="bottom" wrapText="0"/>
    </xf>
    <xf borderId="0" fillId="5" fontId="15" numFmtId="0" xfId="0" applyAlignment="1" applyFont="1">
      <alignment readingOrder="0" shrinkToFit="0" vertical="bottom" wrapText="0"/>
    </xf>
    <xf borderId="0" fillId="5" fontId="16" numFmtId="0" xfId="0" applyAlignment="1" applyFont="1">
      <alignment readingOrder="0" shrinkToFit="0" vertical="bottom" wrapText="0"/>
    </xf>
    <xf borderId="0" fillId="4" fontId="17" numFmtId="0" xfId="0" applyAlignment="1" applyFont="1">
      <alignment readingOrder="0" shrinkToFit="0" vertical="bottom" wrapText="0"/>
    </xf>
    <xf borderId="0" fillId="0" fontId="18" numFmtId="0" xfId="0" applyAlignment="1" applyFont="1">
      <alignment readingOrder="0" shrinkToFit="0" vertical="bottom" wrapText="0"/>
    </xf>
    <xf borderId="0" fillId="0" fontId="19" numFmtId="0" xfId="0" applyAlignment="1" applyFont="1">
      <alignment readingOrder="0" shrinkToFit="0" vertical="bottom" wrapText="0"/>
    </xf>
    <xf borderId="0" fillId="0" fontId="20"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4" fontId="23" numFmtId="0" xfId="0" applyAlignment="1" applyFont="1">
      <alignment readingOrder="0" shrinkToFit="0" vertical="bottom" wrapText="0"/>
    </xf>
    <xf borderId="0" fillId="6" fontId="3" numFmtId="0" xfId="0" applyAlignment="1" applyFill="1" applyFont="1">
      <alignment horizontal="right" readingOrder="0" shrinkToFit="0" vertical="bottom" wrapText="0"/>
    </xf>
    <xf borderId="0" fillId="6" fontId="3" numFmtId="0" xfId="0" applyAlignment="1" applyFont="1">
      <alignment readingOrder="0" shrinkToFit="0" vertical="bottom" wrapText="0"/>
    </xf>
    <xf borderId="0" fillId="6" fontId="1" numFmtId="0" xfId="0" applyAlignment="1" applyFont="1">
      <alignment readingOrder="0" shrinkToFit="0" vertical="bottom" wrapText="0"/>
    </xf>
    <xf borderId="0" fillId="6" fontId="24" numFmtId="0" xfId="0" applyAlignment="1" applyFont="1">
      <alignment readingOrder="0" shrinkToFit="0" vertical="bottom" wrapText="0"/>
    </xf>
    <xf borderId="0" fillId="6" fontId="25" numFmtId="0" xfId="0" applyAlignment="1" applyFont="1">
      <alignment readingOrder="0" shrinkToFit="0" vertical="bottom" wrapText="0"/>
    </xf>
    <xf borderId="0" fillId="6" fontId="12" numFmtId="0" xfId="0" applyFont="1"/>
    <xf borderId="0" fillId="0" fontId="26" numFmtId="0" xfId="0" applyAlignment="1" applyFont="1">
      <alignment readingOrder="0" shrinkToFit="0" vertical="bottom" wrapText="0"/>
    </xf>
    <xf borderId="0" fillId="3" fontId="27" numFmtId="0" xfId="0" applyAlignment="1" applyFont="1">
      <alignment horizontal="left" readingOrder="0"/>
    </xf>
    <xf borderId="0" fillId="0" fontId="28" numFmtId="0" xfId="0" applyAlignment="1" applyFont="1">
      <alignment readingOrder="0"/>
    </xf>
    <xf borderId="0" fillId="0" fontId="29" numFmtId="0" xfId="0" applyAlignment="1" applyFont="1">
      <alignment readingOrder="0" shrinkToFit="0" vertical="bottom" wrapText="0"/>
    </xf>
    <xf borderId="0" fillId="4" fontId="30" numFmtId="0" xfId="0" applyAlignment="1" applyFont="1">
      <alignment readingOrder="0" shrinkToFit="0" vertical="bottom" wrapText="0"/>
    </xf>
    <xf borderId="0" fillId="4" fontId="12" numFmtId="0" xfId="0" applyAlignment="1" applyFont="1">
      <alignment readingOrder="0"/>
    </xf>
    <xf borderId="0" fillId="0" fontId="31" numFmtId="0" xfId="0" applyAlignment="1" applyFont="1">
      <alignment vertical="bottom"/>
    </xf>
    <xf borderId="0" fillId="0" fontId="32" numFmtId="0" xfId="0" applyAlignment="1" applyFont="1">
      <alignment vertical="bottom"/>
    </xf>
    <xf borderId="0" fillId="0" fontId="33" numFmtId="0" xfId="0" applyAlignment="1" applyFont="1">
      <alignment vertical="bottom"/>
    </xf>
    <xf borderId="0" fillId="0" fontId="34" numFmtId="0" xfId="0" applyAlignment="1" applyFont="1">
      <alignment readingOrder="0" shrinkToFit="0" vertical="bottom" wrapText="0"/>
    </xf>
    <xf borderId="0" fillId="0" fontId="35" numFmtId="0" xfId="0" applyAlignment="1" applyFont="1">
      <alignment readingOrder="0" shrinkToFit="0" vertical="bottom" wrapText="0"/>
    </xf>
    <xf borderId="0" fillId="0" fontId="36" numFmtId="0" xfId="0" applyAlignment="1" applyFont="1">
      <alignment readingOrder="0" shrinkToFit="0" vertical="bottom" wrapText="0"/>
    </xf>
    <xf borderId="0" fillId="0" fontId="12" numFmtId="0" xfId="0" applyAlignment="1" applyFont="1">
      <alignment readingOrder="0"/>
    </xf>
    <xf borderId="0" fillId="0" fontId="37" numFmtId="0" xfId="0" applyAlignment="1" applyFont="1">
      <alignment readingOrder="0"/>
    </xf>
    <xf borderId="0" fillId="0" fontId="12" numFmtId="164" xfId="0" applyAlignment="1" applyFont="1" applyNumberFormat="1">
      <alignment readingOrder="0"/>
    </xf>
    <xf borderId="0" fillId="0" fontId="38" numFmtId="0" xfId="0" applyAlignment="1" applyFont="1">
      <alignment readingOrder="0" shrinkToFit="0" vertical="bottom" wrapText="0"/>
    </xf>
    <xf borderId="0" fillId="0" fontId="38" numFmtId="164" xfId="0" applyAlignment="1" applyFont="1" applyNumberFormat="1">
      <alignment horizontal="center" readingOrder="0" shrinkToFit="0" vertical="bottom" wrapText="0"/>
    </xf>
    <xf borderId="0" fillId="0" fontId="38" numFmtId="0" xfId="0" applyAlignment="1" applyFont="1">
      <alignment readingOrder="0" vertical="bottom"/>
    </xf>
    <xf borderId="0" fillId="0" fontId="12" numFmtId="165" xfId="0" applyAlignment="1" applyFont="1" applyNumberFormat="1">
      <alignment readingOrder="0"/>
    </xf>
    <xf borderId="0" fillId="0" fontId="12" numFmtId="0" xfId="0" applyFont="1"/>
    <xf borderId="0" fillId="3" fontId="39" numFmtId="0" xfId="0" applyFont="1"/>
    <xf borderId="0" fillId="0" fontId="40" numFmtId="0" xfId="0" applyAlignment="1" applyFont="1">
      <alignment readingOrder="0" shrinkToFit="0" vertical="bottom" wrapText="0"/>
    </xf>
    <xf borderId="0" fillId="0" fontId="38"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uzyNlkotz59OXp4G43Z8XFMcxCHWT4hz/view?usp=sharing" TargetMode="External"/><Relationship Id="rId391" Type="http://schemas.openxmlformats.org/officeDocument/2006/relationships/hyperlink" Target="https://drive.google.com/file/d/1HGq3HmbG-Be1YtlBNoiNlllqi7x6dJRs/view?usp=sharing" TargetMode="External"/><Relationship Id="rId390" Type="http://schemas.openxmlformats.org/officeDocument/2006/relationships/hyperlink" Target="https://drive.google.com/file/d/1bbe_McAmyXoSuJ5IrJdYuwijDAvSoAk5/view?usp=sharing" TargetMode="External"/><Relationship Id="rId2180" Type="http://schemas.openxmlformats.org/officeDocument/2006/relationships/hyperlink" Target="https://drive.google.com/file/d/1aU2Cz8C_IDj3nnMbjZi9ox74pXfjerE1/view?usp=sharing" TargetMode="External"/><Relationship Id="rId2181" Type="http://schemas.openxmlformats.org/officeDocument/2006/relationships/hyperlink" Target="https://drive.google.com/file/d/1k1U8I5b_Ws5G5QgfuaRFhN9bQHA_Vmfy/view?usp=sharing" TargetMode="External"/><Relationship Id="rId2182" Type="http://schemas.openxmlformats.org/officeDocument/2006/relationships/hyperlink" Target="https://drive.google.com/file/d/1NnBLqVYbsGb-sF_yqoZADscStn90cVYU/view?usp=sharing" TargetMode="External"/><Relationship Id="rId2183" Type="http://schemas.openxmlformats.org/officeDocument/2006/relationships/hyperlink" Target="https://drive.google.com/file/d/1oDK7b5qtWMaV_OpX85dFuN2VIryqMhHd/view?usp=sharing" TargetMode="External"/><Relationship Id="rId385" Type="http://schemas.openxmlformats.org/officeDocument/2006/relationships/hyperlink" Target="https://drive.google.com/file/d/1TeHDnw4890NgrbNG47JTyZqdV_SzftG2/view?usp=sharing" TargetMode="External"/><Relationship Id="rId2184" Type="http://schemas.openxmlformats.org/officeDocument/2006/relationships/hyperlink" Target="https://drive.google.com/file/d/1OZDP_4rrhPKOeJ5SVtgi-LFKr9A9Bnsu/view?usp=sharing" TargetMode="External"/><Relationship Id="rId384" Type="http://schemas.openxmlformats.org/officeDocument/2006/relationships/hyperlink" Target="https://drive.google.com/file/d/1IB8E4DarMj_b_yyI8-qHMCSStifd5cgw/view?usp=sharing" TargetMode="External"/><Relationship Id="rId2185" Type="http://schemas.openxmlformats.org/officeDocument/2006/relationships/hyperlink" Target="https://drive.google.com/file/d/1saE4aLQ_LptyyCq15YhIIbZMjKN3_yDs/view?usp=sharing" TargetMode="External"/><Relationship Id="rId383" Type="http://schemas.openxmlformats.org/officeDocument/2006/relationships/hyperlink" Target="https://drive.google.com/file/d/1xkEypq14WeDauJH0-pFqOWMCJygyhDGF/view?usp=sharing" TargetMode="External"/><Relationship Id="rId2186" Type="http://schemas.openxmlformats.org/officeDocument/2006/relationships/hyperlink" Target="https://drive.google.com/file/d/1WjS5jCztvKJtq7cUWWCNVf7mtCwn5P8-/view?usp=sharing" TargetMode="External"/><Relationship Id="rId382" Type="http://schemas.openxmlformats.org/officeDocument/2006/relationships/hyperlink" Target="https://drive.google.com/file/d/1O4FQfin2kwhzKj1New-UKkih5tZEQwED/view?usp=sharing" TargetMode="External"/><Relationship Id="rId2187" Type="http://schemas.openxmlformats.org/officeDocument/2006/relationships/hyperlink" Target="https://drive.google.com/file/d/1KkA3mXJTihmkoQFNdEKnfX-E_iXFyGBL/view?usp=sharing" TargetMode="External"/><Relationship Id="rId389" Type="http://schemas.openxmlformats.org/officeDocument/2006/relationships/hyperlink" Target="https://drive.google.com/file/d/1XSidMwPSsDpLpZWh7G5AeYVDOHVCSZ9P/view?usp=sharing" TargetMode="External"/><Relationship Id="rId2188" Type="http://schemas.openxmlformats.org/officeDocument/2006/relationships/hyperlink" Target="https://drive.google.com/file/d/1aYUzwwwucikgfkBOWOBaJhQ_dZPvAVpj/view?usp=sharing" TargetMode="External"/><Relationship Id="rId388" Type="http://schemas.openxmlformats.org/officeDocument/2006/relationships/hyperlink" Target="https://drive.google.com/file/d/14HKYw3y_cHFv0ZuQ625cJxHC2ka3x0L9/view?usp=sharing" TargetMode="External"/><Relationship Id="rId2189" Type="http://schemas.openxmlformats.org/officeDocument/2006/relationships/hyperlink" Target="https://drive.google.com/file/d/1JTiHlOG7rl5chLb3UZDfv5c9cHzt8_AR/view?usp=sharing" TargetMode="External"/><Relationship Id="rId387" Type="http://schemas.openxmlformats.org/officeDocument/2006/relationships/hyperlink" Target="https://drive.google.com/file/d/1ikPpJr2JnfkB8HejbA7wqBpQL8zP5gRS/view?usp=sharing" TargetMode="External"/><Relationship Id="rId386" Type="http://schemas.openxmlformats.org/officeDocument/2006/relationships/hyperlink" Target="https://drive.google.com/file/d/1SmrKVDcxFpytiAQ9HFBzWxucLP21U-TA/view?usp=sharing" TargetMode="External"/><Relationship Id="rId381" Type="http://schemas.openxmlformats.org/officeDocument/2006/relationships/hyperlink" Target="https://drive.google.com/file/d/1EMbzWhEXSylmulWqRDfTJU2fFsGx56Ng/view?usp=sharing" TargetMode="External"/><Relationship Id="rId380" Type="http://schemas.openxmlformats.org/officeDocument/2006/relationships/hyperlink" Target="https://drive.google.com/file/d/128voKZ4XGamFR_joN1AuwQinzFDVyYR9/view?usp=sharing" TargetMode="External"/><Relationship Id="rId379" Type="http://schemas.openxmlformats.org/officeDocument/2006/relationships/hyperlink" Target="https://drive.google.com/file/d/1om1v9_B3UMuYcceQ_qspwmAtJ3llC9pj/view?usp=sharing" TargetMode="External"/><Relationship Id="rId2170" Type="http://schemas.openxmlformats.org/officeDocument/2006/relationships/hyperlink" Target="https://drive.google.com/file/d/1sf1C0_KAGvxU2Bt-PrKSpw3cCI3DI61f/view?usp=sharing" TargetMode="External"/><Relationship Id="rId2171" Type="http://schemas.openxmlformats.org/officeDocument/2006/relationships/hyperlink" Target="https://drive.google.com/file/d/1b7F_cpeviQIO3eL4HFov-1-8DQJoIOVa/view?usp=sharing" TargetMode="External"/><Relationship Id="rId2172" Type="http://schemas.openxmlformats.org/officeDocument/2006/relationships/hyperlink" Target="https://drive.google.com/file/d/1u_axFEuJdpKOo7_PGTXlp2f-cTRUE3Dg/view?usp=sharing" TargetMode="External"/><Relationship Id="rId374" Type="http://schemas.openxmlformats.org/officeDocument/2006/relationships/hyperlink" Target="https://drive.google.com/file/d/1fR-X25Ss6WUQIca984RN5U7GI59YoYz_/view?usp=sharing" TargetMode="External"/><Relationship Id="rId2173" Type="http://schemas.openxmlformats.org/officeDocument/2006/relationships/hyperlink" Target="https://drive.google.com/file/d/1Ou0ati84q_Jh5HPPdWkexDLHwnsiVt6F/view?usp=sharing" TargetMode="External"/><Relationship Id="rId373" Type="http://schemas.openxmlformats.org/officeDocument/2006/relationships/hyperlink" Target="https://drive.google.com/file/d/1npdqZ_WlY12NOXWhM7bVc9hIg3sXVImg/view?usp=sharing" TargetMode="External"/><Relationship Id="rId2174" Type="http://schemas.openxmlformats.org/officeDocument/2006/relationships/hyperlink" Target="https://drive.google.com/file/d/1gkbicZQxw49m3vvV8Cu_iVjAPnVTrEpg/view?usp=sharing" TargetMode="External"/><Relationship Id="rId372" Type="http://schemas.openxmlformats.org/officeDocument/2006/relationships/hyperlink" Target="https://drive.google.com/file/d/1xlgSI-I0BMz0RFgSzVg38vGOGK9_xjUt/view?usp=sharing" TargetMode="External"/><Relationship Id="rId2175" Type="http://schemas.openxmlformats.org/officeDocument/2006/relationships/hyperlink" Target="https://drive.google.com/file/d/1GsMnwMat69PQBxP9hfah_msNQbHV46WS/view?usp=sharing" TargetMode="External"/><Relationship Id="rId371" Type="http://schemas.openxmlformats.org/officeDocument/2006/relationships/hyperlink" Target="https://drive.google.com/file/d/1JehO0-BJorVdQcFyGrMr_C6El_N_b3ib/view?usp=sharing" TargetMode="External"/><Relationship Id="rId2176" Type="http://schemas.openxmlformats.org/officeDocument/2006/relationships/hyperlink" Target="https://drive.google.com/file/d/15Q_899FmMXqz0Rpisa6lh556L56WHqgY/view?usp=sharing" TargetMode="External"/><Relationship Id="rId378" Type="http://schemas.openxmlformats.org/officeDocument/2006/relationships/hyperlink" Target="https://drive.google.com/file/d/1knA4Ed4mq5FJ5HOmBzbt7pJ23N-hbPBv/view?usp=sharing" TargetMode="External"/><Relationship Id="rId2177" Type="http://schemas.openxmlformats.org/officeDocument/2006/relationships/hyperlink" Target="https://drive.google.com/file/d/1aAp_wRnvNIH3A28qsWNhaEBXcu0GZtva/view?usp=sharing" TargetMode="External"/><Relationship Id="rId377" Type="http://schemas.openxmlformats.org/officeDocument/2006/relationships/hyperlink" Target="https://drive.google.com/file/d/1ZGxlpgRbyl9BWk798mnyVxDnMpJvFRJo/view?usp=sharing" TargetMode="External"/><Relationship Id="rId2178" Type="http://schemas.openxmlformats.org/officeDocument/2006/relationships/hyperlink" Target="https://drive.google.com/file/d/1qCjP_K271OmhGRGrdVFSgfk26-q26eXH/view?usp=sharing" TargetMode="External"/><Relationship Id="rId376" Type="http://schemas.openxmlformats.org/officeDocument/2006/relationships/hyperlink" Target="https://drive.google.com/file/d/1nHdbJfmFmBvKjIRdfRRm2wIVydkUGncV/view?usp=sharing" TargetMode="External"/><Relationship Id="rId2179" Type="http://schemas.openxmlformats.org/officeDocument/2006/relationships/hyperlink" Target="https://drive.google.com/file/d/1bAsqy_0lM-8wcFn9swHkIIBQCMXx5DWu/view?usp=sharing" TargetMode="External"/><Relationship Id="rId375" Type="http://schemas.openxmlformats.org/officeDocument/2006/relationships/hyperlink" Target="https://drive.google.com/file/d/1-h03VQGC2cQNAT7JSmaoVaAHrx3QL6eb/view?usp=sharing" TargetMode="External"/><Relationship Id="rId2190" Type="http://schemas.openxmlformats.org/officeDocument/2006/relationships/hyperlink" Target="https://drive.google.com/file/d/1GwNaaMjcSLml2wf4wg7s4wByH6gtbnwV/view?usp=sharing" TargetMode="External"/><Relationship Id="rId2191" Type="http://schemas.openxmlformats.org/officeDocument/2006/relationships/hyperlink" Target="https://drive.google.com/file/d/1ra6BwqjONqC-tuKYMhZYR4ZLnnprVtVw/view?usp=sharing" TargetMode="External"/><Relationship Id="rId2192" Type="http://schemas.openxmlformats.org/officeDocument/2006/relationships/hyperlink" Target="https://drive.google.com/file/d/1ag6J6vbcVd1onU737WtO8bTpaIxeSwwb/view?usp=sharing" TargetMode="External"/><Relationship Id="rId2193" Type="http://schemas.openxmlformats.org/officeDocument/2006/relationships/hyperlink" Target="https://drive.google.com/file/d/1gAV70FK_7bKWLmvD1Ma-TOZt_mh3gbVW/view?usp=sharing" TargetMode="External"/><Relationship Id="rId2194" Type="http://schemas.openxmlformats.org/officeDocument/2006/relationships/hyperlink" Target="https://drive.google.com/file/d/1raOBTOett-qdtnXpLrfZrG5YgPgzCA5f/view?usp=sharing" TargetMode="External"/><Relationship Id="rId396" Type="http://schemas.openxmlformats.org/officeDocument/2006/relationships/hyperlink" Target="https://drive.google.com/file/d/1GYBdyOQPOYBrgvqopiJx5zf1AJTo1AiS/view?usp=sharing" TargetMode="External"/><Relationship Id="rId2195" Type="http://schemas.openxmlformats.org/officeDocument/2006/relationships/hyperlink" Target="https://drive.google.com/file/d/1UKwO77ky54hWFcpCt_JDfZU4efK3BMVz/view?usp=sharing" TargetMode="External"/><Relationship Id="rId395" Type="http://schemas.openxmlformats.org/officeDocument/2006/relationships/hyperlink" Target="https://drive.google.com/file/d/1iKUkbUdmd_4kPhkuAS5sAbKMrWl-CfQL/view?usp=sharing" TargetMode="External"/><Relationship Id="rId2196" Type="http://schemas.openxmlformats.org/officeDocument/2006/relationships/hyperlink" Target="https://drive.google.com/file/d/1V8KwWdKZ0pvvjSwrxeWx6AUcSW-Ns421/view?usp=sharing" TargetMode="External"/><Relationship Id="rId394" Type="http://schemas.openxmlformats.org/officeDocument/2006/relationships/hyperlink" Target="https://drive.google.com/file/d/12dNef7kOnHcXwgQmWWg9YeWANPXfjihm/view?usp=sharing" TargetMode="External"/><Relationship Id="rId2197" Type="http://schemas.openxmlformats.org/officeDocument/2006/relationships/hyperlink" Target="https://drive.google.com/file/d/1BWUHR7jII_RHTUeSd-qFjasHIzep8wxm/view?usp=sharing" TargetMode="External"/><Relationship Id="rId393" Type="http://schemas.openxmlformats.org/officeDocument/2006/relationships/hyperlink" Target="https://drive.google.com/file/d/1FApZZSmQG5BK3J606_pAzr3ik169aQKU/view?usp=sharing" TargetMode="External"/><Relationship Id="rId2198" Type="http://schemas.openxmlformats.org/officeDocument/2006/relationships/hyperlink" Target="https://drive.google.com/file/d/1NSuzG0QNCA8tRGQvRvYCTwn4VeX9yk9m/view?usp=sharing" TargetMode="External"/><Relationship Id="rId2199" Type="http://schemas.openxmlformats.org/officeDocument/2006/relationships/hyperlink" Target="https://drive.google.com/file/d/1i1bwUhWJ7VyYMCoGAwAZ0n2z2QNtNe-D/view?usp=sharing" TargetMode="External"/><Relationship Id="rId399" Type="http://schemas.openxmlformats.org/officeDocument/2006/relationships/hyperlink" Target="https://drive.google.com/file/d/1O3kxDYXe497QfoqnfW1zTyMXLM5jVpE3/view?usp=sharing" TargetMode="External"/><Relationship Id="rId398" Type="http://schemas.openxmlformats.org/officeDocument/2006/relationships/hyperlink" Target="https://drive.google.com/file/d/1rlgWI06dQH7IWgFGi58CK9Rf_sSOogGN/view?usp=sharing" TargetMode="External"/><Relationship Id="rId397" Type="http://schemas.openxmlformats.org/officeDocument/2006/relationships/hyperlink" Target="https://drive.google.com/file/d/1MMuVHKJIyGDocIi_vUitKIsCk_voS53y/view?usp=sharing" TargetMode="External"/><Relationship Id="rId1730" Type="http://schemas.openxmlformats.org/officeDocument/2006/relationships/hyperlink" Target="https://drive.google.com/file/d/1vaPxgcyiNn7hxMTfVi4iQNQnAJmbWvZ7/view?usp=sharing" TargetMode="External"/><Relationship Id="rId1731" Type="http://schemas.openxmlformats.org/officeDocument/2006/relationships/hyperlink" Target="https://drive.google.com/file/d/1ex3EVk0tq-6tt_yUkdjR3xe8rtirIuSK/view?usp=sharing" TargetMode="External"/><Relationship Id="rId1732" Type="http://schemas.openxmlformats.org/officeDocument/2006/relationships/hyperlink" Target="https://drive.google.com/file/d/13oQxWnF_iT3tS-dx7lLtb9nkwUFEwSmc/view?usp=sharing" TargetMode="External"/><Relationship Id="rId1733" Type="http://schemas.openxmlformats.org/officeDocument/2006/relationships/hyperlink" Target="https://drive.google.com/file/d/1gwUPMx-lImL0HfIFKU8xQyKmCwrwn9c6/view?usp=sharing" TargetMode="External"/><Relationship Id="rId1734" Type="http://schemas.openxmlformats.org/officeDocument/2006/relationships/hyperlink" Target="https://drive.google.com/file/d/1RaLOgHKOe2-dP3c1AswMZMButWegE3-M/view?usp=sharing" TargetMode="External"/><Relationship Id="rId1735" Type="http://schemas.openxmlformats.org/officeDocument/2006/relationships/hyperlink" Target="https://drive.google.com/file/d/1X7BbFJ7jgU3sKbqhJS6tyenYZTJDQoM7/view?usp=sharing" TargetMode="External"/><Relationship Id="rId1736" Type="http://schemas.openxmlformats.org/officeDocument/2006/relationships/hyperlink" Target="https://drive.google.com/file/d/19-Lo-I1yQ4MZ3MPmLSlKBT54dKYrCDuz/view?usp=sharing" TargetMode="External"/><Relationship Id="rId1737" Type="http://schemas.openxmlformats.org/officeDocument/2006/relationships/hyperlink" Target="https://drive.google.com/file/d/15GpzV3M51LcmXz27n8CQuwcqQpGafnm1/view?usp=sharing" TargetMode="External"/><Relationship Id="rId1738" Type="http://schemas.openxmlformats.org/officeDocument/2006/relationships/hyperlink" Target="https://drive.google.com/file/d/1VKsCLPTAzSLJ-pOBCNUPtoYt7WD6nvfk/view?usp=sharing" TargetMode="External"/><Relationship Id="rId1739" Type="http://schemas.openxmlformats.org/officeDocument/2006/relationships/hyperlink" Target="https://drive.google.com/file/d/1tab0gxWnWNSLRLD93b1Jlg8xfd_cIF8B/view?usp=sharing" TargetMode="External"/><Relationship Id="rId1720" Type="http://schemas.openxmlformats.org/officeDocument/2006/relationships/hyperlink" Target="https://drive.google.com/file/d/1ZaKX0Vqg4wkCy1leCVYsP6ENuaZ7vhWG/view?usp=sharing" TargetMode="External"/><Relationship Id="rId1721" Type="http://schemas.openxmlformats.org/officeDocument/2006/relationships/hyperlink" Target="https://drive.google.com/file/d/10CbscmE_KabJPITWBVhq3DzqhJRFvA99/view?usp=sharing" TargetMode="External"/><Relationship Id="rId1722" Type="http://schemas.openxmlformats.org/officeDocument/2006/relationships/hyperlink" Target="https://drive.google.com/file/d/1NAgXy8vfZ04y2JmNpDhZgv5qJkFRFGW0/view?usp=sharing" TargetMode="External"/><Relationship Id="rId1723" Type="http://schemas.openxmlformats.org/officeDocument/2006/relationships/hyperlink" Target="https://drive.google.com/file/d/15OWHHTAQZnJqxPIgg5bU_YZWyXMBeANM/view?usp=sharing" TargetMode="External"/><Relationship Id="rId1724" Type="http://schemas.openxmlformats.org/officeDocument/2006/relationships/hyperlink" Target="https://drive.google.com/file/d/10KhqKivjp9M7B-8wg-i4luXCADCiBTEX/view?usp=sharing" TargetMode="External"/><Relationship Id="rId1725" Type="http://schemas.openxmlformats.org/officeDocument/2006/relationships/hyperlink" Target="https://drive.google.com/file/d/1CP2TDishUiPt3hhQC0ZaSKiulOCb_KhA/view?usp=sharing" TargetMode="External"/><Relationship Id="rId1726" Type="http://schemas.openxmlformats.org/officeDocument/2006/relationships/hyperlink" Target="https://drive.google.com/file/d/1GuS_wR9k_ihxBUi3YEeHQUBgSPGD4yRd/view?usp=sharing" TargetMode="External"/><Relationship Id="rId1727" Type="http://schemas.openxmlformats.org/officeDocument/2006/relationships/hyperlink" Target="https://drive.google.com/file/d/1Hl3hXRyoh-fRNEMusgPZMNicVs1BOm9h/view?usp=sharing" TargetMode="External"/><Relationship Id="rId1728" Type="http://schemas.openxmlformats.org/officeDocument/2006/relationships/hyperlink" Target="https://drive.google.com/file/d/1wyoD0bNELnxMf3MP6b09pEMJ72rlFy6x/view?usp=sharing" TargetMode="External"/><Relationship Id="rId1729" Type="http://schemas.openxmlformats.org/officeDocument/2006/relationships/hyperlink" Target="https://drive.google.com/file/d/1r487m-9cfPlVlK7F5dKLEM6TsK4ETh36/view?usp=sharing" TargetMode="External"/><Relationship Id="rId1752" Type="http://schemas.openxmlformats.org/officeDocument/2006/relationships/hyperlink" Target="https://drive.google.com/file/d/16uGgNZAXF-PE_iBVIs6W2SmKAZkFA4Vc/view?usp=sharing" TargetMode="External"/><Relationship Id="rId1753" Type="http://schemas.openxmlformats.org/officeDocument/2006/relationships/hyperlink" Target="https://drive.google.com/file/d/1Lu7azCdLtIIALHCVWbz8LGmjY59X9u9L/view?usp=sharing" TargetMode="External"/><Relationship Id="rId1754" Type="http://schemas.openxmlformats.org/officeDocument/2006/relationships/hyperlink" Target="https://drive.google.com/file/d/1u_IKUPERdM_KuZ1xL1pB7DXj5v8cbJMD/view?usp=sharing" TargetMode="External"/><Relationship Id="rId1755" Type="http://schemas.openxmlformats.org/officeDocument/2006/relationships/hyperlink" Target="https://drive.google.com/file/d/1tl57lHSN-7cXg8kw9OfA_e9ikeBtixKB/view?usp=sharing" TargetMode="External"/><Relationship Id="rId1756" Type="http://schemas.openxmlformats.org/officeDocument/2006/relationships/hyperlink" Target="https://drive.google.com/file/d/1xS15xath7Yrnc7gGwmzm1FguUY3dBuf2/view?usp=sharing" TargetMode="External"/><Relationship Id="rId1757" Type="http://schemas.openxmlformats.org/officeDocument/2006/relationships/hyperlink" Target="https://drive.google.com/file/d/1R4YMkLew9ClwT7WvbIbMRJDqOyH4aC5P/view?usp=sharing" TargetMode="External"/><Relationship Id="rId1758" Type="http://schemas.openxmlformats.org/officeDocument/2006/relationships/hyperlink" Target="https://drive.google.com/file/d/1bjAzTL3lrCVTzT6QyvRn1C9hRn4VZGtA/view?usp=sharing" TargetMode="External"/><Relationship Id="rId1759" Type="http://schemas.openxmlformats.org/officeDocument/2006/relationships/hyperlink" Target="https://drive.google.com/file/d/1beuMA90yzdsLvUqLFBA0tmf0qDAcKNoZ/view?usp=sharing" TargetMode="External"/><Relationship Id="rId1750" Type="http://schemas.openxmlformats.org/officeDocument/2006/relationships/hyperlink" Target="https://drive.google.com/file/d/1rjeblxyMIBkrjn_DL59T5UVcUQT723oo/view?usp=sharing" TargetMode="External"/><Relationship Id="rId1751" Type="http://schemas.openxmlformats.org/officeDocument/2006/relationships/hyperlink" Target="https://drive.google.com/file/d/1c5EETDRiuGVxfivqXatq9e2ry-p-2gCn/view?usp=sharing" TargetMode="External"/><Relationship Id="rId1741" Type="http://schemas.openxmlformats.org/officeDocument/2006/relationships/hyperlink" Target="https://drive.google.com/file/d/1k4d5nMQJ8OsfhMEJfROFPla9hGNnJpWY/view?usp=sharing" TargetMode="External"/><Relationship Id="rId1742" Type="http://schemas.openxmlformats.org/officeDocument/2006/relationships/hyperlink" Target="https://drive.google.com/file/d/1dAq-6IhuuID4e4JKV_3ewOp7AGIbaY1Q/view?usp=sharing" TargetMode="External"/><Relationship Id="rId1743" Type="http://schemas.openxmlformats.org/officeDocument/2006/relationships/hyperlink" Target="https://drive.google.com/file/d/1Ydi-GO0hZr1SAkN_wq4nKZQNfrEXSDP7/view?usp=sharing" TargetMode="External"/><Relationship Id="rId1744" Type="http://schemas.openxmlformats.org/officeDocument/2006/relationships/hyperlink" Target="https://drive.google.com/file/d/1FvYLDxGZUY9n9GGxzbC2XuIS-Llt2R4H/view?usp=sharing" TargetMode="External"/><Relationship Id="rId1745" Type="http://schemas.openxmlformats.org/officeDocument/2006/relationships/hyperlink" Target="https://drive.google.com/file/d/1lnVOOOr7_12hT1rKVAIUgIdommOwtXom/view?usp=sharing" TargetMode="External"/><Relationship Id="rId1746" Type="http://schemas.openxmlformats.org/officeDocument/2006/relationships/hyperlink" Target="https://drive.google.com/file/d/1Pg-XExsd2Vb7XsnXlsZWstlzN1K_qtH9/view?usp=sharing" TargetMode="External"/><Relationship Id="rId1747" Type="http://schemas.openxmlformats.org/officeDocument/2006/relationships/hyperlink" Target="https://drive.google.com/file/d/16zSkxMifEASJRBoQp4mrptlJi4kQtMOn/view?usp=sharing" TargetMode="External"/><Relationship Id="rId1748" Type="http://schemas.openxmlformats.org/officeDocument/2006/relationships/hyperlink" Target="https://drive.google.com/file/d/1egCaCY8kfmJDVt_pCG66sylkHEm_ZZvl/view?usp=sharing" TargetMode="External"/><Relationship Id="rId1749" Type="http://schemas.openxmlformats.org/officeDocument/2006/relationships/hyperlink" Target="https://drive.google.com/file/d/1H3sIqEV8paOIimQ-zovXh_9CqdrWTLHI/view?usp=sharing" TargetMode="External"/><Relationship Id="rId1740" Type="http://schemas.openxmlformats.org/officeDocument/2006/relationships/hyperlink" Target="https://drive.google.com/file/d/1QdWgXmYH15Fj7I1rD3CgDfHAKn63JHGb/view?usp=sharing" TargetMode="External"/><Relationship Id="rId1710" Type="http://schemas.openxmlformats.org/officeDocument/2006/relationships/hyperlink" Target="https://drive.google.com/file/d/10HGCHYC2kHzDJWO4mvgqALhHj0VZAK7L/view?usp=sharing" TargetMode="External"/><Relationship Id="rId1711" Type="http://schemas.openxmlformats.org/officeDocument/2006/relationships/hyperlink" Target="https://drive.google.com/file/d/1Z1J3WXSY4pNwgZzndQcsyCKcVbDS2HcQ/view?usp=sharing" TargetMode="External"/><Relationship Id="rId1712" Type="http://schemas.openxmlformats.org/officeDocument/2006/relationships/hyperlink" Target="https://drive.google.com/file/d/1Mw-8bViH7vBSE-oB6RdKCmKMjMKgVrIp/view?usp=sharing" TargetMode="External"/><Relationship Id="rId1713" Type="http://schemas.openxmlformats.org/officeDocument/2006/relationships/hyperlink" Target="https://drive.google.com/file/d/1_7rrw9xbFLL2SjQ6iHe3Jil5rmBdyviu/view?usp=sharing" TargetMode="External"/><Relationship Id="rId1714" Type="http://schemas.openxmlformats.org/officeDocument/2006/relationships/hyperlink" Target="https://drive.google.com/file/d/15kLyv-wTHPNn0qBHqb8A6EgX8MtPCqJ2/view?usp=sharing" TargetMode="External"/><Relationship Id="rId1715" Type="http://schemas.openxmlformats.org/officeDocument/2006/relationships/hyperlink" Target="https://drive.google.com/file/d/1X1KyyEl_p_UlXoPTaE2PkBeXuwt1yp7l/view?usp=sharing" TargetMode="External"/><Relationship Id="rId1716" Type="http://schemas.openxmlformats.org/officeDocument/2006/relationships/hyperlink" Target="https://drive.google.com/file/d/1-IzhWUBCebZ8QaU-SZeGVH43Vl5qh7ut/view?usp=sharing" TargetMode="External"/><Relationship Id="rId1717" Type="http://schemas.openxmlformats.org/officeDocument/2006/relationships/hyperlink" Target="https://drive.google.com/file/d/1vTJ4e0VK8UfGwWobPbt2K_peeL4pVOYD/view?usp=sharing" TargetMode="External"/><Relationship Id="rId1718" Type="http://schemas.openxmlformats.org/officeDocument/2006/relationships/hyperlink" Target="https://drive.google.com/file/d/1PA0C0T8KB-hF1KIbsD15fLlWJlRDz5WS/view?usp=sharing" TargetMode="External"/><Relationship Id="rId1719" Type="http://schemas.openxmlformats.org/officeDocument/2006/relationships/hyperlink" Target="https://drive.google.com/file/d/1MZlweceRGE3QViPpjuoutomPsZqTz9f-/view?usp=sharing" TargetMode="External"/><Relationship Id="rId1700" Type="http://schemas.openxmlformats.org/officeDocument/2006/relationships/hyperlink" Target="https://drive.google.com/file/d/1KKSzZdu9Pf1gygVxzJHM8u3XfasQhzYE/view?usp=sharing" TargetMode="External"/><Relationship Id="rId1701" Type="http://schemas.openxmlformats.org/officeDocument/2006/relationships/hyperlink" Target="https://drive.google.com/file/d/1Q1tiy1Xb8aeYjS-NpJCshmfPMPX-WAwJ/view?usp=sharing" TargetMode="External"/><Relationship Id="rId1702" Type="http://schemas.openxmlformats.org/officeDocument/2006/relationships/hyperlink" Target="https://drive.google.com/file/d/1ve5m5lSnbqzscwdur9jgydrkc_VLOpGw/view?usp=sharing" TargetMode="External"/><Relationship Id="rId1703" Type="http://schemas.openxmlformats.org/officeDocument/2006/relationships/hyperlink" Target="https://drive.google.com/file/d/14osMt4Eeulwxvhp7CsTb9gF_MInglKh9/view?usp=sharing" TargetMode="External"/><Relationship Id="rId1704" Type="http://schemas.openxmlformats.org/officeDocument/2006/relationships/hyperlink" Target="https://drive.google.com/file/d/1vkdbdTbGDjrWQ0D5MmcPeeD9rw1jfYmn/view?usp=sharing" TargetMode="External"/><Relationship Id="rId1705" Type="http://schemas.openxmlformats.org/officeDocument/2006/relationships/hyperlink" Target="https://drive.google.com/file/d/1nQkA8w6stkyIJXHYuGBK41OiXFbbyuT6/view?usp=sharing" TargetMode="External"/><Relationship Id="rId1706" Type="http://schemas.openxmlformats.org/officeDocument/2006/relationships/hyperlink" Target="https://drive.google.com/file/d/1eGkDoMS-885N4l85jN1DBaLTXPlLAjZC/view?usp=sharing" TargetMode="External"/><Relationship Id="rId1707" Type="http://schemas.openxmlformats.org/officeDocument/2006/relationships/hyperlink" Target="https://drive.google.com/file/d/1TJ1J6HEMO86suK-S3U_KWQBKKa1Q89RH/view?usp=sharing" TargetMode="External"/><Relationship Id="rId1708" Type="http://schemas.openxmlformats.org/officeDocument/2006/relationships/hyperlink" Target="https://drive.google.com/file/d/12HOE8uyiNJ6oKaFZeVvQS8Y8KCy03Dm8/view?usp=sharing" TargetMode="External"/><Relationship Id="rId1709" Type="http://schemas.openxmlformats.org/officeDocument/2006/relationships/hyperlink" Target="https://drive.google.com/file/d/1KgoR2TV_Ci6CcaLyaH-OgwbdP3IG4TTo/view?usp=sharing" TargetMode="External"/><Relationship Id="rId40" Type="http://schemas.openxmlformats.org/officeDocument/2006/relationships/hyperlink" Target="https://drive.google.com/file/d/1hE3HVsLXlLbIirneq6ll7GDyFsOgu35M/view?usp=sharing" TargetMode="External"/><Relationship Id="rId42" Type="http://schemas.openxmlformats.org/officeDocument/2006/relationships/hyperlink" Target="https://drive.google.com/file/d/1eqjktKi_OlZlnAXElsXHWZRQ13MXvCu9/view?usp=sharing" TargetMode="External"/><Relationship Id="rId41" Type="http://schemas.openxmlformats.org/officeDocument/2006/relationships/hyperlink" Target="https://drive.google.com/file/d/1AL_qJKgloR6PvLlBsizFw9fCxasr5yJh/view?usp=sharing" TargetMode="External"/><Relationship Id="rId44" Type="http://schemas.openxmlformats.org/officeDocument/2006/relationships/hyperlink" Target="https://drive.google.com/file/d/1bQkVJIjWwFH5UfudPOL3ZJXHm4-O546z/view?usp=sharing" TargetMode="External"/><Relationship Id="rId43" Type="http://schemas.openxmlformats.org/officeDocument/2006/relationships/hyperlink" Target="https://drive.google.com/file/d/12TIqYspAx-DuAIYBxZ9Jl0wENmfVp7Yn/view?usp=sharing" TargetMode="External"/><Relationship Id="rId46" Type="http://schemas.openxmlformats.org/officeDocument/2006/relationships/hyperlink" Target="https://drive.google.com/file/d/18VtTuxozPywWDszQFnrxzNl0mzp9MSXL/view?usp=sharing" TargetMode="External"/><Relationship Id="rId45" Type="http://schemas.openxmlformats.org/officeDocument/2006/relationships/hyperlink" Target="https://drive.google.com/file/d/12siTzR7pe0kBS0bjD6Idg9CLKTHrVCyQ/view?usp=sharing" TargetMode="External"/><Relationship Id="rId48" Type="http://schemas.openxmlformats.org/officeDocument/2006/relationships/hyperlink" Target="https://drive.google.com/file/d/1ZSclH0aIMVrJizKRtGkDXdvz4ID13_E2/view?usp=sharing" TargetMode="External"/><Relationship Id="rId47" Type="http://schemas.openxmlformats.org/officeDocument/2006/relationships/hyperlink" Target="https://drive.google.com/file/d/1qLARBaOcUZie6vtZkiQwk3j7Mv1jFWGK/view?usp=sharing" TargetMode="External"/><Relationship Id="rId49" Type="http://schemas.openxmlformats.org/officeDocument/2006/relationships/hyperlink" Target="https://drive.google.com/file/d/1cLwgqqWh7wH1wqaE0-Q_P2zwiigzbnuH/view?usp=sharing" TargetMode="External"/><Relationship Id="rId31" Type="http://schemas.openxmlformats.org/officeDocument/2006/relationships/hyperlink" Target="https://drive.google.com/file/d/1rh0x1pZOURceoSo3zxsv_QHKqmFjZhRV/view?usp=sharing" TargetMode="External"/><Relationship Id="rId30" Type="http://schemas.openxmlformats.org/officeDocument/2006/relationships/hyperlink" Target="https://drive.google.com/file/d/1HfiWRGWkBoMsDFmjqDyMKUWhsqTweSWJ/view?usp=sharing" TargetMode="External"/><Relationship Id="rId33" Type="http://schemas.openxmlformats.org/officeDocument/2006/relationships/hyperlink" Target="https://drive.google.com/file/d/1Pb_sBI13A7Tp28tBOveLllldLrvb3YTa/view?usp=sharing" TargetMode="External"/><Relationship Id="rId32" Type="http://schemas.openxmlformats.org/officeDocument/2006/relationships/hyperlink" Target="https://drive.google.com/file/d/1nqs7-oHNhWpBdOijdJgXL68SqRBSqrk1/view?usp=sharing" TargetMode="External"/><Relationship Id="rId35" Type="http://schemas.openxmlformats.org/officeDocument/2006/relationships/hyperlink" Target="https://drive.google.com/file/d/1AdHdkMBrIQaQTWwHpC0_c3cjNY9s9Ohc/view?usp=sharing" TargetMode="External"/><Relationship Id="rId34" Type="http://schemas.openxmlformats.org/officeDocument/2006/relationships/hyperlink" Target="https://drive.google.com/file/d/1oL9rKT8bcq-yYuq6OAIF7pmtYXpovc4K/view?usp=sharing" TargetMode="External"/><Relationship Id="rId37" Type="http://schemas.openxmlformats.org/officeDocument/2006/relationships/hyperlink" Target="https://drive.google.com/file/d/1XWFIS3jEivw_OQdqxrrTZ0sgjSoIhIS0/view?usp=sharing" TargetMode="External"/><Relationship Id="rId36" Type="http://schemas.openxmlformats.org/officeDocument/2006/relationships/hyperlink" Target="https://drive.google.com/file/d/1B6tg3EWLrCeSikR1TjqGNiAotFpV7Hd6/view?usp=sharing" TargetMode="External"/><Relationship Id="rId39" Type="http://schemas.openxmlformats.org/officeDocument/2006/relationships/hyperlink" Target="https://drive.google.com/file/d/1ZnxUxUkeL4LuwLC94yhEbClwadfor_uL/view?usp=sharing" TargetMode="External"/><Relationship Id="rId38" Type="http://schemas.openxmlformats.org/officeDocument/2006/relationships/hyperlink" Target="https://drive.google.com/file/d/17S2qhT0Ph9nSUkyOyl4o7jQ0rYKda64X/view?usp=sharing" TargetMode="External"/><Relationship Id="rId2203" Type="http://schemas.openxmlformats.org/officeDocument/2006/relationships/hyperlink" Target="https://drive.google.com/file/d/1X2A2yykpkNPcApoMeVYpRtn2w_YCCWwv/view?usp=sharing" TargetMode="External"/><Relationship Id="rId2204" Type="http://schemas.openxmlformats.org/officeDocument/2006/relationships/hyperlink" Target="https://drive.google.com/file/d/14r1paqcVF4A0vKqQkQazaN4kFObam8ot/view?usp=sharing" TargetMode="External"/><Relationship Id="rId20" Type="http://schemas.openxmlformats.org/officeDocument/2006/relationships/hyperlink" Target="https://drive.google.com/file/d/17BJjAOb_A3bOyl3Mc9o9SNnuV_MQX0AW/view?usp=sharing" TargetMode="External"/><Relationship Id="rId2205" Type="http://schemas.openxmlformats.org/officeDocument/2006/relationships/hyperlink" Target="https://drive.google.com/file/d/1yIhNgrn97ACHWyfYrjwMBindMEelSc0a/view?usp=sharing" TargetMode="External"/><Relationship Id="rId2206" Type="http://schemas.openxmlformats.org/officeDocument/2006/relationships/hyperlink" Target="https://drive.google.com/file/d/1BMsHENmfeeuvqmHFkjQL9o8WbnV0xsN6/view?usp=sharing" TargetMode="External"/><Relationship Id="rId22" Type="http://schemas.openxmlformats.org/officeDocument/2006/relationships/hyperlink" Target="https://drive.google.com/file/d/13JVmTj-S_OP_k27eLxz36w-DHTZkGVff/view?usp=sharing" TargetMode="External"/><Relationship Id="rId2207" Type="http://schemas.openxmlformats.org/officeDocument/2006/relationships/hyperlink" Target="https://drive.google.com/file/d/1a07LVh9yHLKg7bUhEx-hQkbd4OhwWYxl/view?usp=sharing" TargetMode="External"/><Relationship Id="rId21" Type="http://schemas.openxmlformats.org/officeDocument/2006/relationships/hyperlink" Target="https://drive.google.com/file/d/1zq3TKDAftwx8WZpIn9BILtD8tR9GYfoG/view?usp=sharing" TargetMode="External"/><Relationship Id="rId2208" Type="http://schemas.openxmlformats.org/officeDocument/2006/relationships/hyperlink" Target="https://drive.google.com/file/d/1j60dvM6zpr3V3eNlIhiqMT5aV1szsSxa/view?usp=sharing" TargetMode="External"/><Relationship Id="rId24" Type="http://schemas.openxmlformats.org/officeDocument/2006/relationships/hyperlink" Target="https://drive.google.com/file/d/1Yy6VM8GvMAkSIx5inj329DLHWPgcjn4U/view?usp=sharing" TargetMode="External"/><Relationship Id="rId2209" Type="http://schemas.openxmlformats.org/officeDocument/2006/relationships/hyperlink" Target="https://drive.google.com/file/d/1_7e1gcnyxSWyu7tPmg-gyBnXfpjJY9AI/view?usp=sharing" TargetMode="External"/><Relationship Id="rId23" Type="http://schemas.openxmlformats.org/officeDocument/2006/relationships/hyperlink" Target="https://drive.google.com/file/d/1heG-d91w_Gayg6K3QmdJAlFLyX6XBD6l/view?usp=sharing" TargetMode="External"/><Relationship Id="rId26" Type="http://schemas.openxmlformats.org/officeDocument/2006/relationships/hyperlink" Target="https://drive.google.com/file/d/1VeF4PVjqE4v9OTR_Nxh9TAHtqZnjSjn5/view?usp=sharing" TargetMode="External"/><Relationship Id="rId25" Type="http://schemas.openxmlformats.org/officeDocument/2006/relationships/hyperlink" Target="https://drive.google.com/file/d/1M9xRzg_u-64hfFJVvtVRJ6LSrFKiOCd6/view?usp=sharing" TargetMode="External"/><Relationship Id="rId28" Type="http://schemas.openxmlformats.org/officeDocument/2006/relationships/hyperlink" Target="https://drive.google.com/file/d/1A0oV0mQw17oQVJ0Aaxu_n7XRqlXFF1aU/view?usp=sharing" TargetMode="External"/><Relationship Id="rId27" Type="http://schemas.openxmlformats.org/officeDocument/2006/relationships/hyperlink" Target="https://drive.google.com/file/d/1PAawObf9zXZOOQa7FqE6xav6niQwlk5c/view?usp=sharing" TargetMode="External"/><Relationship Id="rId29" Type="http://schemas.openxmlformats.org/officeDocument/2006/relationships/hyperlink" Target="https://drive.google.com/file/d/1krRATjwrrsh5d_XnLGZSl7rmm5BfFEwB/view?usp=sharing" TargetMode="External"/><Relationship Id="rId2200" Type="http://schemas.openxmlformats.org/officeDocument/2006/relationships/hyperlink" Target="https://drive.google.com/file/d/1nEcXY2k6J0mtVuTyJPl5FFV9j78mmF0Z/view?usp=sharing" TargetMode="External"/><Relationship Id="rId2201" Type="http://schemas.openxmlformats.org/officeDocument/2006/relationships/hyperlink" Target="https://drive.google.com/file/d/1VQO_q0ofnbnYOfhYu3vXfgkyCdvUsNZk/view?usp=sharing" TargetMode="External"/><Relationship Id="rId2202" Type="http://schemas.openxmlformats.org/officeDocument/2006/relationships/hyperlink" Target="https://drive.google.com/file/d/1qnzTxPircWWbecYnLk7spJ5tNUu9Qkdr/view?usp=sharing" TargetMode="External"/><Relationship Id="rId11" Type="http://schemas.openxmlformats.org/officeDocument/2006/relationships/hyperlink" Target="https://drive.google.com/file/d/1Zr7yaSXT0_cTOBuT3HzqBYBLHPDdjTNQ/view?usp=sharing" TargetMode="External"/><Relationship Id="rId10" Type="http://schemas.openxmlformats.org/officeDocument/2006/relationships/hyperlink" Target="https://drive.google.com/file/d/1sP3nJGLsvKouI4fM5wZO7WVAADqOkraQ/view?usp=sharing" TargetMode="External"/><Relationship Id="rId13" Type="http://schemas.openxmlformats.org/officeDocument/2006/relationships/hyperlink" Target="https://drive.google.com/file/d/1v4Ggji9ReKex2DfVzlhzjGv2W3TmLxN7/view?usp=sharing" TargetMode="External"/><Relationship Id="rId12" Type="http://schemas.openxmlformats.org/officeDocument/2006/relationships/hyperlink" Target="https://drive.google.com/file/d/1xCh4B_LCDQK-Vcr7YIcT1yY5dAqNBubp/view?usp=sharing" TargetMode="External"/><Relationship Id="rId15" Type="http://schemas.openxmlformats.org/officeDocument/2006/relationships/hyperlink" Target="https://drive.google.com/file/d/1IB8HGelu8S2sds-B5WSo_jpuGSsiUJCh/view?usp=sharing" TargetMode="External"/><Relationship Id="rId14" Type="http://schemas.openxmlformats.org/officeDocument/2006/relationships/hyperlink" Target="https://drive.google.com/file/d/1vPW7WdLOFjYe2otF6YHyOKNpmPb2oeEX/view?usp=sharing" TargetMode="External"/><Relationship Id="rId17" Type="http://schemas.openxmlformats.org/officeDocument/2006/relationships/hyperlink" Target="https://drive.google.com/file/d/1zRTdCxip05y06rJjR1JUgW5VIh4GSgAP/view?usp=sharing" TargetMode="External"/><Relationship Id="rId16" Type="http://schemas.openxmlformats.org/officeDocument/2006/relationships/hyperlink" Target="https://drive.google.com/file/d/1K-1HgVtWtGoslSHrGe20feY4uRm3zzQG/view?usp=sharing" TargetMode="External"/><Relationship Id="rId19" Type="http://schemas.openxmlformats.org/officeDocument/2006/relationships/hyperlink" Target="https://drive.google.com/file/d/11jwzmL0chA_sMffOnorX46oF_5ztQudC/view?usp=sharing" TargetMode="External"/><Relationship Id="rId18" Type="http://schemas.openxmlformats.org/officeDocument/2006/relationships/hyperlink" Target="https://drive.google.com/file/d/1IotH-_1r3YvM5RGT4xFCEdCY-Xgqia1g/view?usp=sharing" TargetMode="External"/><Relationship Id="rId84" Type="http://schemas.openxmlformats.org/officeDocument/2006/relationships/hyperlink" Target="https://drive.google.com/file/d/1V_5DMipuTX8iehOuXKOSBZxU6NwmEMg9/view?usp=sharing" TargetMode="External"/><Relationship Id="rId1774" Type="http://schemas.openxmlformats.org/officeDocument/2006/relationships/hyperlink" Target="https://drive.google.com/file/d/16Z6UcnfIzx0sibXxfIlomVQQF41AFI5a/view?usp=sharing" TargetMode="External"/><Relationship Id="rId83" Type="http://schemas.openxmlformats.org/officeDocument/2006/relationships/hyperlink" Target="https://drive.google.com/file/d/19BLguBzVK9Sh0A4U_EV_J0HnF8sdes7z/view?usp=sharing" TargetMode="External"/><Relationship Id="rId1775" Type="http://schemas.openxmlformats.org/officeDocument/2006/relationships/hyperlink" Target="https://drive.google.com/file/d/1xWVJN7vZhuQ5ZMzjtJtQ19GngCYAZWbP/view?usp=sharing" TargetMode="External"/><Relationship Id="rId86" Type="http://schemas.openxmlformats.org/officeDocument/2006/relationships/hyperlink" Target="https://drive.google.com/file/d/1Gy8rWqYegevUCwOTKPW4vDoZQVk3DeRW/view?usp=sharing" TargetMode="External"/><Relationship Id="rId1776" Type="http://schemas.openxmlformats.org/officeDocument/2006/relationships/hyperlink" Target="https://drive.google.com/file/d/1BgAMq5zQztqXaAcKGKns05crGpTa0quJ/view?usp=sharing" TargetMode="External"/><Relationship Id="rId85" Type="http://schemas.openxmlformats.org/officeDocument/2006/relationships/hyperlink" Target="https://drive.google.com/file/d/1zGqM56nByM1sjv8kWYPZdJ04WleY-Zrp/view?usp=sharing" TargetMode="External"/><Relationship Id="rId1777" Type="http://schemas.openxmlformats.org/officeDocument/2006/relationships/hyperlink" Target="https://drive.google.com/file/d/1C_XGfrR9DvG718bdx6Fng38FuHCfo_G0/view?usp=sharing" TargetMode="External"/><Relationship Id="rId88" Type="http://schemas.openxmlformats.org/officeDocument/2006/relationships/hyperlink" Target="https://drive.google.com/file/d/14jCTureVof9jXxy3WRNUB9G7CQ0S_4bZ/view?usp=sharing" TargetMode="External"/><Relationship Id="rId1778" Type="http://schemas.openxmlformats.org/officeDocument/2006/relationships/hyperlink" Target="https://drive.google.com/file/d/1C9Fts8fM7S44X3GuZWrYxPCsUuZut4u-/view?usp=sharing" TargetMode="External"/><Relationship Id="rId87" Type="http://schemas.openxmlformats.org/officeDocument/2006/relationships/hyperlink" Target="https://drive.google.com/file/d/1ZsB6dhDLe8RkYf6-kaYmoQH_HTKL7VqV/view?usp=sharing" TargetMode="External"/><Relationship Id="rId1779" Type="http://schemas.openxmlformats.org/officeDocument/2006/relationships/hyperlink" Target="https://drive.google.com/file/d/17xRnqrsBLqMShWfT3km6O_3w2N7xV4xM/view?usp=sharing" TargetMode="External"/><Relationship Id="rId89" Type="http://schemas.openxmlformats.org/officeDocument/2006/relationships/hyperlink" Target="https://drive.google.com/file/d/12dwqCpWa8JGy2G5Cpz66ifOfmd47_wn6/view?usp=sharing" TargetMode="External"/><Relationship Id="rId80" Type="http://schemas.openxmlformats.org/officeDocument/2006/relationships/hyperlink" Target="https://drive.google.com/file/d/1FOaCiCNrxlf90JMdSFXZNPtdphsp10DF/view?usp=sharing" TargetMode="External"/><Relationship Id="rId82" Type="http://schemas.openxmlformats.org/officeDocument/2006/relationships/hyperlink" Target="https://drive.google.com/file/d/1XoFCGxeFqTUMk-hey-PrFF7ZH76Dj12C/view?usp=sharing" TargetMode="External"/><Relationship Id="rId81" Type="http://schemas.openxmlformats.org/officeDocument/2006/relationships/hyperlink" Target="https://drive.google.com/file/d/1IFuabASEvi8NHiejt-brm5Khosn5QNhT/view?usp=sharing" TargetMode="External"/><Relationship Id="rId1770" Type="http://schemas.openxmlformats.org/officeDocument/2006/relationships/hyperlink" Target="https://drive.google.com/file/d/1nXmNle2p312yehiM5LOmANeG5k23sOLI/view?usp=sharing" TargetMode="External"/><Relationship Id="rId1771" Type="http://schemas.openxmlformats.org/officeDocument/2006/relationships/hyperlink" Target="https://drive.google.com/file/d/1zncBrZ_RlwUjUKqVL37YQROtOkH9kAes/view?usp=sharing" TargetMode="External"/><Relationship Id="rId1772" Type="http://schemas.openxmlformats.org/officeDocument/2006/relationships/hyperlink" Target="https://drive.google.com/file/d/1XRXGr2JB__Cqn1huN5hZehkWux2AwyMj/view?usp=sharing" TargetMode="External"/><Relationship Id="rId1773" Type="http://schemas.openxmlformats.org/officeDocument/2006/relationships/hyperlink" Target="https://drive.google.com/file/d/1TzDHgRvHlu00OeSYKn4PA1XylRtHLtir/view?usp=sharing" TargetMode="External"/><Relationship Id="rId73" Type="http://schemas.openxmlformats.org/officeDocument/2006/relationships/hyperlink" Target="https://drive.google.com/file/d/1sP1GHxaMhV_lNegv0kP91J0kgQLfZv2n/view?usp=sharing" TargetMode="External"/><Relationship Id="rId1763" Type="http://schemas.openxmlformats.org/officeDocument/2006/relationships/hyperlink" Target="https://drive.google.com/file/d/1dzVfoOUOm8z-hRvhFz2EvJIuVzMHp2-f/view?usp=sharing" TargetMode="External"/><Relationship Id="rId72" Type="http://schemas.openxmlformats.org/officeDocument/2006/relationships/hyperlink" Target="https://drive.google.com/file/d/14_S8DCA5W4GyJypMmSUhIInyokc4_fhv/view?usp=sharing" TargetMode="External"/><Relationship Id="rId1764" Type="http://schemas.openxmlformats.org/officeDocument/2006/relationships/hyperlink" Target="https://drive.google.com/file/d/1Ua5_lHjI4vOgB4grjAaayXXppbZnvtWy/view?usp=sharing" TargetMode="External"/><Relationship Id="rId75" Type="http://schemas.openxmlformats.org/officeDocument/2006/relationships/hyperlink" Target="https://drive.google.com/file/d/17ZMeZasp-IPH0W8AkjQJ-Xm0pis5_e75/view?usp=sharing" TargetMode="External"/><Relationship Id="rId1765" Type="http://schemas.openxmlformats.org/officeDocument/2006/relationships/hyperlink" Target="https://drive.google.com/file/d/14YnpJWeorBUMPsfW6iKNcRGjg4OtTVNj/view?usp=sharing" TargetMode="External"/><Relationship Id="rId74" Type="http://schemas.openxmlformats.org/officeDocument/2006/relationships/hyperlink" Target="https://drive.google.com/file/d/1OltiROS21sin5CxS4yNojYCM_6_ebxXB/view?usp=sharing" TargetMode="External"/><Relationship Id="rId1766" Type="http://schemas.openxmlformats.org/officeDocument/2006/relationships/hyperlink" Target="https://drive.google.com/file/d/1YIRIRGAukn4LYTwNOWU_FoXh4TAbzzvX/view?usp=sharing" TargetMode="External"/><Relationship Id="rId77" Type="http://schemas.openxmlformats.org/officeDocument/2006/relationships/hyperlink" Target="https://drive.google.com/file/d/1-pySzWyoCdtBCC0cfomiF_Sv0p2IgMZZ/view?usp=sharing" TargetMode="External"/><Relationship Id="rId1767" Type="http://schemas.openxmlformats.org/officeDocument/2006/relationships/hyperlink" Target="https://drive.google.com/file/d/1KLq9L4ZUDWMlAVpngW7Gpxf7QjGqIVJq/view?usp=sharing" TargetMode="External"/><Relationship Id="rId76" Type="http://schemas.openxmlformats.org/officeDocument/2006/relationships/hyperlink" Target="https://drive.google.com/file/d/1yamiTu2fUP5m-VBTDBcIPEswPC-U8yNM/view?usp=sharing" TargetMode="External"/><Relationship Id="rId1768" Type="http://schemas.openxmlformats.org/officeDocument/2006/relationships/hyperlink" Target="https://drive.google.com/file/d/18dy3r-p0zf8mfL8SFzW-JXD62NSBPL0Z/view?usp=sharing" TargetMode="External"/><Relationship Id="rId79" Type="http://schemas.openxmlformats.org/officeDocument/2006/relationships/hyperlink" Target="https://drive.google.com/file/d/1Rl1ceUzmMvwr2UIymcJWL5K6oEmTYN3p/view?usp=sharing" TargetMode="External"/><Relationship Id="rId1769" Type="http://schemas.openxmlformats.org/officeDocument/2006/relationships/hyperlink" Target="https://drive.google.com/file/d/1e7fR86eQfz1_gMIJcVSh0KF_FqPaH0r5/view?usp=sharing" TargetMode="External"/><Relationship Id="rId78" Type="http://schemas.openxmlformats.org/officeDocument/2006/relationships/hyperlink" Target="https://drive.google.com/file/d/1RluJtGh3kvaDSL7A9Z7gAKzcDqPs4weH/view?usp=sharing" TargetMode="External"/><Relationship Id="rId71" Type="http://schemas.openxmlformats.org/officeDocument/2006/relationships/hyperlink" Target="https://drive.google.com/file/d/1pYcTp31XzbJmQcr_bcloti8lH_ZDsGFX/view?usp=sharing" TargetMode="External"/><Relationship Id="rId70" Type="http://schemas.openxmlformats.org/officeDocument/2006/relationships/hyperlink" Target="https://drive.google.com/file/d/1yH2pQx40vu1ohztT30o3Q3DaxRmKLYEk/view?usp=sharing" TargetMode="External"/><Relationship Id="rId1760" Type="http://schemas.openxmlformats.org/officeDocument/2006/relationships/hyperlink" Target="https://drive.google.com/file/d/1WiR3lfzcK0Fakry60oDby536xvKPJzQW/view?usp=sharing" TargetMode="External"/><Relationship Id="rId1761" Type="http://schemas.openxmlformats.org/officeDocument/2006/relationships/hyperlink" Target="https://drive.google.com/file/d/1CE8QQ4b5jEPi92f3bPvK7nWuFYS6zgwt/view?usp=sharing" TargetMode="External"/><Relationship Id="rId1762" Type="http://schemas.openxmlformats.org/officeDocument/2006/relationships/hyperlink" Target="https://drive.google.com/file/d/1nLrSU_g42yfau7sqlhRH96jI2BBZyfiJ/view?usp=sharing" TargetMode="External"/><Relationship Id="rId62" Type="http://schemas.openxmlformats.org/officeDocument/2006/relationships/hyperlink" Target="https://drive.google.com/file/d/1tUPuBnftJf1QrVPKdfzgdP-aAOLn_sEw/view?usp=sharing" TargetMode="External"/><Relationship Id="rId1796" Type="http://schemas.openxmlformats.org/officeDocument/2006/relationships/hyperlink" Target="https://drive.google.com/file/d/11eGkP8HUs6Xk3v0Yr-SSavMwAWR9wbrO/view?usp=sharing" TargetMode="External"/><Relationship Id="rId61" Type="http://schemas.openxmlformats.org/officeDocument/2006/relationships/hyperlink" Target="https://drive.google.com/file/d/1AYD0cEOVawYWsY9O6svCA4XzScPUu05v/view?usp=sharing" TargetMode="External"/><Relationship Id="rId1797" Type="http://schemas.openxmlformats.org/officeDocument/2006/relationships/hyperlink" Target="https://drive.google.com/file/d/1MmbjcnteHq9UUzE6Pfr6NdGVME3VLzFo/view?usp=sharing" TargetMode="External"/><Relationship Id="rId64" Type="http://schemas.openxmlformats.org/officeDocument/2006/relationships/hyperlink" Target="https://drive.google.com/file/d/1ZDjxKxINYwZtEHwR_DZskSpHUA_ZSH3Z/view?usp=sharing" TargetMode="External"/><Relationship Id="rId1798" Type="http://schemas.openxmlformats.org/officeDocument/2006/relationships/hyperlink" Target="https://drive.google.com/file/d/1hs9YgXtZba0qYqbMYKfSwybHAxOacG10/view?usp=sharing" TargetMode="External"/><Relationship Id="rId63" Type="http://schemas.openxmlformats.org/officeDocument/2006/relationships/hyperlink" Target="https://drive.google.com/file/d/19H0TdwNQe5BS0hpVMvCeqPQdo5VsNLID/view?usp=sharing" TargetMode="External"/><Relationship Id="rId1799" Type="http://schemas.openxmlformats.org/officeDocument/2006/relationships/hyperlink" Target="https://drive.google.com/file/d/1qCO2_G9RN4q_1ihegn-EzgUidthhlx7N/view?usp=sharing" TargetMode="External"/><Relationship Id="rId66" Type="http://schemas.openxmlformats.org/officeDocument/2006/relationships/hyperlink" Target="https://drive.google.com/file/d/1XA-q70dTOSNx8_ZGrAC8ElpujEYcjrzy/view?usp=sharing" TargetMode="External"/><Relationship Id="rId65" Type="http://schemas.openxmlformats.org/officeDocument/2006/relationships/hyperlink" Target="https://drive.google.com/file/d/1hBfLVhcW_-gOL9hiGba6z3033Oknz5xt/view?usp=sharing" TargetMode="External"/><Relationship Id="rId68" Type="http://schemas.openxmlformats.org/officeDocument/2006/relationships/hyperlink" Target="https://drive.google.com/file/d/1d-lIoAOMpu11Egpm1SK5eLvpXxrd_6Rg/view?usp=sharing" TargetMode="External"/><Relationship Id="rId67" Type="http://schemas.openxmlformats.org/officeDocument/2006/relationships/hyperlink" Target="https://drive.google.com/file/d/1tFX8eBk07ZZH2JsnwH-CAKNZhvRdhGdJ/view?usp=sharing" TargetMode="External"/><Relationship Id="rId60" Type="http://schemas.openxmlformats.org/officeDocument/2006/relationships/hyperlink" Target="https://drive.google.com/file/d/1oAiIbphuLUmK8Vr1W7GiSIuQr3y2T819/view?usp=sharing" TargetMode="External"/><Relationship Id="rId69" Type="http://schemas.openxmlformats.org/officeDocument/2006/relationships/hyperlink" Target="https://drive.google.com/file/d/1W2qOELf8c6-558XUzocxB_EveXcoznWf/view?usp=sharing" TargetMode="External"/><Relationship Id="rId1790" Type="http://schemas.openxmlformats.org/officeDocument/2006/relationships/hyperlink" Target="https://drive.google.com/file/d/14CE5bd1PAYmbeGnzKXBJ5NWcn7lPGrSj/view?usp=sharing" TargetMode="External"/><Relationship Id="rId1791" Type="http://schemas.openxmlformats.org/officeDocument/2006/relationships/hyperlink" Target="https://drive.google.com/file/d/1l72LTHr6c3qiNw-NIMmKtiCT9EkSe24e/view?usp=sharing" TargetMode="External"/><Relationship Id="rId1792" Type="http://schemas.openxmlformats.org/officeDocument/2006/relationships/hyperlink" Target="https://drive.google.com/file/d/11piWbzpEJn6CW0nI6nbVD1EGh5aI65lN/view?usp=sharing" TargetMode="External"/><Relationship Id="rId1793" Type="http://schemas.openxmlformats.org/officeDocument/2006/relationships/hyperlink" Target="https://drive.google.com/file/d/1oVhWsIkWWAojQ1vnGr2YusehZ7SI3Ys3/view?usp=sharing" TargetMode="External"/><Relationship Id="rId1794" Type="http://schemas.openxmlformats.org/officeDocument/2006/relationships/hyperlink" Target="https://drive.google.com/file/d/1LIiaYXlczm5YWCuhPhupQHBhLXxS5VCv/view?usp=sharing" TargetMode="External"/><Relationship Id="rId1795" Type="http://schemas.openxmlformats.org/officeDocument/2006/relationships/hyperlink" Target="https://drive.google.com/file/d/1PZAANLPs92EdFW-NNfl6979ha6eODuVB/view?usp=sharing" TargetMode="External"/><Relationship Id="rId51" Type="http://schemas.openxmlformats.org/officeDocument/2006/relationships/hyperlink" Target="https://drive.google.com/file/d/19Ob6tZypWIMsSBLB_v_dkKHyhqA1FnV6/view?usp=sharing" TargetMode="External"/><Relationship Id="rId1785" Type="http://schemas.openxmlformats.org/officeDocument/2006/relationships/hyperlink" Target="https://drive.google.com/file/d/18pYeYC1FQtOjkg7un6plITljRwOAMrKo/view?usp=sharing" TargetMode="External"/><Relationship Id="rId50" Type="http://schemas.openxmlformats.org/officeDocument/2006/relationships/hyperlink" Target="https://drive.google.com/file/d/1KuU7XwfbiyJLlibYOoQNgfTVL-9Qo45B/view?usp=sharing" TargetMode="External"/><Relationship Id="rId1786" Type="http://schemas.openxmlformats.org/officeDocument/2006/relationships/hyperlink" Target="https://drive.google.com/file/d/10rXKz3O53D7EU_FGq7ZGR86E9rGdz51n/view?usp=sharing" TargetMode="External"/><Relationship Id="rId53" Type="http://schemas.openxmlformats.org/officeDocument/2006/relationships/hyperlink" Target="https://drive.google.com/file/d/1hICfaXkENzqnXSD1rc_t5bvxg-nLSlc1/view?usp=sharing" TargetMode="External"/><Relationship Id="rId1787" Type="http://schemas.openxmlformats.org/officeDocument/2006/relationships/hyperlink" Target="https://drive.google.com/file/d/1H5A2rlUiQ2Des-OmhrBqvp-1F4LRr-3A/view?usp=sharing" TargetMode="External"/><Relationship Id="rId52" Type="http://schemas.openxmlformats.org/officeDocument/2006/relationships/hyperlink" Target="https://drive.google.com/file/d/16sqNYXlgh0wfJHJ_Van-TSRy_IW9Y1u_/view?usp=sharing" TargetMode="External"/><Relationship Id="rId1788" Type="http://schemas.openxmlformats.org/officeDocument/2006/relationships/hyperlink" Target="https://drive.google.com/file/d/1Cb7SOrz5Uww2Kd0k3CXYagOTfNvXikjy/view?usp=sharing" TargetMode="External"/><Relationship Id="rId55" Type="http://schemas.openxmlformats.org/officeDocument/2006/relationships/hyperlink" Target="https://drive.google.com/file/d/1oySKwDCu-j4OnUHHxGoe9r-DOAaSVEU-/view?usp=sharing" TargetMode="External"/><Relationship Id="rId1789" Type="http://schemas.openxmlformats.org/officeDocument/2006/relationships/hyperlink" Target="https://drive.google.com/file/d/1Mc89xccjwJuljflHXy8jBlyQIw5MHd4f/view?usp=sharing" TargetMode="External"/><Relationship Id="rId54" Type="http://schemas.openxmlformats.org/officeDocument/2006/relationships/hyperlink" Target="https://drive.google.com/file/d/1YOhHjtMgXwr2Avp1WUY1pSxhfnvggUst/view?usp=sharing" TargetMode="External"/><Relationship Id="rId57" Type="http://schemas.openxmlformats.org/officeDocument/2006/relationships/hyperlink" Target="https://drive.google.com/file/d/1T88qb0q0Br0cqaG2Irv8hrx9kl2ALOH-/view?usp=sharing" TargetMode="External"/><Relationship Id="rId56" Type="http://schemas.openxmlformats.org/officeDocument/2006/relationships/hyperlink" Target="https://drive.google.com/file/d/1EShGwc0DwxO_-sotOq4ladKqUF2gjP6b/view?usp=sharing" TargetMode="External"/><Relationship Id="rId59" Type="http://schemas.openxmlformats.org/officeDocument/2006/relationships/hyperlink" Target="https://drive.google.com/file/d/1taNrM6WTFnJb4YF7bAXukIWsko5llsuU/view?usp=sharing" TargetMode="External"/><Relationship Id="rId58" Type="http://schemas.openxmlformats.org/officeDocument/2006/relationships/hyperlink" Target="https://drive.google.com/file/d/127hMSfkQUHVzg6P6HxeOKv9bqk86kM3c/view?usp=sharing" TargetMode="External"/><Relationship Id="rId1780" Type="http://schemas.openxmlformats.org/officeDocument/2006/relationships/hyperlink" Target="https://drive.google.com/file/d/135h4UtvOjlh6kmMw6qsLHLLX2oDkGSCW/view?usp=sharing" TargetMode="External"/><Relationship Id="rId1781" Type="http://schemas.openxmlformats.org/officeDocument/2006/relationships/hyperlink" Target="https://drive.google.com/file/d/13dmz-tOBLuDqEBBEL0DJb8Iv05NjQCG7/view?usp=sharing" TargetMode="External"/><Relationship Id="rId1782" Type="http://schemas.openxmlformats.org/officeDocument/2006/relationships/hyperlink" Target="https://drive.google.com/file/d/1USlQEWY95r3uJPLBw7ScsUqwJlx1oTtq/view?usp=sharing" TargetMode="External"/><Relationship Id="rId1783" Type="http://schemas.openxmlformats.org/officeDocument/2006/relationships/hyperlink" Target="https://drive.google.com/file/d/1rkTNB7Jf-q5e4LAf-adbTXCdX-9cd0D4/view?usp=sharing" TargetMode="External"/><Relationship Id="rId1784" Type="http://schemas.openxmlformats.org/officeDocument/2006/relationships/hyperlink" Target="https://drive.google.com/file/d/1Zh3sXKf31oyelckEeZ-hykDNUooQabXo/view?usp=sharing" TargetMode="External"/><Relationship Id="rId2269" Type="http://schemas.openxmlformats.org/officeDocument/2006/relationships/hyperlink" Target="https://drive.google.com/file/d/1YpGOVEJsd5Skp0ypxKlMjW77c7rq8hCB/view?usp=sharing" TargetMode="External"/><Relationship Id="rId349" Type="http://schemas.openxmlformats.org/officeDocument/2006/relationships/hyperlink" Target="https://drive.google.com/file/d/1t5fQaqCdwtroCYdjmUBV7mf_bYbRKOFd/view?usp=sharing" TargetMode="External"/><Relationship Id="rId348" Type="http://schemas.openxmlformats.org/officeDocument/2006/relationships/hyperlink" Target="https://drive.google.com/file/d/1Vq-VvSz-RvGIMmqqaMqA__K3g5MtN9JW/view?usp=sharing" TargetMode="External"/><Relationship Id="rId347" Type="http://schemas.openxmlformats.org/officeDocument/2006/relationships/hyperlink" Target="https://drive.google.com/file/d/1YV6AMC8QvBKv3GU6x93Xzs1_Y_SYjlgs/view?usp=sharing" TargetMode="External"/><Relationship Id="rId346" Type="http://schemas.openxmlformats.org/officeDocument/2006/relationships/hyperlink" Target="https://drive.google.com/file/d/1-55wwzpx9mRmEtVAh36i2UiIjj3CqUT8/view?usp=sharing" TargetMode="External"/><Relationship Id="rId2260" Type="http://schemas.openxmlformats.org/officeDocument/2006/relationships/hyperlink" Target="https://drive.google.com/file/d/1SRusqhrBCRW32T2aJ52A2FauV85ICJr0/view?usp=sharing" TargetMode="External"/><Relationship Id="rId341" Type="http://schemas.openxmlformats.org/officeDocument/2006/relationships/hyperlink" Target="https://drive.google.com/file/d/11Fc2datTQ2zSdTNYE_PTbckIPEe38TR4/view?usp=sharing" TargetMode="External"/><Relationship Id="rId2261" Type="http://schemas.openxmlformats.org/officeDocument/2006/relationships/hyperlink" Target="https://drive.google.com/file/d/1oOVX6toAs1mf3G72XHEfAJnGCA5SXxeF/view?usp=sharing" TargetMode="External"/><Relationship Id="rId340" Type="http://schemas.openxmlformats.org/officeDocument/2006/relationships/hyperlink" Target="https://drive.google.com/file/d/1WNEGkvYz45h1F7cyODILNJ6P3V_ypsoV/view?usp=sharing" TargetMode="External"/><Relationship Id="rId2262" Type="http://schemas.openxmlformats.org/officeDocument/2006/relationships/hyperlink" Target="https://drive.google.com/file/d/1UG13RSvphFO5jynGIHwaAMGRWBK4RWQh/view?usp=sharing" TargetMode="External"/><Relationship Id="rId2263" Type="http://schemas.openxmlformats.org/officeDocument/2006/relationships/hyperlink" Target="https://drive.google.com/file/d/1_KLdbCNmg5KeXvXO1ztfkUw8gXwCH_5N/view?usp=sharing" TargetMode="External"/><Relationship Id="rId2264" Type="http://schemas.openxmlformats.org/officeDocument/2006/relationships/hyperlink" Target="https://drive.google.com/file/d/1Eq6e07T53KfTuy9D-qYuYCf-A3eEDF0T/view?usp=sharing" TargetMode="External"/><Relationship Id="rId345" Type="http://schemas.openxmlformats.org/officeDocument/2006/relationships/hyperlink" Target="https://drive.google.com/file/d/1zwcDEW6lXzaAqA79KEDpqvjLNzi7F8kT/view?usp=sharing" TargetMode="External"/><Relationship Id="rId2265" Type="http://schemas.openxmlformats.org/officeDocument/2006/relationships/hyperlink" Target="https://drive.google.com/file/d/1NI-IrqS9zoHZ0j6sf6_dvYyM-OeISOzX/view?usp=sharing" TargetMode="External"/><Relationship Id="rId344" Type="http://schemas.openxmlformats.org/officeDocument/2006/relationships/hyperlink" Target="https://drive.google.com/file/d/18H9UyWRIx_58XPCvGZ4KiOb1oOC2U6fn/view?usp=sharing" TargetMode="External"/><Relationship Id="rId2266" Type="http://schemas.openxmlformats.org/officeDocument/2006/relationships/hyperlink" Target="https://drive.google.com/file/d/1XS-JfDKl006PAaJBoSSCfSgFoeb20CS3/view?usp=sharing" TargetMode="External"/><Relationship Id="rId343" Type="http://schemas.openxmlformats.org/officeDocument/2006/relationships/hyperlink" Target="https://drive.google.com/file/d/1BTdAtEDgdUkYs8TrUQfDJ1v3ImUDf9B6/view?usp=sharing" TargetMode="External"/><Relationship Id="rId2267" Type="http://schemas.openxmlformats.org/officeDocument/2006/relationships/hyperlink" Target="https://drive.google.com/file/d/16eux3C56vI80jMXiUfKKt0iTthTLBFrn/view?usp=sharing" TargetMode="External"/><Relationship Id="rId342" Type="http://schemas.openxmlformats.org/officeDocument/2006/relationships/hyperlink" Target="https://drive.google.com/file/d/1wa2kRZBLXtGvPPh0E35tNbVtShWMMtrB/view?usp=sharing" TargetMode="External"/><Relationship Id="rId2268" Type="http://schemas.openxmlformats.org/officeDocument/2006/relationships/hyperlink" Target="https://drive.google.com/file/d/1ETZcIsNUUQM9z3AGYYGFjVQOHJh-pJCk/view?usp=sharing" TargetMode="External"/><Relationship Id="rId2258" Type="http://schemas.openxmlformats.org/officeDocument/2006/relationships/hyperlink" Target="https://drive.google.com/file/d/1GUCdW1DHSFQdEJ3Lg2fvSmB8v8FeI8wj/view?usp=sharing" TargetMode="External"/><Relationship Id="rId2259" Type="http://schemas.openxmlformats.org/officeDocument/2006/relationships/hyperlink" Target="https://drive.google.com/file/d/1L07CI-eRDJYnrzUStvW4dtXm8iqaZ_FN/view?usp=sharing" TargetMode="External"/><Relationship Id="rId338" Type="http://schemas.openxmlformats.org/officeDocument/2006/relationships/hyperlink" Target="https://drive.google.com/file/d/1kN2v_CGShvXsigZVDAhKbWCD12T_14AO/view?usp=sharing" TargetMode="External"/><Relationship Id="rId337" Type="http://schemas.openxmlformats.org/officeDocument/2006/relationships/hyperlink" Target="https://drive.google.com/file/d/1OcbT5mIKpPdGruMwNbLmtYyIzZUlsa3J/view?usp=sharing" TargetMode="External"/><Relationship Id="rId336" Type="http://schemas.openxmlformats.org/officeDocument/2006/relationships/hyperlink" Target="https://drive.google.com/file/d/1iO5rbI_VE8LDnnSUDoLCxhgXkW1GYDHM/view?usp=sharing" TargetMode="External"/><Relationship Id="rId335" Type="http://schemas.openxmlformats.org/officeDocument/2006/relationships/hyperlink" Target="https://drive.google.com/file/d/1VhqMuXKcOsFuGc34bR5tWTB9LTYmvFlP/view?usp=sharing" TargetMode="External"/><Relationship Id="rId339" Type="http://schemas.openxmlformats.org/officeDocument/2006/relationships/hyperlink" Target="https://drive.google.com/file/d/1k7QJrJ1By4HsSbPam9fnQA4t6ZkDVVuB/view?usp=sharing" TargetMode="External"/><Relationship Id="rId330" Type="http://schemas.openxmlformats.org/officeDocument/2006/relationships/hyperlink" Target="https://drive.google.com/file/d/10VS0zbjmASDbby4OwfNiDazU438x6Bwq/view?usp=sharing" TargetMode="External"/><Relationship Id="rId2250" Type="http://schemas.openxmlformats.org/officeDocument/2006/relationships/hyperlink" Target="https://drive.google.com/file/d/1ACf8epFRiybuycqnSxYUhLYwZlvKsfWS/view?usp=sharing" TargetMode="External"/><Relationship Id="rId2251" Type="http://schemas.openxmlformats.org/officeDocument/2006/relationships/hyperlink" Target="https://drive.google.com/file/d/1jvkbA2pPxWEvyrd89Lm_H_RR3H7jToJn/view?usp=sharing" TargetMode="External"/><Relationship Id="rId2252" Type="http://schemas.openxmlformats.org/officeDocument/2006/relationships/hyperlink" Target="https://drive.google.com/file/d/1xMVaTon7CJ8i_vWmFoumBU8DUcxifHR5/view?usp=sharing" TargetMode="External"/><Relationship Id="rId2253" Type="http://schemas.openxmlformats.org/officeDocument/2006/relationships/hyperlink" Target="https://drive.google.com/file/d/19nOtctJ1aBPaK44eMFe4RgY6lsXDVZE9/view?usp=sharing" TargetMode="External"/><Relationship Id="rId334" Type="http://schemas.openxmlformats.org/officeDocument/2006/relationships/hyperlink" Target="https://drive.google.com/file/d/1ZUnyMLLWfPokQ1A7O8DOaAqdR0wQH-9i/view?usp=sharing" TargetMode="External"/><Relationship Id="rId2254" Type="http://schemas.openxmlformats.org/officeDocument/2006/relationships/hyperlink" Target="https://drive.google.com/file/d/1VEiImnWhiC8_TRvEY9vwab1eTuKmeodJ/view?usp=sharing" TargetMode="External"/><Relationship Id="rId333" Type="http://schemas.openxmlformats.org/officeDocument/2006/relationships/hyperlink" Target="https://drive.google.com/file/d/1yNCUlmhDFpPIfvfIr0LcdfMdVooPo5oZ/view?usp=sharing" TargetMode="External"/><Relationship Id="rId2255" Type="http://schemas.openxmlformats.org/officeDocument/2006/relationships/hyperlink" Target="https://drive.google.com/file/d/1i3dMc9p0MiNgXRaUnXw5F3bX3kdWnEz9/view?usp=sharing" TargetMode="External"/><Relationship Id="rId332" Type="http://schemas.openxmlformats.org/officeDocument/2006/relationships/hyperlink" Target="https://drive.google.com/file/d/1jdrn2aIXr3FxrDd5EzB5ReviVL3OEanP/view?usp=sharing" TargetMode="External"/><Relationship Id="rId2256" Type="http://schemas.openxmlformats.org/officeDocument/2006/relationships/hyperlink" Target="https://drive.google.com/file/d/1Q3heMQzTsPFWmhRUiZF39VQ2gBU4QdsO/view?usp=sharing" TargetMode="External"/><Relationship Id="rId331" Type="http://schemas.openxmlformats.org/officeDocument/2006/relationships/hyperlink" Target="https://drive.google.com/file/d/1aj1P1rAL040qxshM_0MNhvLhlQKsXbeU/view?usp=sharing" TargetMode="External"/><Relationship Id="rId2257" Type="http://schemas.openxmlformats.org/officeDocument/2006/relationships/hyperlink" Target="https://drive.google.com/file/d/10BHqhXJnUS6ooQp5Uom0QXpjH8tTLMrQ/view?usp=sharing" TargetMode="External"/><Relationship Id="rId370" Type="http://schemas.openxmlformats.org/officeDocument/2006/relationships/hyperlink" Target="https://drive.google.com/file/d/1OQrkI4CYMj8HFeyMidV42gIKEa0RcDTV/view?usp=sharing" TargetMode="External"/><Relationship Id="rId369" Type="http://schemas.openxmlformats.org/officeDocument/2006/relationships/hyperlink" Target="https://drive.google.com/file/d/1ccr9WNquN-2KqrhUPSOjFdqSxI7TGa7v/view?usp=sharing" TargetMode="External"/><Relationship Id="rId368" Type="http://schemas.openxmlformats.org/officeDocument/2006/relationships/hyperlink" Target="https://drive.google.com/file/d/1KWSEWAgMdJ3DW3YCY7tPEq8ShfWPYGJg/view?usp=sharing" TargetMode="External"/><Relationship Id="rId2280" Type="http://schemas.openxmlformats.org/officeDocument/2006/relationships/hyperlink" Target="https://drive.google.com/file/d/1zN3sauYabi7DhjNlBy0dOOuR_F62XuH9/view?usp=sharing" TargetMode="External"/><Relationship Id="rId2281" Type="http://schemas.openxmlformats.org/officeDocument/2006/relationships/hyperlink" Target="https://drive.google.com/file/d/1CErTW8dxGFTK2v2KGnwF4Oy1VY1t76CN/view?usp=sharing" TargetMode="External"/><Relationship Id="rId2282" Type="http://schemas.openxmlformats.org/officeDocument/2006/relationships/hyperlink" Target="https://drive.google.com/file/d/1oHknd4-MhYp4MV7lzRsuDgI_jp5QWY68/view?usp=sharing" TargetMode="External"/><Relationship Id="rId363" Type="http://schemas.openxmlformats.org/officeDocument/2006/relationships/hyperlink" Target="https://drive.google.com/file/d/19Ae9PcFSWd5uqLFXEyzn_TDdKLO09kfZ/view?usp=sharing" TargetMode="External"/><Relationship Id="rId2283" Type="http://schemas.openxmlformats.org/officeDocument/2006/relationships/hyperlink" Target="https://drive.google.com/file/d/1y-uQlSXBeFh3aRZegBbMDIrf3FBfOmPo/view?usp=sharing" TargetMode="External"/><Relationship Id="rId362" Type="http://schemas.openxmlformats.org/officeDocument/2006/relationships/hyperlink" Target="https://drive.google.com/file/d/1wZuKx-9BMketwpi_ps1msVFS6aamOaw6/view?usp=sharing" TargetMode="External"/><Relationship Id="rId2284" Type="http://schemas.openxmlformats.org/officeDocument/2006/relationships/hyperlink" Target="https://drive.google.com/file/d/1gtgcycy8ZepEEhzPLRxuhpVBnakvVDw5/view?usp=sharing" TargetMode="External"/><Relationship Id="rId361" Type="http://schemas.openxmlformats.org/officeDocument/2006/relationships/hyperlink" Target="https://drive.google.com/file/d/1grzeAkrpfPOnwHKLJvdRdFhwf8Q2AvKH/view?usp=sharing" TargetMode="External"/><Relationship Id="rId2285" Type="http://schemas.openxmlformats.org/officeDocument/2006/relationships/hyperlink" Target="https://drive.google.com/file/d/1YzZr3aOn9Lrc8rlHNDyc4iYWY7z1kAVZ/view?usp=sharing" TargetMode="External"/><Relationship Id="rId360" Type="http://schemas.openxmlformats.org/officeDocument/2006/relationships/hyperlink" Target="https://drive.google.com/file/d/17Li-aOWSN3SQvNf82h_STkX8uP_Vk82U/view?usp=sharing" TargetMode="External"/><Relationship Id="rId2286" Type="http://schemas.openxmlformats.org/officeDocument/2006/relationships/hyperlink" Target="https://drive.google.com/file/d/1W82LMTGkmoNZ5e0pdj02_3N67Hn_RE53/view?usp=sharing" TargetMode="External"/><Relationship Id="rId367" Type="http://schemas.openxmlformats.org/officeDocument/2006/relationships/hyperlink" Target="https://drive.google.com/file/d/1eycpGvFxJZlV2n1nxw-tGmI_NZ6O5kgD/view?usp=sharing" TargetMode="External"/><Relationship Id="rId2287" Type="http://schemas.openxmlformats.org/officeDocument/2006/relationships/hyperlink" Target="https://drive.google.com/file/d/1mjKFtAeWRUpnZgIacMknq6wCrKb9l8Sw/view?usp=sharing" TargetMode="External"/><Relationship Id="rId366" Type="http://schemas.openxmlformats.org/officeDocument/2006/relationships/hyperlink" Target="https://drive.google.com/file/d/17DuhN7AS5uO5C_tYMtyQLotbaZPeuxff/view?usp=sharing" TargetMode="External"/><Relationship Id="rId2288" Type="http://schemas.openxmlformats.org/officeDocument/2006/relationships/hyperlink" Target="https://drive.google.com/file/d/1PM-pLA4rA_qG7u8_KqPdKtzpdBcMLD6W/view?usp=sharing" TargetMode="External"/><Relationship Id="rId365" Type="http://schemas.openxmlformats.org/officeDocument/2006/relationships/hyperlink" Target="https://drive.google.com/file/d/1V98pEWkEcyrIWTK8bJBL-YvX6B5vwTJC/view?usp=sharing" TargetMode="External"/><Relationship Id="rId2289" Type="http://schemas.openxmlformats.org/officeDocument/2006/relationships/hyperlink" Target="https://drive.google.com/file/d/1buBG_Ub6Wr9xJ6UvhvlorFz_btU0kkm5/view?usp=sharing" TargetMode="External"/><Relationship Id="rId364" Type="http://schemas.openxmlformats.org/officeDocument/2006/relationships/hyperlink" Target="https://drive.google.com/file/d/1-XSmTlUbkzZS55OSa9JEt8-Or0RyYfMX/view?usp=sharing" TargetMode="External"/><Relationship Id="rId95" Type="http://schemas.openxmlformats.org/officeDocument/2006/relationships/hyperlink" Target="https://drive.google.com/file/d/11tdwJ2gnFvg-GM_7iF0jkOIyUtbgLfTN/view?usp=sharing" TargetMode="External"/><Relationship Id="rId94" Type="http://schemas.openxmlformats.org/officeDocument/2006/relationships/hyperlink" Target="https://drive.google.com/file/d/1oFC3kmpGlJZokUZwT0MaD8EGSYsl8orU/view?usp=sharing" TargetMode="External"/><Relationship Id="rId97" Type="http://schemas.openxmlformats.org/officeDocument/2006/relationships/hyperlink" Target="https://drive.google.com/file/d/1CXEe9-hejolPwss7bIciYNyp2HNu65aT/view?usp=sharing" TargetMode="External"/><Relationship Id="rId96" Type="http://schemas.openxmlformats.org/officeDocument/2006/relationships/hyperlink" Target="https://drive.google.com/file/d/1zt6votnjrYBP7CoA5UE3M1Kgy3_TvGsx/view?usp=sharing" TargetMode="External"/><Relationship Id="rId99" Type="http://schemas.openxmlformats.org/officeDocument/2006/relationships/hyperlink" Target="https://drive.google.com/file/d/1jTsu4JLOmsB6kl230OQo09IYVLrG9yK4/view?usp=sharing" TargetMode="External"/><Relationship Id="rId98" Type="http://schemas.openxmlformats.org/officeDocument/2006/relationships/hyperlink" Target="https://drive.google.com/file/d/14xzNX5iftgj4kf5D8JEEEtzpxJXCQupl/view?usp=sharing" TargetMode="External"/><Relationship Id="rId91" Type="http://schemas.openxmlformats.org/officeDocument/2006/relationships/hyperlink" Target="https://drive.google.com/file/d/1vjkEBgH6_Z4rUkNn5ssroRi55SmfQTRf/view?usp=sharing" TargetMode="External"/><Relationship Id="rId90" Type="http://schemas.openxmlformats.org/officeDocument/2006/relationships/hyperlink" Target="https://drive.google.com/file/d/1h1jQnxkfY1zvFqOnDAmyGAr1WHj4CbCL/view?usp=sharing" TargetMode="External"/><Relationship Id="rId93" Type="http://schemas.openxmlformats.org/officeDocument/2006/relationships/hyperlink" Target="https://drive.google.com/file/d/1Nn1I38-dUUNQPskgmMOmH-LOMHTLQ-Oe/view?usp=sharing" TargetMode="External"/><Relationship Id="rId92" Type="http://schemas.openxmlformats.org/officeDocument/2006/relationships/hyperlink" Target="https://drive.google.com/file/d/1EXPs-MC4UWrkWZBVm0nQlvlz_9TXZh-0/view?usp=sharing" TargetMode="External"/><Relationship Id="rId359" Type="http://schemas.openxmlformats.org/officeDocument/2006/relationships/hyperlink" Target="https://drive.google.com/file/d/1cl3io5bt8Ew9X_baX8DijwzRRvQLnTNX/view?usp=sharing" TargetMode="External"/><Relationship Id="rId358" Type="http://schemas.openxmlformats.org/officeDocument/2006/relationships/hyperlink" Target="https://drive.google.com/file/d/18ZzyEKzD4SE72bpVCYkwlFETtyYqX721/view?usp=sharing" TargetMode="External"/><Relationship Id="rId357" Type="http://schemas.openxmlformats.org/officeDocument/2006/relationships/hyperlink" Target="https://drive.google.com/file/d/1aYvNq393EbJVAuXRe5RdsR7rHexI0egm/view?usp=sharing" TargetMode="External"/><Relationship Id="rId2270" Type="http://schemas.openxmlformats.org/officeDocument/2006/relationships/hyperlink" Target="https://drive.google.com/file/d/1hdZSLoufYQ1YUAzLSkIraQbXUvbjYD5O/view?usp=sharing" TargetMode="External"/><Relationship Id="rId2271" Type="http://schemas.openxmlformats.org/officeDocument/2006/relationships/hyperlink" Target="https://drive.google.com/file/d/1z-b5jQXim8zCNhRp5iZMILaW2ssfETT2/view?usp=sharing" TargetMode="External"/><Relationship Id="rId352" Type="http://schemas.openxmlformats.org/officeDocument/2006/relationships/hyperlink" Target="https://drive.google.com/file/d/1uasAO1YrclpPDLjnraQMACc-HP5pBfKB/view?usp=sharing" TargetMode="External"/><Relationship Id="rId2272" Type="http://schemas.openxmlformats.org/officeDocument/2006/relationships/hyperlink" Target="https://drive.google.com/file/d/1DWsAAkSj85babcLJUSjkSv0Yru4fKVj5/view?usp=sharing" TargetMode="External"/><Relationship Id="rId351" Type="http://schemas.openxmlformats.org/officeDocument/2006/relationships/hyperlink" Target="https://drive.google.com/file/d/1IHqqLOmIpZ1aLslZNN2ViRzxvQHOeod3/view?usp=sharing" TargetMode="External"/><Relationship Id="rId2273" Type="http://schemas.openxmlformats.org/officeDocument/2006/relationships/hyperlink" Target="https://drive.google.com/file/d/1ZkwSP37O9-w2VUh7hOhYYfxCHoHwAQoj/view?usp=sharing" TargetMode="External"/><Relationship Id="rId350" Type="http://schemas.openxmlformats.org/officeDocument/2006/relationships/hyperlink" Target="https://drive.google.com/file/d/1yvSkipm-R77ukdIHJYXj9y3mhrKH8RlN/view?usp=sharing" TargetMode="External"/><Relationship Id="rId2274" Type="http://schemas.openxmlformats.org/officeDocument/2006/relationships/hyperlink" Target="https://drive.google.com/file/d/13O9xhKU__J5QUwCw3HhAaRPShynWPkpu/view?usp=sharing" TargetMode="External"/><Relationship Id="rId2275" Type="http://schemas.openxmlformats.org/officeDocument/2006/relationships/hyperlink" Target="https://drive.google.com/file/d/1FO7vpg1bm34ejFvAafj-b6p52afgdrWH/view?usp=sharing" TargetMode="External"/><Relationship Id="rId356" Type="http://schemas.openxmlformats.org/officeDocument/2006/relationships/hyperlink" Target="https://drive.google.com/file/d/1wLPYjR1k325U_Nt7QOQkQFgfeYOLTTwx/view?usp=sharing" TargetMode="External"/><Relationship Id="rId2276" Type="http://schemas.openxmlformats.org/officeDocument/2006/relationships/hyperlink" Target="https://drive.google.com/file/d/15QGUy2Iv8SOOP2jE0EiQ5d_swE1W1Osh/view?usp=sharing" TargetMode="External"/><Relationship Id="rId355" Type="http://schemas.openxmlformats.org/officeDocument/2006/relationships/hyperlink" Target="https://drive.google.com/file/d/1vn5_b-A6unMj6CDEwhc3VC8riQ522gd_/view?usp=sharing" TargetMode="External"/><Relationship Id="rId2277" Type="http://schemas.openxmlformats.org/officeDocument/2006/relationships/hyperlink" Target="https://drive.google.com/file/d/10iixUwBxP_WnscwV61aMGHKM0uJnltRJ/view?usp=sharing" TargetMode="External"/><Relationship Id="rId354" Type="http://schemas.openxmlformats.org/officeDocument/2006/relationships/hyperlink" Target="https://drive.google.com/file/d/1-kaViW6NRC2Sbg6wc3SexeW0nbCEqI4I/view?usp=sharing" TargetMode="External"/><Relationship Id="rId2278" Type="http://schemas.openxmlformats.org/officeDocument/2006/relationships/hyperlink" Target="https://drive.google.com/file/d/1A946sBF6eDnyeWgmI5ycPomAnltgFLkh/view?usp=sharing" TargetMode="External"/><Relationship Id="rId353" Type="http://schemas.openxmlformats.org/officeDocument/2006/relationships/hyperlink" Target="https://drive.google.com/file/d/1xTCQhQDJBVDSniaY1E30UQU5OBWoNDfp/view?usp=sharing" TargetMode="External"/><Relationship Id="rId2279" Type="http://schemas.openxmlformats.org/officeDocument/2006/relationships/hyperlink" Target="https://drive.google.com/file/d/1yBe2YdiFeX58mICfz7KrICyPYnFslf7Z/view?usp=sharing" TargetMode="External"/><Relationship Id="rId2225" Type="http://schemas.openxmlformats.org/officeDocument/2006/relationships/hyperlink" Target="https://drive.google.com/file/d/1xutQctTT3Pydy6_Ja7YOMREKL-PwMkJO/view?usp=sharing" TargetMode="External"/><Relationship Id="rId2226" Type="http://schemas.openxmlformats.org/officeDocument/2006/relationships/hyperlink" Target="https://drive.google.com/file/d/1t3oopB3tqw1zCzzPdFoC13XCPQbjBh7t/view?usp=sharing" TargetMode="External"/><Relationship Id="rId2227" Type="http://schemas.openxmlformats.org/officeDocument/2006/relationships/hyperlink" Target="https://drive.google.com/file/d/1NvxFdjTfWe-HF-LtBn0FBPXGcw5GBLLp/view?usp=sharing" TargetMode="External"/><Relationship Id="rId2228" Type="http://schemas.openxmlformats.org/officeDocument/2006/relationships/hyperlink" Target="https://drive.google.com/file/d/1Q2aqazA4kXDnJmNlOUvwP0RraovuyroH/view?usp=sharing" TargetMode="External"/><Relationship Id="rId2229" Type="http://schemas.openxmlformats.org/officeDocument/2006/relationships/hyperlink" Target="https://drive.google.com/file/d/1jHUjLjDN7qFkAoDg2uq2iRwo8rZ2t7nV/view?usp=sharing" TargetMode="External"/><Relationship Id="rId305" Type="http://schemas.openxmlformats.org/officeDocument/2006/relationships/hyperlink" Target="https://drive.google.com/file/d/1RiSao3vCSbKiYbplHoZ7zZnh36qxV-iw/view?usp=sharing" TargetMode="External"/><Relationship Id="rId304" Type="http://schemas.openxmlformats.org/officeDocument/2006/relationships/hyperlink" Target="https://drive.google.com/file/d/1RAVS2oW7m2650nxAhS1wNJ_GEhV3fA34/view?usp=sharing" TargetMode="External"/><Relationship Id="rId303" Type="http://schemas.openxmlformats.org/officeDocument/2006/relationships/hyperlink" Target="https://drive.google.com/file/d/1scl69OkyBf3j_OJVkzv6DAp8-OaCYx1w/view?usp=sharing" TargetMode="External"/><Relationship Id="rId302" Type="http://schemas.openxmlformats.org/officeDocument/2006/relationships/hyperlink" Target="https://drive.google.com/file/d/1itqIYjSOR_cDNjvL0Nd3tyTRcr0MTF7k/view?usp=sharing" TargetMode="External"/><Relationship Id="rId309" Type="http://schemas.openxmlformats.org/officeDocument/2006/relationships/hyperlink" Target="https://drive.google.com/file/d/1jmIpr6flgKHwJc3Bdpw5KEuOwZmlpQdQ/view?usp=sharing" TargetMode="External"/><Relationship Id="rId308" Type="http://schemas.openxmlformats.org/officeDocument/2006/relationships/hyperlink" Target="https://drive.google.com/file/d/1_-qtcwiJqmxeFZgX9OTxWs98TAv5iIXk/view?usp=sharing" TargetMode="External"/><Relationship Id="rId307" Type="http://schemas.openxmlformats.org/officeDocument/2006/relationships/hyperlink" Target="https://drive.google.com/file/d/1da5dCt6wmQfv1wrP3FgtFYO6rvDJzae5/view?usp=sharing" TargetMode="External"/><Relationship Id="rId306" Type="http://schemas.openxmlformats.org/officeDocument/2006/relationships/hyperlink" Target="https://drive.google.com/file/d/1oWjYJqScNRzZiCiW4XT62jueAPedGHgw/view?usp=sharing" TargetMode="External"/><Relationship Id="rId2220" Type="http://schemas.openxmlformats.org/officeDocument/2006/relationships/hyperlink" Target="https://drive.google.com/file/d/1lwouYX1JvcpaJxjAMRVZHvhjWSP8MMEN/view?usp=sharing" TargetMode="External"/><Relationship Id="rId301" Type="http://schemas.openxmlformats.org/officeDocument/2006/relationships/hyperlink" Target="https://drive.google.com/file/d/1ejgY8y6hFd-He5-LJ2nfZrfxSG02nMCh/view?usp=sharing" TargetMode="External"/><Relationship Id="rId2221" Type="http://schemas.openxmlformats.org/officeDocument/2006/relationships/hyperlink" Target="https://drive.google.com/file/d/1F_QdbvlJRpm2dQMLcAmhEOj4sw9odTpF/view?usp=sharing" TargetMode="External"/><Relationship Id="rId300" Type="http://schemas.openxmlformats.org/officeDocument/2006/relationships/hyperlink" Target="https://drive.google.com/file/d/1Z8qp_VkbgQDjFBTy6M_sugqx2LOsgxtZ/view?usp=sharing" TargetMode="External"/><Relationship Id="rId2222" Type="http://schemas.openxmlformats.org/officeDocument/2006/relationships/hyperlink" Target="https://drive.google.com/file/d/1HHWPZAg0SEkFDzKMYf_EHI8ZRLpz-dr-/view?usp=sharing" TargetMode="External"/><Relationship Id="rId2223" Type="http://schemas.openxmlformats.org/officeDocument/2006/relationships/hyperlink" Target="https://drive.google.com/file/d/1W3UoHanTAX5hVLBz_H4L3PKAhuAyxg23/view?usp=sharing" TargetMode="External"/><Relationship Id="rId2224" Type="http://schemas.openxmlformats.org/officeDocument/2006/relationships/hyperlink" Target="https://drive.google.com/file/d/1eZqcZawCP7Wu08H571C_l3ho-sPTNGmZ/view?usp=sharing" TargetMode="External"/><Relationship Id="rId2214" Type="http://schemas.openxmlformats.org/officeDocument/2006/relationships/hyperlink" Target="https://drive.google.com/file/d/1WuFg8jLmSeH8o6ogq7dZ_1yuu2lDkfQx/view?usp=sharing" TargetMode="External"/><Relationship Id="rId2215" Type="http://schemas.openxmlformats.org/officeDocument/2006/relationships/hyperlink" Target="https://drive.google.com/file/d/10OAYDrOhL2Cl1qNyi0U6OuZ52_wm7jox/view?usp=sharing" TargetMode="External"/><Relationship Id="rId2216" Type="http://schemas.openxmlformats.org/officeDocument/2006/relationships/hyperlink" Target="https://drive.google.com/file/d/190OkiMrOUBCCtknUWt4uVwDsCRDJY1Wi/view?usp=sharing" TargetMode="External"/><Relationship Id="rId2217" Type="http://schemas.openxmlformats.org/officeDocument/2006/relationships/hyperlink" Target="https://drive.google.com/file/d/1DXmRBXvQKkNDKRjOg4KUH1a-0rLhI0ru/view?usp=sharing" TargetMode="External"/><Relationship Id="rId2218" Type="http://schemas.openxmlformats.org/officeDocument/2006/relationships/hyperlink" Target="https://drive.google.com/file/d/17pe8Oc68_V42gDUU7XGXP99Dz0BFz2Jk/view?usp=sharing" TargetMode="External"/><Relationship Id="rId2219" Type="http://schemas.openxmlformats.org/officeDocument/2006/relationships/hyperlink" Target="https://drive.google.com/file/d/1LTrWSV20OVUR_RLYEzBbGFcGUJz22EMF/view?usp=sharing" TargetMode="External"/><Relationship Id="rId2210" Type="http://schemas.openxmlformats.org/officeDocument/2006/relationships/hyperlink" Target="https://drive.google.com/file/d/1vMXUZPme-jKQlXZeR072coeJbJG5y3Yz/view?usp=sharing" TargetMode="External"/><Relationship Id="rId2211" Type="http://schemas.openxmlformats.org/officeDocument/2006/relationships/hyperlink" Target="https://drive.google.com/file/d/1yz_ZLnQWXucr9W-v04D5BoyYKZlILHHU/view?usp=sharing" TargetMode="External"/><Relationship Id="rId2212" Type="http://schemas.openxmlformats.org/officeDocument/2006/relationships/hyperlink" Target="https://drive.google.com/file/d/1nuCyOSE1utHaCihe9j2GZY6etoHt4Omi/view?usp=sharing" TargetMode="External"/><Relationship Id="rId2213" Type="http://schemas.openxmlformats.org/officeDocument/2006/relationships/hyperlink" Target="https://drive.google.com/file/d/1yRyAN9Jry-d3KVO2YExh0I6hAI5P8ZQr/view?usp=sharing" TargetMode="External"/><Relationship Id="rId2247" Type="http://schemas.openxmlformats.org/officeDocument/2006/relationships/hyperlink" Target="https://drive.google.com/file/d/1QkygoZnkC4PxSPvP2L_YqBHvMB90u5dR/view?usp=sharing" TargetMode="External"/><Relationship Id="rId2248" Type="http://schemas.openxmlformats.org/officeDocument/2006/relationships/hyperlink" Target="https://drive.google.com/file/d/1ZTUOk9jxY-Cwxis06Wte04JLBownsNx6/view?usp=sharing" TargetMode="External"/><Relationship Id="rId2249" Type="http://schemas.openxmlformats.org/officeDocument/2006/relationships/hyperlink" Target="https://drive.google.com/file/d/12BBmaBOWF-NwUnjEFe5kTPLaAobOmscD/view?usp=sharing" TargetMode="External"/><Relationship Id="rId327" Type="http://schemas.openxmlformats.org/officeDocument/2006/relationships/hyperlink" Target="https://drive.google.com/file/d/1jobpWknnE8Ja5PVfKVGxQihg0GRKjcY1/view?usp=sharing" TargetMode="External"/><Relationship Id="rId326" Type="http://schemas.openxmlformats.org/officeDocument/2006/relationships/hyperlink" Target="https://drive.google.com/file/d/1jDZ8D64b5ClTkZlk3iwSOcApf1jZ3H25/view?usp=sharing" TargetMode="External"/><Relationship Id="rId325" Type="http://schemas.openxmlformats.org/officeDocument/2006/relationships/hyperlink" Target="https://drive.google.com/file/d/1_5whrAIho4x5ha2VNQbIl_ZBEZdLJW5l/view?usp=sharing" TargetMode="External"/><Relationship Id="rId324" Type="http://schemas.openxmlformats.org/officeDocument/2006/relationships/hyperlink" Target="https://drive.google.com/file/d/1qnAgN-H4NIl8975rlLBwHnGMRvAv-UGQ/view?usp=sharing" TargetMode="External"/><Relationship Id="rId329" Type="http://schemas.openxmlformats.org/officeDocument/2006/relationships/hyperlink" Target="https://drive.google.com/file/d/1_f_SRUKKz7TlWvaoZeef-g1zcs5SAXp0/view?usp=sharing" TargetMode="External"/><Relationship Id="rId328" Type="http://schemas.openxmlformats.org/officeDocument/2006/relationships/hyperlink" Target="https://drive.google.com/file/d/1TGRoKpa21mWMrh--lHp6oeU7P3v1r8h6/view?usp=sharing" TargetMode="External"/><Relationship Id="rId2240" Type="http://schemas.openxmlformats.org/officeDocument/2006/relationships/hyperlink" Target="https://drive.google.com/file/d/1FwdsDMlFsqmlqOKCZIZrQtIwpcjbeWmE/view?usp=sharing" TargetMode="External"/><Relationship Id="rId2241" Type="http://schemas.openxmlformats.org/officeDocument/2006/relationships/hyperlink" Target="https://drive.google.com/file/d/1miepwDutt7h_R67MJG1bDDJpdIWm_uOi/view?usp=sharing" TargetMode="External"/><Relationship Id="rId2242" Type="http://schemas.openxmlformats.org/officeDocument/2006/relationships/hyperlink" Target="https://drive.google.com/file/d/10olMOXxYjpJQFBtnLUwXw4M4P8KnUgzI/view?usp=sharing" TargetMode="External"/><Relationship Id="rId323" Type="http://schemas.openxmlformats.org/officeDocument/2006/relationships/hyperlink" Target="https://drive.google.com/file/d/1N_C7KqmzSYv-4Jo5z_XZNejBk_IE86zs/view?usp=sharing" TargetMode="External"/><Relationship Id="rId2243" Type="http://schemas.openxmlformats.org/officeDocument/2006/relationships/hyperlink" Target="https://drive.google.com/file/d/10fS81VpeLX23x3Egbi01maV0goUkb1iU/view?usp=sharing" TargetMode="External"/><Relationship Id="rId322" Type="http://schemas.openxmlformats.org/officeDocument/2006/relationships/hyperlink" Target="https://drive.google.com/file/d/1LbkfWfuhsgCLY_fxYYf_hoid1QkdpA3-/view?usp=sharing" TargetMode="External"/><Relationship Id="rId2244" Type="http://schemas.openxmlformats.org/officeDocument/2006/relationships/hyperlink" Target="https://drive.google.com/file/d/1mf_ArXpBciAthOcyvSyPh0sy7za1fVmw/view?usp=sharing" TargetMode="External"/><Relationship Id="rId321" Type="http://schemas.openxmlformats.org/officeDocument/2006/relationships/hyperlink" Target="https://drive.google.com/file/d/1PlXaN0ML2UHdF1JOtnC6aeS9hFiokALB/view?usp=sharing" TargetMode="External"/><Relationship Id="rId2245" Type="http://schemas.openxmlformats.org/officeDocument/2006/relationships/hyperlink" Target="https://drive.google.com/file/d/1vWFVscyW6gl2N-Ke88kR6ZnQAq1reQXV/view?usp=sharing" TargetMode="External"/><Relationship Id="rId320" Type="http://schemas.openxmlformats.org/officeDocument/2006/relationships/hyperlink" Target="https://drive.google.com/file/d/1R0mFQwUcbHfkdfxqE9fatEUK55x-gapH/view?usp=sharing" TargetMode="External"/><Relationship Id="rId2246" Type="http://schemas.openxmlformats.org/officeDocument/2006/relationships/hyperlink" Target="https://drive.google.com/file/d/19hozxQxunDy43TUwWTZ-ypz7oigW49Ie/view?usp=sharing" TargetMode="External"/><Relationship Id="rId2236" Type="http://schemas.openxmlformats.org/officeDocument/2006/relationships/hyperlink" Target="https://drive.google.com/file/d/1AsEUXvJsr6DgGF5fWIxi6sPKXqnylcAm/view?usp=sharing" TargetMode="External"/><Relationship Id="rId2237" Type="http://schemas.openxmlformats.org/officeDocument/2006/relationships/hyperlink" Target="https://drive.google.com/file/d/13wdJz6FDtxPDFcwjnNGbE6JgUpwP3MG0/view?usp=sharing" TargetMode="External"/><Relationship Id="rId2238" Type="http://schemas.openxmlformats.org/officeDocument/2006/relationships/hyperlink" Target="https://drive.google.com/file/d/1urHTkqVifuzKZYEL7nvyPUqfdF0PXNQn/view?usp=sharing" TargetMode="External"/><Relationship Id="rId2239" Type="http://schemas.openxmlformats.org/officeDocument/2006/relationships/hyperlink" Target="https://drive.google.com/file/d/1Rw3qPyqoYx4USVof554fvpRfZEucDLov/view?usp=sharing" TargetMode="External"/><Relationship Id="rId316" Type="http://schemas.openxmlformats.org/officeDocument/2006/relationships/hyperlink" Target="https://drive.google.com/file/d/1giH03qx2mg_ufCvpGvunb51-FX5Y9rz6/view?usp=sharing" TargetMode="External"/><Relationship Id="rId315" Type="http://schemas.openxmlformats.org/officeDocument/2006/relationships/hyperlink" Target="https://drive.google.com/file/d/18PkQegEhR3NX_DFVp1TPW1FZFRMPepA3/view?usp=sharing" TargetMode="External"/><Relationship Id="rId314" Type="http://schemas.openxmlformats.org/officeDocument/2006/relationships/hyperlink" Target="https://drive.google.com/file/d/183KAT4DvmTA9Kt9jpE59ou7PyRffdhf4/view?usp=sharing" TargetMode="External"/><Relationship Id="rId313" Type="http://schemas.openxmlformats.org/officeDocument/2006/relationships/hyperlink" Target="https://drive.google.com/file/d/1sMFvcibog36dCxPkg5Sq_FeUXOLkjINK/view?usp=sharing" TargetMode="External"/><Relationship Id="rId319" Type="http://schemas.openxmlformats.org/officeDocument/2006/relationships/hyperlink" Target="https://drive.google.com/file/d/1Pyhv0P2y2yV3jnFWQcS_5s5OwDhPDUtG/view?usp=sharing" TargetMode="External"/><Relationship Id="rId318" Type="http://schemas.openxmlformats.org/officeDocument/2006/relationships/hyperlink" Target="https://drive.google.com/file/d/1CkSCpwpI4Q6qtzIEPotJYPXVvvsPhbG8/view?usp=sharing" TargetMode="External"/><Relationship Id="rId317" Type="http://schemas.openxmlformats.org/officeDocument/2006/relationships/hyperlink" Target="https://drive.google.com/file/d/1dfij-7nLzEmjtA1prxvYse3mvgmBVIcj/view?usp=sharing" TargetMode="External"/><Relationship Id="rId2230" Type="http://schemas.openxmlformats.org/officeDocument/2006/relationships/hyperlink" Target="https://drive.google.com/file/d/1elBEYPLfBCxnGIxuk7XJ6ZAdbF395v55/view?usp=sharing" TargetMode="External"/><Relationship Id="rId2231" Type="http://schemas.openxmlformats.org/officeDocument/2006/relationships/hyperlink" Target="https://drive.google.com/file/d/1OujG5Fnu7e1KMtzXxkOuY2nNyC3TdnCd/view?usp=sharing" TargetMode="External"/><Relationship Id="rId312" Type="http://schemas.openxmlformats.org/officeDocument/2006/relationships/hyperlink" Target="https://drive.google.com/file/d/1dQHeF1r8iK40qGBJRXUSO9a5ID7zWo8W/view?usp=sharing" TargetMode="External"/><Relationship Id="rId2232" Type="http://schemas.openxmlformats.org/officeDocument/2006/relationships/hyperlink" Target="https://drive.google.com/file/d/10RgX7aZoXvxyXGM3SOMehd6QQr5Fk8fC/view?usp=sharing" TargetMode="External"/><Relationship Id="rId311" Type="http://schemas.openxmlformats.org/officeDocument/2006/relationships/hyperlink" Target="https://drive.google.com/file/d/1HStO_NfLMrnM3GdNmJF-8n2v6b1nn3RU/view?usp=sharing" TargetMode="External"/><Relationship Id="rId2233" Type="http://schemas.openxmlformats.org/officeDocument/2006/relationships/hyperlink" Target="https://drive.google.com/file/d/1Gx20h3SCE99IXRL03U2jvAjER5IJOkWJ/view?usp=sharing" TargetMode="External"/><Relationship Id="rId310" Type="http://schemas.openxmlformats.org/officeDocument/2006/relationships/hyperlink" Target="https://drive.google.com/file/d/1c4UfIyN0gcejLk3hvJoXkEQpJamo08ZJ/view?usp=sharing" TargetMode="External"/><Relationship Id="rId2234" Type="http://schemas.openxmlformats.org/officeDocument/2006/relationships/hyperlink" Target="https://drive.google.com/file/d/1EAQ4SGwZapEQKU8dpCNd9qIcKTLgrEWE/view?usp=sharing" TargetMode="External"/><Relationship Id="rId2235" Type="http://schemas.openxmlformats.org/officeDocument/2006/relationships/hyperlink" Target="https://drive.google.com/file/d/1GUP7tB7EjrYcqpGrVvIinMDkPPMxGEox/view?usp=sharing" TargetMode="External"/><Relationship Id="rId297" Type="http://schemas.openxmlformats.org/officeDocument/2006/relationships/hyperlink" Target="https://drive.google.com/file/d/1xPMkDZ5uBXJZKy2VTQ4ZkEHumhbu4sWe/view?usp=sharing" TargetMode="External"/><Relationship Id="rId296" Type="http://schemas.openxmlformats.org/officeDocument/2006/relationships/hyperlink" Target="https://drive.google.com/file/d/1C0zHmGsVHHybCX8XTg9LDPDLB6QHk-RJ/view?usp=sharing" TargetMode="External"/><Relationship Id="rId295" Type="http://schemas.openxmlformats.org/officeDocument/2006/relationships/hyperlink" Target="https://drive.google.com/file/d/16gWFS0gPOeRZJ2hjuHee0ANwHt5IQmfW/view?usp=sharing" TargetMode="External"/><Relationship Id="rId294" Type="http://schemas.openxmlformats.org/officeDocument/2006/relationships/hyperlink" Target="https://drive.google.com/file/d/1R-kcDYX2KGZcDa9aw5mkzMDV64WpRkl4/view?usp=sharing" TargetMode="External"/><Relationship Id="rId299" Type="http://schemas.openxmlformats.org/officeDocument/2006/relationships/hyperlink" Target="https://drive.google.com/file/d/1m28egjfYXDjxQCwRLoZ-NIGgjD033YlP/view?usp=sharing" TargetMode="External"/><Relationship Id="rId298" Type="http://schemas.openxmlformats.org/officeDocument/2006/relationships/hyperlink" Target="https://drive.google.com/file/d/168J8HF5jhCI5yyp9-bNKgwrzfu9GCUT0/view?usp=sharing" TargetMode="External"/><Relationship Id="rId271" Type="http://schemas.openxmlformats.org/officeDocument/2006/relationships/hyperlink" Target="https://drive.google.com/file/d/1jwn3I9Esefv03jtdIwjPUhkP3RL7ebae/view?usp=sharing" TargetMode="External"/><Relationship Id="rId270" Type="http://schemas.openxmlformats.org/officeDocument/2006/relationships/hyperlink" Target="https://drive.google.com/file/d/1l2Kg_aRdskd9BMo5cBMkZbQXLMJEOKMQ/view?usp=sharing" TargetMode="External"/><Relationship Id="rId269" Type="http://schemas.openxmlformats.org/officeDocument/2006/relationships/hyperlink" Target="https://drive.google.com/file/d/1ZTJbRs1DSIJZh6VCMIcNrN9651uHqPNT/view?usp=sharing" TargetMode="External"/><Relationship Id="rId264" Type="http://schemas.openxmlformats.org/officeDocument/2006/relationships/hyperlink" Target="https://drive.google.com/file/d/1pGubSlmoe-MdmCewsVngjajK8M3d1dfu/view?usp=sharing" TargetMode="External"/><Relationship Id="rId263" Type="http://schemas.openxmlformats.org/officeDocument/2006/relationships/hyperlink" Target="https://drive.google.com/file/d/1Ys54NcFtlviCrX6Db9B4m7Gj2iyc6gV0/view?usp=sharing" TargetMode="External"/><Relationship Id="rId262" Type="http://schemas.openxmlformats.org/officeDocument/2006/relationships/hyperlink" Target="https://drive.google.com/file/d/1u3OThFxyFMmIu3wXT6esDo2y2i_4Brj2/view?usp=sharing" TargetMode="External"/><Relationship Id="rId261" Type="http://schemas.openxmlformats.org/officeDocument/2006/relationships/hyperlink" Target="https://drive.google.com/file/d/1KfXjqqq06QwXmafkl6NHFoffaBles5ZQ/view?usp=sharing" TargetMode="External"/><Relationship Id="rId268" Type="http://schemas.openxmlformats.org/officeDocument/2006/relationships/hyperlink" Target="https://drive.google.com/file/d/19M46PiPeLlqKe0UdwgsoGUsjtsO6ObFH/view?usp=sharing" TargetMode="External"/><Relationship Id="rId267" Type="http://schemas.openxmlformats.org/officeDocument/2006/relationships/hyperlink" Target="https://drive.google.com/file/d/1mnkF20ObHhUgK1BKPfQXBE3B6rOXkHc5/view?usp=sharing" TargetMode="External"/><Relationship Id="rId266" Type="http://schemas.openxmlformats.org/officeDocument/2006/relationships/hyperlink" Target="https://drive.google.com/file/d/1gTQlJMcZJKUPxKBrXkPaTGwla0xY1I08/view?usp=sharing" TargetMode="External"/><Relationship Id="rId265" Type="http://schemas.openxmlformats.org/officeDocument/2006/relationships/hyperlink" Target="https://drive.google.com/file/d/1Qefkk9nlNj0YUK0pej6A30hXogmc9ioG/view?usp=sharing" TargetMode="External"/><Relationship Id="rId260" Type="http://schemas.openxmlformats.org/officeDocument/2006/relationships/hyperlink" Target="https://drive.google.com/file/d/1qPwFb0cLt1wUblG6MAOTfqR3xYmj5S8Y/view?usp=sharing" TargetMode="External"/><Relationship Id="rId259" Type="http://schemas.openxmlformats.org/officeDocument/2006/relationships/hyperlink" Target="https://drive.google.com/file/d/1cocXVkOPz0yG_zoaFny4MnZAbOOnIR7N/view?usp=sharing" TargetMode="External"/><Relationship Id="rId258" Type="http://schemas.openxmlformats.org/officeDocument/2006/relationships/hyperlink" Target="https://drive.google.com/file/d/1nKOBYlaagnUAhEmlKpXnIF1UKdXHXqTr/view?usp=sharing" TargetMode="External"/><Relationship Id="rId2290" Type="http://schemas.openxmlformats.org/officeDocument/2006/relationships/hyperlink" Target="https://drive.google.com/file/d/1rVvtkgW7WK4cOFH_b_e286ft2PyiC0GT/view?usp=sharing" TargetMode="External"/><Relationship Id="rId2291" Type="http://schemas.openxmlformats.org/officeDocument/2006/relationships/hyperlink" Target="https://drive.google.com/file/d/1YTdDaMFHY86iLi--yEhGAU5T7b40mxqX/view?usp=sharing" TargetMode="External"/><Relationship Id="rId2292" Type="http://schemas.openxmlformats.org/officeDocument/2006/relationships/hyperlink" Target="https://drive.google.com/file/d/1tih9-hWrFBHNJLAsoik7vV9v9Pe9qvA1/view?usp=sharing" TargetMode="External"/><Relationship Id="rId2293" Type="http://schemas.openxmlformats.org/officeDocument/2006/relationships/hyperlink" Target="https://drive.google.com/file/d/1IA6VbsiXrVh9J3k3x-gEV0vyMtoBPH48/view?usp=sharing" TargetMode="External"/><Relationship Id="rId253" Type="http://schemas.openxmlformats.org/officeDocument/2006/relationships/hyperlink" Target="https://drive.google.com/file/d/1t369QGA4dfj5xdtd0cK5-WNpXu9SFkw5/view?usp=sharing" TargetMode="External"/><Relationship Id="rId2294" Type="http://schemas.openxmlformats.org/officeDocument/2006/relationships/hyperlink" Target="https://drive.google.com/file/d/1Hcm0oJmVLu5fFgijtqBzGq9GPVQS3yC_/view?usp=sharing" TargetMode="External"/><Relationship Id="rId252" Type="http://schemas.openxmlformats.org/officeDocument/2006/relationships/hyperlink" Target="https://drive.google.com/file/d/1bCO7ZOdBT1QztOmES33sF5nMSX-YNXFf/view?usp=sharing" TargetMode="External"/><Relationship Id="rId2295" Type="http://schemas.openxmlformats.org/officeDocument/2006/relationships/hyperlink" Target="https://drive.google.com/file/d/1uJa9iPJnylvcSH2lYKf0VZpH3HEutr7v/view?usp=sharing" TargetMode="External"/><Relationship Id="rId251" Type="http://schemas.openxmlformats.org/officeDocument/2006/relationships/hyperlink" Target="https://drive.google.com/file/d/1bJd-LZpAr7GVwfSQS67-IHSlIqSxFh-R/view?usp=sharing" TargetMode="External"/><Relationship Id="rId2296" Type="http://schemas.openxmlformats.org/officeDocument/2006/relationships/hyperlink" Target="https://drive.google.com/file/d/1iVBYFBp1bhVycjHHGDFPDWOPuRwfC4vA/view?usp=sharing" TargetMode="External"/><Relationship Id="rId250" Type="http://schemas.openxmlformats.org/officeDocument/2006/relationships/hyperlink" Target="https://drive.google.com/file/d/1NOdsII0ckJvbSnDDDxnNyxagRWP9H_Km/view?usp=sharing" TargetMode="External"/><Relationship Id="rId2297" Type="http://schemas.openxmlformats.org/officeDocument/2006/relationships/hyperlink" Target="https://drive.google.com/file/d/1wZDGYn8UFl5DcZfCC9EMRtGmrKFQY19g/view?usp=sharing" TargetMode="External"/><Relationship Id="rId257" Type="http://schemas.openxmlformats.org/officeDocument/2006/relationships/hyperlink" Target="https://drive.google.com/file/d/16LKvTmVWyEc3f7YlU94ijf9dFdWb-zaP/view?usp=sharing" TargetMode="External"/><Relationship Id="rId2298" Type="http://schemas.openxmlformats.org/officeDocument/2006/relationships/hyperlink" Target="https://drive.google.com/file/d/1jhKMAs10Wdkc3JD9FquTy1eLjD6cmJsx/view?usp=sharing" TargetMode="External"/><Relationship Id="rId256" Type="http://schemas.openxmlformats.org/officeDocument/2006/relationships/hyperlink" Target="https://drive.google.com/file/d/11Pv0xrKXGmZibOxgXe9Cn1202DbA6K21/view?usp=sharing" TargetMode="External"/><Relationship Id="rId2299" Type="http://schemas.openxmlformats.org/officeDocument/2006/relationships/hyperlink" Target="https://drive.google.com/file/d/1LTuN0cUMiDPbqz_eG2WYkkySPk6W9LQO/view?usp=sharing" TargetMode="External"/><Relationship Id="rId255" Type="http://schemas.openxmlformats.org/officeDocument/2006/relationships/hyperlink" Target="https://drive.google.com/file/d/1ErynPhUknoN4t6_ujAHbsnACt01iPaCO/view?usp=sharing" TargetMode="External"/><Relationship Id="rId254" Type="http://schemas.openxmlformats.org/officeDocument/2006/relationships/hyperlink" Target="https://drive.google.com/file/d/1EfNLWIe4iBzNladYH0PKF4BhtcuzoQft/view?usp=sharing" TargetMode="External"/><Relationship Id="rId293" Type="http://schemas.openxmlformats.org/officeDocument/2006/relationships/hyperlink" Target="https://drive.google.com/file/d/1GNdyf77kbuHYZDPe4iVhz0BLmDeiU3K2/view?usp=sharing" TargetMode="External"/><Relationship Id="rId292" Type="http://schemas.openxmlformats.org/officeDocument/2006/relationships/hyperlink" Target="https://drive.google.com/file/d/1W8jimbFKgPC1rSHDkP9ZkevgvqA-au58/view?usp=sharing" TargetMode="External"/><Relationship Id="rId291" Type="http://schemas.openxmlformats.org/officeDocument/2006/relationships/hyperlink" Target="https://drive.google.com/file/d/1szkVgrqOgTv3MXNtaUzAufXbOzYSTNRw/view?usp=sharing" TargetMode="External"/><Relationship Id="rId290" Type="http://schemas.openxmlformats.org/officeDocument/2006/relationships/hyperlink" Target="https://drive.google.com/file/d/1nJHp_8mJbh5TP_o9XUw-ARX1RgmTc1xx/view?usp=sharing" TargetMode="External"/><Relationship Id="rId286" Type="http://schemas.openxmlformats.org/officeDocument/2006/relationships/hyperlink" Target="https://drive.google.com/file/d/11XR8YaLmD3rYCc13IO3wzOg2Mg9hQdNd/view?usp=sharing" TargetMode="External"/><Relationship Id="rId285" Type="http://schemas.openxmlformats.org/officeDocument/2006/relationships/hyperlink" Target="https://drive.google.com/file/d/1DpgiFeMPbCJkt8GYr2foQ-tirUtFCc6n/view?usp=sharing" TargetMode="External"/><Relationship Id="rId284" Type="http://schemas.openxmlformats.org/officeDocument/2006/relationships/hyperlink" Target="https://drive.google.com/file/d/1_pHfqJcknBc6viCG9mZ0v8gSRTSzp7ue/view?usp=sharing" TargetMode="External"/><Relationship Id="rId283" Type="http://schemas.openxmlformats.org/officeDocument/2006/relationships/hyperlink" Target="https://drive.google.com/file/d/12c0G_n37LvddZKLw_a5qdFu7MXXkMOyA/view?usp=sharing" TargetMode="External"/><Relationship Id="rId289" Type="http://schemas.openxmlformats.org/officeDocument/2006/relationships/hyperlink" Target="https://drive.google.com/file/d/1vmaTFyroT_f8sRqoJIL4BAEYKyZFbRO1/view?usp=sharing" TargetMode="External"/><Relationship Id="rId288" Type="http://schemas.openxmlformats.org/officeDocument/2006/relationships/hyperlink" Target="https://drive.google.com/file/d/1aLn_eyY3WUWm19XZ8MzbC9GKkY3d8YDB/view?usp=sharing" TargetMode="External"/><Relationship Id="rId287" Type="http://schemas.openxmlformats.org/officeDocument/2006/relationships/hyperlink" Target="https://drive.google.com/file/d/1bnk_TMrdfpLQPaSBzhPw3adWxc47HZVs/view?usp=sharing" TargetMode="External"/><Relationship Id="rId282" Type="http://schemas.openxmlformats.org/officeDocument/2006/relationships/hyperlink" Target="https://drive.google.com/file/d/1eCfHr2LSaGqvmSWgzINGaQRu6l_YwSgC/view?usp=sharing" TargetMode="External"/><Relationship Id="rId281" Type="http://schemas.openxmlformats.org/officeDocument/2006/relationships/hyperlink" Target="https://drive.google.com/file/d/1Q_B9uFP8KKTmyevRAdJBsnZlrVXIKaYR/view?usp=sharing" TargetMode="External"/><Relationship Id="rId280" Type="http://schemas.openxmlformats.org/officeDocument/2006/relationships/hyperlink" Target="https://drive.google.com/file/d/15gyvbGXT1qKCwstkdeq55b0mk2wnowFq/view?usp=sharing" TargetMode="External"/><Relationship Id="rId275" Type="http://schemas.openxmlformats.org/officeDocument/2006/relationships/hyperlink" Target="https://drive.google.com/file/d/1fYmG7v5OsIh7uRuMSFyQpaIasxVAdQM_/view?usp=sharing" TargetMode="External"/><Relationship Id="rId274" Type="http://schemas.openxmlformats.org/officeDocument/2006/relationships/hyperlink" Target="https://drive.google.com/file/d/1cvu-9oMg6aYMVnBgTS4mwzptoL4cVIz5/view?usp=sharing" TargetMode="External"/><Relationship Id="rId273" Type="http://schemas.openxmlformats.org/officeDocument/2006/relationships/hyperlink" Target="https://drive.google.com/file/d/1cL01SF0N59froTpaUwg7LqFf7QPJ7UCX/view?usp=sharing" TargetMode="External"/><Relationship Id="rId272" Type="http://schemas.openxmlformats.org/officeDocument/2006/relationships/hyperlink" Target="https://drive.google.com/file/d/1WKecSBnC6cf1VSxgtN28GcLlcervlI5T/view?usp=sharing" TargetMode="External"/><Relationship Id="rId279" Type="http://schemas.openxmlformats.org/officeDocument/2006/relationships/hyperlink" Target="https://drive.google.com/file/d/1ltN-wx5B2Kp6g3W85qfY1PfaYYCZC2rO/view?usp=sharing" TargetMode="External"/><Relationship Id="rId278" Type="http://schemas.openxmlformats.org/officeDocument/2006/relationships/hyperlink" Target="https://drive.google.com/file/d/1t1EVgoUilcmtgpPIdrHImwRcci3EnFRJ/view?usp=sharing" TargetMode="External"/><Relationship Id="rId277" Type="http://schemas.openxmlformats.org/officeDocument/2006/relationships/hyperlink" Target="https://drive.google.com/file/d/1wLQflT2cyfQlDw-cED1WWuWPSbu6jpUo/view?usp=sharing" TargetMode="External"/><Relationship Id="rId276" Type="http://schemas.openxmlformats.org/officeDocument/2006/relationships/hyperlink" Target="https://drive.google.com/file/d/1ZjainpIFjQpPUD0GBy0voY0Pwrf39XjX/view?usp=sharing" TargetMode="External"/><Relationship Id="rId1851" Type="http://schemas.openxmlformats.org/officeDocument/2006/relationships/hyperlink" Target="https://drive.google.com/file/d/1YLIrz64_B_EqrywSNbI0jwJQ66sY7L8S/view?usp=sharing" TargetMode="External"/><Relationship Id="rId1852" Type="http://schemas.openxmlformats.org/officeDocument/2006/relationships/hyperlink" Target="https://drive.google.com/file/d/1o4J-57ylNd9KEKCEp5Ey5sH7hcq8v_dd/view?usp=sharing" TargetMode="External"/><Relationship Id="rId1853" Type="http://schemas.openxmlformats.org/officeDocument/2006/relationships/hyperlink" Target="https://drive.google.com/file/d/12UxAODoxvSsH5X14PiQ8etSimwxs8sFx/view?usp=sharing" TargetMode="External"/><Relationship Id="rId1854" Type="http://schemas.openxmlformats.org/officeDocument/2006/relationships/hyperlink" Target="https://drive.google.com/file/d/18ma4oDfj1Ck4O1vqQGLnYSFcah14Ws-y/view?usp=sharing" TargetMode="External"/><Relationship Id="rId1855" Type="http://schemas.openxmlformats.org/officeDocument/2006/relationships/hyperlink" Target="https://drive.google.com/file/d/1Fg2AahnBxf5EbfcLD3r_Gl-eJvRCwEo1/view?usp=sharing" TargetMode="External"/><Relationship Id="rId1856" Type="http://schemas.openxmlformats.org/officeDocument/2006/relationships/hyperlink" Target="https://drive.google.com/file/d/1up-gGUvwvSI_eTyZO4EUB-rY-XYxEBm0/view?usp=sharing" TargetMode="External"/><Relationship Id="rId1857" Type="http://schemas.openxmlformats.org/officeDocument/2006/relationships/hyperlink" Target="https://drive.google.com/file/d/1p1u2Frmjy6mLvtiG26tV90GGHrrFlztp/view?usp=sharing" TargetMode="External"/><Relationship Id="rId1858" Type="http://schemas.openxmlformats.org/officeDocument/2006/relationships/hyperlink" Target="https://drive.google.com/file/d/1VxonN8FuKtAZvm08Na8t4A6hNtjdYDrD/view?usp=sharing" TargetMode="External"/><Relationship Id="rId1859" Type="http://schemas.openxmlformats.org/officeDocument/2006/relationships/hyperlink" Target="https://drive.google.com/file/d/1ols_uXjXqaIprY2mAO04bftbIgVc0MrN/view?usp=sharing" TargetMode="External"/><Relationship Id="rId1850" Type="http://schemas.openxmlformats.org/officeDocument/2006/relationships/hyperlink" Target="https://drive.google.com/file/d/1e8SFPCRlJd9RXM5AJ_HelBGSify9iH1c/view?usp=sharing" TargetMode="External"/><Relationship Id="rId1840" Type="http://schemas.openxmlformats.org/officeDocument/2006/relationships/hyperlink" Target="https://drive.google.com/file/d/1zPbifvLUu3wmf7SMWedaAdlr_xd45cEq/view?usp=sharing" TargetMode="External"/><Relationship Id="rId1841" Type="http://schemas.openxmlformats.org/officeDocument/2006/relationships/hyperlink" Target="https://drive.google.com/file/d/17E1qWWfF-QZHNlYB37hGY4TPhgI53f1V/view?usp=sharing" TargetMode="External"/><Relationship Id="rId1842" Type="http://schemas.openxmlformats.org/officeDocument/2006/relationships/hyperlink" Target="https://drive.google.com/file/d/1ZiAChd4Y_lYo7iS_j_sp50fkwFuzjR-j/view?usp=sharing" TargetMode="External"/><Relationship Id="rId1843" Type="http://schemas.openxmlformats.org/officeDocument/2006/relationships/hyperlink" Target="https://drive.google.com/file/d/1JYNNhpc990PnXFMRYfkX5cwC3TTIwGHI/view?usp=sharing" TargetMode="External"/><Relationship Id="rId1844" Type="http://schemas.openxmlformats.org/officeDocument/2006/relationships/hyperlink" Target="https://drive.google.com/file/d/1F92hAdNWtm74iZGkvuIyfSAbDPjc7w9U/view?usp=sharing" TargetMode="External"/><Relationship Id="rId1845" Type="http://schemas.openxmlformats.org/officeDocument/2006/relationships/hyperlink" Target="https://drive.google.com/file/d/18z_w900zoao2SvH1buqibnHw9lqEm5U_/view?usp=sharing" TargetMode="External"/><Relationship Id="rId1846" Type="http://schemas.openxmlformats.org/officeDocument/2006/relationships/hyperlink" Target="https://drive.google.com/file/d/1vdvMS8Q2FmkM5lSfxEnVVMXg6BJAJXas/view?usp=sharing" TargetMode="External"/><Relationship Id="rId1847" Type="http://schemas.openxmlformats.org/officeDocument/2006/relationships/hyperlink" Target="https://drive.google.com/file/d/1dLPmJAoRKgAwT1PA9HEski0cIWaRPu6q/view?usp=sharing" TargetMode="External"/><Relationship Id="rId1848" Type="http://schemas.openxmlformats.org/officeDocument/2006/relationships/hyperlink" Target="https://drive.google.com/file/d/1Q2GYwhMNtqZ_bfl6n1ydRfTdpxA-a50q/view?usp=sharing" TargetMode="External"/><Relationship Id="rId1849" Type="http://schemas.openxmlformats.org/officeDocument/2006/relationships/hyperlink" Target="https://drive.google.com/file/d/1EnkkrIrMFl3ALoY6ZsjRoZ1dApOKujMe/view?usp=sharing" TargetMode="External"/><Relationship Id="rId1873" Type="http://schemas.openxmlformats.org/officeDocument/2006/relationships/hyperlink" Target="https://drive.google.com/file/d/1dc4LuhGPQGuGgjAdx5dMLwj3dO2JBAMC/view?usp=sharing" TargetMode="External"/><Relationship Id="rId1874" Type="http://schemas.openxmlformats.org/officeDocument/2006/relationships/hyperlink" Target="https://drive.google.com/file/d/15sLzzrKlEHYhAerAlXaxgVcCmP80xkiV/view?usp=sharing" TargetMode="External"/><Relationship Id="rId1875" Type="http://schemas.openxmlformats.org/officeDocument/2006/relationships/hyperlink" Target="https://drive.google.com/file/d/1pJSVfdFHyOgkcAsOFqqHVpM9yqW9vmxE/view?usp=sharing" TargetMode="External"/><Relationship Id="rId1876" Type="http://schemas.openxmlformats.org/officeDocument/2006/relationships/hyperlink" Target="https://drive.google.com/file/d/1eSddolInrbiSs_Ud8kWBU9tbNRYXOfv1/view?usp=sharing" TargetMode="External"/><Relationship Id="rId1877" Type="http://schemas.openxmlformats.org/officeDocument/2006/relationships/hyperlink" Target="https://drive.google.com/file/d/1kZ9WwFpskT-y_0aPH-z7nn2bUBKl0JOF/view?usp=sharing" TargetMode="External"/><Relationship Id="rId1878" Type="http://schemas.openxmlformats.org/officeDocument/2006/relationships/hyperlink" Target="https://drive.google.com/file/d/1IwidP5JyA2bBWy92C5kxMfJOz5Abyw8T/view?usp=sharing" TargetMode="External"/><Relationship Id="rId1879" Type="http://schemas.openxmlformats.org/officeDocument/2006/relationships/hyperlink" Target="https://drive.google.com/file/d/1uE-uc7hTfTT5C1E1HJ7hSA9P4DU1lmlt/view?usp=sharing" TargetMode="External"/><Relationship Id="rId1870" Type="http://schemas.openxmlformats.org/officeDocument/2006/relationships/hyperlink" Target="https://drive.google.com/file/d/14ddQgqdVa7Ma2zJsDKXwIFbKgwOZeW0H/view?usp=sharing" TargetMode="External"/><Relationship Id="rId1871" Type="http://schemas.openxmlformats.org/officeDocument/2006/relationships/hyperlink" Target="https://drive.google.com/file/d/17xvMCx-vhvSOYz-23UtX8hWU_6D3wVEa/view?usp=sharing" TargetMode="External"/><Relationship Id="rId1872" Type="http://schemas.openxmlformats.org/officeDocument/2006/relationships/hyperlink" Target="https://drive.google.com/file/d/1CPgDiHaodTVb82LFaHXxhITsefVw1eAs/view?usp=sharing" TargetMode="External"/><Relationship Id="rId1862" Type="http://schemas.openxmlformats.org/officeDocument/2006/relationships/hyperlink" Target="https://drive.google.com/file/d/1cMFJohMyjGrBGoaNiN1xiQItuba7grAc/view?usp=sharing" TargetMode="External"/><Relationship Id="rId1863" Type="http://schemas.openxmlformats.org/officeDocument/2006/relationships/hyperlink" Target="https://drive.google.com/file/d/1UEtq-SYnb_kO3NOQJ5SgyPJzIYxtD79_/view?usp=sharing" TargetMode="External"/><Relationship Id="rId1864" Type="http://schemas.openxmlformats.org/officeDocument/2006/relationships/hyperlink" Target="https://drive.google.com/file/d/1SEGkJB8YmjJU2ZIPBvwlaVBrjwJBYX4Z/view?usp=sharing" TargetMode="External"/><Relationship Id="rId1865" Type="http://schemas.openxmlformats.org/officeDocument/2006/relationships/hyperlink" Target="https://drive.google.com/file/d/14IabwsIfcn74_--Vrn1ARqKQaa7np7l_/view?usp=sharing" TargetMode="External"/><Relationship Id="rId1866" Type="http://schemas.openxmlformats.org/officeDocument/2006/relationships/hyperlink" Target="https://drive.google.com/file/d/18RVxjGlYBge1oZ8ZsTHKm7IpGY_x9iY6/view?usp=sharing" TargetMode="External"/><Relationship Id="rId1867" Type="http://schemas.openxmlformats.org/officeDocument/2006/relationships/hyperlink" Target="https://drive.google.com/file/d/112VuDMScerZy-iMP_57c5F4owhg28prl/view?usp=sharing" TargetMode="External"/><Relationship Id="rId1868" Type="http://schemas.openxmlformats.org/officeDocument/2006/relationships/hyperlink" Target="https://drive.google.com/file/d/1iLfqW0r6buNFvU4rrFG66-RMjOXsca6b/view?usp=sharing" TargetMode="External"/><Relationship Id="rId1869" Type="http://schemas.openxmlformats.org/officeDocument/2006/relationships/hyperlink" Target="https://drive.google.com/file/d/12kgtEkYOSp2e09AqIysMJXsV6epfpB_l/view?usp=sharing" TargetMode="External"/><Relationship Id="rId1860" Type="http://schemas.openxmlformats.org/officeDocument/2006/relationships/hyperlink" Target="https://drive.google.com/file/d/12pXBr78ztuIChXMp_bp_jUOfVNevPP3a/view?usp=sharing" TargetMode="External"/><Relationship Id="rId1861" Type="http://schemas.openxmlformats.org/officeDocument/2006/relationships/hyperlink" Target="https://drive.google.com/file/d/1NIJcHoeWBe28WBsXbG5ViF6LrtFTtTnv/view?usp=sharing" TargetMode="External"/><Relationship Id="rId1810" Type="http://schemas.openxmlformats.org/officeDocument/2006/relationships/hyperlink" Target="https://drive.google.com/file/d/18T1b9yp_h_Sd1mScQrZqMOw-BEtRKz6n/view?usp=sharing" TargetMode="External"/><Relationship Id="rId1811" Type="http://schemas.openxmlformats.org/officeDocument/2006/relationships/hyperlink" Target="https://drive.google.com/file/d/1MbfOzcKKwRoN7jHI6eB5T9rAFlWsCk5I/view?usp=sharing" TargetMode="External"/><Relationship Id="rId1812" Type="http://schemas.openxmlformats.org/officeDocument/2006/relationships/hyperlink" Target="https://drive.google.com/file/d/14z5-4A30_54x9yN0lXE9_pB3UgXlE3fU/view?usp=sharing" TargetMode="External"/><Relationship Id="rId1813" Type="http://schemas.openxmlformats.org/officeDocument/2006/relationships/hyperlink" Target="https://drive.google.com/file/d/1wyhM1WLROhjKxHTBPWrnI0Ena_dI-u0D/view?usp=sharing" TargetMode="External"/><Relationship Id="rId1814" Type="http://schemas.openxmlformats.org/officeDocument/2006/relationships/hyperlink" Target="https://drive.google.com/file/d/1A_9eHQVfZiDdMsbGidJRom5VV50bEQwi/view?usp=sharing" TargetMode="External"/><Relationship Id="rId1815" Type="http://schemas.openxmlformats.org/officeDocument/2006/relationships/hyperlink" Target="https://drive.google.com/file/d/1pzHsKisxWwiDGQ2-9Q01flKdlXJ7U0b_/view?usp=sharing" TargetMode="External"/><Relationship Id="rId1816" Type="http://schemas.openxmlformats.org/officeDocument/2006/relationships/hyperlink" Target="https://drive.google.com/file/d/17GI5Gn0VZMp7bTi0uMlrS1lXkL5jSzwQ/view?usp=sharing" TargetMode="External"/><Relationship Id="rId1817" Type="http://schemas.openxmlformats.org/officeDocument/2006/relationships/hyperlink" Target="https://drive.google.com/file/d/1xtCc1VnyRH2To48lFyM2g0g74lCqgdju/view?usp=sharing" TargetMode="External"/><Relationship Id="rId1818" Type="http://schemas.openxmlformats.org/officeDocument/2006/relationships/hyperlink" Target="https://drive.google.com/file/d/1lzLb0HuN7ZX_Dknwe7ZoacopB3cKDfeu/view?usp=sharing" TargetMode="External"/><Relationship Id="rId1819" Type="http://schemas.openxmlformats.org/officeDocument/2006/relationships/hyperlink" Target="https://drive.google.com/file/d/1IWvgm1HLVOTUpBsUq9btj0ewk76_Z8-D/view?usp=sharing" TargetMode="External"/><Relationship Id="rId1800" Type="http://schemas.openxmlformats.org/officeDocument/2006/relationships/hyperlink" Target="https://drive.google.com/file/d/1GbvrNGMtLwSk8UpZufy_LwiBlua42Nd8/view?usp=sharing" TargetMode="External"/><Relationship Id="rId1801" Type="http://schemas.openxmlformats.org/officeDocument/2006/relationships/hyperlink" Target="https://drive.google.com/file/d/1Agbqc51I7IXMUwkq7Kmx-CbvLz2eF9Mb/view?usp=sharing" TargetMode="External"/><Relationship Id="rId1802" Type="http://schemas.openxmlformats.org/officeDocument/2006/relationships/hyperlink" Target="https://drive.google.com/file/d/1A4Tfee9rGWDAO0-a9wXYXzKCMkOqtxmW/view?usp=sharing" TargetMode="External"/><Relationship Id="rId1803" Type="http://schemas.openxmlformats.org/officeDocument/2006/relationships/hyperlink" Target="https://drive.google.com/file/d/1UQPhhbcW7VWAzNC8TmfDxs-QGj7NcSnX/view?usp=sharing" TargetMode="External"/><Relationship Id="rId1804" Type="http://schemas.openxmlformats.org/officeDocument/2006/relationships/hyperlink" Target="https://drive.google.com/file/d/1WQJ-JuK7oOdV2iH0FvYsdio8wCPUZFPM/view?usp=sharing" TargetMode="External"/><Relationship Id="rId1805" Type="http://schemas.openxmlformats.org/officeDocument/2006/relationships/hyperlink" Target="https://drive.google.com/file/d/1V3MWRav-SxoegQFcf3D9CdMT2-560Tn4/view?usp=sharing" TargetMode="External"/><Relationship Id="rId1806" Type="http://schemas.openxmlformats.org/officeDocument/2006/relationships/hyperlink" Target="https://drive.google.com/file/d/1mgDx19hHT1zdr8Lce5pEBsxIqb00h8Ub/view?usp=sharing" TargetMode="External"/><Relationship Id="rId1807" Type="http://schemas.openxmlformats.org/officeDocument/2006/relationships/hyperlink" Target="https://drive.google.com/file/d/18wpyfz_j2Hvxi7C1EyBxbBAiBttgSTaX/view?usp=sharing" TargetMode="External"/><Relationship Id="rId1808" Type="http://schemas.openxmlformats.org/officeDocument/2006/relationships/hyperlink" Target="https://drive.google.com/file/d/1Ignj2OljIPMxiIgFHxyo-d7FlFdzC1W7/view?usp=sharing" TargetMode="External"/><Relationship Id="rId1809" Type="http://schemas.openxmlformats.org/officeDocument/2006/relationships/hyperlink" Target="https://drive.google.com/file/d/1BgHzB2Tmt1DKfP3QN4YnKp1EvyT2Rw-7/view?usp=sharing" TargetMode="External"/><Relationship Id="rId1830" Type="http://schemas.openxmlformats.org/officeDocument/2006/relationships/hyperlink" Target="https://drive.google.com/file/d/1EzVL2yHg1otr3Kmz3JuJboWMDn0063ZV/view?usp=sharing" TargetMode="External"/><Relationship Id="rId1831" Type="http://schemas.openxmlformats.org/officeDocument/2006/relationships/hyperlink" Target="https://drive.google.com/file/d/1w-XQkaO4yX5Y2tJX52TZkXj3fgq7dVYA/view?usp=sharing" TargetMode="External"/><Relationship Id="rId1832" Type="http://schemas.openxmlformats.org/officeDocument/2006/relationships/hyperlink" Target="https://drive.google.com/file/d/1HXg5gN40S5upJbeHTS3Y2nB5XjA1DqEv/view?usp=sharing" TargetMode="External"/><Relationship Id="rId1833" Type="http://schemas.openxmlformats.org/officeDocument/2006/relationships/hyperlink" Target="https://drive.google.com/file/d/14Y9sT1hnOkQSnsbsS1O13D7zt_wHXfDX/view?usp=sharing" TargetMode="External"/><Relationship Id="rId1834" Type="http://schemas.openxmlformats.org/officeDocument/2006/relationships/hyperlink" Target="https://drive.google.com/file/d/1rl3UgM8Yer43TzYtkWtkecZIzvSflbgi/view?usp=sharing" TargetMode="External"/><Relationship Id="rId1835" Type="http://schemas.openxmlformats.org/officeDocument/2006/relationships/hyperlink" Target="https://drive.google.com/file/d/1qBA5Y3NpJSMc9q3tORUYhBCbGuzBtEoJ/view?usp=sharing" TargetMode="External"/><Relationship Id="rId1836" Type="http://schemas.openxmlformats.org/officeDocument/2006/relationships/hyperlink" Target="https://drive.google.com/file/d/1Ii0F6wcACpdxG4tgaC0QI17eHnn8KcPS/view?usp=sharing" TargetMode="External"/><Relationship Id="rId1837" Type="http://schemas.openxmlformats.org/officeDocument/2006/relationships/hyperlink" Target="https://drive.google.com/file/d/1cRN9SPf6g0Dim_SpAZoPiup2uLsRFJUj/view?usp=sharing" TargetMode="External"/><Relationship Id="rId1838" Type="http://schemas.openxmlformats.org/officeDocument/2006/relationships/hyperlink" Target="https://drive.google.com/file/d/1hn7LOxs1nkLqX5T0nOIYWcaisG-Wjths/view?usp=sharing" TargetMode="External"/><Relationship Id="rId1839" Type="http://schemas.openxmlformats.org/officeDocument/2006/relationships/hyperlink" Target="https://drive.google.com/file/d/1obkEQj6c9pkvCXmytiDwukLrlkjA69SU/view?usp=sharing" TargetMode="External"/><Relationship Id="rId1820" Type="http://schemas.openxmlformats.org/officeDocument/2006/relationships/hyperlink" Target="https://drive.google.com/file/d/1hahneeVopC8iaJZ_5wphRm6S-GwpfKGi/view?usp=sharing" TargetMode="External"/><Relationship Id="rId1821" Type="http://schemas.openxmlformats.org/officeDocument/2006/relationships/hyperlink" Target="https://drive.google.com/file/d/1Psl23j2YZBVq-d0t6hsSuUOcyMwuAv_k/view?usp=sharing" TargetMode="External"/><Relationship Id="rId1822" Type="http://schemas.openxmlformats.org/officeDocument/2006/relationships/hyperlink" Target="https://drive.google.com/file/d/1cI1QWGc6qTazCo-kCP9sQTrH4mOKlTms/view?usp=sharing" TargetMode="External"/><Relationship Id="rId1823" Type="http://schemas.openxmlformats.org/officeDocument/2006/relationships/hyperlink" Target="https://drive.google.com/file/d/17-dbKR_g9njpwPqRZDVHxhxT8tIWum1V/view?usp=sharing" TargetMode="External"/><Relationship Id="rId1824" Type="http://schemas.openxmlformats.org/officeDocument/2006/relationships/hyperlink" Target="https://drive.google.com/file/d/1oOp6bsAqIiOmlGZWq4Bb5WQsPyUvpO7q/view?usp=sharing" TargetMode="External"/><Relationship Id="rId1825" Type="http://schemas.openxmlformats.org/officeDocument/2006/relationships/hyperlink" Target="https://drive.google.com/file/d/1QOZMy2AEE8TdlC2QjM0DvmR6-s6qE20O/view?usp=sharing" TargetMode="External"/><Relationship Id="rId1826" Type="http://schemas.openxmlformats.org/officeDocument/2006/relationships/hyperlink" Target="https://drive.google.com/file/d/1PAuaGu5fyALPkAEFQJ9VqQ3pZ2t2GutK/view?usp=sharing" TargetMode="External"/><Relationship Id="rId1827" Type="http://schemas.openxmlformats.org/officeDocument/2006/relationships/hyperlink" Target="https://drive.google.com/file/d/1V1GhNCRB3hOyf0eQf7AUSxG32MBIiWIF/view?usp=sharing" TargetMode="External"/><Relationship Id="rId1828" Type="http://schemas.openxmlformats.org/officeDocument/2006/relationships/hyperlink" Target="https://drive.google.com/file/d/18COGrehO4p3FpwJ298gemfbhmpiaY7QI/view?usp=sharing" TargetMode="External"/><Relationship Id="rId1829" Type="http://schemas.openxmlformats.org/officeDocument/2006/relationships/hyperlink" Target="https://drive.google.com/file/d/1Cn9t5pLykX2QkaoWeNB63VT3YOT9FgV9/view?usp=sharing" TargetMode="External"/><Relationship Id="rId2302" Type="http://schemas.openxmlformats.org/officeDocument/2006/relationships/hyperlink" Target="https://drive.google.com/file/d/1Xj_GnYSX0qcPhP_JMioW_3VjlcAwVlLD/view?usp=sharing" TargetMode="External"/><Relationship Id="rId2303" Type="http://schemas.openxmlformats.org/officeDocument/2006/relationships/hyperlink" Target="https://drive.google.com/file/d/1o3vjN4kYr9EE4ZDAmcRYISFmLpmmnq8M/view?usp=sharing" TargetMode="External"/><Relationship Id="rId2304" Type="http://schemas.openxmlformats.org/officeDocument/2006/relationships/hyperlink" Target="https://drive.google.com/file/d/1IAn8RjQHLVF86CcAEeoiICvisw_ABwuy/view?usp=sharing" TargetMode="External"/><Relationship Id="rId2305" Type="http://schemas.openxmlformats.org/officeDocument/2006/relationships/hyperlink" Target="https://drive.google.com/file/d/1BNP7UhMo8ByoziJMm1kORgvOB5GEKEwF/view?usp=sharing" TargetMode="External"/><Relationship Id="rId2306" Type="http://schemas.openxmlformats.org/officeDocument/2006/relationships/hyperlink" Target="https://drive.google.com/file/d/1cA_NPWBhMwvT-lT3Xu59meRaSjdrqKz5/view?usp=sharing" TargetMode="External"/><Relationship Id="rId2307" Type="http://schemas.openxmlformats.org/officeDocument/2006/relationships/hyperlink" Target="https://drive.google.com/file/d/1r7LBvQjnUY9Z_TfbpvJh3ioNzz3H2pBN/view?usp=sharing" TargetMode="External"/><Relationship Id="rId2308" Type="http://schemas.openxmlformats.org/officeDocument/2006/relationships/hyperlink" Target="https://drive.google.com/file/d/184QmGyJYhIxkKPd8yOU7vwgRsrB6PXdu/view?usp=sharing" TargetMode="External"/><Relationship Id="rId2309" Type="http://schemas.openxmlformats.org/officeDocument/2006/relationships/hyperlink" Target="https://drive.google.com/file/d/1GtGrcLD56ceAqelPSo_1v101kXKvaz_H/view?usp=sharing" TargetMode="External"/><Relationship Id="rId2300" Type="http://schemas.openxmlformats.org/officeDocument/2006/relationships/hyperlink" Target="https://drive.google.com/file/d/1G4Rb1W6htJyNqq4T3VgN1o9AjfQ-cuKA/view?usp=sharing" TargetMode="External"/><Relationship Id="rId2301" Type="http://schemas.openxmlformats.org/officeDocument/2006/relationships/hyperlink" Target="https://drive.google.com/file/d/18dpKlzOuiDK3VZ29HNaL3mAiFtSABaJd/view?usp=sharing" TargetMode="External"/><Relationship Id="rId2324" Type="http://schemas.openxmlformats.org/officeDocument/2006/relationships/hyperlink" Target="https://drive.google.com/file/d/1BDZB5j91jyGizjDtDtJ92NtCADCbBrj6/view?usp=sharing" TargetMode="External"/><Relationship Id="rId2325" Type="http://schemas.openxmlformats.org/officeDocument/2006/relationships/hyperlink" Target="https://drive.google.com/file/d/1HPLX6gbUr7UoyMGHMVUlEeP8IYcg9Pbj/view?usp=sharing" TargetMode="External"/><Relationship Id="rId2326" Type="http://schemas.openxmlformats.org/officeDocument/2006/relationships/hyperlink" Target="https://drive.google.com/file/d/1eB3UeC3CFXqJqap3cZGEO4qRnX9pchrk/view?usp=sharing" TargetMode="External"/><Relationship Id="rId2327" Type="http://schemas.openxmlformats.org/officeDocument/2006/relationships/hyperlink" Target="https://drive.google.com/file/d/1zO2e8k6DlmJrb68BkOAjdh3RByTng8vo/view?usp=sharing" TargetMode="External"/><Relationship Id="rId2328" Type="http://schemas.openxmlformats.org/officeDocument/2006/relationships/hyperlink" Target="https://drive.google.com/file/d/1mcR6zMeZrlBn4SMK5pu1vK2RvNooezpj/view?usp=sharing" TargetMode="External"/><Relationship Id="rId2329" Type="http://schemas.openxmlformats.org/officeDocument/2006/relationships/hyperlink" Target="https://drive.google.com/file/d/1mScZTbvaB2WIB-oXoR_0oH9PZ8za0K4J/view?usp=sharing" TargetMode="External"/><Relationship Id="rId2320" Type="http://schemas.openxmlformats.org/officeDocument/2006/relationships/hyperlink" Target="https://drive.google.com/file/d/1TGcdTAxARfOJ_PfWfJJgZsjkdcULxlVT/view?usp=sharing" TargetMode="External"/><Relationship Id="rId2321" Type="http://schemas.openxmlformats.org/officeDocument/2006/relationships/hyperlink" Target="https://drive.google.com/file/d/1Cek17g5pLrsDtq9TlRzN8vIOHqfrSBjX/view?usp=sharing" TargetMode="External"/><Relationship Id="rId2322" Type="http://schemas.openxmlformats.org/officeDocument/2006/relationships/hyperlink" Target="https://drive.google.com/file/d/1c0-Zv5Gp6qitOR1SXF-IGmVU88HhhCq_/view?usp=sharing" TargetMode="External"/><Relationship Id="rId2323" Type="http://schemas.openxmlformats.org/officeDocument/2006/relationships/hyperlink" Target="https://drive.google.com/file/d/1TcKhce3yE2FylN6mI8u08pKkxglkBget/view?usp=sharing" TargetMode="External"/><Relationship Id="rId2313" Type="http://schemas.openxmlformats.org/officeDocument/2006/relationships/hyperlink" Target="https://drive.google.com/file/d/1dHxhVR3JjgOMJjBtYDMkbNKuDl4opmoP/view?usp=sharing" TargetMode="External"/><Relationship Id="rId2314" Type="http://schemas.openxmlformats.org/officeDocument/2006/relationships/hyperlink" Target="https://drive.google.com/file/d/19a2WIZ68z3T7UiWJ8N6xoDuV1FW742Vf/view?usp=sharing" TargetMode="External"/><Relationship Id="rId2315" Type="http://schemas.openxmlformats.org/officeDocument/2006/relationships/hyperlink" Target="https://drive.google.com/file/d/1erQXBbKIEFR6LKOGv_YYlyHKbwkZrGuO/view?usp=sharing" TargetMode="External"/><Relationship Id="rId2316" Type="http://schemas.openxmlformats.org/officeDocument/2006/relationships/hyperlink" Target="https://drive.google.com/file/d/140W5pXk20JST2M_JvIwdASHuWVRI6WK9/view?usp=sharing" TargetMode="External"/><Relationship Id="rId2317" Type="http://schemas.openxmlformats.org/officeDocument/2006/relationships/hyperlink" Target="https://drive.google.com/file/d/1B3dxBBGictkCDTfCdwuyrf7oO8eZMQih/view?usp=sharing" TargetMode="External"/><Relationship Id="rId2318" Type="http://schemas.openxmlformats.org/officeDocument/2006/relationships/hyperlink" Target="https://drive.google.com/file/d/1llh8xqXgWvD1ZvUtApIr2yUY4A__dJrN/view?usp=sharing" TargetMode="External"/><Relationship Id="rId2319" Type="http://schemas.openxmlformats.org/officeDocument/2006/relationships/hyperlink" Target="https://drive.google.com/file/d/1tHCctR-hG7-PbMWV9bSfHixxc2J_k0Sw/view?usp=sharing" TargetMode="External"/><Relationship Id="rId2310" Type="http://schemas.openxmlformats.org/officeDocument/2006/relationships/hyperlink" Target="https://drive.google.com/file/d/1nbg6tPf5CLc6ONoQr6Fc8kpJellzvyFT/view?usp=sharing" TargetMode="External"/><Relationship Id="rId2311" Type="http://schemas.openxmlformats.org/officeDocument/2006/relationships/hyperlink" Target="https://drive.google.com/file/d/1qkkmqt79JBge8tkxR1JVMEZ0Wy_MiP8j/view?usp=sharing" TargetMode="External"/><Relationship Id="rId2312" Type="http://schemas.openxmlformats.org/officeDocument/2006/relationships/hyperlink" Target="https://drive.google.com/file/d/1tHnSbsrtNW3DsqjYsEQlwYckS1n0momk/view?usp=sharing" TargetMode="External"/><Relationship Id="rId1895" Type="http://schemas.openxmlformats.org/officeDocument/2006/relationships/hyperlink" Target="https://drive.google.com/file/d/1DW24WaAVVdeMUyyMryPkv5LhM1ZsXgck/view?usp=sharing" TargetMode="External"/><Relationship Id="rId1896" Type="http://schemas.openxmlformats.org/officeDocument/2006/relationships/hyperlink" Target="https://drive.google.com/file/d/1n82Q7ABRYD733g033Bq4HTaDvTR5Mehy/view?usp=sharing" TargetMode="External"/><Relationship Id="rId1897" Type="http://schemas.openxmlformats.org/officeDocument/2006/relationships/hyperlink" Target="https://drive.google.com/file/d/1jIk3GaoAP_uKXLxg1u3UaXekLEWF_VAG/view?usp=sharing" TargetMode="External"/><Relationship Id="rId1898" Type="http://schemas.openxmlformats.org/officeDocument/2006/relationships/hyperlink" Target="https://drive.google.com/file/d/1Vw5eBQCTW4Kh8ihN5tU-MVDA51cktrT6/view?usp=sharing" TargetMode="External"/><Relationship Id="rId1899" Type="http://schemas.openxmlformats.org/officeDocument/2006/relationships/hyperlink" Target="https://drive.google.com/file/d/1SZRJM5Qmarsg6mEweFqZyeRX2SOWM2_u/view?usp=sharing" TargetMode="External"/><Relationship Id="rId1890" Type="http://schemas.openxmlformats.org/officeDocument/2006/relationships/hyperlink" Target="https://drive.google.com/file/d/1T49m6M_RLWIK8S2bBkpVnmWXBKbgv6mJ/view?usp=sharing" TargetMode="External"/><Relationship Id="rId1891" Type="http://schemas.openxmlformats.org/officeDocument/2006/relationships/hyperlink" Target="https://drive.google.com/file/d/17YnbhGpNf3pPGUKW_j_L5bqM8j7yU8Z0/view?usp=sharing" TargetMode="External"/><Relationship Id="rId1892" Type="http://schemas.openxmlformats.org/officeDocument/2006/relationships/hyperlink" Target="https://drive.google.com/file/d/1LidKi-IXQTi_5f75N2AvfY1p45dcBhhz/view?usp=sharing" TargetMode="External"/><Relationship Id="rId1893" Type="http://schemas.openxmlformats.org/officeDocument/2006/relationships/hyperlink" Target="https://drive.google.com/file/d/1iioeCGsBsESgZHm_GNJZGCXwfXCKjBfM/view?usp=sharing" TargetMode="External"/><Relationship Id="rId1894" Type="http://schemas.openxmlformats.org/officeDocument/2006/relationships/hyperlink" Target="https://drive.google.com/file/d/1gxQuxiFLMt_sJ-oIh3C7XaU8Ep11D99z/view?usp=sharing" TargetMode="External"/><Relationship Id="rId1884" Type="http://schemas.openxmlformats.org/officeDocument/2006/relationships/hyperlink" Target="https://drive.google.com/file/d/1e5MyYR4xYEzUi9Iz-EVxRpz_r852T8S_/view?usp=sharing" TargetMode="External"/><Relationship Id="rId1885" Type="http://schemas.openxmlformats.org/officeDocument/2006/relationships/hyperlink" Target="https://drive.google.com/file/d/1n-bzjru7KoQprgaH_nyiIMaf9WY0vWbn/view?usp=sharing" TargetMode="External"/><Relationship Id="rId1886" Type="http://schemas.openxmlformats.org/officeDocument/2006/relationships/hyperlink" Target="https://drive.google.com/file/d/1owiGlD6qeeZcSLBxQZzkGBmROCMYmmTL/view?usp=sharing" TargetMode="External"/><Relationship Id="rId1887" Type="http://schemas.openxmlformats.org/officeDocument/2006/relationships/hyperlink" Target="https://drive.google.com/file/d/1dPazI3FzoMOihxiSiLbZ0QhSSUk7iOZd/view?usp=sharing" TargetMode="External"/><Relationship Id="rId1888" Type="http://schemas.openxmlformats.org/officeDocument/2006/relationships/hyperlink" Target="https://drive.google.com/file/d/1duzZI3X4NyphwW8Xr8KWZRNgZte3HTLE/view?usp=sharing" TargetMode="External"/><Relationship Id="rId1889" Type="http://schemas.openxmlformats.org/officeDocument/2006/relationships/hyperlink" Target="https://drive.google.com/file/d/188B_uxZyVFVJ0d903MiEQ5Dr9iIQKurb/view?usp=sharing" TargetMode="External"/><Relationship Id="rId1880" Type="http://schemas.openxmlformats.org/officeDocument/2006/relationships/hyperlink" Target="https://drive.google.com/file/d/1K-6LFoTc8JqiHCihZYvN_WJMbaqcA644/view?usp=sharing" TargetMode="External"/><Relationship Id="rId1881" Type="http://schemas.openxmlformats.org/officeDocument/2006/relationships/hyperlink" Target="https://drive.google.com/file/d/1gjCZJCB9vGWuA22VOjH37DO0BBiWOLiF/view?usp=sharing" TargetMode="External"/><Relationship Id="rId1882" Type="http://schemas.openxmlformats.org/officeDocument/2006/relationships/hyperlink" Target="https://drive.google.com/file/d/19tx5OdhQdIHo_m8QqiNUPmOuB5emEfyH/view?usp=sharing" TargetMode="External"/><Relationship Id="rId1883" Type="http://schemas.openxmlformats.org/officeDocument/2006/relationships/hyperlink" Target="https://drive.google.com/file/d/1jgqPrKrhny-oB42ogZ1I3RQ_wFrmQbQL/view?usp=sharing" TargetMode="External"/><Relationship Id="rId1059" Type="http://schemas.openxmlformats.org/officeDocument/2006/relationships/hyperlink" Target="https://drive.google.com/file/d/1hnCxGKF95IoJtnX0CdCM4YquawA_NEY-/view?usp=sharing" TargetMode="External"/><Relationship Id="rId228" Type="http://schemas.openxmlformats.org/officeDocument/2006/relationships/hyperlink" Target="https://drive.google.com/file/d/1kO6wgMiV9qQjejrs3Y3f00PhbNQJglxz/view?usp=sharing" TargetMode="External"/><Relationship Id="rId227" Type="http://schemas.openxmlformats.org/officeDocument/2006/relationships/hyperlink" Target="https://drive.google.com/file/d/12jwdRbxl_tFATg0QIazFm816Jv8mrj7Y/view?usp=sharing" TargetMode="External"/><Relationship Id="rId226" Type="http://schemas.openxmlformats.org/officeDocument/2006/relationships/hyperlink" Target="https://drive.google.com/file/d/1BhbPQw8eERJuyMdVGMSpjyS0f5Ick0ck/view?usp=sharing" TargetMode="External"/><Relationship Id="rId225" Type="http://schemas.openxmlformats.org/officeDocument/2006/relationships/hyperlink" Target="https://drive.google.com/file/d/11sQxqsnvjACUmveCudVlSfUT95madxtO/view?usp=sharing" TargetMode="External"/><Relationship Id="rId2380" Type="http://schemas.openxmlformats.org/officeDocument/2006/relationships/hyperlink" Target="https://drive.google.com/file/d/1xDcN8xsXpA2Df1Df5Ex2tPZwQHosKlb-/view?usp=sharing" TargetMode="External"/><Relationship Id="rId229" Type="http://schemas.openxmlformats.org/officeDocument/2006/relationships/hyperlink" Target="https://drive.google.com/file/d/1MlwSWfEQi_BaQ-RbvjADdstDWa3YYjUo/view?usp=sharing" TargetMode="External"/><Relationship Id="rId1050" Type="http://schemas.openxmlformats.org/officeDocument/2006/relationships/hyperlink" Target="https://drive.google.com/file/d/1v-NtXMpmQ27r8FYc7Xu5CxoWCefs5O13/view?usp=sharing" TargetMode="External"/><Relationship Id="rId2381" Type="http://schemas.openxmlformats.org/officeDocument/2006/relationships/hyperlink" Target="https://drive.google.com/file/d/1MwTF70JTXRTmGDCLFKTAfsaaDyPVWUnW/view?usp=sharing" TargetMode="External"/><Relationship Id="rId220" Type="http://schemas.openxmlformats.org/officeDocument/2006/relationships/hyperlink" Target="https://drive.google.com/file/d/1p_jVQfbY6FaLbIXgf1XC8lfofHx6cYJO/view?usp=sharing" TargetMode="External"/><Relationship Id="rId1051" Type="http://schemas.openxmlformats.org/officeDocument/2006/relationships/hyperlink" Target="https://drive.google.com/file/d/1hgcToHGfVEgUeAODkj0Y6xG3ZpnlOxhC/view?usp=sharing" TargetMode="External"/><Relationship Id="rId2382" Type="http://schemas.openxmlformats.org/officeDocument/2006/relationships/hyperlink" Target="https://drive.google.com/file/d/1IwGl010INzsAMyjecxCrL6pqrLua5EAg/view?usp=sharing" TargetMode="External"/><Relationship Id="rId1052" Type="http://schemas.openxmlformats.org/officeDocument/2006/relationships/hyperlink" Target="https://drive.google.com/file/d/1_LfDX_Ii3RmLfsta7IbjgSYLuVmUdO6J/view?usp=sharing" TargetMode="External"/><Relationship Id="rId2383" Type="http://schemas.openxmlformats.org/officeDocument/2006/relationships/hyperlink" Target="https://drive.google.com/file/d/1BSgQsk5eSVEd4zSd3pose5CzqBY7K8k6/view?usp=sharing" TargetMode="External"/><Relationship Id="rId1053" Type="http://schemas.openxmlformats.org/officeDocument/2006/relationships/hyperlink" Target="https://drive.google.com/file/d/1Vxrf4GV7n6iynasEleEpORY25BmN3WfF/view?usp=sharing" TargetMode="External"/><Relationship Id="rId2384" Type="http://schemas.openxmlformats.org/officeDocument/2006/relationships/hyperlink" Target="https://drive.google.com/file/d/1v5u18m9t9Wn5y_9eBVA4BfhPWC8HMTwm/view?usp=sharing" TargetMode="External"/><Relationship Id="rId1054" Type="http://schemas.openxmlformats.org/officeDocument/2006/relationships/hyperlink" Target="https://drive.google.com/file/d/1aEisEMOND3LUFPhGxlbdmC0SKc_WWHJn/view?usp=sharing" TargetMode="External"/><Relationship Id="rId2385" Type="http://schemas.openxmlformats.org/officeDocument/2006/relationships/hyperlink" Target="https://drive.google.com/file/d/1DvLPmCo6W3TYy8vYJ9nLLjDfUez56SEy/view?usp=sharing" TargetMode="External"/><Relationship Id="rId224" Type="http://schemas.openxmlformats.org/officeDocument/2006/relationships/hyperlink" Target="https://drive.google.com/file/d/1Kbi2JqqixPax8B2Em0auvLU7M62jguW3/view?usp=sharing" TargetMode="External"/><Relationship Id="rId1055" Type="http://schemas.openxmlformats.org/officeDocument/2006/relationships/hyperlink" Target="https://drive.google.com/file/d/1FjFbeypJTqfoFwIlyE2MmoToCxK1FPoU/view?usp=sharing" TargetMode="External"/><Relationship Id="rId2386" Type="http://schemas.openxmlformats.org/officeDocument/2006/relationships/hyperlink" Target="https://drive.google.com/file/d/15dbZ1tEE8vdHl_KwKzEDbD1D80wEJQAD/view?usp=sharing" TargetMode="External"/><Relationship Id="rId223" Type="http://schemas.openxmlformats.org/officeDocument/2006/relationships/hyperlink" Target="https://drive.google.com/file/d/19482hMinqlFZih2URWgCHx_pGe-Pgi1u/view?usp=sharing" TargetMode="External"/><Relationship Id="rId1056" Type="http://schemas.openxmlformats.org/officeDocument/2006/relationships/hyperlink" Target="https://drive.google.com/file/d/1oMkORQY1Q1kOZOL58hKu26hgzf9IXuhM/view?usp=sharing" TargetMode="External"/><Relationship Id="rId2387" Type="http://schemas.openxmlformats.org/officeDocument/2006/relationships/hyperlink" Target="https://drive.google.com/file/d/162yF-fjNFC-NvRy4KeZ_hSS0cjOKjE80/view?usp=sharing" TargetMode="External"/><Relationship Id="rId222" Type="http://schemas.openxmlformats.org/officeDocument/2006/relationships/hyperlink" Target="https://drive.google.com/file/d/1Edgy8JDkqPhDkhe8Tfmm2BPtk7E_uQkk/view?usp=sharing" TargetMode="External"/><Relationship Id="rId1057" Type="http://schemas.openxmlformats.org/officeDocument/2006/relationships/hyperlink" Target="https://drive.google.com/file/d/1MC2gM8HIhCY__rgdCjgafEcuamFRFQ7n/view?usp=sharing" TargetMode="External"/><Relationship Id="rId2388" Type="http://schemas.openxmlformats.org/officeDocument/2006/relationships/hyperlink" Target="https://drive.google.com/file/d/19y8QXevNONwe4pwVLHajh8ROEkfg1Vff/view?usp=sharing" TargetMode="External"/><Relationship Id="rId221" Type="http://schemas.openxmlformats.org/officeDocument/2006/relationships/hyperlink" Target="https://drive.google.com/file/d/10y2v6pA_qTJ13U182GeV0VS7I0V_Iq3D/view?usp=sharing" TargetMode="External"/><Relationship Id="rId1058" Type="http://schemas.openxmlformats.org/officeDocument/2006/relationships/hyperlink" Target="https://drive.google.com/file/d/1vzw5WdGNVCUySh6dS4U8Vs6CBhOZX-_q/view?usp=sharing" TargetMode="External"/><Relationship Id="rId2389" Type="http://schemas.openxmlformats.org/officeDocument/2006/relationships/hyperlink" Target="https://drive.google.com/file/d/16rO2cHuw7B_CGR4i6gmDbdBTE6ckwRqs/view?usp=sharing" TargetMode="External"/><Relationship Id="rId1048" Type="http://schemas.openxmlformats.org/officeDocument/2006/relationships/hyperlink" Target="https://drive.google.com/file/d/1egZjqixVlHoGeIIJIy6hjOvpvYPFm_fM/view?usp=sharing" TargetMode="External"/><Relationship Id="rId2379" Type="http://schemas.openxmlformats.org/officeDocument/2006/relationships/hyperlink" Target="https://drive.google.com/file/d/1w6bVOsFKrX9cnHcaM641TWRV5P-elDeo/view?usp=sharing" TargetMode="External"/><Relationship Id="rId1049" Type="http://schemas.openxmlformats.org/officeDocument/2006/relationships/hyperlink" Target="https://drive.google.com/file/d/1PU2ccoW8M_rHKx_X8alKAgk3Iyn7nqFI/view?usp=sharing" TargetMode="External"/><Relationship Id="rId217" Type="http://schemas.openxmlformats.org/officeDocument/2006/relationships/hyperlink" Target="https://drive.google.com/file/d/1wswqBRGK788cdQq8TzQ-d_0DTJX1bBE7/view?usp=sharing" TargetMode="External"/><Relationship Id="rId216" Type="http://schemas.openxmlformats.org/officeDocument/2006/relationships/hyperlink" Target="https://drive.google.com/file/d/16RTVYuYCwleliYbIHCTaoNCaZlARbS5u/view?usp=sharing" TargetMode="External"/><Relationship Id="rId215" Type="http://schemas.openxmlformats.org/officeDocument/2006/relationships/hyperlink" Target="https://drive.google.com/file/d/1juzej0P0sEaAwoRo7jywd9q70O1SRUin/view?usp=sharing" TargetMode="External"/><Relationship Id="rId214" Type="http://schemas.openxmlformats.org/officeDocument/2006/relationships/hyperlink" Target="https://drive.google.com/file/d/1GU3qWtJ_ELqcWRzuuzxQIrUYe8cTtBOI/view?usp=sharing" TargetMode="External"/><Relationship Id="rId219" Type="http://schemas.openxmlformats.org/officeDocument/2006/relationships/hyperlink" Target="https://drive.google.com/file/d/1hs8he_iSGIS9yNKjSpaPkzy4glQ-LR8j/view?usp=sharing" TargetMode="External"/><Relationship Id="rId218" Type="http://schemas.openxmlformats.org/officeDocument/2006/relationships/hyperlink" Target="https://drive.google.com/file/d/1uWoZkEaS-7V_-as3Z1uRL5eoMihEUf5T/view?usp=sharing" TargetMode="External"/><Relationship Id="rId2370" Type="http://schemas.openxmlformats.org/officeDocument/2006/relationships/hyperlink" Target="https://drive.google.com/file/d/1JHlV2Iksw9lXLAMyXIWrhaDBM_z0L7wr/view?usp=sharing" TargetMode="External"/><Relationship Id="rId1040" Type="http://schemas.openxmlformats.org/officeDocument/2006/relationships/hyperlink" Target="https://drive.google.com/file/d/120JngttVHlg-IpoCovy_DWlDwW5hitkG/view?usp=sharing" TargetMode="External"/><Relationship Id="rId2371" Type="http://schemas.openxmlformats.org/officeDocument/2006/relationships/hyperlink" Target="https://drive.google.com/file/d/1_jEnKx9Bqk_osA59SJeiEFoTB77KBv1k/view?usp=sharing" TargetMode="External"/><Relationship Id="rId1041" Type="http://schemas.openxmlformats.org/officeDocument/2006/relationships/hyperlink" Target="https://drive.google.com/file/d/155kj1p-itxTgVYuGCeu2cv5c3jwW1bM-/view?usp=sharing" TargetMode="External"/><Relationship Id="rId2372" Type="http://schemas.openxmlformats.org/officeDocument/2006/relationships/hyperlink" Target="https://drive.google.com/file/d/1aOw1gWlPAJa7pCLxJZCmb4TNH2a_HJeD/view?usp=sharing" TargetMode="External"/><Relationship Id="rId1042" Type="http://schemas.openxmlformats.org/officeDocument/2006/relationships/hyperlink" Target="https://drive.google.com/file/d/1Wu3WZcFumidk8SZcTD-5RnHaXBYW8JPB/view?usp=sharing" TargetMode="External"/><Relationship Id="rId2373" Type="http://schemas.openxmlformats.org/officeDocument/2006/relationships/hyperlink" Target="https://drive.google.com/file/d/1caaj8blHArGPmKQbIlfgw9rVfcUwbSko/view?usp=sharing" TargetMode="External"/><Relationship Id="rId1043" Type="http://schemas.openxmlformats.org/officeDocument/2006/relationships/hyperlink" Target="https://drive.google.com/file/d/1uP8PzwL8viUCjDorpfLH6cWMcq8ljgVW/view?usp=sharing" TargetMode="External"/><Relationship Id="rId2374" Type="http://schemas.openxmlformats.org/officeDocument/2006/relationships/hyperlink" Target="https://drive.google.com/file/d/1W2pBqAEQHfmr1h0Oi7BmbP67tHbJeGhY/view?usp=sharing" TargetMode="External"/><Relationship Id="rId213" Type="http://schemas.openxmlformats.org/officeDocument/2006/relationships/hyperlink" Target="https://drive.google.com/file/d/1zeAkrPWUryXwjsL8t9OiAWMNkeh2tN-E/view?usp=sharing" TargetMode="External"/><Relationship Id="rId1044" Type="http://schemas.openxmlformats.org/officeDocument/2006/relationships/hyperlink" Target="https://drive.google.com/file/d/1OHWujn_hpmD4ixFVHYoN89sT-mbCxuAp/view?usp=sharing" TargetMode="External"/><Relationship Id="rId2375" Type="http://schemas.openxmlformats.org/officeDocument/2006/relationships/hyperlink" Target="https://drive.google.com/file/d/12VGAGlXZDF8gbW-rb0gas1CnnzDGMHvU/view?usp=sharing" TargetMode="External"/><Relationship Id="rId212" Type="http://schemas.openxmlformats.org/officeDocument/2006/relationships/hyperlink" Target="https://drive.google.com/file/d/18c2ZiB1u_354roByTjAK1QXig7tZ7EJB/view?usp=sharing" TargetMode="External"/><Relationship Id="rId1045" Type="http://schemas.openxmlformats.org/officeDocument/2006/relationships/hyperlink" Target="https://drive.google.com/file/d/1oQRvFJM-7FWGjDN6Fxl1igi7lRMOy8rF/view?usp=sharing" TargetMode="External"/><Relationship Id="rId2376" Type="http://schemas.openxmlformats.org/officeDocument/2006/relationships/hyperlink" Target="https://drive.google.com/file/d/1wEKfalLOHdgocb0HBuRJ06k0pNw2ffmQ/view?usp=sharing" TargetMode="External"/><Relationship Id="rId211" Type="http://schemas.openxmlformats.org/officeDocument/2006/relationships/hyperlink" Target="https://drive.google.com/file/d/1nMJiWOApltzkphG6l8bNOfs9NiPua0P2/view?usp=sharing" TargetMode="External"/><Relationship Id="rId1046" Type="http://schemas.openxmlformats.org/officeDocument/2006/relationships/hyperlink" Target="https://drive.google.com/file/d/1Jp1p99BWrMic14v2Yf_mZvRZ_BOWhBjK/view?usp=sharing" TargetMode="External"/><Relationship Id="rId2377" Type="http://schemas.openxmlformats.org/officeDocument/2006/relationships/hyperlink" Target="https://drive.google.com/file/d/12l5vmzbjJS84cfCpOBh_sMiXFrEOez4J/view?usp=sharing" TargetMode="External"/><Relationship Id="rId210" Type="http://schemas.openxmlformats.org/officeDocument/2006/relationships/hyperlink" Target="https://drive.google.com/file/d/1CH8b4Ps-xdcDc93XlA268OF4TBHQRIgn/view?usp=sharing" TargetMode="External"/><Relationship Id="rId1047" Type="http://schemas.openxmlformats.org/officeDocument/2006/relationships/hyperlink" Target="https://drive.google.com/file/d/1ZtokA-1HfVXnqWcSYnquW54Q0kFwY5cB/view?usp=sharing" TargetMode="External"/><Relationship Id="rId2378" Type="http://schemas.openxmlformats.org/officeDocument/2006/relationships/hyperlink" Target="https://drive.google.com/file/d/1Z1frLWy32oJIjcWprrbyAZnTjNT5XKSD/view?usp=sharing" TargetMode="External"/><Relationship Id="rId249" Type="http://schemas.openxmlformats.org/officeDocument/2006/relationships/hyperlink" Target="https://drive.google.com/file/d/1ZbdjakFkQB0utThML5EtytrkWP6PZjX3/view?usp=sharing" TargetMode="External"/><Relationship Id="rId248" Type="http://schemas.openxmlformats.org/officeDocument/2006/relationships/hyperlink" Target="https://drive.google.com/file/d/1BZYpBUY054kFXeVsg0Nc-gg11X9LErnu/view?usp=sharing" TargetMode="External"/><Relationship Id="rId247" Type="http://schemas.openxmlformats.org/officeDocument/2006/relationships/hyperlink" Target="https://drive.google.com/file/d/1uWZI8_DQzF9dHVtZ5RezpZhhzLYI11gZ/view?usp=sharing" TargetMode="External"/><Relationship Id="rId1070" Type="http://schemas.openxmlformats.org/officeDocument/2006/relationships/hyperlink" Target="https://drive.google.com/file/d/1SVyGDdgxjFQ1YK_v_xoECo9pbEDM3gcE/view?usp=sharing" TargetMode="External"/><Relationship Id="rId1071" Type="http://schemas.openxmlformats.org/officeDocument/2006/relationships/hyperlink" Target="https://drive.google.com/file/d/1KvI9l0j2wa7knW9jn7eBC7LTJLb9jmbH/view?usp=sharing" TargetMode="External"/><Relationship Id="rId1072" Type="http://schemas.openxmlformats.org/officeDocument/2006/relationships/hyperlink" Target="https://drive.google.com/file/d/1tl9_SwDHxfq00pIJCd8C-vKrRXCzcyGK/view?usp=sharing" TargetMode="External"/><Relationship Id="rId242" Type="http://schemas.openxmlformats.org/officeDocument/2006/relationships/hyperlink" Target="https://drive.google.com/file/d/1OMjhlFphWRu4B2LSuQBzipb24CjJ1qZ1/view?usp=sharing" TargetMode="External"/><Relationship Id="rId1073" Type="http://schemas.openxmlformats.org/officeDocument/2006/relationships/hyperlink" Target="https://drive.google.com/file/d/1PovDON-jdkwW6vXMIlSpQw-_c-tfFYXf/view?usp=sharing" TargetMode="External"/><Relationship Id="rId241" Type="http://schemas.openxmlformats.org/officeDocument/2006/relationships/hyperlink" Target="https://drive.google.com/file/d/1tyfgXpJ9RZYSAXSFonL9LILJ_bWT3vvL/view?usp=sharing" TargetMode="External"/><Relationship Id="rId1074" Type="http://schemas.openxmlformats.org/officeDocument/2006/relationships/hyperlink" Target="https://drive.google.com/file/d/1r0zmBcObpjQZOjmGCVbFNt0qXM52L5GZ/view?usp=sharing" TargetMode="External"/><Relationship Id="rId240" Type="http://schemas.openxmlformats.org/officeDocument/2006/relationships/hyperlink" Target="https://drive.google.com/file/d/1YySbPqXAVKG3s_R2QWvEmg3X7EwWlPeC/view?usp=sharing" TargetMode="External"/><Relationship Id="rId1075" Type="http://schemas.openxmlformats.org/officeDocument/2006/relationships/hyperlink" Target="https://drive.google.com/file/d/1kqDcYRuyLJOtrhssaWsB1Eo-uvp74hYG/view?usp=sharing" TargetMode="External"/><Relationship Id="rId1076" Type="http://schemas.openxmlformats.org/officeDocument/2006/relationships/hyperlink" Target="https://drive.google.com/file/d/1mELfD4Y3ZpIQtuZvIuxkxb6WD_0EM9RL/view?usp=sharing" TargetMode="External"/><Relationship Id="rId246" Type="http://schemas.openxmlformats.org/officeDocument/2006/relationships/hyperlink" Target="https://drive.google.com/file/d/17SQhDBkzGp7XRrTej2VAYSA19W35DTXc/view?usp=sharing" TargetMode="External"/><Relationship Id="rId1077" Type="http://schemas.openxmlformats.org/officeDocument/2006/relationships/hyperlink" Target="https://drive.google.com/file/d/1x11gO5c9HjCft5b_XqTmo1KT81n3IaDC/view?usp=sharing" TargetMode="External"/><Relationship Id="rId245" Type="http://schemas.openxmlformats.org/officeDocument/2006/relationships/hyperlink" Target="https://drive.google.com/file/d/1YD73oJ6scy1xfQoVQNo5TK9j5WUVo8l7/view?usp=sharing" TargetMode="External"/><Relationship Id="rId1078" Type="http://schemas.openxmlformats.org/officeDocument/2006/relationships/hyperlink" Target="https://drive.google.com/file/d/1QWQgG7h1Dja2pglqgcc61wEiD_D5fKiN/view?usp=sharing" TargetMode="External"/><Relationship Id="rId244" Type="http://schemas.openxmlformats.org/officeDocument/2006/relationships/hyperlink" Target="https://drive.google.com/file/d/1ygXxVNdu3z6JMBAJnIk4FOvVYDnLcsI1/view?usp=sharing" TargetMode="External"/><Relationship Id="rId1079" Type="http://schemas.openxmlformats.org/officeDocument/2006/relationships/hyperlink" Target="https://drive.google.com/file/d/1zyXabCrffrpLetebZWul8VRXZeVj9cB1/view?usp=sharing" TargetMode="External"/><Relationship Id="rId243" Type="http://schemas.openxmlformats.org/officeDocument/2006/relationships/hyperlink" Target="https://drive.google.com/file/d/1kMIY2VWfq-HqPuKdObl9Z25koTdmlCDI/view?usp=sharing" TargetMode="External"/><Relationship Id="rId239" Type="http://schemas.openxmlformats.org/officeDocument/2006/relationships/hyperlink" Target="https://drive.google.com/file/d/1nUfCvgEQnRZh83ht4gScEkc8MqEulvCH/view?usp=sharing" TargetMode="External"/><Relationship Id="rId238" Type="http://schemas.openxmlformats.org/officeDocument/2006/relationships/hyperlink" Target="https://drive.google.com/file/d/1WwNpKDMEFMEt4XYfWw7RTjg9X9t00Spe/view?usp=sharing" TargetMode="External"/><Relationship Id="rId237" Type="http://schemas.openxmlformats.org/officeDocument/2006/relationships/hyperlink" Target="https://drive.google.com/file/d/1kQ9okv9715rTdlfWJVfiNDttbegk5tJy/view?usp=sharing" TargetMode="External"/><Relationship Id="rId236" Type="http://schemas.openxmlformats.org/officeDocument/2006/relationships/hyperlink" Target="https://drive.google.com/file/d/1f8B7JjmnTf-BMKgYAG9X2oaJnqHth2_I/view?usp=sharing" TargetMode="External"/><Relationship Id="rId2390" Type="http://schemas.openxmlformats.org/officeDocument/2006/relationships/hyperlink" Target="https://drive.google.com/file/d/1tRqLMYaEwfAt1Ni7TpmLk7f_q-3Gcx0M/view?usp=sharing" TargetMode="External"/><Relationship Id="rId1060" Type="http://schemas.openxmlformats.org/officeDocument/2006/relationships/hyperlink" Target="https://drive.google.com/file/d/1slpWPvtD4zqtTAE4jxxgHRbBZjFWlDac/view?usp=sharing" TargetMode="External"/><Relationship Id="rId2391" Type="http://schemas.openxmlformats.org/officeDocument/2006/relationships/hyperlink" Target="https://drive.google.com/file/d/1guK7UUOLmZODECKlEYALx3zTge2Urip7/view?usp=sharing" TargetMode="External"/><Relationship Id="rId1061" Type="http://schemas.openxmlformats.org/officeDocument/2006/relationships/hyperlink" Target="https://drive.google.com/file/d/11gTykjZf7SJYLn5Xvi3tre1kQom20PSw/view?usp=sharing" TargetMode="External"/><Relationship Id="rId2392" Type="http://schemas.openxmlformats.org/officeDocument/2006/relationships/hyperlink" Target="https://drive.google.com/file/d/1lb34IlrNXkjRSh8yh33Jtr4f_WV9iTrI/view?usp=sharing" TargetMode="External"/><Relationship Id="rId231" Type="http://schemas.openxmlformats.org/officeDocument/2006/relationships/hyperlink" Target="https://drive.google.com/file/d/17keEmfDSXVVh1YUfK4v9TTKwM-DpQpC8/view?usp=sharing" TargetMode="External"/><Relationship Id="rId1062" Type="http://schemas.openxmlformats.org/officeDocument/2006/relationships/hyperlink" Target="https://drive.google.com/file/d/1GlkRIE7se0jaxFu13HzzsdhZh0Wm87aw/view?usp=sharing" TargetMode="External"/><Relationship Id="rId2393" Type="http://schemas.openxmlformats.org/officeDocument/2006/relationships/hyperlink" Target="https://drive.google.com/file/d/1PgFDi97R5BX7_XU4zYM18xNvhlQLSihN/view?usp=sharing" TargetMode="External"/><Relationship Id="rId230" Type="http://schemas.openxmlformats.org/officeDocument/2006/relationships/hyperlink" Target="https://drive.google.com/file/d/1LRFIdqoPThLxWXQk8Zmg8cPDbqvb0giW/view?usp=sharing" TargetMode="External"/><Relationship Id="rId1063" Type="http://schemas.openxmlformats.org/officeDocument/2006/relationships/hyperlink" Target="https://drive.google.com/file/d/1brL3dKt1Z1Gi6mAhx51uYjNsqK5f4_nH/view?usp=sharing" TargetMode="External"/><Relationship Id="rId2394" Type="http://schemas.openxmlformats.org/officeDocument/2006/relationships/hyperlink" Target="https://drive.google.com/file/d/1yXm9GNdQBvlBXo1qtJPmXu5tOehFfZQ8/view?usp=sharing" TargetMode="External"/><Relationship Id="rId1064" Type="http://schemas.openxmlformats.org/officeDocument/2006/relationships/hyperlink" Target="https://drive.google.com/file/d/1OOvEs4Gjz-LN_kqR6LYV2XNmIlpJXHfk/view?usp=sharing" TargetMode="External"/><Relationship Id="rId2395" Type="http://schemas.openxmlformats.org/officeDocument/2006/relationships/hyperlink" Target="https://drive.google.com/file/d/1IjLfFOyb8bFhpA7ZhkW8gaY5ZRYVfpHq/view?usp=sharing" TargetMode="External"/><Relationship Id="rId1065" Type="http://schemas.openxmlformats.org/officeDocument/2006/relationships/hyperlink" Target="https://drive.google.com/file/d/1G-JQxmWWXl_VRJBOywTm8H3I1T0ILlxV/view?usp=sharing" TargetMode="External"/><Relationship Id="rId2396" Type="http://schemas.openxmlformats.org/officeDocument/2006/relationships/hyperlink" Target="https://drive.google.com/file/d/1IfWYlDycr0t0uw30LiaVRhpiOZk2Xs83/view?usp=sharing" TargetMode="External"/><Relationship Id="rId235" Type="http://schemas.openxmlformats.org/officeDocument/2006/relationships/hyperlink" Target="https://drive.google.com/file/d/186Kgjdo3c6bTavjv-iHHCLHecc__3C2j/view?usp=sharing" TargetMode="External"/><Relationship Id="rId1066" Type="http://schemas.openxmlformats.org/officeDocument/2006/relationships/hyperlink" Target="https://drive.google.com/file/d/1dbBd_4XpOFukHCDldfV8M7_9Wplqdera/view?usp=sharing" TargetMode="External"/><Relationship Id="rId2397" Type="http://schemas.openxmlformats.org/officeDocument/2006/relationships/hyperlink" Target="https://drive.google.com/file/d/1qVDXK_gGk44tbTBgsgCYEMW4MzFmOkzG/view?usp=sharing" TargetMode="External"/><Relationship Id="rId234" Type="http://schemas.openxmlformats.org/officeDocument/2006/relationships/hyperlink" Target="https://drive.google.com/file/d/10ccm2qv3Bezfu7i86vkB0bx2KVndH-3O/view?usp=sharing" TargetMode="External"/><Relationship Id="rId1067" Type="http://schemas.openxmlformats.org/officeDocument/2006/relationships/hyperlink" Target="https://drive.google.com/file/d/1EY_0UzKssB4VgVqdwGV9oRhnVFrnmczn/view?usp=sharing" TargetMode="External"/><Relationship Id="rId2398" Type="http://schemas.openxmlformats.org/officeDocument/2006/relationships/hyperlink" Target="https://drive.google.com/file/d/1s-kzUWPWJ9frKpA2Phi5VxrRCw-44Jwz/view?usp=sharing" TargetMode="External"/><Relationship Id="rId233" Type="http://schemas.openxmlformats.org/officeDocument/2006/relationships/hyperlink" Target="https://drive.google.com/file/d/1n2_Nu-G0-SLYoXQWCDCBLVneropJUeMl/view?usp=sharing" TargetMode="External"/><Relationship Id="rId1068" Type="http://schemas.openxmlformats.org/officeDocument/2006/relationships/hyperlink" Target="https://drive.google.com/file/d/1r2rnI-1mZISzGAjLup882YIBvtn0u2Qd/view?usp=sharing" TargetMode="External"/><Relationship Id="rId2399" Type="http://schemas.openxmlformats.org/officeDocument/2006/relationships/hyperlink" Target="https://drive.google.com/file/d/1cWjPWI6MtwDd_7ltQDd0m4SEMBu82hFG/view?usp=sharing" TargetMode="External"/><Relationship Id="rId232" Type="http://schemas.openxmlformats.org/officeDocument/2006/relationships/hyperlink" Target="https://drive.google.com/file/d/1pmT8nKuz6QWiMfl8YPFJJytlbRbCIZOB/view?usp=sharing" TargetMode="External"/><Relationship Id="rId1069" Type="http://schemas.openxmlformats.org/officeDocument/2006/relationships/hyperlink" Target="https://drive.google.com/file/d/1TZGbOIJET1UtZNFHqsMVBRiBoE2d4hjG/view?usp=sharing" TargetMode="External"/><Relationship Id="rId1015" Type="http://schemas.openxmlformats.org/officeDocument/2006/relationships/hyperlink" Target="https://drive.google.com/file/d/1ydu-7z2x2E0TCsnuThdSYpqosQidddEh/view?usp=sharing" TargetMode="External"/><Relationship Id="rId2346" Type="http://schemas.openxmlformats.org/officeDocument/2006/relationships/hyperlink" Target="https://drive.google.com/file/d/1ZJR0yo60FSuGzeKl2qTaUfCa_FxeIj5h/view?usp=sharing" TargetMode="External"/><Relationship Id="rId1016" Type="http://schemas.openxmlformats.org/officeDocument/2006/relationships/hyperlink" Target="https://drive.google.com/file/d/12KxV8CWYW3bjvbrCOXweyCUqjoQIVV0S/view?usp=sharing" TargetMode="External"/><Relationship Id="rId2347" Type="http://schemas.openxmlformats.org/officeDocument/2006/relationships/hyperlink" Target="https://drive.google.com/file/d/1pRmhRWJGLwTfiRnPNVZIF-ISG7RGeprz/view?usp=sharing" TargetMode="External"/><Relationship Id="rId1017" Type="http://schemas.openxmlformats.org/officeDocument/2006/relationships/hyperlink" Target="https://drive.google.com/file/d/1Wz6GYracu43Cz_al45gaNu9NyNpdPIci/view?usp=sharing" TargetMode="External"/><Relationship Id="rId2348" Type="http://schemas.openxmlformats.org/officeDocument/2006/relationships/hyperlink" Target="https://drive.google.com/file/d/1iei8YHxJ8NtSJtAWZ6WPfPrkIurCLdP_/view?usp=sharing" TargetMode="External"/><Relationship Id="rId1018" Type="http://schemas.openxmlformats.org/officeDocument/2006/relationships/hyperlink" Target="https://drive.google.com/file/d/1ahwNs3OuFYIxz4qYFLzVGdi-XtF_AHn7/view?usp=sharing" TargetMode="External"/><Relationship Id="rId2349" Type="http://schemas.openxmlformats.org/officeDocument/2006/relationships/hyperlink" Target="https://drive.google.com/file/d/102W_tO0bl1Lg7YvLsul5MCNTSbAVWV12/view?usp=sharing" TargetMode="External"/><Relationship Id="rId1019" Type="http://schemas.openxmlformats.org/officeDocument/2006/relationships/hyperlink" Target="https://drive.google.com/file/d/1_x-g9CQ5ykgSwkjy5HDGwEDBKMlNpWgx/view?usp=sharing" TargetMode="External"/><Relationship Id="rId2340" Type="http://schemas.openxmlformats.org/officeDocument/2006/relationships/hyperlink" Target="https://drive.google.com/file/d/1-8xAcGYnmjwaJx_76RKcQPUk7zoFkSon/view?usp=sharing" TargetMode="External"/><Relationship Id="rId1010" Type="http://schemas.openxmlformats.org/officeDocument/2006/relationships/hyperlink" Target="https://drive.google.com/file/d/1sRdNwRTKeCM5sDO3cnwdQPOO7Md-N-J1/view?usp=sharing" TargetMode="External"/><Relationship Id="rId2341" Type="http://schemas.openxmlformats.org/officeDocument/2006/relationships/hyperlink" Target="https://drive.google.com/file/d/1Ggzgt_OJzhoSKxkTc6phTsZUfCRB6aCL/view?usp=sharing" TargetMode="External"/><Relationship Id="rId1011" Type="http://schemas.openxmlformats.org/officeDocument/2006/relationships/hyperlink" Target="https://drive.google.com/file/d/1OpjLM8VziayES9njc76Cu6GZrurkhG4q/view?usp=sharing" TargetMode="External"/><Relationship Id="rId2342" Type="http://schemas.openxmlformats.org/officeDocument/2006/relationships/hyperlink" Target="https://drive.google.com/file/d/1vUvl9f8U495YrGM9N-o6A9djEWdBEVj1/view?usp=sharing" TargetMode="External"/><Relationship Id="rId1012" Type="http://schemas.openxmlformats.org/officeDocument/2006/relationships/hyperlink" Target="https://drive.google.com/file/d/18h8bYEkF0SptCFGkQb1bvLKPITfV4txx/view?usp=sharing" TargetMode="External"/><Relationship Id="rId2343" Type="http://schemas.openxmlformats.org/officeDocument/2006/relationships/hyperlink" Target="https://drive.google.com/file/d/1AUxgV5IklpCn6kYBWiW0GHYsDCp7FTOa/view?usp=sharing" TargetMode="External"/><Relationship Id="rId1013" Type="http://schemas.openxmlformats.org/officeDocument/2006/relationships/hyperlink" Target="https://drive.google.com/file/d/1a7ghzr_erLqtzBEN4DO0bLnbmxKpL4xX/view?usp=sharing" TargetMode="External"/><Relationship Id="rId2344" Type="http://schemas.openxmlformats.org/officeDocument/2006/relationships/hyperlink" Target="https://drive.google.com/file/d/1ZTN_zwERro_zo3kj1HcTz-TVbxDix87l/view?usp=sharing" TargetMode="External"/><Relationship Id="rId1014" Type="http://schemas.openxmlformats.org/officeDocument/2006/relationships/hyperlink" Target="https://drive.google.com/file/d/1IzESWV_cFooCDU9m96CMo-_CJyX3YsSH/view?usp=sharing" TargetMode="External"/><Relationship Id="rId2345" Type="http://schemas.openxmlformats.org/officeDocument/2006/relationships/hyperlink" Target="https://drive.google.com/file/d/1NqZZKrnQjStxMUPoTlgKAmfGawfp2QpH/view?usp=sharing" TargetMode="External"/><Relationship Id="rId1004" Type="http://schemas.openxmlformats.org/officeDocument/2006/relationships/hyperlink" Target="https://drive.google.com/file/d/1inz9zyI1Z7l3rYx82zqEddioWHFeSSqD/view?usp=sharing" TargetMode="External"/><Relationship Id="rId2335" Type="http://schemas.openxmlformats.org/officeDocument/2006/relationships/hyperlink" Target="https://drive.google.com/file/d/1zDLetSCyzrxosToCaWyYPfM6d-QMaq4Q/view?usp=sharing" TargetMode="External"/><Relationship Id="rId1005" Type="http://schemas.openxmlformats.org/officeDocument/2006/relationships/hyperlink" Target="https://drive.google.com/file/d/1pLuRzQW0chP26IMkS-MeldHe5hb-xTyT/view?usp=sharing" TargetMode="External"/><Relationship Id="rId2336" Type="http://schemas.openxmlformats.org/officeDocument/2006/relationships/hyperlink" Target="https://drive.google.com/file/d/1Qe3MaPJi9Wjc3OgaDNmbb_o70jyZoQlJ/view?usp=sharing" TargetMode="External"/><Relationship Id="rId1006" Type="http://schemas.openxmlformats.org/officeDocument/2006/relationships/hyperlink" Target="https://drive.google.com/file/d/1FcInP2p7ILsbEhdphvdUmrT3RUqFTXSs/view?usp=sharing" TargetMode="External"/><Relationship Id="rId2337" Type="http://schemas.openxmlformats.org/officeDocument/2006/relationships/hyperlink" Target="https://drive.google.com/file/d/1ph0eRRkTAxeSxrSJXineV4UNGe48XmDc/view?usp=sharing" TargetMode="External"/><Relationship Id="rId1007" Type="http://schemas.openxmlformats.org/officeDocument/2006/relationships/hyperlink" Target="https://drive.google.com/file/d/1PPXyvFkiSTlpVqsSaccv-CLtpYre__As/view?usp=sharing" TargetMode="External"/><Relationship Id="rId2338" Type="http://schemas.openxmlformats.org/officeDocument/2006/relationships/hyperlink" Target="https://drive.google.com/file/d/1fUe1Y2V1Goz5857oroT3UD2aRhgNwGXz/view?usp=sharing" TargetMode="External"/><Relationship Id="rId1008" Type="http://schemas.openxmlformats.org/officeDocument/2006/relationships/hyperlink" Target="https://drive.google.com/file/d/172yvb4wI4xkbA-ftct8_3XFJLDO14epd/view?usp=sharing" TargetMode="External"/><Relationship Id="rId2339" Type="http://schemas.openxmlformats.org/officeDocument/2006/relationships/hyperlink" Target="https://drive.google.com/file/d/1PnA8BHMijQC9ve4QG3VbVXjx7LGFJLR9/view?usp=sharing" TargetMode="External"/><Relationship Id="rId1009" Type="http://schemas.openxmlformats.org/officeDocument/2006/relationships/hyperlink" Target="https://drive.google.com/file/d/1V6W1wqEEadgew3FkgcH_g-s-UiMuQEZW/view?usp=sharing" TargetMode="External"/><Relationship Id="rId2330" Type="http://schemas.openxmlformats.org/officeDocument/2006/relationships/hyperlink" Target="https://drive.google.com/file/d/1WsqwtHfjKrSWKU91mxVv3oCe7-aoaqqO/view?usp=sharing" TargetMode="External"/><Relationship Id="rId1000" Type="http://schemas.openxmlformats.org/officeDocument/2006/relationships/hyperlink" Target="https://drive.google.com/file/d/14waI7tezvnB2Kkj0RbNwVEfOklMC1Ess/view?usp=sharing" TargetMode="External"/><Relationship Id="rId2331" Type="http://schemas.openxmlformats.org/officeDocument/2006/relationships/hyperlink" Target="https://drive.google.com/file/d/1K9zhFSu9MJH8Vl2y4_MhRRDr39QD2JdY/view?usp=sharing" TargetMode="External"/><Relationship Id="rId1001" Type="http://schemas.openxmlformats.org/officeDocument/2006/relationships/hyperlink" Target="https://drive.google.com/file/d/1-DUd09_B__jmBsn3s35glaDEQVVdHx_c/view?usp=sharing" TargetMode="External"/><Relationship Id="rId2332" Type="http://schemas.openxmlformats.org/officeDocument/2006/relationships/hyperlink" Target="https://drive.google.com/file/d/1B4m2ImmpqLo1c7uLmClX3w8WscVwURgr/view?usp=sharing" TargetMode="External"/><Relationship Id="rId1002" Type="http://schemas.openxmlformats.org/officeDocument/2006/relationships/hyperlink" Target="https://drive.google.com/file/d/1TIUvTcCZeYwCDq1XoyU5gbs5DGhp_YUm/view?usp=sharing" TargetMode="External"/><Relationship Id="rId2333" Type="http://schemas.openxmlformats.org/officeDocument/2006/relationships/hyperlink" Target="https://drive.google.com/file/d/1MajS-hmI7aKzmPjn-6zjyPEsRzIfuCgW/view?usp=sharing" TargetMode="External"/><Relationship Id="rId1003" Type="http://schemas.openxmlformats.org/officeDocument/2006/relationships/hyperlink" Target="https://drive.google.com/file/d/1wNy4Sjnq2LD23PGEyyCLIxK1zBSDucAT/view?usp=sharing" TargetMode="External"/><Relationship Id="rId2334" Type="http://schemas.openxmlformats.org/officeDocument/2006/relationships/hyperlink" Target="https://drive.google.com/file/d/1IXtdBggW02nIBJ-FcVTKaQwc7ZwY5dAT/view?usp=sharing" TargetMode="External"/><Relationship Id="rId1037" Type="http://schemas.openxmlformats.org/officeDocument/2006/relationships/hyperlink" Target="https://drive.google.com/file/d/1Czxohx8VxBuoSVUkf2KR8nwXnC4ivLLi/view?usp=sharing" TargetMode="External"/><Relationship Id="rId2368" Type="http://schemas.openxmlformats.org/officeDocument/2006/relationships/hyperlink" Target="https://drive.google.com/file/d/1rrXp1AQuy8JpYj4BP39jrXptinU1txoB/view?usp=sharing" TargetMode="External"/><Relationship Id="rId1038" Type="http://schemas.openxmlformats.org/officeDocument/2006/relationships/hyperlink" Target="https://drive.google.com/file/d/1V5kHMeYKblzOoaZQ_DgJx6a02ttnxzfw/view?usp=sharing" TargetMode="External"/><Relationship Id="rId2369" Type="http://schemas.openxmlformats.org/officeDocument/2006/relationships/hyperlink" Target="https://drive.google.com/file/d/1uAoh7NfLO7bCwwTbDXrdOh_vCyLIsEZg/view?usp=sharing" TargetMode="External"/><Relationship Id="rId1039" Type="http://schemas.openxmlformats.org/officeDocument/2006/relationships/hyperlink" Target="https://drive.google.com/file/d/1UQZ0ogOGGZg3KON5NXXrLUtmzG-rX3SU/view?usp=sharing" TargetMode="External"/><Relationship Id="rId206" Type="http://schemas.openxmlformats.org/officeDocument/2006/relationships/hyperlink" Target="https://drive.google.com/file/d/1-_CooCdHE3E2zeWmIqfJvLjG6yDj2NOs/view?usp=sharing" TargetMode="External"/><Relationship Id="rId205" Type="http://schemas.openxmlformats.org/officeDocument/2006/relationships/hyperlink" Target="https://drive.google.com/file/d/1qesOU3sTjLhK0-0WkCvrGtK52AhxkIM6/view?usp=sharing" TargetMode="External"/><Relationship Id="rId204" Type="http://schemas.openxmlformats.org/officeDocument/2006/relationships/hyperlink" Target="https://drive.google.com/file/d/1WaGzN2LpKpwh6zizLdjerD-zjzVZ1eK5/view?usp=sharing" TargetMode="External"/><Relationship Id="rId203" Type="http://schemas.openxmlformats.org/officeDocument/2006/relationships/hyperlink" Target="https://drive.google.com/file/d/1As8eDAVgK0WOKZHimXSX5HfXuN_tCzSf/view?usp=sharing" TargetMode="External"/><Relationship Id="rId209" Type="http://schemas.openxmlformats.org/officeDocument/2006/relationships/hyperlink" Target="https://drive.google.com/file/d/1YaeEkgT9pleDuZwoAypLzuDRfgCeIZax/view?usp=sharing" TargetMode="External"/><Relationship Id="rId208" Type="http://schemas.openxmlformats.org/officeDocument/2006/relationships/hyperlink" Target="https://drive.google.com/file/d/10Ed3Ov_4eNT8snHh4CHzjdf3eQ0jSEfv/view?usp=sharing" TargetMode="External"/><Relationship Id="rId207" Type="http://schemas.openxmlformats.org/officeDocument/2006/relationships/hyperlink" Target="https://drive.google.com/file/d/1EMgEuSRFyjKwq56K_6i9VnZlgedTuRme/view?usp=sharing" TargetMode="External"/><Relationship Id="rId2360" Type="http://schemas.openxmlformats.org/officeDocument/2006/relationships/hyperlink" Target="https://drive.google.com/file/d/1KfC11vmychKbfOORaHZBUEgmfwPbLyU2/view?usp=sharing" TargetMode="External"/><Relationship Id="rId1030" Type="http://schemas.openxmlformats.org/officeDocument/2006/relationships/hyperlink" Target="https://drive.google.com/file/d/1UeOSOlEMO6xAX6D0qBzuCHyCgu4dyROP/view?usp=sharing" TargetMode="External"/><Relationship Id="rId2361" Type="http://schemas.openxmlformats.org/officeDocument/2006/relationships/hyperlink" Target="https://drive.google.com/file/d/1-zs45v_BxtUsOcP-6Y8vyZ-JfneZ3VWV/view?usp=sharing" TargetMode="External"/><Relationship Id="rId1031" Type="http://schemas.openxmlformats.org/officeDocument/2006/relationships/hyperlink" Target="https://drive.google.com/file/d/13FqtMeHBTstZLcmNvFlRxwY5ojZJ2ZqR/view?usp=sharing" TargetMode="External"/><Relationship Id="rId2362" Type="http://schemas.openxmlformats.org/officeDocument/2006/relationships/hyperlink" Target="https://drive.google.com/file/d/1JGkEW5-3l-Izwxqln-LapcPq6wNcBnQY/view?usp=sharing" TargetMode="External"/><Relationship Id="rId1032" Type="http://schemas.openxmlformats.org/officeDocument/2006/relationships/hyperlink" Target="https://drive.google.com/file/d/18e5K3NxmkKoT7lB3fWYfl6UsP98PAVGp/view?usp=sharing" TargetMode="External"/><Relationship Id="rId2363" Type="http://schemas.openxmlformats.org/officeDocument/2006/relationships/hyperlink" Target="https://drive.google.com/file/d/1wq9gcBHK0fH6bnV9P807vst5YTWQdM83/view?usp=sharing" TargetMode="External"/><Relationship Id="rId202" Type="http://schemas.openxmlformats.org/officeDocument/2006/relationships/hyperlink" Target="https://drive.google.com/file/d/1RcXfvJeESeuAgwmv8uAPj5I1PsjnWpTx/view?usp=sharing" TargetMode="External"/><Relationship Id="rId1033" Type="http://schemas.openxmlformats.org/officeDocument/2006/relationships/hyperlink" Target="https://drive.google.com/file/d/190ggPUd0G172XpMfuoLSvcmSBwgGqDlx/view?usp=sharing" TargetMode="External"/><Relationship Id="rId2364" Type="http://schemas.openxmlformats.org/officeDocument/2006/relationships/hyperlink" Target="https://drive.google.com/file/d/1Q8kGGwJH5dUrcMRbf8oHI-2nl_DTwwZz/view?usp=sharing" TargetMode="External"/><Relationship Id="rId201" Type="http://schemas.openxmlformats.org/officeDocument/2006/relationships/hyperlink" Target="https://drive.google.com/file/d/16l5lWubUNqBraPHHbt3ZhYJDLZNfDS8z/view?usp=sharing" TargetMode="External"/><Relationship Id="rId1034" Type="http://schemas.openxmlformats.org/officeDocument/2006/relationships/hyperlink" Target="https://drive.google.com/file/d/1PSs-b97VkGFKoi44oeP6nCXjCg0eMkK5/view?usp=sharing" TargetMode="External"/><Relationship Id="rId2365" Type="http://schemas.openxmlformats.org/officeDocument/2006/relationships/hyperlink" Target="https://drive.google.com/file/d/1aMqF_oIE-KyS-yRoLWmCAAwFCVmJw_hj/view?usp=sharing" TargetMode="External"/><Relationship Id="rId200" Type="http://schemas.openxmlformats.org/officeDocument/2006/relationships/hyperlink" Target="https://drive.google.com/file/d/1_Vo8sYv8JptuyfAKV6A9ZlpONFzYj2YE/view?usp=sharing" TargetMode="External"/><Relationship Id="rId1035" Type="http://schemas.openxmlformats.org/officeDocument/2006/relationships/hyperlink" Target="https://drive.google.com/file/d/1_9qLSsnBfjZf0RgRMW3Y7s2ycWruyifS/view?usp=sharing" TargetMode="External"/><Relationship Id="rId2366" Type="http://schemas.openxmlformats.org/officeDocument/2006/relationships/hyperlink" Target="https://drive.google.com/file/d/1Sn2wx7gBNALc3HgsFv9XuKXWYTIHOR7m/view?usp=sharing" TargetMode="External"/><Relationship Id="rId1036" Type="http://schemas.openxmlformats.org/officeDocument/2006/relationships/hyperlink" Target="https://drive.google.com/file/d/1DBege3Yy7zwo-3y_CdNWxj7_EhEcj-bG/view?usp=sharing" TargetMode="External"/><Relationship Id="rId2367" Type="http://schemas.openxmlformats.org/officeDocument/2006/relationships/hyperlink" Target="https://drive.google.com/file/d/1-h9B_gzmTJsBFZsFX_FVym5ijoNxcTf9/view?usp=sharing" TargetMode="External"/><Relationship Id="rId1026" Type="http://schemas.openxmlformats.org/officeDocument/2006/relationships/hyperlink" Target="https://drive.google.com/file/d/1b2Y3bAyvwRhspfTB1c9eRBFPajB6QDEt/view?usp=sharing" TargetMode="External"/><Relationship Id="rId2357" Type="http://schemas.openxmlformats.org/officeDocument/2006/relationships/hyperlink" Target="https://drive.google.com/file/d/1gEJfBF4X6vr07WampHs2QZLffWS7bTYo/view?usp=sharing" TargetMode="External"/><Relationship Id="rId1027" Type="http://schemas.openxmlformats.org/officeDocument/2006/relationships/hyperlink" Target="https://drive.google.com/file/d/1svrSA13AWnKaVIQFbNHc2efKOc5TxVY3/view?usp=sharing" TargetMode="External"/><Relationship Id="rId2358" Type="http://schemas.openxmlformats.org/officeDocument/2006/relationships/hyperlink" Target="https://drive.google.com/file/d/1u5faqzfvkrKIZs0no8IzL1wNH8Fx_SiL/view?usp=sharing" TargetMode="External"/><Relationship Id="rId1028" Type="http://schemas.openxmlformats.org/officeDocument/2006/relationships/hyperlink" Target="https://drive.google.com/file/d/1tlt8sDuOjUPG9A2tgLx6ZCNpoqHUvKmc/view?usp=sharing" TargetMode="External"/><Relationship Id="rId2359" Type="http://schemas.openxmlformats.org/officeDocument/2006/relationships/hyperlink" Target="https://drive.google.com/file/d/1RCibufRjnKocW1ewV7Jn_EaNacFYYAJI/view?usp=sharing" TargetMode="External"/><Relationship Id="rId1029" Type="http://schemas.openxmlformats.org/officeDocument/2006/relationships/hyperlink" Target="https://drive.google.com/file/d/12JqydtuhjnccysmqpIQ2FwP_G9TssUFt/view?usp=sharing" TargetMode="External"/><Relationship Id="rId2350" Type="http://schemas.openxmlformats.org/officeDocument/2006/relationships/hyperlink" Target="https://drive.google.com/file/d/1uazxOWb2Ae-cs751xKZwHksJ0CtNTKsq/view?usp=sharing" TargetMode="External"/><Relationship Id="rId1020" Type="http://schemas.openxmlformats.org/officeDocument/2006/relationships/hyperlink" Target="https://drive.google.com/file/d/1GYEXe-6wBrN3m0sw0FF0at5TJrCzF1eK/view?usp=sharing" TargetMode="External"/><Relationship Id="rId2351" Type="http://schemas.openxmlformats.org/officeDocument/2006/relationships/hyperlink" Target="https://drive.google.com/file/d/1IknRmDgNScAiUmltBpriDZ63aB3TAdcg/view?usp=sharing" TargetMode="External"/><Relationship Id="rId1021" Type="http://schemas.openxmlformats.org/officeDocument/2006/relationships/hyperlink" Target="https://drive.google.com/file/d/1f9LOOtSwNqQtEItZeA1BDj4buB0ZP7nr/view?usp=sharing" TargetMode="External"/><Relationship Id="rId2352" Type="http://schemas.openxmlformats.org/officeDocument/2006/relationships/hyperlink" Target="https://drive.google.com/file/d/1fUV6Ji5qKovdlNIZa3hBidZT31yyzJns/view?usp=sharing" TargetMode="External"/><Relationship Id="rId1022" Type="http://schemas.openxmlformats.org/officeDocument/2006/relationships/hyperlink" Target="https://drive.google.com/file/d/1UCQ98Gz8KmXarlERiRKX0VZQbaliKd_c/view?usp=sharing" TargetMode="External"/><Relationship Id="rId2353" Type="http://schemas.openxmlformats.org/officeDocument/2006/relationships/hyperlink" Target="https://drive.google.com/file/d/1h6tr984nPdqYK_za3XVEnX4tnxrEefFw/view?usp=sharing" TargetMode="External"/><Relationship Id="rId1023" Type="http://schemas.openxmlformats.org/officeDocument/2006/relationships/hyperlink" Target="https://drive.google.com/file/d/10jg6UGSrYMgzT-lAkjxAadfmiWzjBoQK/view?usp=sharing" TargetMode="External"/><Relationship Id="rId2354" Type="http://schemas.openxmlformats.org/officeDocument/2006/relationships/hyperlink" Target="https://drive.google.com/file/d/1XxbneL6MkX8q81Nz7HBiKwMjTDqnDVz-/view?usp=sharing" TargetMode="External"/><Relationship Id="rId1024" Type="http://schemas.openxmlformats.org/officeDocument/2006/relationships/hyperlink" Target="https://drive.google.com/file/d/1tEb0vgmmRSDbx1mhJ5d6Gwn8WTqGCsv-/view?usp=sharing" TargetMode="External"/><Relationship Id="rId2355" Type="http://schemas.openxmlformats.org/officeDocument/2006/relationships/hyperlink" Target="https://drive.google.com/file/d/1j2_thP2Z2Zo_nl6K-iod51Ea_wJ3wmfU/view?usp=sharing" TargetMode="External"/><Relationship Id="rId1025" Type="http://schemas.openxmlformats.org/officeDocument/2006/relationships/hyperlink" Target="https://drive.google.com/file/d/15TNtB7ctaKpbeeyyuMpNePfi96SXhtX6/view?usp=sharing" TargetMode="External"/><Relationship Id="rId2356" Type="http://schemas.openxmlformats.org/officeDocument/2006/relationships/hyperlink" Target="https://drive.google.com/file/d/1mBq0_4P54zRy_lowDTCTLnOid8VrqQU-/view?usp=sharing" TargetMode="External"/><Relationship Id="rId1910" Type="http://schemas.openxmlformats.org/officeDocument/2006/relationships/hyperlink" Target="https://drive.google.com/file/d/1K1LI6aA4LZmTBh8znSOaiu_ZN4q_Dqbp/view?usp=sharing" TargetMode="External"/><Relationship Id="rId1911" Type="http://schemas.openxmlformats.org/officeDocument/2006/relationships/hyperlink" Target="https://drive.google.com/file/d/1Bo7zkFaXyvRD1CYGHMmY4y0h6-2x0nXx/view?usp=sharing" TargetMode="External"/><Relationship Id="rId1912" Type="http://schemas.openxmlformats.org/officeDocument/2006/relationships/hyperlink" Target="https://drive.google.com/file/d/1gh-a9Tbd_PfhM5iGyUWN4h4oQybijmy1/view?usp=sharing" TargetMode="External"/><Relationship Id="rId1913" Type="http://schemas.openxmlformats.org/officeDocument/2006/relationships/hyperlink" Target="https://drive.google.com/file/d/1XUZfQJUz27ltFxu0O13UnoAyp7PxNsID/view?usp=sharing" TargetMode="External"/><Relationship Id="rId1914" Type="http://schemas.openxmlformats.org/officeDocument/2006/relationships/hyperlink" Target="https://drive.google.com/file/d/1AdccatRSh_OLv7A5cu5A3R6B1AZWNiox/view?usp=sharing" TargetMode="External"/><Relationship Id="rId1915" Type="http://schemas.openxmlformats.org/officeDocument/2006/relationships/hyperlink" Target="https://drive.google.com/file/d/1LonqNGMFnl5gz-WFNRaQxWrJLxIkQfn2/view?usp=sharing" TargetMode="External"/><Relationship Id="rId1916" Type="http://schemas.openxmlformats.org/officeDocument/2006/relationships/hyperlink" Target="https://drive.google.com/file/d/1SaooXYDQy1N4ccNTxxws_6BGh3-MU_Gd/view?usp=sharing" TargetMode="External"/><Relationship Id="rId1917" Type="http://schemas.openxmlformats.org/officeDocument/2006/relationships/hyperlink" Target="https://drive.google.com/file/d/1ipNmUao84zmwU5Y90n3z65sa41GcR0HN/view?usp=sharing" TargetMode="External"/><Relationship Id="rId1918" Type="http://schemas.openxmlformats.org/officeDocument/2006/relationships/hyperlink" Target="https://drive.google.com/file/d/1PvyyQPwAECSJOvjpohkUdOr_KNskPTNu/view?usp=sharing" TargetMode="External"/><Relationship Id="rId1919" Type="http://schemas.openxmlformats.org/officeDocument/2006/relationships/hyperlink" Target="https://drive.google.com/file/d/1QcPFoj96ebmG8w7gAUstS494nLizY_Ue/view?usp=sharing" TargetMode="External"/><Relationship Id="rId1900" Type="http://schemas.openxmlformats.org/officeDocument/2006/relationships/hyperlink" Target="https://drive.google.com/file/d/1vMk3OmyRnfe4vC-_J12oVOTTStZf0WZm/view?usp=sharing" TargetMode="External"/><Relationship Id="rId1901" Type="http://schemas.openxmlformats.org/officeDocument/2006/relationships/hyperlink" Target="https://drive.google.com/file/d/1VK4ur19qcW_9PUif7n0iaDNc3nt-khxU/view?usp=sharing" TargetMode="External"/><Relationship Id="rId1902" Type="http://schemas.openxmlformats.org/officeDocument/2006/relationships/hyperlink" Target="https://drive.google.com/file/d/1VUwryTAqKF1TO-IJvQTbclocFISRfPeW/view?usp=sharing" TargetMode="External"/><Relationship Id="rId1903" Type="http://schemas.openxmlformats.org/officeDocument/2006/relationships/hyperlink" Target="https://drive.google.com/file/d/18oceLIY2aeOZGyJ9Xeq1_kXOElPUKJdS/view?usp=sharing" TargetMode="External"/><Relationship Id="rId1904" Type="http://schemas.openxmlformats.org/officeDocument/2006/relationships/hyperlink" Target="https://drive.google.com/file/d/1wPitVo2HirP4T74Mfq7ca0qgkIOux8AG/view?usp=sharing" TargetMode="External"/><Relationship Id="rId1905" Type="http://schemas.openxmlformats.org/officeDocument/2006/relationships/hyperlink" Target="https://drive.google.com/file/d/11FaISDTKYUTngH_yR65DQ7NuarBE12j-/view?usp=sharing" TargetMode="External"/><Relationship Id="rId1906" Type="http://schemas.openxmlformats.org/officeDocument/2006/relationships/hyperlink" Target="https://drive.google.com/file/d/12PDnv3eAiIC2OM8F3fABq85Dk90H612R/view?usp=sharing" TargetMode="External"/><Relationship Id="rId1907" Type="http://schemas.openxmlformats.org/officeDocument/2006/relationships/hyperlink" Target="https://drive.google.com/file/d/1YPooBwdqnchCOsz312aqnQ-koErlrmUJ/view?usp=sharing" TargetMode="External"/><Relationship Id="rId1908" Type="http://schemas.openxmlformats.org/officeDocument/2006/relationships/hyperlink" Target="https://drive.google.com/file/d/13FA4YfT9uJEhJXfJTQmdbSYurVuF5lpN/view?usp=sharing" TargetMode="External"/><Relationship Id="rId1909" Type="http://schemas.openxmlformats.org/officeDocument/2006/relationships/hyperlink" Target="https://drive.google.com/file/d/1IPaNN66-_nTzUbIKU23AFAbC_7OslmTt/view?usp=sharing" TargetMode="External"/><Relationship Id="rId1090" Type="http://schemas.openxmlformats.org/officeDocument/2006/relationships/hyperlink" Target="https://drive.google.com/file/d/1mAHfOC-XtrtA0yH1T1aYU7Qj3jsYTedw/view?usp=sharing" TargetMode="External"/><Relationship Id="rId1091" Type="http://schemas.openxmlformats.org/officeDocument/2006/relationships/hyperlink" Target="https://drive.google.com/file/d/1NBvmK7M-pkC8Lpy3Uw6aDceJTwwVrGhO/view?usp=sharing" TargetMode="External"/><Relationship Id="rId1092" Type="http://schemas.openxmlformats.org/officeDocument/2006/relationships/hyperlink" Target="https://drive.google.com/file/d/1l6hKQPGqZCU5DShJHC1iTREKqu7WknJN/view?usp=sharing" TargetMode="External"/><Relationship Id="rId1093" Type="http://schemas.openxmlformats.org/officeDocument/2006/relationships/hyperlink" Target="https://drive.google.com/file/d/1MNpGWWCUppL8J5y_26jQv54hnSjA_qOp/view?usp=sharing" TargetMode="External"/><Relationship Id="rId1094" Type="http://schemas.openxmlformats.org/officeDocument/2006/relationships/hyperlink" Target="https://drive.google.com/file/d/1gzo_1sB0_Z3RO0SR3BSM4STMoL6-j4bG/view?usp=sharing" TargetMode="External"/><Relationship Id="rId1095" Type="http://schemas.openxmlformats.org/officeDocument/2006/relationships/hyperlink" Target="https://drive.google.com/file/d/1Xq0IA68HvXxNnCnZtd__3jS6EXR3P3ja/view?usp=sharing" TargetMode="External"/><Relationship Id="rId1096" Type="http://schemas.openxmlformats.org/officeDocument/2006/relationships/hyperlink" Target="https://drive.google.com/file/d/1rcgvL1APZovjUHiaGa3ED0BJ1yQVJLPa/view?usp=sharing" TargetMode="External"/><Relationship Id="rId1097" Type="http://schemas.openxmlformats.org/officeDocument/2006/relationships/hyperlink" Target="https://drive.google.com/file/d/1Jw51gfnn45TljOzuEUND4fNxfsO8_M_g/view?usp=sharing" TargetMode="External"/><Relationship Id="rId1098" Type="http://schemas.openxmlformats.org/officeDocument/2006/relationships/hyperlink" Target="https://drive.google.com/file/d/1z-v9yBuzuie_OPI-1Zh38--XY3zcFMrl/view?usp=sharing" TargetMode="External"/><Relationship Id="rId1099" Type="http://schemas.openxmlformats.org/officeDocument/2006/relationships/hyperlink" Target="https://drive.google.com/file/d/157XH9PCSYzrhN5wpBCkMk1mrnqxtnT_o/view?usp=sharing" TargetMode="External"/><Relationship Id="rId1080" Type="http://schemas.openxmlformats.org/officeDocument/2006/relationships/hyperlink" Target="https://drive.google.com/file/d/1XZNwhPhtIEZhM1P_CUv8ccUVEUOqNwlE/view?usp=sharing" TargetMode="External"/><Relationship Id="rId1081" Type="http://schemas.openxmlformats.org/officeDocument/2006/relationships/hyperlink" Target="https://drive.google.com/file/d/1bstao2xXsZ_yxnmc66f04XEDWXRGwDMO/view?usp=sharing" TargetMode="External"/><Relationship Id="rId1082" Type="http://schemas.openxmlformats.org/officeDocument/2006/relationships/hyperlink" Target="https://drive.google.com/file/d/1-TLPxxd6Im1Nm2Tu1GhVLMxeB68K5KPl/view?usp=sharing" TargetMode="External"/><Relationship Id="rId1083" Type="http://schemas.openxmlformats.org/officeDocument/2006/relationships/hyperlink" Target="https://drive.google.com/file/d/1pg7ONj5kQoCVoSAoJp2oMkZf9nvaI1u0/view?usp=sharing" TargetMode="External"/><Relationship Id="rId1084" Type="http://schemas.openxmlformats.org/officeDocument/2006/relationships/hyperlink" Target="https://drive.google.com/file/d/1ipdkGdJhbvmOm1duwRLjMuhnBXubLWNx/view?usp=sharing" TargetMode="External"/><Relationship Id="rId1085" Type="http://schemas.openxmlformats.org/officeDocument/2006/relationships/hyperlink" Target="https://drive.google.com/file/d/1EuLlqWnMb5ttXlhBDwrfV4i5kuZ8ufB6/view?usp=sharing" TargetMode="External"/><Relationship Id="rId1086" Type="http://schemas.openxmlformats.org/officeDocument/2006/relationships/hyperlink" Target="https://drive.google.com/file/d/1HtiGQ2qq-FErINwVkm1hV1bR1UU8ZZ5g/view?usp=sharing" TargetMode="External"/><Relationship Id="rId1087" Type="http://schemas.openxmlformats.org/officeDocument/2006/relationships/hyperlink" Target="https://drive.google.com/file/d/1bQrQ-pzkLNRa97_AAq3E6iU7dH8wUfXQ/view?usp=sharing" TargetMode="External"/><Relationship Id="rId1088" Type="http://schemas.openxmlformats.org/officeDocument/2006/relationships/hyperlink" Target="https://drive.google.com/file/d/1Uh1xSqnLdGj-Xatm4gb8HsVTPxBsCJos/view?usp=sharing" TargetMode="External"/><Relationship Id="rId1089" Type="http://schemas.openxmlformats.org/officeDocument/2006/relationships/hyperlink" Target="https://drive.google.com/file/d/1619zRYOJ97G5bEoa2_8A8EJOX7Ll9xdH/view?usp=sharing" TargetMode="External"/><Relationship Id="rId1972" Type="http://schemas.openxmlformats.org/officeDocument/2006/relationships/hyperlink" Target="https://drive.google.com/file/d/1fXLpKdnh2QZirwt8qmMbOJVWTKvLcf-x/view?usp=sharing" TargetMode="External"/><Relationship Id="rId1973" Type="http://schemas.openxmlformats.org/officeDocument/2006/relationships/hyperlink" Target="https://drive.google.com/file/d/1cNJtOwdf2S5ivyu0qcb3Vzrc9TAJW6dY/view?usp=sharing" TargetMode="External"/><Relationship Id="rId1974" Type="http://schemas.openxmlformats.org/officeDocument/2006/relationships/hyperlink" Target="https://drive.google.com/file/d/1c2Vx923a8a716IexgLo6mWrmmvcCXUhu/view?usp=sharing" TargetMode="External"/><Relationship Id="rId1975" Type="http://schemas.openxmlformats.org/officeDocument/2006/relationships/hyperlink" Target="https://drive.google.com/file/d/1alKJIhOVYCBAtp6eTmIqRR9ZSzCMBWE6/view?usp=sharing" TargetMode="External"/><Relationship Id="rId1976" Type="http://schemas.openxmlformats.org/officeDocument/2006/relationships/hyperlink" Target="https://drive.google.com/file/d/1QuHoHKF76eKTkJR-WvgjyZ8bp-jm_noY/view?usp=sharing" TargetMode="External"/><Relationship Id="rId1977" Type="http://schemas.openxmlformats.org/officeDocument/2006/relationships/hyperlink" Target="https://drive.google.com/file/d/14GIKatx4W-JtUAavkJNJjY3V0G_3FmFV/view?usp=sharing" TargetMode="External"/><Relationship Id="rId1978" Type="http://schemas.openxmlformats.org/officeDocument/2006/relationships/hyperlink" Target="https://drive.google.com/file/d/1qmXki8cCxMGjEIqtM2K9ncuADIh07LqA/view?usp=sharing" TargetMode="External"/><Relationship Id="rId1979" Type="http://schemas.openxmlformats.org/officeDocument/2006/relationships/hyperlink" Target="https://drive.google.com/file/d/1O3HVHgD4xvVBt6OpnQUUgyqw23UjT1cP/view?usp=sharing" TargetMode="External"/><Relationship Id="rId1970" Type="http://schemas.openxmlformats.org/officeDocument/2006/relationships/hyperlink" Target="https://drive.google.com/file/d/1H2KrT3SRR-4bevFzNk0ndK58sqxLAqhG/view?usp=sharing" TargetMode="External"/><Relationship Id="rId1971" Type="http://schemas.openxmlformats.org/officeDocument/2006/relationships/hyperlink" Target="https://drive.google.com/file/d/1xYjac8UieKfw2-vZArrgadHcy7bMWX-b/view?usp=sharing" TargetMode="External"/><Relationship Id="rId1961" Type="http://schemas.openxmlformats.org/officeDocument/2006/relationships/hyperlink" Target="https://drive.google.com/file/d/1JOFmFhDLH8tbTWH041JQXSoFto9TkQeM/view?usp=sharing" TargetMode="External"/><Relationship Id="rId1962" Type="http://schemas.openxmlformats.org/officeDocument/2006/relationships/hyperlink" Target="https://drive.google.com/file/d/1tpfJVOyhZLB_lg1ovkh2Ej2PCLkB6P8L/view?usp=sharing" TargetMode="External"/><Relationship Id="rId1963" Type="http://schemas.openxmlformats.org/officeDocument/2006/relationships/hyperlink" Target="https://drive.google.com/file/d/1hPH6nhpvBjhAbyt95YOp61KL5UHUSiGR/view?usp=sharing" TargetMode="External"/><Relationship Id="rId1964" Type="http://schemas.openxmlformats.org/officeDocument/2006/relationships/hyperlink" Target="https://drive.google.com/file/d/1F5-LEDXsbuJChly1wk8QBV8c1T4KEUMt/view?usp=sharing" TargetMode="External"/><Relationship Id="rId1965" Type="http://schemas.openxmlformats.org/officeDocument/2006/relationships/hyperlink" Target="https://drive.google.com/file/d/1Q-SUiRKGnPYxCBS4knnG35NaBO2lDHut/view?usp=sharing" TargetMode="External"/><Relationship Id="rId1966" Type="http://schemas.openxmlformats.org/officeDocument/2006/relationships/hyperlink" Target="https://drive.google.com/file/d/1jakyQkoBBDSDheqS0-miVO975oizhAUW/view?usp=sharing" TargetMode="External"/><Relationship Id="rId1967" Type="http://schemas.openxmlformats.org/officeDocument/2006/relationships/hyperlink" Target="https://drive.google.com/file/d/17gHppwh4BtCTFWiC0J_3E6SroL6_nIIC/view?usp=sharing" TargetMode="External"/><Relationship Id="rId1968" Type="http://schemas.openxmlformats.org/officeDocument/2006/relationships/hyperlink" Target="https://drive.google.com/file/d/1YuFtsQ2GFgHQugdaGy_ss9_fPTF079Gs/view?usp=sharing" TargetMode="External"/><Relationship Id="rId1969" Type="http://schemas.openxmlformats.org/officeDocument/2006/relationships/hyperlink" Target="https://drive.google.com/file/d/1rdrk6JCvQohbZJUMqwUuog0MBIP9SHBm/view?usp=sharing" TargetMode="External"/><Relationship Id="rId1960" Type="http://schemas.openxmlformats.org/officeDocument/2006/relationships/hyperlink" Target="https://drive.google.com/file/d/1de0HAtPham_nuPwzWWU7a-NkV5G7TN3T/view?usp=sharing" TargetMode="External"/><Relationship Id="rId1994" Type="http://schemas.openxmlformats.org/officeDocument/2006/relationships/hyperlink" Target="https://drive.google.com/file/d/1nMKocXNf1WZYOUb6byzOqy3phP34kZIu/view?usp=sharing" TargetMode="External"/><Relationship Id="rId1995" Type="http://schemas.openxmlformats.org/officeDocument/2006/relationships/hyperlink" Target="https://drive.google.com/file/d/1PWpP2ZIbfN_tgVd_jCp7gCZk9dve9pA1/view?usp=sharing" TargetMode="External"/><Relationship Id="rId1996" Type="http://schemas.openxmlformats.org/officeDocument/2006/relationships/hyperlink" Target="https://drive.google.com/file/d/1Xf64OW-Z7znEkABvNQUU0FaTWS1SQV7w/view?usp=sharing" TargetMode="External"/><Relationship Id="rId1997" Type="http://schemas.openxmlformats.org/officeDocument/2006/relationships/hyperlink" Target="https://drive.google.com/file/d/1RyPWAOx_k4xIXEn3-0_Umk9YOz0E01DI/view?usp=sharing" TargetMode="External"/><Relationship Id="rId1998" Type="http://schemas.openxmlformats.org/officeDocument/2006/relationships/hyperlink" Target="https://drive.google.com/file/d/1Px8r6Tl_dwr4rrCpQlJjXmOguDmGq4D6/view?usp=sharing" TargetMode="External"/><Relationship Id="rId1999" Type="http://schemas.openxmlformats.org/officeDocument/2006/relationships/hyperlink" Target="https://drive.google.com/file/d/1n2OhfcXFenzj1K_kLglEhIw3BIZktrh5/view?usp=sharing" TargetMode="External"/><Relationship Id="rId1990" Type="http://schemas.openxmlformats.org/officeDocument/2006/relationships/hyperlink" Target="https://drive.google.com/file/d/1sfaeKlTgxds8fdDUlP0PL6OfJeNVs5Zr/view?usp=sharing" TargetMode="External"/><Relationship Id="rId1991" Type="http://schemas.openxmlformats.org/officeDocument/2006/relationships/hyperlink" Target="https://drive.google.com/file/d/1k81tczlfhecAW6lENeQDYsDX1HZJasGd/view?usp=sharing" TargetMode="External"/><Relationship Id="rId1992" Type="http://schemas.openxmlformats.org/officeDocument/2006/relationships/hyperlink" Target="https://drive.google.com/file/d/1fYGsaKRKISP9LRnJNlaqD3E2tX0WxI3-/view?usp=sharing" TargetMode="External"/><Relationship Id="rId1993" Type="http://schemas.openxmlformats.org/officeDocument/2006/relationships/hyperlink" Target="https://drive.google.com/file/d/1InR8yNoGA2BrGhvxZ0lvPIgHq5rMiDtR/view?usp=sharing" TargetMode="External"/><Relationship Id="rId1983" Type="http://schemas.openxmlformats.org/officeDocument/2006/relationships/hyperlink" Target="https://drive.google.com/file/d/1KDqWcY6aaimYHbOs5aCo7N8ANmOKQ-kJ/view?usp=sharing" TargetMode="External"/><Relationship Id="rId1984" Type="http://schemas.openxmlformats.org/officeDocument/2006/relationships/hyperlink" Target="https://drive.google.com/file/d/1u1CiDT2shiWbbf4osGMUxJgTuQTq69CG/view?usp=sharing" TargetMode="External"/><Relationship Id="rId1985" Type="http://schemas.openxmlformats.org/officeDocument/2006/relationships/hyperlink" Target="https://drive.google.com/file/d/1DWEpPN75KfXL_L6lZCgNHHUI8EfTQxvd/view?usp=sharing" TargetMode="External"/><Relationship Id="rId1986" Type="http://schemas.openxmlformats.org/officeDocument/2006/relationships/hyperlink" Target="https://drive.google.com/file/d/1F9ooww4c9DO5Kz-iMQfeOZ8m5ouYiWsS/view?usp=sharing" TargetMode="External"/><Relationship Id="rId1987" Type="http://schemas.openxmlformats.org/officeDocument/2006/relationships/hyperlink" Target="https://drive.google.com/file/d/1Dt4kVKNKIrOn9-W0XIAT5DO7y64betA-/view?usp=sharing" TargetMode="External"/><Relationship Id="rId1988" Type="http://schemas.openxmlformats.org/officeDocument/2006/relationships/hyperlink" Target="https://drive.google.com/file/d/1t0kW9VHKBpXT-yq8u9qZiRg3uv7K5SAt/view?usp=sharing" TargetMode="External"/><Relationship Id="rId1989" Type="http://schemas.openxmlformats.org/officeDocument/2006/relationships/hyperlink" Target="https://drive.google.com/file/d/1pWfkpSvB-Jqnd6dRkFLNSKnU_8LaZF5Y/view?usp=sharing" TargetMode="External"/><Relationship Id="rId1980" Type="http://schemas.openxmlformats.org/officeDocument/2006/relationships/hyperlink" Target="https://drive.google.com/file/d/1cQencVJ2vVSCVop288ESviAeVRCGXjON/view?usp=sharing" TargetMode="External"/><Relationship Id="rId1981" Type="http://schemas.openxmlformats.org/officeDocument/2006/relationships/hyperlink" Target="https://drive.google.com/file/d/1dETvMB1KtvW0DrUBkjxC4rSosy-ZfeK0/view?usp=sharing" TargetMode="External"/><Relationship Id="rId1982" Type="http://schemas.openxmlformats.org/officeDocument/2006/relationships/hyperlink" Target="https://drive.google.com/file/d/1go3s95a6gr__ZjZqJebhZkicoxXLRij2/view?usp=sharing" TargetMode="External"/><Relationship Id="rId1930" Type="http://schemas.openxmlformats.org/officeDocument/2006/relationships/hyperlink" Target="https://drive.google.com/file/d/1K5XAlJDpQofmxjJ28fXlAL5k1tiXS21y/view?usp=sharing" TargetMode="External"/><Relationship Id="rId1931" Type="http://schemas.openxmlformats.org/officeDocument/2006/relationships/hyperlink" Target="https://drive.google.com/file/d/10kruFYudrbz9NXYM4OumJGSEpDkVKBDP/view?usp=sharing" TargetMode="External"/><Relationship Id="rId1932" Type="http://schemas.openxmlformats.org/officeDocument/2006/relationships/hyperlink" Target="https://drive.google.com/file/d/1xGKZhNDa65Y44VHJ94C0G2aKmbgVaXaX/view?usp=sharing" TargetMode="External"/><Relationship Id="rId1933" Type="http://schemas.openxmlformats.org/officeDocument/2006/relationships/hyperlink" Target="https://drive.google.com/file/d/1YCkSjGPmb5FBWrxKgg8i7Oo0_EuvKb06/view?usp=sharing" TargetMode="External"/><Relationship Id="rId1934" Type="http://schemas.openxmlformats.org/officeDocument/2006/relationships/hyperlink" Target="https://drive.google.com/file/d/1MrgtMlbS6U9V1IaySJxODanATNHgFTZL/view?usp=sharing" TargetMode="External"/><Relationship Id="rId1935" Type="http://schemas.openxmlformats.org/officeDocument/2006/relationships/hyperlink" Target="https://drive.google.com/file/d/1cOEIgC7NsbAkxAgCSyj8VIajZsunnKEf/view?usp=sharing" TargetMode="External"/><Relationship Id="rId1936" Type="http://schemas.openxmlformats.org/officeDocument/2006/relationships/hyperlink" Target="https://drive.google.com/file/d/1Ghyr_hK9BZNTPftnFIpCobgTyASg43bF/view?usp=sharing" TargetMode="External"/><Relationship Id="rId1937" Type="http://schemas.openxmlformats.org/officeDocument/2006/relationships/hyperlink" Target="https://drive.google.com/file/d/16ZtJ5nwEaoeHDG0HBUhSz_-UumOT8BvM/view?usp=sharing" TargetMode="External"/><Relationship Id="rId1938" Type="http://schemas.openxmlformats.org/officeDocument/2006/relationships/hyperlink" Target="https://drive.google.com/file/d/1ceg3bKNB6pNxifyq5KEMRu5c6B2mWnFY/view?usp=sharing" TargetMode="External"/><Relationship Id="rId1939" Type="http://schemas.openxmlformats.org/officeDocument/2006/relationships/hyperlink" Target="https://drive.google.com/file/d/1jNIC-xbvNfuB7BTB8tyhKsnVN6lhDI-H/view?usp=sharing" TargetMode="External"/><Relationship Id="rId1920" Type="http://schemas.openxmlformats.org/officeDocument/2006/relationships/hyperlink" Target="https://drive.google.com/file/d/1JgxFQL8R-I_7hpKHM-VibNQVy6ig2Ipj/view?usp=sharing" TargetMode="External"/><Relationship Id="rId1921" Type="http://schemas.openxmlformats.org/officeDocument/2006/relationships/hyperlink" Target="https://drive.google.com/file/d/1ZxZhRBZsTSB6BdQFCvuMMEVbZojOpXrB/view?usp=sharing" TargetMode="External"/><Relationship Id="rId1922" Type="http://schemas.openxmlformats.org/officeDocument/2006/relationships/hyperlink" Target="https://drive.google.com/file/d/1L-JsVG8angUIK7GUAlEz0EMn_ZiTjM5z/view?usp=sharing" TargetMode="External"/><Relationship Id="rId1923" Type="http://schemas.openxmlformats.org/officeDocument/2006/relationships/hyperlink" Target="https://drive.google.com/file/d/1KnOmUAncKtY0MMDNQHzCfqq2H0b0RccK/view?usp=sharing" TargetMode="External"/><Relationship Id="rId1924" Type="http://schemas.openxmlformats.org/officeDocument/2006/relationships/hyperlink" Target="https://drive.google.com/file/d/1IOZTF09LCIvabglyaFLME6hTAZ7GjzID/view?usp=sharing" TargetMode="External"/><Relationship Id="rId1925" Type="http://schemas.openxmlformats.org/officeDocument/2006/relationships/hyperlink" Target="https://drive.google.com/file/d/1wBIDLJX5Yy_rheumZsHpn2GKnAEOztun/view?usp=sharing" TargetMode="External"/><Relationship Id="rId1926" Type="http://schemas.openxmlformats.org/officeDocument/2006/relationships/hyperlink" Target="https://drive.google.com/file/d/1O3g_rQ4S_e1-K68Vz9p-iwenwMBxat5k/view?usp=sharing" TargetMode="External"/><Relationship Id="rId1927" Type="http://schemas.openxmlformats.org/officeDocument/2006/relationships/hyperlink" Target="https://drive.google.com/file/d/13z_8KO8s4mnMBLiT48fXOVuG4z-CxUP6/view?usp=sharing" TargetMode="External"/><Relationship Id="rId1928" Type="http://schemas.openxmlformats.org/officeDocument/2006/relationships/hyperlink" Target="https://drive.google.com/file/d/1y3MRYwvB4flHykFJsnLmP9X76rjH59qL/view?usp=sharing" TargetMode="External"/><Relationship Id="rId1929" Type="http://schemas.openxmlformats.org/officeDocument/2006/relationships/hyperlink" Target="https://drive.google.com/file/d/1FLe4RAswoUpgnfujDLVjqfhmhzjQ-O-Q/view?usp=sharing" TargetMode="External"/><Relationship Id="rId1950" Type="http://schemas.openxmlformats.org/officeDocument/2006/relationships/hyperlink" Target="https://drive.google.com/file/d/15Z0r1oeMeiVsQLoLnnv1sw3FGcv9LwGh/view?usp=sharing" TargetMode="External"/><Relationship Id="rId1951" Type="http://schemas.openxmlformats.org/officeDocument/2006/relationships/hyperlink" Target="https://drive.google.com/file/d/1UML2voWDveg34fzZbWxoVKrnI-X_RfOY/view?usp=sharing" TargetMode="External"/><Relationship Id="rId1952" Type="http://schemas.openxmlformats.org/officeDocument/2006/relationships/hyperlink" Target="https://drive.google.com/file/d/173jlbTTq9VrD7QNm_EMtJk7uH5KhrU0h/view?usp=sharing" TargetMode="External"/><Relationship Id="rId1953" Type="http://schemas.openxmlformats.org/officeDocument/2006/relationships/hyperlink" Target="https://drive.google.com/file/d/1qwXlE65jERG4cyDjTgwqsjL3nKL4oBnI/view?usp=sharing" TargetMode="External"/><Relationship Id="rId1954" Type="http://schemas.openxmlformats.org/officeDocument/2006/relationships/hyperlink" Target="https://drive.google.com/file/d/1obiNLHaR4RWamHuk3iygKIjdCvSqqcLz/view?usp=sharing" TargetMode="External"/><Relationship Id="rId1955" Type="http://schemas.openxmlformats.org/officeDocument/2006/relationships/hyperlink" Target="https://drive.google.com/file/d/1zoxDNRYTSKLkPzea9HvkRpEQoVkvtX8d/view?usp=sharing" TargetMode="External"/><Relationship Id="rId1956" Type="http://schemas.openxmlformats.org/officeDocument/2006/relationships/hyperlink" Target="https://drive.google.com/file/d/1sQo7K7OaCqd9gX-_wNL00lXYQiUCkoD3/view?usp=sharing" TargetMode="External"/><Relationship Id="rId1957" Type="http://schemas.openxmlformats.org/officeDocument/2006/relationships/hyperlink" Target="https://drive.google.com/file/d/1lYmthzDJrvT0LEdU49sAaK13n3R4P0sC/view?usp=sharing" TargetMode="External"/><Relationship Id="rId1958" Type="http://schemas.openxmlformats.org/officeDocument/2006/relationships/hyperlink" Target="https://drive.google.com/file/d/1Z3xX1NRGXwFiKb3ufYWpAttmZfbpAu1W/view?usp=sharing" TargetMode="External"/><Relationship Id="rId1959" Type="http://schemas.openxmlformats.org/officeDocument/2006/relationships/hyperlink" Target="https://drive.google.com/file/d/1zd2DPbuFB_iDCj7DJbWoBLg3Q8unz-4l/view?usp=sharing" TargetMode="External"/><Relationship Id="rId1940" Type="http://schemas.openxmlformats.org/officeDocument/2006/relationships/hyperlink" Target="https://drive.google.com/file/d/1LNyqZQMWMRzIhSz0WFf6UJAblThm6Nbo/view?usp=sharing" TargetMode="External"/><Relationship Id="rId1941" Type="http://schemas.openxmlformats.org/officeDocument/2006/relationships/hyperlink" Target="https://drive.google.com/file/d/1BbE5duSp8Jb1dK88ZWR69DjyO29dOQzd/view?usp=sharing" TargetMode="External"/><Relationship Id="rId1942" Type="http://schemas.openxmlformats.org/officeDocument/2006/relationships/hyperlink" Target="https://drive.google.com/file/d/1D6-CtWx8vBmLd2oTDRQZp5CRxje9AORj/view?usp=sharing" TargetMode="External"/><Relationship Id="rId1943" Type="http://schemas.openxmlformats.org/officeDocument/2006/relationships/hyperlink" Target="https://drive.google.com/file/d/1qG8BApOPgeAE512fM7phsxbTmMKePnt1/view?usp=sharing" TargetMode="External"/><Relationship Id="rId1944" Type="http://schemas.openxmlformats.org/officeDocument/2006/relationships/hyperlink" Target="https://drive.google.com/file/d/1DHmNqxi4JijfZgSPhdD0PGxm8x1Gr-he/view?usp=sharing" TargetMode="External"/><Relationship Id="rId1945" Type="http://schemas.openxmlformats.org/officeDocument/2006/relationships/hyperlink" Target="https://drive.google.com/file/d/1Jr60VzAD8X9GjmvUKh7hPcFnX0_DLepE/view?usp=sharing" TargetMode="External"/><Relationship Id="rId1946" Type="http://schemas.openxmlformats.org/officeDocument/2006/relationships/hyperlink" Target="https://drive.google.com/file/d/16cCwbqeDbkcOtb3QqiMdadxoZsGEDkeH/view?usp=sharing" TargetMode="External"/><Relationship Id="rId1947" Type="http://schemas.openxmlformats.org/officeDocument/2006/relationships/hyperlink" Target="https://drive.google.com/file/d/17fRhLk3uP79Y2aQ6fa_mul-NgySSsYZt/view?usp=sharing" TargetMode="External"/><Relationship Id="rId1948" Type="http://schemas.openxmlformats.org/officeDocument/2006/relationships/hyperlink" Target="https://drive.google.com/file/d/1DB_YTjIGIlv8s5ubeT4J6MguyHJ3ei3s/view?usp=sharing" TargetMode="External"/><Relationship Id="rId1949" Type="http://schemas.openxmlformats.org/officeDocument/2006/relationships/hyperlink" Target="https://drive.google.com/file/d/1QLd6HDwacIxb4zc88lzCr3-htI_2pZpj/view?usp=sharing" TargetMode="External"/><Relationship Id="rId2423" Type="http://schemas.openxmlformats.org/officeDocument/2006/relationships/hyperlink" Target="https://drive.google.com/file/d/16OHeOcmfDn_RwEs_jn03JcNKlSk9JcoP/view?usp=sharing" TargetMode="External"/><Relationship Id="rId2424" Type="http://schemas.openxmlformats.org/officeDocument/2006/relationships/hyperlink" Target="https://drive.google.com/file/d/1-6LhyV551cTwR6TXzKisNk6jQDkch_Wr/view?usp=sharing" TargetMode="External"/><Relationship Id="rId2425" Type="http://schemas.openxmlformats.org/officeDocument/2006/relationships/hyperlink" Target="https://drive.google.com/file/d/1oHNI5jdWQs7EuS0gJmh0qUwn0xbvL5QB/view?usp=sharing" TargetMode="External"/><Relationship Id="rId2426" Type="http://schemas.openxmlformats.org/officeDocument/2006/relationships/hyperlink" Target="https://drive.google.com/file/d/1qVDXK_gGk44tbTBgsgCYEMW4MzFmOkzG/view?usp=sharing" TargetMode="External"/><Relationship Id="rId2427" Type="http://schemas.openxmlformats.org/officeDocument/2006/relationships/hyperlink" Target="https://drive.google.com/file/d/1s-kzUWPWJ9frKpA2Phi5VxrRCw-44Jwz/view?usp=sharing" TargetMode="External"/><Relationship Id="rId2428" Type="http://schemas.openxmlformats.org/officeDocument/2006/relationships/hyperlink" Target="https://drive.google.com/file/d/1cWjPWI6MtwDd_7ltQDd0m4SEMBu82hFG/view?usp=sharing" TargetMode="External"/><Relationship Id="rId2429" Type="http://schemas.openxmlformats.org/officeDocument/2006/relationships/hyperlink" Target="https://drive.google.com/file/d/1wiu0ksBwaaYZoBSmjrEvzGgGQANLz2On/view?usp=sharing" TargetMode="External"/><Relationship Id="rId509" Type="http://schemas.openxmlformats.org/officeDocument/2006/relationships/hyperlink" Target="https://drive.google.com/file/d/1UiwRVKGW3zkzRvk1FuP0NEBk2_30QzcZ/view?usp=sharing" TargetMode="External"/><Relationship Id="rId508" Type="http://schemas.openxmlformats.org/officeDocument/2006/relationships/hyperlink" Target="https://drive.google.com/file/d/1Y0Xy6dVR1gxRh3vyisjeMixzEocB83Ir/view?usp=sharing" TargetMode="External"/><Relationship Id="rId503" Type="http://schemas.openxmlformats.org/officeDocument/2006/relationships/hyperlink" Target="https://drive.google.com/file/d/1-8TqaJSPJ9HJjt39dif178m35RALHM1i/view?usp=sharing" TargetMode="External"/><Relationship Id="rId502" Type="http://schemas.openxmlformats.org/officeDocument/2006/relationships/hyperlink" Target="https://drive.google.com/file/d/19szPtRf5YX1XmEmYa2PmehNA-q2YZ3Vn/view?usp=sharing" TargetMode="External"/><Relationship Id="rId501" Type="http://schemas.openxmlformats.org/officeDocument/2006/relationships/hyperlink" Target="https://drive.google.com/file/d/1FQBs94TMHXV-UvNn_aoJ6Gt-yg_O-Ti-/view?usp=sharing" TargetMode="External"/><Relationship Id="rId500" Type="http://schemas.openxmlformats.org/officeDocument/2006/relationships/hyperlink" Target="https://drive.google.com/file/d/1NInvGUxfh4p9FjpX1G86wifuq39vVKp_/view?usp=sharing" TargetMode="External"/><Relationship Id="rId507" Type="http://schemas.openxmlformats.org/officeDocument/2006/relationships/hyperlink" Target="https://drive.google.com/file/d/1VXbbw-HtjWn0xHIio3gfSYpzx4WZ-BVw/view?usp=sharing" TargetMode="External"/><Relationship Id="rId506" Type="http://schemas.openxmlformats.org/officeDocument/2006/relationships/hyperlink" Target="https://drive.google.com/file/d/1NDNjLsYJlrxDxpo_H83sdYlUSRVeEfsp/view?usp=sharing" TargetMode="External"/><Relationship Id="rId505" Type="http://schemas.openxmlformats.org/officeDocument/2006/relationships/hyperlink" Target="https://drive.google.com/file/d/1QZQ611xj83DWczjpIkJ7tazPlDDofhKd/view?usp=sharing" TargetMode="External"/><Relationship Id="rId504" Type="http://schemas.openxmlformats.org/officeDocument/2006/relationships/hyperlink" Target="https://drive.google.com/file/d/1eadmLM6_x477tRF-HqbSeSLzqqltlrIB/view?usp=sharing" TargetMode="External"/><Relationship Id="rId2420" Type="http://schemas.openxmlformats.org/officeDocument/2006/relationships/hyperlink" Target="https://drive.google.com/file/d/1RE2BaPaaX-LClxN6t49iRbpmWYBwt2xe/view?usp=sharing" TargetMode="External"/><Relationship Id="rId2421" Type="http://schemas.openxmlformats.org/officeDocument/2006/relationships/hyperlink" Target="https://drive.google.com/file/d/1wgH5GpaEidSoLjZevUhETBhMfMn-gSwH/view?usp=sharing" TargetMode="External"/><Relationship Id="rId2422" Type="http://schemas.openxmlformats.org/officeDocument/2006/relationships/hyperlink" Target="https://drive.google.com/file/d/1supIn7sIXLLVY2y6f17plGOPHpwUgNWy/view?usp=sharing" TargetMode="External"/><Relationship Id="rId2412" Type="http://schemas.openxmlformats.org/officeDocument/2006/relationships/hyperlink" Target="https://drive.google.com/file/d/1C5H24_sHm3gHDLdIWpoBHXtk6nGmqY4x/view?usp=sharing" TargetMode="External"/><Relationship Id="rId2413" Type="http://schemas.openxmlformats.org/officeDocument/2006/relationships/hyperlink" Target="https://drive.google.com/file/d/1G0dmMYr7yjlnfR73lYQseFJJ0mclZtPq/view?usp=sharing" TargetMode="External"/><Relationship Id="rId2414" Type="http://schemas.openxmlformats.org/officeDocument/2006/relationships/hyperlink" Target="https://drive.google.com/file/d/1yoqAuDsebDk7gVPpGtn3NXDEKQ07CbuE/view?usp=sharing" TargetMode="External"/><Relationship Id="rId2415" Type="http://schemas.openxmlformats.org/officeDocument/2006/relationships/hyperlink" Target="https://drive.google.com/file/d/1_TbQiwUl2EwKDwC9iIZWP8l8ysdO5Kbn/view?usp=sharing" TargetMode="External"/><Relationship Id="rId2416" Type="http://schemas.openxmlformats.org/officeDocument/2006/relationships/hyperlink" Target="https://drive.google.com/file/d/16g8cbd7BF3B13uPFIR8ViuLqA-kn8_tM/view?usp=sharing" TargetMode="External"/><Relationship Id="rId2417" Type="http://schemas.openxmlformats.org/officeDocument/2006/relationships/hyperlink" Target="https://drive.google.com/file/d/1i0jeZFujvLXf3qkvKi2THgaA00QemApu/view?usp=sharing" TargetMode="External"/><Relationship Id="rId2418" Type="http://schemas.openxmlformats.org/officeDocument/2006/relationships/hyperlink" Target="https://drive.google.com/file/d/1IEIPAZHVX7A0S0YXrhJHrJFkhkMFGxOq/view?usp=sharing" TargetMode="External"/><Relationship Id="rId2419" Type="http://schemas.openxmlformats.org/officeDocument/2006/relationships/hyperlink" Target="https://drive.google.com/file/d/1jM94nheoorgijrd_aR5hzd9ibTLMDpNk/view?usp=sharing" TargetMode="External"/><Relationship Id="rId2410" Type="http://schemas.openxmlformats.org/officeDocument/2006/relationships/hyperlink" Target="https://drive.google.com/file/d/1G9bdWOnGFB_q4-xaENRDHPc5kAD81sog/view?usp=sharing" TargetMode="External"/><Relationship Id="rId2411" Type="http://schemas.openxmlformats.org/officeDocument/2006/relationships/hyperlink" Target="https://drive.google.com/file/d/16dvLCNhW4EJfdpGDSEE9a3I-QImecn_L/view?usp=sharing" TargetMode="External"/><Relationship Id="rId1114" Type="http://schemas.openxmlformats.org/officeDocument/2006/relationships/hyperlink" Target="https://drive.google.com/file/d/1Zl0zBhLqhz1NOFRPriRfhpYN1deFiQm_/view?usp=sharing" TargetMode="External"/><Relationship Id="rId2445" Type="http://schemas.openxmlformats.org/officeDocument/2006/relationships/hyperlink" Target="https://drive.google.com/file/d/12e9yuw6DuzWEmhNFlsGxvUjgb0YhGo-X/view?usp=sharing" TargetMode="External"/><Relationship Id="rId1115" Type="http://schemas.openxmlformats.org/officeDocument/2006/relationships/hyperlink" Target="https://drive.google.com/file/d/1zaIxte6GzE9gr07F1W6RCfSDVFbtzeP0/view?usp=sharing" TargetMode="External"/><Relationship Id="rId2446" Type="http://schemas.openxmlformats.org/officeDocument/2006/relationships/hyperlink" Target="https://drive.google.com/file/d/1URdtOU9wNPUKh4473hjTGq_ZhjAe8Zjy/view?usp=sharing" TargetMode="External"/><Relationship Id="rId1116" Type="http://schemas.openxmlformats.org/officeDocument/2006/relationships/hyperlink" Target="https://drive.google.com/file/d/1YCVMF5WzENv-4XQDFObpoOL4ZxjoU1RS/view?usp=sharing" TargetMode="External"/><Relationship Id="rId2447" Type="http://schemas.openxmlformats.org/officeDocument/2006/relationships/hyperlink" Target="https://drive.google.com/file/d/1ZWXOy5m32FFEGXbLtqX0nkjGtm81Ly8h/view?usp=sharing" TargetMode="External"/><Relationship Id="rId1117" Type="http://schemas.openxmlformats.org/officeDocument/2006/relationships/hyperlink" Target="https://drive.google.com/file/d/1_INbU_jl_mamTR4Zb2n_Vy2e7KXDVzrR/view?usp=sharing" TargetMode="External"/><Relationship Id="rId2448" Type="http://schemas.openxmlformats.org/officeDocument/2006/relationships/hyperlink" Target="https://drive.google.com/file/d/1vt276h7EmXUSGTBmwTF_TBWpC9R_vZrc/view?usp=sharing" TargetMode="External"/><Relationship Id="rId1118" Type="http://schemas.openxmlformats.org/officeDocument/2006/relationships/hyperlink" Target="https://drive.google.com/file/d/1LReg9GQqrSUW5bnRkrOhoaPDutmWk9s4/view?usp=sharing" TargetMode="External"/><Relationship Id="rId2449" Type="http://schemas.openxmlformats.org/officeDocument/2006/relationships/hyperlink" Target="https://drive.google.com/file/d/1wCJOTEfFUdxIdKpnYFAk6w6RBU3niN_d/view?usp=sharing" TargetMode="External"/><Relationship Id="rId1119" Type="http://schemas.openxmlformats.org/officeDocument/2006/relationships/hyperlink" Target="https://drive.google.com/file/d/1MbX8HsaKJT6Oq2CnxxYwC0dvGPNWb10e/view?usp=sharing" TargetMode="External"/><Relationship Id="rId525" Type="http://schemas.openxmlformats.org/officeDocument/2006/relationships/hyperlink" Target="https://drive.google.com/file/d/11ADkdPDffqhJ3udve3pkTSafOzC_Vcoh/view?usp=sharing" TargetMode="External"/><Relationship Id="rId524" Type="http://schemas.openxmlformats.org/officeDocument/2006/relationships/hyperlink" Target="https://drive.google.com/file/d/1FW8CHFfrx0d2vwhfhsN13GxYAp_6y7Yx/view?usp=sharing" TargetMode="External"/><Relationship Id="rId523" Type="http://schemas.openxmlformats.org/officeDocument/2006/relationships/hyperlink" Target="https://drive.google.com/file/d/1jCAkDSkk__gLsrCjBqjBBCzAedLCiGxV/view?usp=sharing" TargetMode="External"/><Relationship Id="rId522" Type="http://schemas.openxmlformats.org/officeDocument/2006/relationships/hyperlink" Target="https://drive.google.com/file/d/15VkJcoG_OG0q53ovJrO_cvp659TcbM1a/view?usp=sharing" TargetMode="External"/><Relationship Id="rId529" Type="http://schemas.openxmlformats.org/officeDocument/2006/relationships/hyperlink" Target="https://drive.google.com/file/d/1Bf0fcWK6MkGSor1wbFXP6k3zwV-fT5Gz/view?usp=sharing" TargetMode="External"/><Relationship Id="rId528" Type="http://schemas.openxmlformats.org/officeDocument/2006/relationships/hyperlink" Target="https://drive.google.com/file/d/1-RbtrobOFoq3DObfvLGZW-NsVynXUaMD/view?usp=sharing" TargetMode="External"/><Relationship Id="rId527" Type="http://schemas.openxmlformats.org/officeDocument/2006/relationships/hyperlink" Target="https://drive.google.com/file/d/1i1XGaji3nFDhqvhSVtRS-vfPBN2SIMFM/view?usp=sharing" TargetMode="External"/><Relationship Id="rId526" Type="http://schemas.openxmlformats.org/officeDocument/2006/relationships/hyperlink" Target="https://drive.google.com/file/d/1zJdqkdsOqOYlnITSC0PzvGYRASaaBus_/view?usp=sharing" TargetMode="External"/><Relationship Id="rId2440" Type="http://schemas.openxmlformats.org/officeDocument/2006/relationships/hyperlink" Target="https://drive.google.com/file/d/1X93VxVRhj5-DuNOF97xQrM8bdX-9yYaq/view?usp=sharing" TargetMode="External"/><Relationship Id="rId521" Type="http://schemas.openxmlformats.org/officeDocument/2006/relationships/hyperlink" Target="https://drive.google.com/file/d/1DJwbmNZCUmifVpPnQrfUn2T9voDg1GRe/view?usp=sharing" TargetMode="External"/><Relationship Id="rId1110" Type="http://schemas.openxmlformats.org/officeDocument/2006/relationships/hyperlink" Target="https://drive.google.com/file/d/1HGunuEh-mRndc-uRrQpu7xZgoXNtBD72/view?usp=sharing" TargetMode="External"/><Relationship Id="rId2441" Type="http://schemas.openxmlformats.org/officeDocument/2006/relationships/hyperlink" Target="https://drive.google.com/file/d/1o5WzLJgvYdmR_cseM43QYH4Cau7s4eQ2/view?usp=sharing" TargetMode="External"/><Relationship Id="rId520" Type="http://schemas.openxmlformats.org/officeDocument/2006/relationships/hyperlink" Target="https://drive.google.com/file/d/1YPQIscY-56Nqqqeob8WZYG4yun6U-qUG/view?usp=sharing" TargetMode="External"/><Relationship Id="rId1111" Type="http://schemas.openxmlformats.org/officeDocument/2006/relationships/hyperlink" Target="https://drive.google.com/file/d/1oKEQNfBg5VPRGp8KSKXdlzJwmuxq9BOJ/view?usp=sharing" TargetMode="External"/><Relationship Id="rId2442" Type="http://schemas.openxmlformats.org/officeDocument/2006/relationships/hyperlink" Target="https://drive.google.com/file/d/1GC0yT-CJYhH6ya9xrWAKMRSRLK2nVZj0/view?usp=sharing" TargetMode="External"/><Relationship Id="rId1112" Type="http://schemas.openxmlformats.org/officeDocument/2006/relationships/hyperlink" Target="https://drive.google.com/file/d/1fFbgrRvjuY1Dt2vumo5a03Gav0rbnqJI/view?usp=sharing" TargetMode="External"/><Relationship Id="rId2443" Type="http://schemas.openxmlformats.org/officeDocument/2006/relationships/hyperlink" Target="https://drive.google.com/file/d/1RxxG0T72xLKQSQtk_6u9Koz-0EnhMn5Y/view?usp=sharing" TargetMode="External"/><Relationship Id="rId1113" Type="http://schemas.openxmlformats.org/officeDocument/2006/relationships/hyperlink" Target="https://drive.google.com/file/d/1pcZ5hsMtK9_uwD0vVZAomKr4rboZijen/view?usp=sharing" TargetMode="External"/><Relationship Id="rId2444" Type="http://schemas.openxmlformats.org/officeDocument/2006/relationships/hyperlink" Target="https://drive.google.com/file/d/1eFdDpRVZmNuPb1K9-cfPL2n39myNjZKV/view?usp=sharing" TargetMode="External"/><Relationship Id="rId1103" Type="http://schemas.openxmlformats.org/officeDocument/2006/relationships/hyperlink" Target="https://drive.google.com/file/d/10-1av6BSdpke9KJ4Bh5PNK_9PXLLMtfk/view?usp=sharing" TargetMode="External"/><Relationship Id="rId2434" Type="http://schemas.openxmlformats.org/officeDocument/2006/relationships/hyperlink" Target="https://drive.google.com/file/d/1hFeAt48kPQ4yTr7HAJaMqArbgXyx_avL/view?usp=sharing" TargetMode="External"/><Relationship Id="rId1104" Type="http://schemas.openxmlformats.org/officeDocument/2006/relationships/hyperlink" Target="https://drive.google.com/file/d/13TTZPKMoZqZOwmPM1ysxcOi9TGZwYXnY/view?usp=sharing" TargetMode="External"/><Relationship Id="rId2435" Type="http://schemas.openxmlformats.org/officeDocument/2006/relationships/hyperlink" Target="https://drive.google.com/file/d/1DGLmnxz5QQ1xrIaSNWgK-5gunaE8w7w8/view?usp=sharing" TargetMode="External"/><Relationship Id="rId1105" Type="http://schemas.openxmlformats.org/officeDocument/2006/relationships/hyperlink" Target="https://drive.google.com/file/d/1v7wt7ckaacFomtWRKrtbvJIhNS1Q-BK7/view?usp=sharing" TargetMode="External"/><Relationship Id="rId2436" Type="http://schemas.openxmlformats.org/officeDocument/2006/relationships/hyperlink" Target="https://drive.google.com/file/d/1tDPjCcSYTOfOoc0SYBoNqYlYohib95_0/view?usp=sharing" TargetMode="External"/><Relationship Id="rId1106" Type="http://schemas.openxmlformats.org/officeDocument/2006/relationships/hyperlink" Target="https://drive.google.com/file/d/1BAGFcyYTg_W1wddmbAfz7dhFOG72XuoL/view?usp=sharing" TargetMode="External"/><Relationship Id="rId2437" Type="http://schemas.openxmlformats.org/officeDocument/2006/relationships/hyperlink" Target="https://drive.google.com/file/d/17SV0WZo9zTyv1kOF9rweMLufmUBC6oxN/view?usp=sharing" TargetMode="External"/><Relationship Id="rId1107" Type="http://schemas.openxmlformats.org/officeDocument/2006/relationships/hyperlink" Target="https://drive.google.com/file/d/1EMSvEaDNCsSZnqfisdbTFCvEmzAYfKX3/view?usp=sharing" TargetMode="External"/><Relationship Id="rId2438" Type="http://schemas.openxmlformats.org/officeDocument/2006/relationships/hyperlink" Target="https://drive.google.com/file/d/1QZat34xqLT5Ozo-ioAjnCL0M41-B7P8f/view?usp=sharing" TargetMode="External"/><Relationship Id="rId1108" Type="http://schemas.openxmlformats.org/officeDocument/2006/relationships/hyperlink" Target="https://drive.google.com/file/d/1hQR0HKI9OiVgTcZ2G4ZT9H6pm3Udq2jS/view?usp=sharing" TargetMode="External"/><Relationship Id="rId2439" Type="http://schemas.openxmlformats.org/officeDocument/2006/relationships/hyperlink" Target="https://drive.google.com/file/d/1diifXUChrOKqisPVqGU6RxoYMeUVsvF_/view?usp=sharing" TargetMode="External"/><Relationship Id="rId1109" Type="http://schemas.openxmlformats.org/officeDocument/2006/relationships/hyperlink" Target="https://drive.google.com/file/d/1xnAbYn9GljJ8ws8jXQqv2WNMPSDEsjX-/view?usp=sharing" TargetMode="External"/><Relationship Id="rId519" Type="http://schemas.openxmlformats.org/officeDocument/2006/relationships/hyperlink" Target="https://drive.google.com/file/d/1jYJ70L1GUz38cXVuigHaeUZB09NsnYvf/view?usp=sharing" TargetMode="External"/><Relationship Id="rId514" Type="http://schemas.openxmlformats.org/officeDocument/2006/relationships/hyperlink" Target="https://drive.google.com/file/d/1e8x4LlbKiz4wFgoaN32XZcUujoh0Ap4A/view?usp=sharing" TargetMode="External"/><Relationship Id="rId513" Type="http://schemas.openxmlformats.org/officeDocument/2006/relationships/hyperlink" Target="https://drive.google.com/file/d/1-Sz6YkuJ5vK9GqezggjROS4VBt2xK3TV/view?usp=sharing" TargetMode="External"/><Relationship Id="rId512" Type="http://schemas.openxmlformats.org/officeDocument/2006/relationships/hyperlink" Target="https://drive.google.com/file/d/1gr0-e88bdMOK7MU9Y2s13Q4Q1J5nzcwT/view?usp=sharing" TargetMode="External"/><Relationship Id="rId511" Type="http://schemas.openxmlformats.org/officeDocument/2006/relationships/hyperlink" Target="https://drive.google.com/file/d/1slzJBidiPLIsJEELswucUxhhbiqo84F_/view?usp=sharing" TargetMode="External"/><Relationship Id="rId518" Type="http://schemas.openxmlformats.org/officeDocument/2006/relationships/hyperlink" Target="https://drive.google.com/file/d/1OZaGopMaCjUlJz77Xg6BOzAOKVVoFQA0/view?usp=sharing" TargetMode="External"/><Relationship Id="rId517" Type="http://schemas.openxmlformats.org/officeDocument/2006/relationships/hyperlink" Target="https://drive.google.com/file/d/1AGmh8pTh-MXdCaaKI5WfYVTx2KVOFAMJ/view?usp=sharing" TargetMode="External"/><Relationship Id="rId516" Type="http://schemas.openxmlformats.org/officeDocument/2006/relationships/hyperlink" Target="https://drive.google.com/file/d/1WFXkFs-tYmfRdH92bRCXhBKnnSPW2gXc/view?usp=sharing" TargetMode="External"/><Relationship Id="rId515" Type="http://schemas.openxmlformats.org/officeDocument/2006/relationships/hyperlink" Target="https://drive.google.com/file/d/1rW-LbYOzfRdjWiXDcmT-yyfWCJ2VZyNw/view?usp=sharing" TargetMode="External"/><Relationship Id="rId510" Type="http://schemas.openxmlformats.org/officeDocument/2006/relationships/hyperlink" Target="https://drive.google.com/file/d/1O4x3jR1-H1GK8YFcTjqwubmVFqLc4wRu/view?usp=sharing" TargetMode="External"/><Relationship Id="rId2430" Type="http://schemas.openxmlformats.org/officeDocument/2006/relationships/hyperlink" Target="https://drive.google.com/file/d/1T-XMpJSr4OWDPiIn4MsGwuSwFv2OlDwB/view?usp=sharing" TargetMode="External"/><Relationship Id="rId1100" Type="http://schemas.openxmlformats.org/officeDocument/2006/relationships/hyperlink" Target="https://drive.google.com/file/d/1EFde8uilGNFzeXCqQfL8mgfe72dg9xZn/view?usp=sharing" TargetMode="External"/><Relationship Id="rId2431" Type="http://schemas.openxmlformats.org/officeDocument/2006/relationships/hyperlink" Target="https://drive.google.com/file/d/1A3kC7JC-SNrggtlHeBl61e29x2M7l4_9/view?usp=sharing" TargetMode="External"/><Relationship Id="rId1101" Type="http://schemas.openxmlformats.org/officeDocument/2006/relationships/hyperlink" Target="https://drive.google.com/file/d/160MjZEyvGd069Jd30PIVeb2J9Ue2ciJ7/view?usp=sharing" TargetMode="External"/><Relationship Id="rId2432" Type="http://schemas.openxmlformats.org/officeDocument/2006/relationships/hyperlink" Target="https://drive.google.com/file/d/1iqrU-DY0UuidHn07ToyrCGnkJyVbW78C/view?usp=sharing" TargetMode="External"/><Relationship Id="rId1102" Type="http://schemas.openxmlformats.org/officeDocument/2006/relationships/hyperlink" Target="https://drive.google.com/file/d/1xpycAFn3jzW-QJ9DROJU5YWBns5LgzzX/view?usp=sharing" TargetMode="External"/><Relationship Id="rId2433" Type="http://schemas.openxmlformats.org/officeDocument/2006/relationships/hyperlink" Target="https://drive.google.com/file/d/1J-2eLp5Yt_WknJyx5xS6_fYsRr-PNRsc/view?usp=sharing" TargetMode="External"/><Relationship Id="rId2401" Type="http://schemas.openxmlformats.org/officeDocument/2006/relationships/hyperlink" Target="https://drive.google.com/file/d/1LZIH0d2d2Qd8r47efyMWiNTXJPy8czes/view?usp=sharing" TargetMode="External"/><Relationship Id="rId2402" Type="http://schemas.openxmlformats.org/officeDocument/2006/relationships/hyperlink" Target="https://drive.google.com/file/d/1XIxQoPupQ-uf-K2HmMaAti7FU0m3wtak/view?usp=sharing" TargetMode="External"/><Relationship Id="rId2403" Type="http://schemas.openxmlformats.org/officeDocument/2006/relationships/hyperlink" Target="https://drive.google.com/file/d/1jK-rOdbvQmCVPQWZejsdGzjdPr5DdLps/view?usp=sharing" TargetMode="External"/><Relationship Id="rId2404" Type="http://schemas.openxmlformats.org/officeDocument/2006/relationships/hyperlink" Target="https://drive.google.com/file/d/1awhDGNuvyKdJu5EReBZBO6yy3TBAEucO/view?usp=sharing" TargetMode="External"/><Relationship Id="rId2405" Type="http://schemas.openxmlformats.org/officeDocument/2006/relationships/hyperlink" Target="https://drive.google.com/file/d/1vhpuoAOzQRz5W_QDPCcwldriL3HW4v6M/view?usp=sharing" TargetMode="External"/><Relationship Id="rId2406" Type="http://schemas.openxmlformats.org/officeDocument/2006/relationships/hyperlink" Target="https://drive.google.com/file/d/1vRIoN3TG5E3fwaaUrRjcuZYtJQ4aMXVZ/view?usp=sharing" TargetMode="External"/><Relationship Id="rId2407" Type="http://schemas.openxmlformats.org/officeDocument/2006/relationships/hyperlink" Target="https://drive.google.com/file/d/1d1KDgpklU_lQ3qJvOmldM676qGSoRyit/view?usp=sharing" TargetMode="External"/><Relationship Id="rId2408" Type="http://schemas.openxmlformats.org/officeDocument/2006/relationships/hyperlink" Target="https://drive.google.com/file/d/16T2kvTLsbYA0yb_pAkUefqpcYmQwXj_F/view?usp=sharing" TargetMode="External"/><Relationship Id="rId2409" Type="http://schemas.openxmlformats.org/officeDocument/2006/relationships/hyperlink" Target="https://drive.google.com/file/d/16dFxaCCACTKQEaETYqyGMkGpWnNfevLL/view?usp=sharing" TargetMode="External"/><Relationship Id="rId2400" Type="http://schemas.openxmlformats.org/officeDocument/2006/relationships/hyperlink" Target="https://drive.google.com/file/d/12xQAcb-cjkvbNOGKRL2Hkv8-Z4Us45OJ/view?usp=sharing" TargetMode="External"/><Relationship Id="rId590" Type="http://schemas.openxmlformats.org/officeDocument/2006/relationships/hyperlink" Target="https://drive.google.com/file/d/1paDe5XTWEN_yWUPrp00HOriu9QzXp580/view?usp=sharing" TargetMode="External"/><Relationship Id="rId589" Type="http://schemas.openxmlformats.org/officeDocument/2006/relationships/hyperlink" Target="https://drive.google.com/file/d/1oJbZGyOt2lR7QXyc_X7VFjyNcY0QnJVW/view?usp=sharing" TargetMode="External"/><Relationship Id="rId588" Type="http://schemas.openxmlformats.org/officeDocument/2006/relationships/hyperlink" Target="https://drive.google.com/file/d/10VNcsZZSR4njD6J_0XETlTc7LM-e7IPL/view?usp=sharing" TargetMode="External"/><Relationship Id="rId1170" Type="http://schemas.openxmlformats.org/officeDocument/2006/relationships/hyperlink" Target="https://drive.google.com/file/d/1tE2Va1BmbJ2iJyqGcpAh1IJpifgE4u_1/view?usp=sharing" TargetMode="External"/><Relationship Id="rId1171" Type="http://schemas.openxmlformats.org/officeDocument/2006/relationships/hyperlink" Target="https://drive.google.com/file/d/1UIy0igh4LG2DsOGqAOrGX1XnNX0t3d3y/view?usp=sharing" TargetMode="External"/><Relationship Id="rId583" Type="http://schemas.openxmlformats.org/officeDocument/2006/relationships/hyperlink" Target="https://drive.google.com/file/d/1i7DMoCmgZT_W3IBScrc3TbSuWL2qcDdJ/view?usp=sharing" TargetMode="External"/><Relationship Id="rId1172" Type="http://schemas.openxmlformats.org/officeDocument/2006/relationships/hyperlink" Target="https://drive.google.com/file/d/1u9n9Fn6xBXdqqEhTz7rTEifmyDGDtrIH/view?usp=sharing" TargetMode="External"/><Relationship Id="rId582" Type="http://schemas.openxmlformats.org/officeDocument/2006/relationships/hyperlink" Target="https://drive.google.com/file/d/1hAMXc3f8ZGsXFGgf_0M57YBDIRZ8zGzY/view?usp=sharing" TargetMode="External"/><Relationship Id="rId1173" Type="http://schemas.openxmlformats.org/officeDocument/2006/relationships/hyperlink" Target="https://drive.google.com/file/d/14Ra37VwYRFD0GUs3iVMlnmyHyAIOAl2t/view?usp=sharing" TargetMode="External"/><Relationship Id="rId581" Type="http://schemas.openxmlformats.org/officeDocument/2006/relationships/hyperlink" Target="https://drive.google.com/file/d/13Wjiugb3ssydu_aHhl0KauhDQ-9mclXU/view?usp=sharing" TargetMode="External"/><Relationship Id="rId1174" Type="http://schemas.openxmlformats.org/officeDocument/2006/relationships/hyperlink" Target="https://drive.google.com/file/d/1vGTcaoyW-bF-paMSK_MjCg7NW3U_e9Ye/view?usp=sharing" TargetMode="External"/><Relationship Id="rId580" Type="http://schemas.openxmlformats.org/officeDocument/2006/relationships/hyperlink" Target="https://drive.google.com/file/d/1zhXXdgqhv5GUhADF0zr01S3L3jb8FmeE/view?usp=sharing" TargetMode="External"/><Relationship Id="rId1175" Type="http://schemas.openxmlformats.org/officeDocument/2006/relationships/hyperlink" Target="https://drive.google.com/file/d/19RMxL78GjDU-NIZkbU3rtoueqK96AsUE/view?usp=sharing" TargetMode="External"/><Relationship Id="rId587" Type="http://schemas.openxmlformats.org/officeDocument/2006/relationships/hyperlink" Target="https://drive.google.com/file/d/1MiSMmSb38SV0fHCJUX4RDMO4yzCF8cXV/view?usp=sharing" TargetMode="External"/><Relationship Id="rId1176" Type="http://schemas.openxmlformats.org/officeDocument/2006/relationships/hyperlink" Target="https://drive.google.com/file/d/10Z197i1KSpnSv5craj80zhbutHH25m3b/view?usp=sharing" TargetMode="External"/><Relationship Id="rId586" Type="http://schemas.openxmlformats.org/officeDocument/2006/relationships/hyperlink" Target="https://drive.google.com/file/d/1P9rmCKesZM8-VX56mxXOaaTNsNVehC93/view?usp=sharing" TargetMode="External"/><Relationship Id="rId1177" Type="http://schemas.openxmlformats.org/officeDocument/2006/relationships/hyperlink" Target="https://drive.google.com/file/d/1lsWE5AGT6GTq_gHDpwHNd47KVuETmvg5/view?usp=sharing" TargetMode="External"/><Relationship Id="rId585" Type="http://schemas.openxmlformats.org/officeDocument/2006/relationships/hyperlink" Target="https://drive.google.com/file/d/1R5IbEzZvlozSbCfyfx_9KnPvdsf6ugSx/view?usp=sharing" TargetMode="External"/><Relationship Id="rId1178" Type="http://schemas.openxmlformats.org/officeDocument/2006/relationships/hyperlink" Target="https://drive.google.com/file/d/1rRO-uIxnezz4FwPCSSMwMrvL1nO92Le7/view?usp=sharing" TargetMode="External"/><Relationship Id="rId584" Type="http://schemas.openxmlformats.org/officeDocument/2006/relationships/hyperlink" Target="https://drive.google.com/file/d/16pwbfa58kB2v7-dabxLouCyCPmTx5Ffx/view?usp=sharing" TargetMode="External"/><Relationship Id="rId1179" Type="http://schemas.openxmlformats.org/officeDocument/2006/relationships/hyperlink" Target="https://drive.google.com/file/d/1oz9_3zi6VbDSdf_mNyMPYHCwtT69o6iz/view?usp=sharing" TargetMode="External"/><Relationship Id="rId1169" Type="http://schemas.openxmlformats.org/officeDocument/2006/relationships/hyperlink" Target="https://drive.google.com/file/d/17Qv-I0Rime0TX-ZmjIFNO5J1KVjmH8zh/view?usp=sharing" TargetMode="External"/><Relationship Id="rId579" Type="http://schemas.openxmlformats.org/officeDocument/2006/relationships/hyperlink" Target="https://drive.google.com/file/d/1WQCrqM036YeehnS5cRxVASZVCEi9jlzS/view?usp=sharing" TargetMode="External"/><Relationship Id="rId578" Type="http://schemas.openxmlformats.org/officeDocument/2006/relationships/hyperlink" Target="https://drive.google.com/file/d/1JcjG-2skKse3MtL4pF8pXqFMSEEoUWo-/view?usp=sharing" TargetMode="External"/><Relationship Id="rId577" Type="http://schemas.openxmlformats.org/officeDocument/2006/relationships/hyperlink" Target="https://drive.google.com/file/d/1PmEH8BAY8p3ws8Erm63SNggLxaeNWhPF/view?usp=sharing" TargetMode="External"/><Relationship Id="rId2490" Type="http://schemas.openxmlformats.org/officeDocument/2006/relationships/hyperlink" Target="https://drive.google.com/file/d/1SdjW2VJ_Jay8wx4MPGxDUZ4bKYKRoRQu/view?usp=sharing" TargetMode="External"/><Relationship Id="rId1160" Type="http://schemas.openxmlformats.org/officeDocument/2006/relationships/hyperlink" Target="https://drive.google.com/file/d/1TbmkmWU3MMzjcJxiT3C9bnx36Rex53oj/view?usp=sharing" TargetMode="External"/><Relationship Id="rId2491" Type="http://schemas.openxmlformats.org/officeDocument/2006/relationships/hyperlink" Target="https://drive.google.com/file/d/1KEbq1DtL4J3zXxn_-EoiCOQxnFo8eQlp/view?usp=sharing" TargetMode="External"/><Relationship Id="rId572" Type="http://schemas.openxmlformats.org/officeDocument/2006/relationships/hyperlink" Target="https://drive.google.com/file/d/1rJEdite8e0rklf7u0bxGxSx4esW1wjaS/view?usp=sharing" TargetMode="External"/><Relationship Id="rId1161" Type="http://schemas.openxmlformats.org/officeDocument/2006/relationships/hyperlink" Target="https://drive.google.com/file/d/1Dmaw_ntXjQT0RRxzNxIzABe7q13ciSts/view?usp=sharing" TargetMode="External"/><Relationship Id="rId2492" Type="http://schemas.openxmlformats.org/officeDocument/2006/relationships/hyperlink" Target="https://drive.google.com/file/d/1WVQ2_dvrYrBXdYH87R4WgVlmvFdXhpXi/view?usp=sharing" TargetMode="External"/><Relationship Id="rId571" Type="http://schemas.openxmlformats.org/officeDocument/2006/relationships/hyperlink" Target="https://drive.google.com/file/d/1i1cxGO549WcS79kOQMVcvM_4X8B8ISGE/view?usp=sharing" TargetMode="External"/><Relationship Id="rId1162" Type="http://schemas.openxmlformats.org/officeDocument/2006/relationships/hyperlink" Target="https://drive.google.com/file/d/1hbCZNgVC9G0Poi055YkaHwzy1IygopUI/view?usp=sharing" TargetMode="External"/><Relationship Id="rId2493" Type="http://schemas.openxmlformats.org/officeDocument/2006/relationships/hyperlink" Target="https://drive.google.com/file/d/1SHLMdBAtzILqwYBXo41Ut4BJzPhWJeJH/view?usp=sharing" TargetMode="External"/><Relationship Id="rId570" Type="http://schemas.openxmlformats.org/officeDocument/2006/relationships/hyperlink" Target="https://drive.google.com/file/d/1k_hxNtU7FEY9TMcSK9QHbPnt1503O6G3/view?usp=sharing" TargetMode="External"/><Relationship Id="rId1163" Type="http://schemas.openxmlformats.org/officeDocument/2006/relationships/hyperlink" Target="https://drive.google.com/file/d/1HLSgiPakslXOxFGyd01q7GSSYY4CjsmI/view?usp=sharing" TargetMode="External"/><Relationship Id="rId2494" Type="http://schemas.openxmlformats.org/officeDocument/2006/relationships/hyperlink" Target="https://drive.google.com/file/d/1FUoNvE07DJMWRvcZ8o2K7JDrh59wT-cX/view?usp=sharing" TargetMode="External"/><Relationship Id="rId1164" Type="http://schemas.openxmlformats.org/officeDocument/2006/relationships/hyperlink" Target="https://drive.google.com/file/d/1KxTpbZVw10Ypm9oDY_NDMm6y-S4qYMcb/view?usp=sharing" TargetMode="External"/><Relationship Id="rId2495" Type="http://schemas.openxmlformats.org/officeDocument/2006/relationships/hyperlink" Target="https://drive.google.com/file/d/1btRa42XUMpzuLbO7OgelcaK5hED2iQnL/view?usp=sharing" TargetMode="External"/><Relationship Id="rId576" Type="http://schemas.openxmlformats.org/officeDocument/2006/relationships/hyperlink" Target="https://drive.google.com/file/d/16SBpM3EQirltVCTsiUrLgpBHofS-REy3/view?usp=sharing" TargetMode="External"/><Relationship Id="rId1165" Type="http://schemas.openxmlformats.org/officeDocument/2006/relationships/hyperlink" Target="https://drive.google.com/file/d/17r9hpZmreOvmDg_W0FIbau9kcB5U38Ip/view?usp=sharing" TargetMode="External"/><Relationship Id="rId2496" Type="http://schemas.openxmlformats.org/officeDocument/2006/relationships/hyperlink" Target="https://drive.google.com/file/d/1a49-5rUVHvOwcadN2EN6uEvNxLHEJvuy/view?usp=sharing" TargetMode="External"/><Relationship Id="rId575" Type="http://schemas.openxmlformats.org/officeDocument/2006/relationships/hyperlink" Target="https://drive.google.com/file/d/1PF-iFLcZGsEyCsAPxL1OJuIgNIzgT_gN/view?usp=sharing" TargetMode="External"/><Relationship Id="rId1166" Type="http://schemas.openxmlformats.org/officeDocument/2006/relationships/hyperlink" Target="https://drive.google.com/file/d/1KNcwFuhBtalq2iSmtwmO0glQkxG-S4fC/view?usp=sharing" TargetMode="External"/><Relationship Id="rId2497" Type="http://schemas.openxmlformats.org/officeDocument/2006/relationships/hyperlink" Target="https://drive.google.com/file/d/15I0JXKCZdyuRoQ_-8PKUZAmn31Xafegk/view?usp=sharing" TargetMode="External"/><Relationship Id="rId574" Type="http://schemas.openxmlformats.org/officeDocument/2006/relationships/hyperlink" Target="https://drive.google.com/file/d/1Vjq69HaYKClhVDYE5SH8b3EyRHVVv2LW/view?usp=sharing" TargetMode="External"/><Relationship Id="rId1167" Type="http://schemas.openxmlformats.org/officeDocument/2006/relationships/hyperlink" Target="https://drive.google.com/file/d/1cItEAz8Q9MMvqbse0izmj7jk5vwfI9Z1/view?usp=sharing" TargetMode="External"/><Relationship Id="rId2498" Type="http://schemas.openxmlformats.org/officeDocument/2006/relationships/hyperlink" Target="https://drive.google.com/file/d/1i-qeoe72s4KAGKYtedSjHVo7s9RgdxUv/view?usp=sharing" TargetMode="External"/><Relationship Id="rId573" Type="http://schemas.openxmlformats.org/officeDocument/2006/relationships/hyperlink" Target="https://drive.google.com/file/d/1Kh_Fsb_-4sKzqkYH9mxPa-piyv1SDkM6/view?usp=sharing" TargetMode="External"/><Relationship Id="rId1168" Type="http://schemas.openxmlformats.org/officeDocument/2006/relationships/hyperlink" Target="https://drive.google.com/file/d/1hBBt5Ho_9-0DoWGIC5SQlOk2JA-6yYjl/view?usp=sharing" TargetMode="External"/><Relationship Id="rId2499" Type="http://schemas.openxmlformats.org/officeDocument/2006/relationships/hyperlink" Target="https://drive.google.com/file/d/1EFAjTROnqAfYtg3PUSbhckLJd-ix9k_t/view?usp=sharing" TargetMode="External"/><Relationship Id="rId1190" Type="http://schemas.openxmlformats.org/officeDocument/2006/relationships/hyperlink" Target="https://drive.google.com/file/d/1gpoYH4kyc-HSOHA-My9BsHWjVg6MSDxK/view?usp=sharing" TargetMode="External"/><Relationship Id="rId1191" Type="http://schemas.openxmlformats.org/officeDocument/2006/relationships/hyperlink" Target="https://drive.google.com/file/d/1NTqhmg0zwwIv-OH13t5E9Am9cSrv81Q-/view?usp=sharing" TargetMode="External"/><Relationship Id="rId1192" Type="http://schemas.openxmlformats.org/officeDocument/2006/relationships/hyperlink" Target="https://drive.google.com/file/d/1rwqzk1DuP1hC3V46vI0q3CdtJUbrJ292/view?usp=sharing" TargetMode="External"/><Relationship Id="rId1193" Type="http://schemas.openxmlformats.org/officeDocument/2006/relationships/hyperlink" Target="https://drive.google.com/file/d/1AohvVeEQrY4C_8JQGYHPinKPcs-3-rMK/view?usp=sharing" TargetMode="External"/><Relationship Id="rId1194" Type="http://schemas.openxmlformats.org/officeDocument/2006/relationships/hyperlink" Target="https://drive.google.com/file/d/1xNkLfco3JjceVACmir4lUAtyuPW6iSk8/view?usp=sharing" TargetMode="External"/><Relationship Id="rId1195" Type="http://schemas.openxmlformats.org/officeDocument/2006/relationships/hyperlink" Target="https://drive.google.com/file/d/1lmCmitpk8fibqTMzs1bG-KoRq-YtPpku/view?usp=sharing" TargetMode="External"/><Relationship Id="rId1196" Type="http://schemas.openxmlformats.org/officeDocument/2006/relationships/hyperlink" Target="https://drive.google.com/file/d/1kLIlN4t9qP4IRvBATzeoZHt0PZMvWQoA/view?usp=sharing" TargetMode="External"/><Relationship Id="rId1197" Type="http://schemas.openxmlformats.org/officeDocument/2006/relationships/hyperlink" Target="https://drive.google.com/file/d/1Z8W4RIBVYiPBnfzfIFEFFumk6wBqn-TM/view?usp=sharing" TargetMode="External"/><Relationship Id="rId1198" Type="http://schemas.openxmlformats.org/officeDocument/2006/relationships/hyperlink" Target="https://drive.google.com/file/d/1dcG7tbgc1G_7cUKIt_0Ayuttp9gtRupM/view?usp=sharing" TargetMode="External"/><Relationship Id="rId1199" Type="http://schemas.openxmlformats.org/officeDocument/2006/relationships/hyperlink" Target="https://drive.google.com/file/d/1g2ZiUPpimT7RJLahV6yPltHyqWOUELVJ/view?usp=sharing" TargetMode="External"/><Relationship Id="rId599" Type="http://schemas.openxmlformats.org/officeDocument/2006/relationships/hyperlink" Target="https://drive.google.com/file/d/12O7pWB_VVESj80rAI5yH13maU089gxoj/view?usp=sharing" TargetMode="External"/><Relationship Id="rId1180" Type="http://schemas.openxmlformats.org/officeDocument/2006/relationships/hyperlink" Target="https://drive.google.com/file/d/16s74KgEb-oKSzGv0gb6vr9eq2-MHuZXD/view?usp=sharing" TargetMode="External"/><Relationship Id="rId1181" Type="http://schemas.openxmlformats.org/officeDocument/2006/relationships/hyperlink" Target="https://drive.google.com/file/d/1Uoyt98_wZ9rm1xWg9mlqv1glzNdr2hUa/view?usp=sharing" TargetMode="External"/><Relationship Id="rId1182" Type="http://schemas.openxmlformats.org/officeDocument/2006/relationships/hyperlink" Target="https://drive.google.com/file/d/1zoOlcn-FrCBEM1i6-J0l-5vzgBG51TGg/view?usp=sharing" TargetMode="External"/><Relationship Id="rId594" Type="http://schemas.openxmlformats.org/officeDocument/2006/relationships/hyperlink" Target="https://drive.google.com/file/d/1TWSRpERjDqHPXywCnEA51Ozn_qOPwKuf/view?usp=sharing" TargetMode="External"/><Relationship Id="rId1183" Type="http://schemas.openxmlformats.org/officeDocument/2006/relationships/hyperlink" Target="https://drive.google.com/file/d/1uHKhGf_T_YW99c6plTr610HUYeLkoSXv/view?usp=sharing" TargetMode="External"/><Relationship Id="rId593" Type="http://schemas.openxmlformats.org/officeDocument/2006/relationships/hyperlink" Target="https://drive.google.com/file/d/1rp2F1v-auWQpjFGSkJEz_tSIuJMhAA5y/view?usp=sharing" TargetMode="External"/><Relationship Id="rId1184" Type="http://schemas.openxmlformats.org/officeDocument/2006/relationships/hyperlink" Target="https://drive.google.com/file/d/1-fmbpWIkxi3P-YK18lhZjlIHGvbd_Lnh/view?usp=sharing" TargetMode="External"/><Relationship Id="rId592" Type="http://schemas.openxmlformats.org/officeDocument/2006/relationships/hyperlink" Target="https://drive.google.com/file/d/1wwJwaMVVcgkhl-YAHn9FXfDUViSFCyxZ/view?usp=sharing" TargetMode="External"/><Relationship Id="rId1185" Type="http://schemas.openxmlformats.org/officeDocument/2006/relationships/hyperlink" Target="https://drive.google.com/file/d/1WugrLU05HGDO0Y0MWSYEWkuq1cWqdsVG/view?usp=sharing" TargetMode="External"/><Relationship Id="rId591" Type="http://schemas.openxmlformats.org/officeDocument/2006/relationships/hyperlink" Target="https://drive.google.com/file/d/1GnexH3FM4e8QnUiPirYcY7kh10GycY8d/view?usp=sharing" TargetMode="External"/><Relationship Id="rId1186" Type="http://schemas.openxmlformats.org/officeDocument/2006/relationships/hyperlink" Target="https://drive.google.com/file/d/168XnqV5lN_qJXT2lJ8aIaCFmiSt1hM09/view?usp=sharing" TargetMode="External"/><Relationship Id="rId598" Type="http://schemas.openxmlformats.org/officeDocument/2006/relationships/hyperlink" Target="https://drive.google.com/file/d/17z_eV9sh89tsfpRlkq4W3GpJDB9XJbZC/view?usp=sharing" TargetMode="External"/><Relationship Id="rId1187" Type="http://schemas.openxmlformats.org/officeDocument/2006/relationships/hyperlink" Target="https://drive.google.com/file/d/17EECExOQe993OkjtcTCcCY_uTUvxp4pW/view?usp=sharing" TargetMode="External"/><Relationship Id="rId597" Type="http://schemas.openxmlformats.org/officeDocument/2006/relationships/hyperlink" Target="https://drive.google.com/file/d/1D1EYcK6ipk8h6JOPufS25zF4YThmEWym/view?usp=sharing" TargetMode="External"/><Relationship Id="rId1188" Type="http://schemas.openxmlformats.org/officeDocument/2006/relationships/hyperlink" Target="https://drive.google.com/file/d/1zqIKbQEuDo6B8hGtiyyiIu5dlG8HRsKU/view?usp=sharing" TargetMode="External"/><Relationship Id="rId596" Type="http://schemas.openxmlformats.org/officeDocument/2006/relationships/hyperlink" Target="https://drive.google.com/file/d/14O0F3_L1Wfr8Sk2--HrlmrxOpTTKnnpz/view?usp=sharing" TargetMode="External"/><Relationship Id="rId1189" Type="http://schemas.openxmlformats.org/officeDocument/2006/relationships/hyperlink" Target="https://drive.google.com/file/d/13f1l7Mifo9KYf7TjNRIq96AHjrIl4zx8/view?usp=sharing" TargetMode="External"/><Relationship Id="rId595" Type="http://schemas.openxmlformats.org/officeDocument/2006/relationships/hyperlink" Target="https://drive.google.com/file/d/1c_SFiY8GMvilWaZtXxZXdVokpWuGruoB/view?usp=sharing" TargetMode="External"/><Relationship Id="rId1136" Type="http://schemas.openxmlformats.org/officeDocument/2006/relationships/hyperlink" Target="https://drive.google.com/file/d/1sbFw4RwUuvnKseXrmwReAHIyseWnCUTl/view?usp=sharing" TargetMode="External"/><Relationship Id="rId2467" Type="http://schemas.openxmlformats.org/officeDocument/2006/relationships/hyperlink" Target="https://drive.google.com/file/d/1dTH10Vy-rm08SgI0EZE-nblyb0pCMsRm/view?usp=sharing" TargetMode="External"/><Relationship Id="rId1137" Type="http://schemas.openxmlformats.org/officeDocument/2006/relationships/hyperlink" Target="https://drive.google.com/file/d/1jcC2Qst9vkyBC2wbE75v_2b_UZBvBknh/view?usp=sharing" TargetMode="External"/><Relationship Id="rId2468" Type="http://schemas.openxmlformats.org/officeDocument/2006/relationships/hyperlink" Target="https://drive.google.com/file/d/12SSu-n9A_NFWvhJfzr8qJDlCY8CrLSdI/view?usp=sharing" TargetMode="External"/><Relationship Id="rId1138" Type="http://schemas.openxmlformats.org/officeDocument/2006/relationships/hyperlink" Target="https://drive.google.com/file/d/1PYzHDPf0hzMEz0nH7pUuyh8bgxPe9YgT/view?usp=sharing" TargetMode="External"/><Relationship Id="rId2469" Type="http://schemas.openxmlformats.org/officeDocument/2006/relationships/hyperlink" Target="https://drive.google.com/file/d/1NQAAoeTQvUeutLERZtQaRwuFSvZQtH9q/view?usp=sharing" TargetMode="External"/><Relationship Id="rId1139" Type="http://schemas.openxmlformats.org/officeDocument/2006/relationships/hyperlink" Target="https://drive.google.com/file/d/1Sp54r5nvYiQ_LNZB-MNq9l0UAP323CwC/view?usp=sharing" TargetMode="External"/><Relationship Id="rId547" Type="http://schemas.openxmlformats.org/officeDocument/2006/relationships/hyperlink" Target="https://drive.google.com/file/d/1UWPtVDH8Z2mflrA7drMMjKMWvkcVZhFl/view?usp=sharing" TargetMode="External"/><Relationship Id="rId546" Type="http://schemas.openxmlformats.org/officeDocument/2006/relationships/hyperlink" Target="https://drive.google.com/file/d/15KbcTT89-ctvgQAuQmGxl6nhAbvfYeV0/view?usp=sharing" TargetMode="External"/><Relationship Id="rId545" Type="http://schemas.openxmlformats.org/officeDocument/2006/relationships/hyperlink" Target="https://drive.google.com/file/d/1Grwe8tj87CCE2Kn8S3uwvXiJuzEUozJt/view?usp=sharing" TargetMode="External"/><Relationship Id="rId544" Type="http://schemas.openxmlformats.org/officeDocument/2006/relationships/hyperlink" Target="https://drive.google.com/file/d/12jlHVqoamG3RUfHsQ9KF_yXK8vgH6f0t/view?usp=sharing" TargetMode="External"/><Relationship Id="rId549" Type="http://schemas.openxmlformats.org/officeDocument/2006/relationships/hyperlink" Target="https://drive.google.com/file/d/135-aE9BpgAcJ6xCrjCFtAKfDi_LmclnP/view?usp=sharing" TargetMode="External"/><Relationship Id="rId548" Type="http://schemas.openxmlformats.org/officeDocument/2006/relationships/hyperlink" Target="https://drive.google.com/file/d/14DtI1VsCLf3cpxGvBz1n03gxPurbRplJ/view?usp=sharing" TargetMode="External"/><Relationship Id="rId2460" Type="http://schemas.openxmlformats.org/officeDocument/2006/relationships/hyperlink" Target="https://drive.google.com/file/d/1sPMadgVyNebY7qRXxQ6LTU-G2B__uaeb/view?usp=sharing" TargetMode="External"/><Relationship Id="rId1130" Type="http://schemas.openxmlformats.org/officeDocument/2006/relationships/hyperlink" Target="https://drive.google.com/file/d/1p0GRITe6VdUWzB6DDxVwbig1NAblP07H/view?usp=sharing" TargetMode="External"/><Relationship Id="rId2461" Type="http://schemas.openxmlformats.org/officeDocument/2006/relationships/hyperlink" Target="https://drive.google.com/file/d/1szNEmsbncTx2QoPiglhwaQSY0hbPsOx5/view?usp=sharing" TargetMode="External"/><Relationship Id="rId1131" Type="http://schemas.openxmlformats.org/officeDocument/2006/relationships/hyperlink" Target="https://drive.google.com/file/d/1nprCZASJmaWCcqf4ceGp2GIP2ZPyolBo/view?usp=sharing" TargetMode="External"/><Relationship Id="rId2462" Type="http://schemas.openxmlformats.org/officeDocument/2006/relationships/hyperlink" Target="https://drive.google.com/file/d/1uBn95P-uSKCkEP4_UK9Y23b2KPnOpx2l/view?usp=sharing" TargetMode="External"/><Relationship Id="rId543" Type="http://schemas.openxmlformats.org/officeDocument/2006/relationships/hyperlink" Target="https://drive.google.com/file/d/1XTigC-PQgblec3U0-DlQe8FuXepSPrrS/view?usp=sharing" TargetMode="External"/><Relationship Id="rId1132" Type="http://schemas.openxmlformats.org/officeDocument/2006/relationships/hyperlink" Target="https://drive.google.com/file/d/1TPBJJ5e3m66TPSuEhhiTYhPIoYkODdxu/view?usp=sharing" TargetMode="External"/><Relationship Id="rId2463" Type="http://schemas.openxmlformats.org/officeDocument/2006/relationships/hyperlink" Target="https://drive.google.com/file/d/12g330HSPUnmBB82z4bOa6sTvzvicCj64/view?usp=sharing" TargetMode="External"/><Relationship Id="rId542" Type="http://schemas.openxmlformats.org/officeDocument/2006/relationships/hyperlink" Target="https://drive.google.com/file/d/1KDy_t-y7X_7oYo0ahzbVgTtbx2FPMEIE/view?usp=sharing" TargetMode="External"/><Relationship Id="rId1133" Type="http://schemas.openxmlformats.org/officeDocument/2006/relationships/hyperlink" Target="https://drive.google.com/file/d/1SkMXFjYHm0HWvjIkeiX7RYYDDxzw8_62/view?usp=sharing" TargetMode="External"/><Relationship Id="rId2464" Type="http://schemas.openxmlformats.org/officeDocument/2006/relationships/hyperlink" Target="https://drive.google.com/file/d/1mjWEg3hXcJY2NAk7bbf4PcNcxcoI2tSi/view?usp=sharing" TargetMode="External"/><Relationship Id="rId541" Type="http://schemas.openxmlformats.org/officeDocument/2006/relationships/hyperlink" Target="https://drive.google.com/file/d/1IwQaRwswjfd8Uvrl41ZTHhN0AJiTSaQe/view?usp=sharing" TargetMode="External"/><Relationship Id="rId1134" Type="http://schemas.openxmlformats.org/officeDocument/2006/relationships/hyperlink" Target="https://drive.google.com/file/d/1jay1miTkB7P_V124ELdexwO646R09gne/view?usp=sharing" TargetMode="External"/><Relationship Id="rId2465" Type="http://schemas.openxmlformats.org/officeDocument/2006/relationships/hyperlink" Target="https://drive.google.com/file/d/1Ko34XG9_Tdy1SjkIMZ_Fs2OeVzokgO27/view?usp=sharing" TargetMode="External"/><Relationship Id="rId540" Type="http://schemas.openxmlformats.org/officeDocument/2006/relationships/hyperlink" Target="https://drive.google.com/file/d/1LAQjZ8HVMqnHPL3jGIXxEjQvBqHG2Mjp/view?usp=sharing" TargetMode="External"/><Relationship Id="rId1135" Type="http://schemas.openxmlformats.org/officeDocument/2006/relationships/hyperlink" Target="https://drive.google.com/file/d/1xtPFZ0F5hRZGCnnDmO_4-Gop3HKKLdou/view?usp=sharing" TargetMode="External"/><Relationship Id="rId2466" Type="http://schemas.openxmlformats.org/officeDocument/2006/relationships/hyperlink" Target="https://drive.google.com/file/d/1tBUYsW2TZhYS6weS4WVnSwsAro_8Ni9a/view?usp=sharing" TargetMode="External"/><Relationship Id="rId1125" Type="http://schemas.openxmlformats.org/officeDocument/2006/relationships/hyperlink" Target="https://drive.google.com/file/d/1FDsL-oaDFEy0C7xYVEj5pQq8-3YLBi0U/view?usp=sharing" TargetMode="External"/><Relationship Id="rId2456" Type="http://schemas.openxmlformats.org/officeDocument/2006/relationships/hyperlink" Target="https://drive.google.com/file/d/1H44TvFapwQAzFtgwBUVZr_--ivIsjUWS/view?usp=sharing" TargetMode="External"/><Relationship Id="rId1126" Type="http://schemas.openxmlformats.org/officeDocument/2006/relationships/hyperlink" Target="https://drive.google.com/file/d/1ffaVWeuvAzkZ2KANWnbKAz6jUmG3h_jT/view?usp=sharing" TargetMode="External"/><Relationship Id="rId2457" Type="http://schemas.openxmlformats.org/officeDocument/2006/relationships/hyperlink" Target="https://drive.google.com/file/d/1WxWhSa9RtrToPCZ5C1DMUc9X0CwsgZ71/view?usp=sharing" TargetMode="External"/><Relationship Id="rId1127" Type="http://schemas.openxmlformats.org/officeDocument/2006/relationships/hyperlink" Target="https://drive.google.com/file/d/1djSu6mP9CkptVbgGZRZbQmhkKsX5R6F4/view?usp=sharing" TargetMode="External"/><Relationship Id="rId2458" Type="http://schemas.openxmlformats.org/officeDocument/2006/relationships/hyperlink" Target="https://drive.google.com/file/d/1-3TxjH9wzqX_QWZtnVtUv9HStIMAFNC2/view?usp=sharing" TargetMode="External"/><Relationship Id="rId1128" Type="http://schemas.openxmlformats.org/officeDocument/2006/relationships/hyperlink" Target="https://drive.google.com/file/d/1gKCLg3AvuQ4hZqIuIWsfAO5rQHSm23no/view?usp=sharing" TargetMode="External"/><Relationship Id="rId2459" Type="http://schemas.openxmlformats.org/officeDocument/2006/relationships/hyperlink" Target="https://drive.google.com/file/d/13piLPT-Q5MI39coLJIehLN0gxXpMuIAy/view?usp=sharing" TargetMode="External"/><Relationship Id="rId1129" Type="http://schemas.openxmlformats.org/officeDocument/2006/relationships/hyperlink" Target="https://drive.google.com/file/d/129bwzIIJFux7kKU1w8ScW8tpwqSBB6aV/view?usp=sharing" TargetMode="External"/><Relationship Id="rId536" Type="http://schemas.openxmlformats.org/officeDocument/2006/relationships/hyperlink" Target="https://drive.google.com/file/d/1ipsqT11p5pIb_bzd5bfHXH2NPGRORg9s/view?usp=sharing" TargetMode="External"/><Relationship Id="rId535" Type="http://schemas.openxmlformats.org/officeDocument/2006/relationships/hyperlink" Target="https://drive.google.com/file/d/1Sjt4A-l8jgGL11Yz-cwZ8O6kN1DKP5rB/view?usp=sharing" TargetMode="External"/><Relationship Id="rId534" Type="http://schemas.openxmlformats.org/officeDocument/2006/relationships/hyperlink" Target="https://drive.google.com/file/d/1rX_qpsGsmEzSwmaQSvuTYqq5Vf5DQe76/view?usp=sharing" TargetMode="External"/><Relationship Id="rId533" Type="http://schemas.openxmlformats.org/officeDocument/2006/relationships/hyperlink" Target="https://drive.google.com/file/d/1_PDXo0J3onw4zVWQYH52IcKBJfAaDXWt/view?usp=sharing" TargetMode="External"/><Relationship Id="rId539" Type="http://schemas.openxmlformats.org/officeDocument/2006/relationships/hyperlink" Target="https://drive.google.com/file/d/1vdToz9Mo4FNoLgwu1rxRrdAmMIyOHfZX/view?usp=sharing" TargetMode="External"/><Relationship Id="rId538" Type="http://schemas.openxmlformats.org/officeDocument/2006/relationships/hyperlink" Target="https://drive.google.com/file/d/1S0_tu-Yb9eJhdrdXO6M57JdDTZoC7mgb/view?usp=sharing" TargetMode="External"/><Relationship Id="rId537" Type="http://schemas.openxmlformats.org/officeDocument/2006/relationships/hyperlink" Target="https://drive.google.com/file/d/1dADkZWPgxVznTvilHtQWBJYKxBo1H-yb/view?usp=sharing" TargetMode="External"/><Relationship Id="rId2450" Type="http://schemas.openxmlformats.org/officeDocument/2006/relationships/hyperlink" Target="https://drive.google.com/file/d/1ad2X1db_D7h1qIjCA35HnJ3XB9rZBpca/view?usp=sharing" TargetMode="External"/><Relationship Id="rId1120" Type="http://schemas.openxmlformats.org/officeDocument/2006/relationships/hyperlink" Target="https://drive.google.com/file/d/1c5sYoRjIhTVK7OxGKzY8bvXTinlDlmVv/view?usp=sharing" TargetMode="External"/><Relationship Id="rId2451" Type="http://schemas.openxmlformats.org/officeDocument/2006/relationships/hyperlink" Target="https://drive.google.com/file/d/1znkzWJKTG6fHbpaknmwu4eYTqTdVOrOr/view?usp=sharing" TargetMode="External"/><Relationship Id="rId532" Type="http://schemas.openxmlformats.org/officeDocument/2006/relationships/hyperlink" Target="https://drive.google.com/file/d/1n2kWvtAgrVYF4W3-neWEomh540A32_Dw/view?usp=sharing" TargetMode="External"/><Relationship Id="rId1121" Type="http://schemas.openxmlformats.org/officeDocument/2006/relationships/hyperlink" Target="https://drive.google.com/file/d/1La74LZsbvmsez5T_Uuw193zp58gRTz4R/view?usp=sharing" TargetMode="External"/><Relationship Id="rId2452" Type="http://schemas.openxmlformats.org/officeDocument/2006/relationships/hyperlink" Target="https://drive.google.com/file/d/1oYU6sxP9WYFua-tKqKzuVTHSqOsLC54j/view?usp=sharing" TargetMode="External"/><Relationship Id="rId531" Type="http://schemas.openxmlformats.org/officeDocument/2006/relationships/hyperlink" Target="https://drive.google.com/file/d/1eBtSEn3f7Cc1EAygEyYXAPA9IbhP1hkU/view?usp=sharing" TargetMode="External"/><Relationship Id="rId1122" Type="http://schemas.openxmlformats.org/officeDocument/2006/relationships/hyperlink" Target="https://drive.google.com/file/d/17RbwRDrZuv4QMyez7rOiITuTZ7jHXIEZ/view?usp=sharing" TargetMode="External"/><Relationship Id="rId2453" Type="http://schemas.openxmlformats.org/officeDocument/2006/relationships/hyperlink" Target="https://drive.google.com/file/d/1j1tJrCJ3Gnox6wa8HpB2mkG-rpr2VU7i/view?usp=sharing" TargetMode="External"/><Relationship Id="rId530" Type="http://schemas.openxmlformats.org/officeDocument/2006/relationships/hyperlink" Target="https://drive.google.com/file/d/1eycu9ZpJahh2unwA0Aw1HKJ4H6QNA0UW/view?usp=sharing" TargetMode="External"/><Relationship Id="rId1123" Type="http://schemas.openxmlformats.org/officeDocument/2006/relationships/hyperlink" Target="https://drive.google.com/file/d/1xY-u6cF6b75kjBzouhvODv9zrETcCj0y/view?usp=sharing" TargetMode="External"/><Relationship Id="rId2454" Type="http://schemas.openxmlformats.org/officeDocument/2006/relationships/hyperlink" Target="https://drive.google.com/file/d/1KSgbv46iA9h1Bqxs5hc9xJdDCZFwEFFP/view?usp=sharing" TargetMode="External"/><Relationship Id="rId1124" Type="http://schemas.openxmlformats.org/officeDocument/2006/relationships/hyperlink" Target="https://drive.google.com/file/d/1jE9EbvKp-xraRZsDL5HpXN3mJbBB5ZN3/view?usp=sharing" TargetMode="External"/><Relationship Id="rId2455" Type="http://schemas.openxmlformats.org/officeDocument/2006/relationships/hyperlink" Target="https://drive.google.com/file/d/1MDuG7Q-nOj3B3F58fF04Ph68WP54m0CB/view?usp=sharing" TargetMode="External"/><Relationship Id="rId1158" Type="http://schemas.openxmlformats.org/officeDocument/2006/relationships/hyperlink" Target="https://drive.google.com/file/d/1CKKQ2XM569q-ZgfWmhBNlrvQCTQLnHBE/view?usp=sharing" TargetMode="External"/><Relationship Id="rId2489" Type="http://schemas.openxmlformats.org/officeDocument/2006/relationships/hyperlink" Target="https://drive.google.com/file/d/1k7ConcxkrFHe8SAPM4WdlJCtMY-PhGNs/view?usp=sharing" TargetMode="External"/><Relationship Id="rId1159" Type="http://schemas.openxmlformats.org/officeDocument/2006/relationships/hyperlink" Target="https://drive.google.com/file/d/1nwCSlrDeoJMOH3OMV9wuK7yGfRXrGojm/view?usp=sharing" TargetMode="External"/><Relationship Id="rId569" Type="http://schemas.openxmlformats.org/officeDocument/2006/relationships/hyperlink" Target="https://drive.google.com/file/d/1JaP2G4ais-BPffndYArJcVFH3YvGO97x/view?usp=sharing" TargetMode="External"/><Relationship Id="rId568" Type="http://schemas.openxmlformats.org/officeDocument/2006/relationships/hyperlink" Target="https://drive.google.com/file/d/1yBiuqDqUKHjSXPU9grh9rW5R7jDrvCgv/view?usp=sharing" TargetMode="External"/><Relationship Id="rId567" Type="http://schemas.openxmlformats.org/officeDocument/2006/relationships/hyperlink" Target="https://drive.google.com/file/d/14xzZ9AcvEfulOVG59C6hbKKLJWKLCVvE/view?usp=sharing" TargetMode="External"/><Relationship Id="rId566" Type="http://schemas.openxmlformats.org/officeDocument/2006/relationships/hyperlink" Target="https://drive.google.com/file/d/19SIYJBeS7xI_6UUbyCPZEXeQWOEr0lnJ/view?usp=sharing" TargetMode="External"/><Relationship Id="rId2480" Type="http://schemas.openxmlformats.org/officeDocument/2006/relationships/hyperlink" Target="https://drive.google.com/file/d/1WWXQiQaHh3SIh0zTVlCA-7MbJ8nIgnSg/view?usp=sharing" TargetMode="External"/><Relationship Id="rId561" Type="http://schemas.openxmlformats.org/officeDocument/2006/relationships/hyperlink" Target="https://drive.google.com/file/d/1hGZeGiJagi7JGxmQflN6RopOaccPg9FK/view?usp=sharing" TargetMode="External"/><Relationship Id="rId1150" Type="http://schemas.openxmlformats.org/officeDocument/2006/relationships/hyperlink" Target="https://drive.google.com/file/d/1OyxZwLzujzm1UK25YfLEf5UXuXWc0-1K/view?usp=sharing" TargetMode="External"/><Relationship Id="rId2481" Type="http://schemas.openxmlformats.org/officeDocument/2006/relationships/hyperlink" Target="https://drive.google.com/file/d/1T-rtDD2dvtCk9eaf96xBjpGg4O77OxeM/view?usp=sharing" TargetMode="External"/><Relationship Id="rId560" Type="http://schemas.openxmlformats.org/officeDocument/2006/relationships/hyperlink" Target="https://drive.google.com/file/d/1BiKOu33CYbuU3sgxO7XxfivjToiHCrdQ/view?usp=sharing" TargetMode="External"/><Relationship Id="rId1151" Type="http://schemas.openxmlformats.org/officeDocument/2006/relationships/hyperlink" Target="https://drive.google.com/file/d/1_iKdK3lumLvvHQojP3wwv-BXx3_CRx3m/view?usp=sharing" TargetMode="External"/><Relationship Id="rId2482" Type="http://schemas.openxmlformats.org/officeDocument/2006/relationships/hyperlink" Target="https://drive.google.com/file/d/1-RMRd4fTlVunB_pTNM_rRqhEmocV9obj/view?usp=sharing" TargetMode="External"/><Relationship Id="rId1152" Type="http://schemas.openxmlformats.org/officeDocument/2006/relationships/hyperlink" Target="https://drive.google.com/file/d/1lyA4QoLOw8LR1FkLtGLQAqn3I9MfZmJX/view?usp=sharing" TargetMode="External"/><Relationship Id="rId2483" Type="http://schemas.openxmlformats.org/officeDocument/2006/relationships/hyperlink" Target="https://drive.google.com/file/d/1lePwTd0js3cFZXpHdgcraHC2GvAWJ3Od/view?usp=sharing" TargetMode="External"/><Relationship Id="rId1153" Type="http://schemas.openxmlformats.org/officeDocument/2006/relationships/hyperlink" Target="https://drive.google.com/file/d/1u9ieHAL8GqkB4CHY9d5hbcttagnATv7E/view?usp=sharing" TargetMode="External"/><Relationship Id="rId2484" Type="http://schemas.openxmlformats.org/officeDocument/2006/relationships/hyperlink" Target="https://drive.google.com/file/d/1OStg4TM3zWeKDlJkjr9sN59yo3aE7nVZ/view?usp=sharing" TargetMode="External"/><Relationship Id="rId565" Type="http://schemas.openxmlformats.org/officeDocument/2006/relationships/hyperlink" Target="https://drive.google.com/file/d/1iYMjU4F_U1QdhFFtcoqBw0TIpb6FBdl6/view?usp=sharing" TargetMode="External"/><Relationship Id="rId1154" Type="http://schemas.openxmlformats.org/officeDocument/2006/relationships/hyperlink" Target="https://drive.google.com/file/d/18vwevYyZ7A7jq60yFT6_9ZEQz1znxoDL/view?usp=sharing" TargetMode="External"/><Relationship Id="rId2485" Type="http://schemas.openxmlformats.org/officeDocument/2006/relationships/hyperlink" Target="https://drive.google.com/file/d/1sWPcU6FpaQ5xIj2ThYPUw3RB9D_Dq2bu/view?usp=sharing" TargetMode="External"/><Relationship Id="rId564" Type="http://schemas.openxmlformats.org/officeDocument/2006/relationships/hyperlink" Target="https://drive.google.com/file/d/1VIq1EJFaKJIEok2qxn-aAjR7hHU9C476/view?usp=sharing" TargetMode="External"/><Relationship Id="rId1155" Type="http://schemas.openxmlformats.org/officeDocument/2006/relationships/hyperlink" Target="https://drive.google.com/file/d/11LH5rLDBKLV6pBMCnNjQ_KBqO0_Auzng/view?usp=sharing" TargetMode="External"/><Relationship Id="rId2486" Type="http://schemas.openxmlformats.org/officeDocument/2006/relationships/hyperlink" Target="https://drive.google.com/file/d/1qqcAY3sLCRnVKNgxMXYqchcdwR8MKBoA/view?usp=sharing" TargetMode="External"/><Relationship Id="rId563" Type="http://schemas.openxmlformats.org/officeDocument/2006/relationships/hyperlink" Target="https://drive.google.com/file/d/1WMINya2yXa8iZ214JAQOFH6-FBA2L--f/view?usp=sharing" TargetMode="External"/><Relationship Id="rId1156" Type="http://schemas.openxmlformats.org/officeDocument/2006/relationships/hyperlink" Target="https://drive.google.com/file/d/1uVkdDliJfSR6ABM4DlJ-GnzrzWlG3Q2g/view?usp=sharing" TargetMode="External"/><Relationship Id="rId2487" Type="http://schemas.openxmlformats.org/officeDocument/2006/relationships/hyperlink" Target="https://drive.google.com/file/d/1jBvvrGk21NvHPrsFDjYbgVuFGY4vlD2g/view?usp=sharing" TargetMode="External"/><Relationship Id="rId562" Type="http://schemas.openxmlformats.org/officeDocument/2006/relationships/hyperlink" Target="https://drive.google.com/file/d/13wQKwU929wKLNEXw2wZfg7pToCerindT/view?usp=sharing" TargetMode="External"/><Relationship Id="rId1157" Type="http://schemas.openxmlformats.org/officeDocument/2006/relationships/hyperlink" Target="https://drive.google.com/file/d/1qt2pDS2s-8XhT24kCWSMku1xQxq5opXP/view?usp=sharing" TargetMode="External"/><Relationship Id="rId2488" Type="http://schemas.openxmlformats.org/officeDocument/2006/relationships/hyperlink" Target="https://drive.google.com/file/d/1DueneV-HdqEaFisUsuhp1i1qENq7AGZB/view?usp=sharing" TargetMode="External"/><Relationship Id="rId1147" Type="http://schemas.openxmlformats.org/officeDocument/2006/relationships/hyperlink" Target="https://drive.google.com/file/d/1fB6E-R3KCl6z0joAuVveLZ_xImP5I_BZ/view?usp=sharing" TargetMode="External"/><Relationship Id="rId2478" Type="http://schemas.openxmlformats.org/officeDocument/2006/relationships/hyperlink" Target="https://drive.google.com/file/d/1iuhdx3_oGzkMPCxu6UOwdZfUHPzTSenI/view?usp=sharing" TargetMode="External"/><Relationship Id="rId1148" Type="http://schemas.openxmlformats.org/officeDocument/2006/relationships/hyperlink" Target="https://drive.google.com/file/d/15DuoQocetFlsX-ClEEoZ-u_2_lGV-yUO/view?usp=sharing" TargetMode="External"/><Relationship Id="rId2479" Type="http://schemas.openxmlformats.org/officeDocument/2006/relationships/hyperlink" Target="https://drive.google.com/file/d/1kXTLIvGvju3DmuBWabPt9PFOIbzWwTcY/view?usp=sharing" TargetMode="External"/><Relationship Id="rId1149" Type="http://schemas.openxmlformats.org/officeDocument/2006/relationships/hyperlink" Target="https://drive.google.com/file/d/1NhxgbLzqUJvCk2xeEXlyiYjMBi4m-Tt_/view?usp=sharing" TargetMode="External"/><Relationship Id="rId558" Type="http://schemas.openxmlformats.org/officeDocument/2006/relationships/hyperlink" Target="https://drive.google.com/file/d/1GTTfhPFzVLLUJ34vqFk7C7WSqbjU6Pc5/view?usp=sharing" TargetMode="External"/><Relationship Id="rId557" Type="http://schemas.openxmlformats.org/officeDocument/2006/relationships/hyperlink" Target="https://drive.google.com/file/d/1eliG7N0U4t3jvAvjinArze5tjloobOXz/view?usp=sharing" TargetMode="External"/><Relationship Id="rId556" Type="http://schemas.openxmlformats.org/officeDocument/2006/relationships/hyperlink" Target="https://drive.google.com/file/d/1Dt8IWhJzyWh8eSDVGv_lGMYo3qZIHBDO/view?usp=sharing" TargetMode="External"/><Relationship Id="rId555" Type="http://schemas.openxmlformats.org/officeDocument/2006/relationships/hyperlink" Target="https://drive.google.com/file/d/1pCrmVyyzC-GToC4AInI367hfcqiIQMhC/view?usp=sharing" TargetMode="External"/><Relationship Id="rId559" Type="http://schemas.openxmlformats.org/officeDocument/2006/relationships/hyperlink" Target="https://drive.google.com/file/d/1825Pu2y3XpAWrcfEn6zaR0bvFNBUaVgm/view?usp=sharing" TargetMode="External"/><Relationship Id="rId550" Type="http://schemas.openxmlformats.org/officeDocument/2006/relationships/hyperlink" Target="https://drive.google.com/file/d/1hDHerED-fe0pbVuR5YcTV_H2OCOu35rV/view?usp=sharing" TargetMode="External"/><Relationship Id="rId2470" Type="http://schemas.openxmlformats.org/officeDocument/2006/relationships/hyperlink" Target="https://drive.google.com/file/d/1zVcYvAS6FxH1zviZcyop1tE9pVsX0RMz/view?usp=sharing" TargetMode="External"/><Relationship Id="rId1140" Type="http://schemas.openxmlformats.org/officeDocument/2006/relationships/hyperlink" Target="https://drive.google.com/file/d/1K5s7EBBtCafQbbTVXCSOIj0VYoJakVpN/view?usp=sharing" TargetMode="External"/><Relationship Id="rId2471" Type="http://schemas.openxmlformats.org/officeDocument/2006/relationships/hyperlink" Target="https://drive.google.com/file/d/18UJzM4_JurWGCYQZoCW2cZa8ghUfXjx3/view?usp=sharing" TargetMode="External"/><Relationship Id="rId1141" Type="http://schemas.openxmlformats.org/officeDocument/2006/relationships/hyperlink" Target="https://drive.google.com/file/d/1cz0EAWpP186kUTuKTKQWg0Wv51J02-yB/view?usp=sharing" TargetMode="External"/><Relationship Id="rId2472" Type="http://schemas.openxmlformats.org/officeDocument/2006/relationships/hyperlink" Target="https://drive.google.com/file/d/1-9nsr9M6mR7vpSX-eVON0AGYOdvl3cwt/view?usp=sharing" TargetMode="External"/><Relationship Id="rId1142" Type="http://schemas.openxmlformats.org/officeDocument/2006/relationships/hyperlink" Target="https://drive.google.com/file/d/1VZSA8uqhIHnUbb1J6iTjiauEApGhzYkD/view?usp=sharing" TargetMode="External"/><Relationship Id="rId2473" Type="http://schemas.openxmlformats.org/officeDocument/2006/relationships/hyperlink" Target="https://drive.google.com/file/d/1r5gdTK2eENqRKi0UiLR27yINdklxhyCQ/view?usp=sharing" TargetMode="External"/><Relationship Id="rId554" Type="http://schemas.openxmlformats.org/officeDocument/2006/relationships/hyperlink" Target="https://drive.google.com/file/d/1Ktj5WyW2SRa_0H5zkRAY5gNQR-gScOrh/view?usp=sharing" TargetMode="External"/><Relationship Id="rId1143" Type="http://schemas.openxmlformats.org/officeDocument/2006/relationships/hyperlink" Target="https://drive.google.com/file/d/1EPHMn9tNhFujqEumu9Wt5EnXMr-Fgm9m/view?usp=sharing" TargetMode="External"/><Relationship Id="rId2474" Type="http://schemas.openxmlformats.org/officeDocument/2006/relationships/hyperlink" Target="https://drive.google.com/file/d/1JX2AxfKvM2_RX83sG6ZT1R6qu91j5ndk/view?usp=sharing" TargetMode="External"/><Relationship Id="rId553" Type="http://schemas.openxmlformats.org/officeDocument/2006/relationships/hyperlink" Target="https://drive.google.com/file/d/1BQTdCus2UaMwbQuFKBhI0gcD0cAyBBmG/view?usp=sharing" TargetMode="External"/><Relationship Id="rId1144" Type="http://schemas.openxmlformats.org/officeDocument/2006/relationships/hyperlink" Target="https://drive.google.com/file/d/1YODEQb5M4ofSXljrE8mk4PNbHAghXAZT/view?usp=sharing" TargetMode="External"/><Relationship Id="rId2475" Type="http://schemas.openxmlformats.org/officeDocument/2006/relationships/hyperlink" Target="https://drive.google.com/file/d/1B-X8T_oJQ_VkmBQBnQmInwWba6m6dwvH/view?usp=sharing" TargetMode="External"/><Relationship Id="rId552" Type="http://schemas.openxmlformats.org/officeDocument/2006/relationships/hyperlink" Target="https://drive.google.com/file/d/1ekAIxOva--63LEJL5emFqnhgheq9Rbvb/view?usp=sharing" TargetMode="External"/><Relationship Id="rId1145" Type="http://schemas.openxmlformats.org/officeDocument/2006/relationships/hyperlink" Target="https://drive.google.com/file/d/1qaKrU3RRqj83YdhKg_CEVXsj6ztdfC8G/view?usp=sharing" TargetMode="External"/><Relationship Id="rId2476" Type="http://schemas.openxmlformats.org/officeDocument/2006/relationships/hyperlink" Target="https://drive.google.com/file/d/1cG45pJVqA1sk9PA1e5oQ1WDul1kAPwy9/view?usp=sharing" TargetMode="External"/><Relationship Id="rId551" Type="http://schemas.openxmlformats.org/officeDocument/2006/relationships/hyperlink" Target="https://drive.google.com/file/d/1gtXyJSr_cDTHcHooVAMB0tvBwsXZN_EM/view?usp=sharing" TargetMode="External"/><Relationship Id="rId1146" Type="http://schemas.openxmlformats.org/officeDocument/2006/relationships/hyperlink" Target="https://drive.google.com/file/d/1zDMr-5gqUCMrDccWVme2CqYs4Qxj5H7-/view?usp=sharing" TargetMode="External"/><Relationship Id="rId2477" Type="http://schemas.openxmlformats.org/officeDocument/2006/relationships/hyperlink" Target="https://drive.google.com/file/d/1Y30K8YQEG7Pprww7izIS2XHgLN_Lnf-I/view?usp=sharing" TargetMode="External"/><Relationship Id="rId495" Type="http://schemas.openxmlformats.org/officeDocument/2006/relationships/hyperlink" Target="https://drive.google.com/file/d/1HfRRGEpDvMPBxB-HZL9K7CQEp8oQ_hxL/view?usp=sharing" TargetMode="External"/><Relationship Id="rId494" Type="http://schemas.openxmlformats.org/officeDocument/2006/relationships/hyperlink" Target="https://drive.google.com/file/d/15lVAZdBq0MA0ipBXkDKQFzx3moO71boe/view?usp=sharing" TargetMode="External"/><Relationship Id="rId493" Type="http://schemas.openxmlformats.org/officeDocument/2006/relationships/hyperlink" Target="https://drive.google.com/file/d/1d9f7Hx_hBlhqEtQ0VqQMIz6QZoWvK_wT/view?usp=sharing" TargetMode="External"/><Relationship Id="rId492" Type="http://schemas.openxmlformats.org/officeDocument/2006/relationships/hyperlink" Target="https://drive.google.com/file/d/1lkAOCw1PKS8W98EbmJjLPbgkd6tJbFc3/view?usp=sharing" TargetMode="External"/><Relationship Id="rId499" Type="http://schemas.openxmlformats.org/officeDocument/2006/relationships/hyperlink" Target="https://drive.google.com/file/d/1IWxRDFb8P4QyHUgzZU5G1DIhqRZ-9Cmz/view?usp=sharing" TargetMode="External"/><Relationship Id="rId498" Type="http://schemas.openxmlformats.org/officeDocument/2006/relationships/hyperlink" Target="https://drive.google.com/file/d/15XDnklym5iIiLXPoM1SVZJmq39BGx2oQ/view?usp=sharing" TargetMode="External"/><Relationship Id="rId497" Type="http://schemas.openxmlformats.org/officeDocument/2006/relationships/hyperlink" Target="https://drive.google.com/file/d/1dNc_PcNLm6_nDXfcSYgTb2m8wE0W-sDU/view?usp=sharing" TargetMode="External"/><Relationship Id="rId496" Type="http://schemas.openxmlformats.org/officeDocument/2006/relationships/hyperlink" Target="https://drive.google.com/file/d/1zD1-gxCqRZj-HBTzIgujOeAiYKfwBr8k/view?usp=sharing" TargetMode="External"/><Relationship Id="rId1213" Type="http://schemas.openxmlformats.org/officeDocument/2006/relationships/hyperlink" Target="https://drive.google.com/file/d/1263BIQ8z-6m_BQjgv2ZlMf3jkQR_jiCN/view?usp=sharing" TargetMode="External"/><Relationship Id="rId2544" Type="http://schemas.openxmlformats.org/officeDocument/2006/relationships/hyperlink" Target="https://drive.google.com/file/d/15qPkyyRJMUv_Q_0Ef6wXrA0oP52XDIrZ/view?usp=sharing" TargetMode="External"/><Relationship Id="rId1214" Type="http://schemas.openxmlformats.org/officeDocument/2006/relationships/hyperlink" Target="https://drive.google.com/file/d/1B_YhAPjyV7BMXbuOT6Fp42gZRJpJqqhg/view?usp=sharing" TargetMode="External"/><Relationship Id="rId2545" Type="http://schemas.openxmlformats.org/officeDocument/2006/relationships/hyperlink" Target="https://drive.google.com/file/d/1rNoL3QeH3H-ONm1CQqT6DIEgneL_NCMy/view?usp=sharing" TargetMode="External"/><Relationship Id="rId1215" Type="http://schemas.openxmlformats.org/officeDocument/2006/relationships/hyperlink" Target="https://drive.google.com/file/d/1FK-DFxtauzo7OR2spUXzOBIYwUPzX8jm/view?usp=sharing" TargetMode="External"/><Relationship Id="rId2546" Type="http://schemas.openxmlformats.org/officeDocument/2006/relationships/hyperlink" Target="https://drive.google.com/file/d/1PLki_BfbvBAcQFamjPkxV0ankLxueEtF/view?usp=sharing" TargetMode="External"/><Relationship Id="rId1216" Type="http://schemas.openxmlformats.org/officeDocument/2006/relationships/hyperlink" Target="https://drive.google.com/file/d/1LCLVHcSj_YJHc0Ii7IDRExGhzzngLVz0/view?usp=sharing" TargetMode="External"/><Relationship Id="rId2547" Type="http://schemas.openxmlformats.org/officeDocument/2006/relationships/hyperlink" Target="https://drive.google.com/file/d/142A3S5nVTmXAAnhaAZS_zhWA50OfglLd/view?usp=sharing" TargetMode="External"/><Relationship Id="rId1217" Type="http://schemas.openxmlformats.org/officeDocument/2006/relationships/hyperlink" Target="https://drive.google.com/file/d/15D-qufy2p7ETN0Y24mIu8Ugyl64z8UID/view?usp=sharing" TargetMode="External"/><Relationship Id="rId2548" Type="http://schemas.openxmlformats.org/officeDocument/2006/relationships/hyperlink" Target="https://drive.google.com/file/d/1kj1b23fIoXfnHzxoeEfXSic109cbffW1/view?usp=sharing" TargetMode="External"/><Relationship Id="rId1218" Type="http://schemas.openxmlformats.org/officeDocument/2006/relationships/hyperlink" Target="https://drive.google.com/file/d/1XDEUBXs_9GXFIoTLzLQ8_Ocn_zan-CJI/view?usp=sharing" TargetMode="External"/><Relationship Id="rId2549" Type="http://schemas.openxmlformats.org/officeDocument/2006/relationships/hyperlink" Target="https://drive.google.com/file/d/1HwwIm0zNAwnWs3yf5kgR9Qp-NAB9NViO/view?usp=sharing" TargetMode="External"/><Relationship Id="rId1219" Type="http://schemas.openxmlformats.org/officeDocument/2006/relationships/hyperlink" Target="https://drive.google.com/file/d/1lBWFLq61iO2hBo-5wN-sr88lIwe6bWkh/view?usp=sharing" TargetMode="External"/><Relationship Id="rId2540" Type="http://schemas.openxmlformats.org/officeDocument/2006/relationships/hyperlink" Target="https://drive.google.com/file/d/1jZZ7_u4_CWbQWz3sq03eFrmR9zM_iaZw/view?usp=sharing" TargetMode="External"/><Relationship Id="rId1210" Type="http://schemas.openxmlformats.org/officeDocument/2006/relationships/hyperlink" Target="https://drive.google.com/file/d/1xjlDv_jtICeLHqGKVTlJILzlReqG3DZz/view?usp=sharing" TargetMode="External"/><Relationship Id="rId2541" Type="http://schemas.openxmlformats.org/officeDocument/2006/relationships/hyperlink" Target="https://drive.google.com/file/d/1qbuGJ53buwoaFvdd4FFk50ewLHqmqR4x/view?usp=sharing" TargetMode="External"/><Relationship Id="rId1211" Type="http://schemas.openxmlformats.org/officeDocument/2006/relationships/hyperlink" Target="https://drive.google.com/file/d/1x_27SFhL2L2jH-Wxd30VvmLLU3RRlxgJ/view?usp=sharing" TargetMode="External"/><Relationship Id="rId2542" Type="http://schemas.openxmlformats.org/officeDocument/2006/relationships/hyperlink" Target="https://drive.google.com/file/d/18IgyhhX2EWjqE9RA44WbTzSDeO3WzA80/view?usp=sharing" TargetMode="External"/><Relationship Id="rId1212" Type="http://schemas.openxmlformats.org/officeDocument/2006/relationships/hyperlink" Target="https://drive.google.com/file/d/1cG7GwC-2hm_5Eo-nX5rqOxy_ZC0aCBKt/view?usp=sharing" TargetMode="External"/><Relationship Id="rId2543" Type="http://schemas.openxmlformats.org/officeDocument/2006/relationships/hyperlink" Target="https://drive.google.com/file/d/1m75RXKiXeXpsdoFNVL86AX_LvonzOFTb/view?usp=sharing" TargetMode="External"/><Relationship Id="rId1202" Type="http://schemas.openxmlformats.org/officeDocument/2006/relationships/hyperlink" Target="https://drive.google.com/file/d/11u1C-s3K7CkuTf46TC-RRgads5IPylme/view?usp=sharing" TargetMode="External"/><Relationship Id="rId2533" Type="http://schemas.openxmlformats.org/officeDocument/2006/relationships/hyperlink" Target="https://drive.google.com/file/d/1A3k7hpULstK75GWiimG2l0iZ-GB3kFKK/view?usp=sharing" TargetMode="External"/><Relationship Id="rId1203" Type="http://schemas.openxmlformats.org/officeDocument/2006/relationships/hyperlink" Target="https://drive.google.com/file/d/1YGl3ewjQzbUzRqi_Hcvfvu4BDspjQHIj/view?usp=sharing" TargetMode="External"/><Relationship Id="rId2534" Type="http://schemas.openxmlformats.org/officeDocument/2006/relationships/hyperlink" Target="https://drive.google.com/file/d/1zkPwtuFh4OR90csi2uj5b6IMnkKLZ7QX/view?usp=sharing" TargetMode="External"/><Relationship Id="rId1204" Type="http://schemas.openxmlformats.org/officeDocument/2006/relationships/hyperlink" Target="https://drive.google.com/file/d/1Wo4jtew4bakvssSvhDygjZO5JXU2csT8/view?usp=sharing" TargetMode="External"/><Relationship Id="rId2535" Type="http://schemas.openxmlformats.org/officeDocument/2006/relationships/hyperlink" Target="https://drive.google.com/file/d/17VK2SzLPoMo2PU2o75kFvv70Fvk0tyy-/view?usp=sharing" TargetMode="External"/><Relationship Id="rId1205" Type="http://schemas.openxmlformats.org/officeDocument/2006/relationships/hyperlink" Target="https://drive.google.com/file/d/18ZK_Tnx4FRRVv36PG-5OZNp0ewEix907/view?usp=sharing" TargetMode="External"/><Relationship Id="rId2536" Type="http://schemas.openxmlformats.org/officeDocument/2006/relationships/hyperlink" Target="https://drive.google.com/file/d/1UpoM2gcJUuDRT7JyiB7_mXRVGKum_244/view?usp=sharing" TargetMode="External"/><Relationship Id="rId1206" Type="http://schemas.openxmlformats.org/officeDocument/2006/relationships/hyperlink" Target="https://drive.google.com/file/d/1U0J6YMJQNRt0YTyr1IGuRgCcpjDbrq-i/view?usp=sharing" TargetMode="External"/><Relationship Id="rId2537" Type="http://schemas.openxmlformats.org/officeDocument/2006/relationships/hyperlink" Target="https://drive.google.com/file/d/191PXkqzo0mj-PfYKuU0ZZp7snU-xIZeF/view?usp=sharing" TargetMode="External"/><Relationship Id="rId1207" Type="http://schemas.openxmlformats.org/officeDocument/2006/relationships/hyperlink" Target="https://drive.google.com/file/d/1_p3sXhOpF-BLe8Uaz-OoFqW8xQCK9vvg/view?usp=sharing" TargetMode="External"/><Relationship Id="rId2538" Type="http://schemas.openxmlformats.org/officeDocument/2006/relationships/hyperlink" Target="https://drive.google.com/file/d/1NEZ4m8RefZf_IiYIlYcDDh-b9q-suJcO/view?usp=sharing" TargetMode="External"/><Relationship Id="rId1208" Type="http://schemas.openxmlformats.org/officeDocument/2006/relationships/hyperlink" Target="https://drive.google.com/file/d/1bZ8PC-cM6dzNu9H-L7cmS4AxDU81weDj/view?usp=sharing" TargetMode="External"/><Relationship Id="rId2539" Type="http://schemas.openxmlformats.org/officeDocument/2006/relationships/hyperlink" Target="https://drive.google.com/file/d/1WZkVnyPG9qRtFKnAbRVhLnPTuAc3Go_m/view?usp=sharing" TargetMode="External"/><Relationship Id="rId1209" Type="http://schemas.openxmlformats.org/officeDocument/2006/relationships/hyperlink" Target="https://drive.google.com/file/d/1c_VjprQqe1VZlSCDbz6-Fta1NhuM1nqu/view?usp=sharing" TargetMode="External"/><Relationship Id="rId2530" Type="http://schemas.openxmlformats.org/officeDocument/2006/relationships/hyperlink" Target="https://drive.google.com/file/d/1AOtiX1mvkCGlVLhX2LzRE0BotyBTwHec/view?usp=sharing" TargetMode="External"/><Relationship Id="rId1200" Type="http://schemas.openxmlformats.org/officeDocument/2006/relationships/hyperlink" Target="https://drive.google.com/file/d/1faHrTROnM1IIWC9F6ifUgPytd6uDycq2/view?usp=sharing" TargetMode="External"/><Relationship Id="rId2531" Type="http://schemas.openxmlformats.org/officeDocument/2006/relationships/hyperlink" Target="https://drive.google.com/file/d/1ev2Fks3T28UNl1v4nECtK7724hy4zoYy/view?usp=sharing" TargetMode="External"/><Relationship Id="rId1201" Type="http://schemas.openxmlformats.org/officeDocument/2006/relationships/hyperlink" Target="https://drive.google.com/file/d/16w0L7IHKUoIuDS_hWgyVyvkSnc1RGvek/view?usp=sharing" TargetMode="External"/><Relationship Id="rId2532" Type="http://schemas.openxmlformats.org/officeDocument/2006/relationships/hyperlink" Target="https://drive.google.com/file/d/1ahKTmJxL52ikeryuGmZtitNTGTrGPss4/view?usp=sharing" TargetMode="External"/><Relationship Id="rId1235" Type="http://schemas.openxmlformats.org/officeDocument/2006/relationships/hyperlink" Target="https://drive.google.com/file/d/1y9TMzrqmag9GI6cxwjZqsRotxzMUr4x9/view?usp=sharing" TargetMode="External"/><Relationship Id="rId2566" Type="http://schemas.openxmlformats.org/officeDocument/2006/relationships/hyperlink" Target="https://drive.google.com/file/d/1en7j-bzOHD4HOq3Yg02TVfI3UcOHeGXd/view?usp=sharing" TargetMode="External"/><Relationship Id="rId1236" Type="http://schemas.openxmlformats.org/officeDocument/2006/relationships/hyperlink" Target="https://drive.google.com/file/d/1l6pKthqCIEsC47tn4BJgNZvvvd_vowpc/view?usp=sharing" TargetMode="External"/><Relationship Id="rId2567" Type="http://schemas.openxmlformats.org/officeDocument/2006/relationships/hyperlink" Target="https://drive.google.com/file/d/1XcRftg44JPr_HiBWPUNz56x0ovjntAad/view?usp=sharing" TargetMode="External"/><Relationship Id="rId1237" Type="http://schemas.openxmlformats.org/officeDocument/2006/relationships/hyperlink" Target="https://drive.google.com/file/d/1jZt6biezjv14j-yZyGxO_h8S1tMlWBFY/view?usp=sharing" TargetMode="External"/><Relationship Id="rId2568" Type="http://schemas.openxmlformats.org/officeDocument/2006/relationships/hyperlink" Target="https://drive.google.com/file/d/1c6VicrCMfbjDytTcV6R7FL-aY82i6lLL/view?usp=sharing" TargetMode="External"/><Relationship Id="rId1238" Type="http://schemas.openxmlformats.org/officeDocument/2006/relationships/hyperlink" Target="https://drive.google.com/file/d/1XPLf-fyi3KlIRtScx6erFAQDGxCCg7lw/view?usp=sharing" TargetMode="External"/><Relationship Id="rId2569" Type="http://schemas.openxmlformats.org/officeDocument/2006/relationships/hyperlink" Target="https://drive.google.com/file/d/1FnybQJ5wzRHKKs57GUTzv3f6pRTt7KUg/view?usp=sharing" TargetMode="External"/><Relationship Id="rId1239" Type="http://schemas.openxmlformats.org/officeDocument/2006/relationships/hyperlink" Target="https://drive.google.com/file/d/1ITYK0UYhQK539qBgyQQJMIV0DtBMZ_9c/view?usp=sharing" TargetMode="External"/><Relationship Id="rId409" Type="http://schemas.openxmlformats.org/officeDocument/2006/relationships/hyperlink" Target="https://drive.google.com/file/d/1WVuew0mQKR8qIHr6CQGFXj8vpu90qsTU/view?usp=sharing" TargetMode="External"/><Relationship Id="rId404" Type="http://schemas.openxmlformats.org/officeDocument/2006/relationships/hyperlink" Target="https://drive.google.com/file/d/1gHekA40lICgEWSB95XMjsiN52KqIERXO/view?usp=sharing" TargetMode="External"/><Relationship Id="rId403" Type="http://schemas.openxmlformats.org/officeDocument/2006/relationships/hyperlink" Target="https://drive.google.com/file/d/1Jvy4wjhCFh8KtisI87Ke5tSqHA4HtPix/view?usp=sharing" TargetMode="External"/><Relationship Id="rId402" Type="http://schemas.openxmlformats.org/officeDocument/2006/relationships/hyperlink" Target="https://drive.google.com/file/d/1BJpqYBTwVysrzJXheZqcN3-LYKOunxRH/view?usp=sharing" TargetMode="External"/><Relationship Id="rId401" Type="http://schemas.openxmlformats.org/officeDocument/2006/relationships/hyperlink" Target="https://drive.google.com/file/d/13NMf76vlY5l6WsmIBvPniyMb9iXky1ai/view?usp=sharing" TargetMode="External"/><Relationship Id="rId408" Type="http://schemas.openxmlformats.org/officeDocument/2006/relationships/hyperlink" Target="https://drive.google.com/file/d/1Zl6XYZ0wklgf-kM9ZJQGXEYNY4TJc8Pq/view?usp=sharing" TargetMode="External"/><Relationship Id="rId407" Type="http://schemas.openxmlformats.org/officeDocument/2006/relationships/hyperlink" Target="https://drive.google.com/file/d/1qNKqPFnMw396r99ItNgM_ezbrv-Sm9zF/view?usp=sharing" TargetMode="External"/><Relationship Id="rId406" Type="http://schemas.openxmlformats.org/officeDocument/2006/relationships/hyperlink" Target="https://drive.google.com/file/d/1jf1MHT8AwZYLeQAawLVjnDV2qtTfhWMU/view?usp=sharing" TargetMode="External"/><Relationship Id="rId405" Type="http://schemas.openxmlformats.org/officeDocument/2006/relationships/hyperlink" Target="https://drive.google.com/file/d/1ckkiivEitKSUwPmJemNBlk7wVFf4pMGn/view?usp=sharing" TargetMode="External"/><Relationship Id="rId2560" Type="http://schemas.openxmlformats.org/officeDocument/2006/relationships/hyperlink" Target="https://drive.google.com/file/d/1PHcKU-oZWUQo625iVclhowyzek07Y7sV/view?usp=sharing" TargetMode="External"/><Relationship Id="rId1230" Type="http://schemas.openxmlformats.org/officeDocument/2006/relationships/hyperlink" Target="https://drive.google.com/file/d/1Tfu-PWXeM-XuoFgkoNCJPM0txnhmX5A9/view?usp=sharing" TargetMode="External"/><Relationship Id="rId2561" Type="http://schemas.openxmlformats.org/officeDocument/2006/relationships/hyperlink" Target="https://drive.google.com/file/d/1u40gpA5Xk_n-oDyAVVF1axHpiIro9r6n/view?usp=sharing" TargetMode="External"/><Relationship Id="rId400" Type="http://schemas.openxmlformats.org/officeDocument/2006/relationships/hyperlink" Target="https://drive.google.com/file/d/1OomekRxhG-wDiz_wkLDprNZGuq3L6OdU/view?usp=sharing" TargetMode="External"/><Relationship Id="rId1231" Type="http://schemas.openxmlformats.org/officeDocument/2006/relationships/hyperlink" Target="https://drive.google.com/file/d/1YedhQM01CdPHrEh1B3NjfKxb2ck7Cz1q/view?usp=sharing" TargetMode="External"/><Relationship Id="rId2562" Type="http://schemas.openxmlformats.org/officeDocument/2006/relationships/hyperlink" Target="https://drive.google.com/file/d/1yHIW9X02t7YYFkbCtf41Idoqh8jEhG53/view?usp=sharing" TargetMode="External"/><Relationship Id="rId1232" Type="http://schemas.openxmlformats.org/officeDocument/2006/relationships/hyperlink" Target="https://drive.google.com/file/d/1Y4xoZ1rBuB9V0gYAZ5AMnaRh3O0Kh9MZ/view?usp=sharing" TargetMode="External"/><Relationship Id="rId2563" Type="http://schemas.openxmlformats.org/officeDocument/2006/relationships/hyperlink" Target="https://drive.google.com/file/d/1DP05N-ka3lpkHPPcr2j0yXggKxbtRD31/view?usp=sharing" TargetMode="External"/><Relationship Id="rId1233" Type="http://schemas.openxmlformats.org/officeDocument/2006/relationships/hyperlink" Target="https://drive.google.com/file/d/15VrDNxVyn4Dy7fp_qNqVYtrHs6508LBJ/view?usp=sharing" TargetMode="External"/><Relationship Id="rId2564" Type="http://schemas.openxmlformats.org/officeDocument/2006/relationships/hyperlink" Target="https://drive.google.com/file/d/1EXa3QJza4MNOpAwgCpwBOivpNxciub1i/view?usp=sharing" TargetMode="External"/><Relationship Id="rId1234" Type="http://schemas.openxmlformats.org/officeDocument/2006/relationships/hyperlink" Target="https://drive.google.com/file/d/1h_0GdyL-g2j8vUH4FObf5CgsWe16i2PC/view?usp=sharing" TargetMode="External"/><Relationship Id="rId2565" Type="http://schemas.openxmlformats.org/officeDocument/2006/relationships/hyperlink" Target="https://drive.google.com/file/d/1bx11vhD_v4Picjb-lc2ILxZlJyRRYS9_/view?usp=sharing" TargetMode="External"/><Relationship Id="rId1224" Type="http://schemas.openxmlformats.org/officeDocument/2006/relationships/hyperlink" Target="https://drive.google.com/file/d/1TBiAXVey15nxT7XPpK-il_liWOfikgMI/view?usp=sharing" TargetMode="External"/><Relationship Id="rId2555" Type="http://schemas.openxmlformats.org/officeDocument/2006/relationships/hyperlink" Target="https://drive.google.com/file/d/13RDzMqKO8Y5gTaX_mtuh_FFEZlu60Ylr/view?usp=sharing" TargetMode="External"/><Relationship Id="rId1225" Type="http://schemas.openxmlformats.org/officeDocument/2006/relationships/hyperlink" Target="https://drive.google.com/file/d/1i2cIDd4kpIhNP10ds8NPz8AlmaTolxFo/view?usp=sharing" TargetMode="External"/><Relationship Id="rId2556" Type="http://schemas.openxmlformats.org/officeDocument/2006/relationships/hyperlink" Target="https://drive.google.com/file/d/1css8H2KomikPImVlPGB88nt3sWoRP5Lj/view?usp=sharing" TargetMode="External"/><Relationship Id="rId1226" Type="http://schemas.openxmlformats.org/officeDocument/2006/relationships/hyperlink" Target="https://drive.google.com/file/d/1tJUe-sp2iu7taK4y-RX3eRvuFReU1GSw/view?usp=sharing" TargetMode="External"/><Relationship Id="rId2557" Type="http://schemas.openxmlformats.org/officeDocument/2006/relationships/hyperlink" Target="https://drive.google.com/file/d/1QrscXR5xrRYGotTvXUpptMTnWMOW4Vd0/view?usp=sharing" TargetMode="External"/><Relationship Id="rId1227" Type="http://schemas.openxmlformats.org/officeDocument/2006/relationships/hyperlink" Target="https://drive.google.com/file/d/1UNiOX0QM8iq6zIYbE2Ai5rHt_h_CRbuX/view?usp=sharing" TargetMode="External"/><Relationship Id="rId2558" Type="http://schemas.openxmlformats.org/officeDocument/2006/relationships/hyperlink" Target="https://drive.google.com/file/d/10wq3t-pgt8tjd4G7jzyOSY-zF6lH3aLO/view?usp=sharing" TargetMode="External"/><Relationship Id="rId1228" Type="http://schemas.openxmlformats.org/officeDocument/2006/relationships/hyperlink" Target="https://drive.google.com/file/d/1a9M41nH8PJFnFkNV3K43NzwXw9cGoZR7/view?usp=sharing" TargetMode="External"/><Relationship Id="rId2559" Type="http://schemas.openxmlformats.org/officeDocument/2006/relationships/hyperlink" Target="https://drive.google.com/file/d/13Q0PL1KVKeRxavL_obUNvIu-bLyuqRkT/view?usp=sharing" TargetMode="External"/><Relationship Id="rId1229" Type="http://schemas.openxmlformats.org/officeDocument/2006/relationships/hyperlink" Target="https://drive.google.com/file/d/1kkHlJprqrYzE6Bw8FfVpheDD97V_e6f9/view?usp=sharing" TargetMode="External"/><Relationship Id="rId2550" Type="http://schemas.openxmlformats.org/officeDocument/2006/relationships/hyperlink" Target="https://drive.google.com/file/d/1FPy10cGWJMkx39AfKdKVhY1RwRjbcBPl/view?usp=sharing" TargetMode="External"/><Relationship Id="rId1220" Type="http://schemas.openxmlformats.org/officeDocument/2006/relationships/hyperlink" Target="https://drive.google.com/file/d/1WY4RzfYCl_j03Oc88PI2aI5JYlFndYMT/view?usp=sharing" TargetMode="External"/><Relationship Id="rId2551" Type="http://schemas.openxmlformats.org/officeDocument/2006/relationships/hyperlink" Target="https://drive.google.com/file/d/16RwL98oouZeqiV5Cm2fKw8uFbmk3LU7N/view?usp=sharing" TargetMode="External"/><Relationship Id="rId1221" Type="http://schemas.openxmlformats.org/officeDocument/2006/relationships/hyperlink" Target="https://drive.google.com/file/d/1VvK3DwFOOHgGm6swi4P-5jiiVYRcHMfS/view?usp=sharing" TargetMode="External"/><Relationship Id="rId2552" Type="http://schemas.openxmlformats.org/officeDocument/2006/relationships/hyperlink" Target="https://drive.google.com/file/d/1V69o1Zl-FfNzlfuZvnJeyIVMQdpOK_4x/view?usp=sharing" TargetMode="External"/><Relationship Id="rId1222" Type="http://schemas.openxmlformats.org/officeDocument/2006/relationships/hyperlink" Target="https://drive.google.com/file/d/1Non3xYMEbaqf4A8FIr-VZKkKOISyPJBo/view?usp=sharing" TargetMode="External"/><Relationship Id="rId2553" Type="http://schemas.openxmlformats.org/officeDocument/2006/relationships/hyperlink" Target="https://drive.google.com/file/d/1muLbYnUMAWRfrNyIW0rNnKd5mR3LO9zR/view?usp=sharing" TargetMode="External"/><Relationship Id="rId1223" Type="http://schemas.openxmlformats.org/officeDocument/2006/relationships/hyperlink" Target="https://drive.google.com/file/d/1nrAftIIYGM_X4NIq5_qhfpPaXI4FXl0J/view?usp=sharing" TargetMode="External"/><Relationship Id="rId2554" Type="http://schemas.openxmlformats.org/officeDocument/2006/relationships/hyperlink" Target="https://drive.google.com/file/d/12ajHGp0RG2RvxkAA7zZG0VjDbt1430Cu/view?usp=sharing" TargetMode="External"/><Relationship Id="rId2500" Type="http://schemas.openxmlformats.org/officeDocument/2006/relationships/hyperlink" Target="https://drive.google.com/file/d/10pVDOQCaSvjwdrGj9Tmo3Xh6vQtEjV1X/view?usp=sharing" TargetMode="External"/><Relationship Id="rId2501" Type="http://schemas.openxmlformats.org/officeDocument/2006/relationships/hyperlink" Target="https://drive.google.com/file/d/1YjDO8SWVBJS5Av79_FoWZMlRAVwzfXsy/view?usp=sharing" TargetMode="External"/><Relationship Id="rId2502" Type="http://schemas.openxmlformats.org/officeDocument/2006/relationships/hyperlink" Target="https://drive.google.com/file/d/18Ma3-Yn7rZN7BFtMnnYR8D2Uwz_1ZyPV/view?usp=sharing" TargetMode="External"/><Relationship Id="rId2503" Type="http://schemas.openxmlformats.org/officeDocument/2006/relationships/hyperlink" Target="https://drive.google.com/file/d/17f1kKo5tWCzjwqeL6oiyVp8k1clIvm0_/view?usp=sharing" TargetMode="External"/><Relationship Id="rId2504" Type="http://schemas.openxmlformats.org/officeDocument/2006/relationships/hyperlink" Target="https://drive.google.com/file/d/1VMR0g-yHCM4jmlfjMLu6CSkkYEZYt1X4/view?usp=sharing" TargetMode="External"/><Relationship Id="rId2505" Type="http://schemas.openxmlformats.org/officeDocument/2006/relationships/hyperlink" Target="https://drive.google.com/file/d/17tluzSCiZ8dAn-bA9g7lS350KraAALH9/view?usp=sharing" TargetMode="External"/><Relationship Id="rId2506" Type="http://schemas.openxmlformats.org/officeDocument/2006/relationships/hyperlink" Target="https://drive.google.com/file/d/1f5WONvQs-g2xAz1MRVUp57mn02Eid_6O/view?usp=sharing" TargetMode="External"/><Relationship Id="rId2507" Type="http://schemas.openxmlformats.org/officeDocument/2006/relationships/hyperlink" Target="https://drive.google.com/file/d/1ej1YBwTi4cCr6qkwxiHh3kiCtCgX8BQh/view?usp=sharing" TargetMode="External"/><Relationship Id="rId2508" Type="http://schemas.openxmlformats.org/officeDocument/2006/relationships/hyperlink" Target="https://drive.google.com/file/d/1kNkeRkZ9-AdAI2JyLqNLmtt2laqfOsO8/view?usp=sharing" TargetMode="External"/><Relationship Id="rId2509" Type="http://schemas.openxmlformats.org/officeDocument/2006/relationships/hyperlink" Target="https://drive.google.com/file/d/1JHv3pCVO4juakuDdnjmeVNnnUObPkls5/view?usp=sharing" TargetMode="External"/><Relationship Id="rId2522" Type="http://schemas.openxmlformats.org/officeDocument/2006/relationships/hyperlink" Target="https://drive.google.com/file/d/1vpgYJzqQL_EiH9wjxG1PWbdcY9o7EnKP/view?usp=sharing" TargetMode="External"/><Relationship Id="rId2523" Type="http://schemas.openxmlformats.org/officeDocument/2006/relationships/hyperlink" Target="https://drive.google.com/file/d/1YzuljLacHKpX4wDRh7HLcp9RWCgyjBHN/view?usp=sharing" TargetMode="External"/><Relationship Id="rId2524" Type="http://schemas.openxmlformats.org/officeDocument/2006/relationships/hyperlink" Target="https://drive.google.com/file/d/1b7xoKGeCpTVe6VMrM7hfzhqjTXqyOyBE/view?usp=sharing" TargetMode="External"/><Relationship Id="rId2525" Type="http://schemas.openxmlformats.org/officeDocument/2006/relationships/hyperlink" Target="https://drive.google.com/file/d/1nH__NkuX6kR3CfHkCh3jUmmlbKFUE-kz/view?usp=sharing" TargetMode="External"/><Relationship Id="rId2526" Type="http://schemas.openxmlformats.org/officeDocument/2006/relationships/hyperlink" Target="https://drive.google.com/file/d/1JmL7lepTZP_X4nFl3dEKUqrdCXiFW0kP/view?usp=sharing" TargetMode="External"/><Relationship Id="rId2527" Type="http://schemas.openxmlformats.org/officeDocument/2006/relationships/hyperlink" Target="https://drive.google.com/file/d/1AZDbpTsv85RYcbZEilukiy5J3omIHicA/view?usp=sharing" TargetMode="External"/><Relationship Id="rId2528" Type="http://schemas.openxmlformats.org/officeDocument/2006/relationships/hyperlink" Target="https://drive.google.com/file/d/1TMaXMcmg9YA8paqcAf2500jnqaWvcNCA/view?usp=sharing" TargetMode="External"/><Relationship Id="rId2529" Type="http://schemas.openxmlformats.org/officeDocument/2006/relationships/hyperlink" Target="https://drive.google.com/file/d/1fPP2D6pW_lGUsfFHEy67_RPVkhGyCbBa/view?usp=sharing" TargetMode="External"/><Relationship Id="rId2520" Type="http://schemas.openxmlformats.org/officeDocument/2006/relationships/hyperlink" Target="https://drive.google.com/file/d/1k_Vt0LRRGsxDQGLz3jYXbdAW8eut__OY/view?usp=sharing" TargetMode="External"/><Relationship Id="rId2521" Type="http://schemas.openxmlformats.org/officeDocument/2006/relationships/hyperlink" Target="https://drive.google.com/file/d/1i43eIOIV5RrDwj8lu_vXzTJol-RikEYF/view?usp=sharing" TargetMode="External"/><Relationship Id="rId2511" Type="http://schemas.openxmlformats.org/officeDocument/2006/relationships/hyperlink" Target="https://drive.google.com/file/d/1asgMCSuefrsaQ7ck8xbTPS1GwlKzHrgN/view?usp=sharing" TargetMode="External"/><Relationship Id="rId2512" Type="http://schemas.openxmlformats.org/officeDocument/2006/relationships/hyperlink" Target="https://drive.google.com/file/d/1D0QdGQYvV6LzT3QypEYsIw7SZX8TLKth/view?usp=sharing" TargetMode="External"/><Relationship Id="rId2513" Type="http://schemas.openxmlformats.org/officeDocument/2006/relationships/hyperlink" Target="https://drive.google.com/file/d/1cbKLQEEYoMEcoAoiY2y7OuiiOjl3NIQW/view?usp=sharing" TargetMode="External"/><Relationship Id="rId2514" Type="http://schemas.openxmlformats.org/officeDocument/2006/relationships/hyperlink" Target="https://drive.google.com/file/d/1LTDN73BcewRE-aGjC9zHPDFWoIrisCio/view?usp=sharing" TargetMode="External"/><Relationship Id="rId2515" Type="http://schemas.openxmlformats.org/officeDocument/2006/relationships/hyperlink" Target="https://drive.google.com/file/d/1YKQ3_h72_rovPPsmAShoQZbG2N8Vedtz/view?usp=sharing" TargetMode="External"/><Relationship Id="rId2516" Type="http://schemas.openxmlformats.org/officeDocument/2006/relationships/hyperlink" Target="https://drive.google.com/file/d/1tCgGoMgDT_Bnbx1zDqTJ3EOiC1DaKlYS/view?usp=sharing" TargetMode="External"/><Relationship Id="rId2517" Type="http://schemas.openxmlformats.org/officeDocument/2006/relationships/hyperlink" Target="https://drive.google.com/file/d/1rrlqP9_Fu_lIIX53idtY-Hnp-TUto-P8/view?usp=sharing" TargetMode="External"/><Relationship Id="rId2518" Type="http://schemas.openxmlformats.org/officeDocument/2006/relationships/hyperlink" Target="https://drive.google.com/file/d/1iNTFYSVWVUQMwS1IWlrMelQNJrOp25Wv/view?usp=sharing" TargetMode="External"/><Relationship Id="rId2519" Type="http://schemas.openxmlformats.org/officeDocument/2006/relationships/hyperlink" Target="https://drive.google.com/file/d/1FavaNIzXBJ3KaswQFLcOewNOCc0eBDBU/view?usp=sharing" TargetMode="External"/><Relationship Id="rId2510" Type="http://schemas.openxmlformats.org/officeDocument/2006/relationships/hyperlink" Target="https://drive.google.com/file/d/1wbyip7GKwO6Ju3gHieST-BDYlWLJ9Xk8/view?usp=sharing" TargetMode="External"/><Relationship Id="rId469" Type="http://schemas.openxmlformats.org/officeDocument/2006/relationships/hyperlink" Target="https://drive.google.com/file/d/1vi7IKQQHr56_1INsascAmx_J_jmCMhDu/view?usp=sharing" TargetMode="External"/><Relationship Id="rId468" Type="http://schemas.openxmlformats.org/officeDocument/2006/relationships/hyperlink" Target="https://drive.google.com/file/d/1TevYk-EY3HiZezwludM6xp679PdavVd3/view?usp=sharing" TargetMode="External"/><Relationship Id="rId467" Type="http://schemas.openxmlformats.org/officeDocument/2006/relationships/hyperlink" Target="https://drive.google.com/file/d/1t7yf-Ka3udyURYjre5tS4tZ09Dl6p0Vu/view?usp=sharing" TargetMode="External"/><Relationship Id="rId1290" Type="http://schemas.openxmlformats.org/officeDocument/2006/relationships/hyperlink" Target="https://drive.google.com/file/d/1nF8sdj07Htct8-eDJKZGQw_zPhdsXob5/view?usp=sharing" TargetMode="External"/><Relationship Id="rId1291" Type="http://schemas.openxmlformats.org/officeDocument/2006/relationships/hyperlink" Target="https://drive.google.com/file/d/1m931bPd9NhjDGoN5wyx7NzeYnH2G3n0v/view?usp=sharing" TargetMode="External"/><Relationship Id="rId1292" Type="http://schemas.openxmlformats.org/officeDocument/2006/relationships/hyperlink" Target="https://drive.google.com/file/d/1YwkiUO_7Bcp4i9GxW_Q_f82vOONiyivg/view?usp=sharing" TargetMode="External"/><Relationship Id="rId462" Type="http://schemas.openxmlformats.org/officeDocument/2006/relationships/hyperlink" Target="https://drive.google.com/file/d/1C4zxjRCInXeHCah5f7vT6vtsOWh42m3I/view?usp=sharing" TargetMode="External"/><Relationship Id="rId1293" Type="http://schemas.openxmlformats.org/officeDocument/2006/relationships/hyperlink" Target="https://drive.google.com/file/d/1jsKEGA9tFk3LEZgyf2DjgSE2Mz-7slwR/view?usp=sharing" TargetMode="External"/><Relationship Id="rId461" Type="http://schemas.openxmlformats.org/officeDocument/2006/relationships/hyperlink" Target="https://drive.google.com/file/d/1Ox3P0ihWABTd3nhkvCeHc-9r6lfMcmyG/view?usp=sharing" TargetMode="External"/><Relationship Id="rId1294" Type="http://schemas.openxmlformats.org/officeDocument/2006/relationships/hyperlink" Target="https://drive.google.com/file/d/1ILhvbVmENIs3F7UoAcg08MXwVCr8xYT8/view?usp=sharing" TargetMode="External"/><Relationship Id="rId460" Type="http://schemas.openxmlformats.org/officeDocument/2006/relationships/hyperlink" Target="https://drive.google.com/file/d/1pW23mp06A9KJgARwT1WLtuDLj0mclif1/view?usp=sharing" TargetMode="External"/><Relationship Id="rId1295" Type="http://schemas.openxmlformats.org/officeDocument/2006/relationships/hyperlink" Target="https://drive.google.com/file/d/1FGx8tDJkFIPG-rbYpLV5F1W3HIto6ITL/view?usp=sharing" TargetMode="External"/><Relationship Id="rId1296" Type="http://schemas.openxmlformats.org/officeDocument/2006/relationships/hyperlink" Target="https://drive.google.com/file/d/1hO8Hxwta0PuX_VPkPVX1eny7-_euHtMx/view?usp=sharing" TargetMode="External"/><Relationship Id="rId466" Type="http://schemas.openxmlformats.org/officeDocument/2006/relationships/hyperlink" Target="https://drive.google.com/file/d/1yJjP4Qb67_NIzChovO_ZBuN3mV8d3OsT/view?usp=sharing" TargetMode="External"/><Relationship Id="rId1297" Type="http://schemas.openxmlformats.org/officeDocument/2006/relationships/hyperlink" Target="https://drive.google.com/file/d/1qnA6pTKFUWiqJmXOzaQPclx2EAjKExjq/view?usp=sharing" TargetMode="External"/><Relationship Id="rId465" Type="http://schemas.openxmlformats.org/officeDocument/2006/relationships/hyperlink" Target="https://drive.google.com/file/d/1A4xZTt0KbPz87jy0apXzqWDZt44DjWpY/view?usp=sharing" TargetMode="External"/><Relationship Id="rId1298" Type="http://schemas.openxmlformats.org/officeDocument/2006/relationships/hyperlink" Target="https://drive.google.com/file/d/1pXexoS5BgoyYeHQ71CfSa7Nw83wcbv8j/view?usp=sharing" TargetMode="External"/><Relationship Id="rId464" Type="http://schemas.openxmlformats.org/officeDocument/2006/relationships/hyperlink" Target="https://drive.google.com/file/d/1elD8kk_9KdOvpwrjRMYGJXBSK8VjcHzS/view?usp=sharing" TargetMode="External"/><Relationship Id="rId1299" Type="http://schemas.openxmlformats.org/officeDocument/2006/relationships/hyperlink" Target="https://drive.google.com/file/d/1us3ZjvDpPVQxyPR5h2OVWU1m4xPwb3US/view?usp=sharing" TargetMode="External"/><Relationship Id="rId463" Type="http://schemas.openxmlformats.org/officeDocument/2006/relationships/hyperlink" Target="https://drive.google.com/file/d/1Rc3NhZDOWFGxXNb6XQx0twKj1wkqRMTY/view?usp=sharing" TargetMode="External"/><Relationship Id="rId459" Type="http://schemas.openxmlformats.org/officeDocument/2006/relationships/hyperlink" Target="https://drive.google.com/file/d/1ADThgvGS9iGgRn_JnmD4wGh38DrFhj2X/view?usp=sharing" TargetMode="External"/><Relationship Id="rId458" Type="http://schemas.openxmlformats.org/officeDocument/2006/relationships/hyperlink" Target="https://drive.google.com/file/d/1iXEQMPYxxrDPz89G4O4_ES6Y4kmdPsQH/view?usp=sharing" TargetMode="External"/><Relationship Id="rId457" Type="http://schemas.openxmlformats.org/officeDocument/2006/relationships/hyperlink" Target="https://drive.google.com/file/d/15SJQrqngcrxfeWsi3WwvbE0iSY5scavX/view?usp=sharing" TargetMode="External"/><Relationship Id="rId456" Type="http://schemas.openxmlformats.org/officeDocument/2006/relationships/hyperlink" Target="https://drive.google.com/file/d/1yX1DwzdsbggwIOYMnztUGXK_z4s6lXot/view?usp=sharing" TargetMode="External"/><Relationship Id="rId1280" Type="http://schemas.openxmlformats.org/officeDocument/2006/relationships/hyperlink" Target="https://drive.google.com/file/d/1G3RmWclkr2m_WAdWVG9-4C6GMIlqlD1b/view?usp=sharing" TargetMode="External"/><Relationship Id="rId1281" Type="http://schemas.openxmlformats.org/officeDocument/2006/relationships/hyperlink" Target="https://drive.google.com/file/d/1EoXZfJQx_XeonJPIBkIVdPWUdzJ5lBoX/view?usp=sharing" TargetMode="External"/><Relationship Id="rId451" Type="http://schemas.openxmlformats.org/officeDocument/2006/relationships/hyperlink" Target="https://drive.google.com/file/d/1KWfp8pmrUIJWFIw1jR8dFnzHDUxEyBSn/view?usp=sharing" TargetMode="External"/><Relationship Id="rId1282" Type="http://schemas.openxmlformats.org/officeDocument/2006/relationships/hyperlink" Target="https://drive.google.com/file/d/1SrNZaaZGRfH3Nl-TlOjrV65pgxQpHTBR/view?usp=sharing" TargetMode="External"/><Relationship Id="rId450" Type="http://schemas.openxmlformats.org/officeDocument/2006/relationships/hyperlink" Target="https://drive.google.com/file/d/1EEDLl1IH9y68iYq3ff66KDqeaG9d1DZW/view?usp=sharing" TargetMode="External"/><Relationship Id="rId1283" Type="http://schemas.openxmlformats.org/officeDocument/2006/relationships/hyperlink" Target="https://drive.google.com/file/d/1oF1Oqpmr8SE8Z1p9kUFfKVJU_Wt7i1zC/view?usp=sharing" TargetMode="External"/><Relationship Id="rId1284" Type="http://schemas.openxmlformats.org/officeDocument/2006/relationships/hyperlink" Target="https://drive.google.com/file/d/1hh5z6np2D8dagGOu3frrk3Z5obikYZ2x/view?usp=sharing" TargetMode="External"/><Relationship Id="rId1285" Type="http://schemas.openxmlformats.org/officeDocument/2006/relationships/hyperlink" Target="https://drive.google.com/file/d/1CYJ9ynOHEP9IKveEUNLDBJv5-HcH59F7/view?usp=sharing" TargetMode="External"/><Relationship Id="rId455" Type="http://schemas.openxmlformats.org/officeDocument/2006/relationships/hyperlink" Target="https://drive.google.com/file/d/1s6dLcN9qSVCf64eCQYIq7pao5UARW1he/view?usp=sharing" TargetMode="External"/><Relationship Id="rId1286" Type="http://schemas.openxmlformats.org/officeDocument/2006/relationships/hyperlink" Target="https://drive.google.com/file/d/1xdkhqyxSa2ipHd5NMACdOG0Gqaz0eUs9/view?usp=sharing" TargetMode="External"/><Relationship Id="rId454" Type="http://schemas.openxmlformats.org/officeDocument/2006/relationships/hyperlink" Target="https://drive.google.com/file/d/1i3I9XDGqrCOnrsAvGwBD535j-DjBFQpT/view?usp=sharing" TargetMode="External"/><Relationship Id="rId1287" Type="http://schemas.openxmlformats.org/officeDocument/2006/relationships/hyperlink" Target="https://drive.google.com/file/d/1sF3ufIgqlEav7u2Zq3GDsKIKCikC0O-u/view?usp=sharing" TargetMode="External"/><Relationship Id="rId453" Type="http://schemas.openxmlformats.org/officeDocument/2006/relationships/hyperlink" Target="https://drive.google.com/file/d/1qCxhz36WQNSJDcEJOJSdIw0lKSvgg6f8/view?usp=sharing" TargetMode="External"/><Relationship Id="rId1288" Type="http://schemas.openxmlformats.org/officeDocument/2006/relationships/hyperlink" Target="https://drive.google.com/file/d/1ecxwEo6-WsTyhbN_7ltVYyiydlA0yxU_/view?usp=sharing" TargetMode="External"/><Relationship Id="rId452" Type="http://schemas.openxmlformats.org/officeDocument/2006/relationships/hyperlink" Target="https://drive.google.com/file/d/1BLH_-wWpTGxJS1H6v6JsOqg7Q2jdo0lE/view?usp=sharing" TargetMode="External"/><Relationship Id="rId1289" Type="http://schemas.openxmlformats.org/officeDocument/2006/relationships/hyperlink" Target="https://drive.google.com/file/d/1V1GxjJxF7NylBzAPzD85jgnxbzsuc-LY/view?usp=sharing" TargetMode="External"/><Relationship Id="rId3018" Type="http://schemas.openxmlformats.org/officeDocument/2006/relationships/hyperlink" Target="https://drive.google.com/file/d/1XEa9kT8hXoEcXtmspTC_sSIZjewqIOuv/view?usp=sharing" TargetMode="External"/><Relationship Id="rId3017" Type="http://schemas.openxmlformats.org/officeDocument/2006/relationships/hyperlink" Target="https://drive.google.com/file/d/1Brh1tW8ubK3lT3gjTrrD9aIdn9WdW8C_/view?usp=sharing" TargetMode="External"/><Relationship Id="rId3019" Type="http://schemas.openxmlformats.org/officeDocument/2006/relationships/hyperlink" Target="https://drive.google.com/file/d/1n51jkCHvKkzYLGUNirgTRG1P-pnP6NSy/view?usp=sharing" TargetMode="External"/><Relationship Id="rId491" Type="http://schemas.openxmlformats.org/officeDocument/2006/relationships/hyperlink" Target="https://drive.google.com/file/d/18gZrhzFsqKHlETWrT5YMZFpGP7qykvLy/view?usp=sharing" TargetMode="External"/><Relationship Id="rId490" Type="http://schemas.openxmlformats.org/officeDocument/2006/relationships/hyperlink" Target="https://drive.google.com/file/d/1N80fbDwDLqpvenm1sjCKRwrCrVp1RdUW/view?usp=sharing" TargetMode="External"/><Relationship Id="rId489" Type="http://schemas.openxmlformats.org/officeDocument/2006/relationships/hyperlink" Target="https://drive.google.com/file/d/1_0EpOMpZeD2upan1MNMIzhKoVAxZfXuJ/view?usp=sharing" TargetMode="External"/><Relationship Id="rId484" Type="http://schemas.openxmlformats.org/officeDocument/2006/relationships/hyperlink" Target="https://drive.google.com/file/d/1nS5JRROeIjIetIDLYE5cjR57C1Qe9OHn/view?usp=sharing" TargetMode="External"/><Relationship Id="rId3010" Type="http://schemas.openxmlformats.org/officeDocument/2006/relationships/hyperlink" Target="https://drive.google.com/file/d/1vGNm7OCSBeW2aKFTrFQ2j4zge5A5cRnv/view?usp=sharing" TargetMode="External"/><Relationship Id="rId483" Type="http://schemas.openxmlformats.org/officeDocument/2006/relationships/hyperlink" Target="https://drive.google.com/file/d/1Or_pJ9Y8XEZ6n-UPuUH2lr3R2nvPFqJw/view?usp=sharing" TargetMode="External"/><Relationship Id="rId482" Type="http://schemas.openxmlformats.org/officeDocument/2006/relationships/hyperlink" Target="https://drive.google.com/file/d/1pR9DZm4hQNi3jn6J3YotrYWu1EGxqbZg/view?usp=sharing" TargetMode="External"/><Relationship Id="rId3012" Type="http://schemas.openxmlformats.org/officeDocument/2006/relationships/hyperlink" Target="https://drive.google.com/file/d/1pnY5oZ0Ba6HUN2IvEkv6o2_9agbOPyqj/view?usp=sharing" TargetMode="External"/><Relationship Id="rId481" Type="http://schemas.openxmlformats.org/officeDocument/2006/relationships/hyperlink" Target="https://drive.google.com/file/d/1UlXWBA3CYBBmXQh6B-Fa7WhKIEeGFs8p/view?usp=sharing" TargetMode="External"/><Relationship Id="rId3011" Type="http://schemas.openxmlformats.org/officeDocument/2006/relationships/hyperlink" Target="https://drive.google.com/file/d/14jqKPh7i0ttyKfziZYv_VgmWbBqmpvb2/view?usp=sharing" TargetMode="External"/><Relationship Id="rId488" Type="http://schemas.openxmlformats.org/officeDocument/2006/relationships/hyperlink" Target="https://drive.google.com/file/d/1IQ51tJhGHSL81xB8c7PpH_JBRMwefWck/view?usp=sharing" TargetMode="External"/><Relationship Id="rId3014" Type="http://schemas.openxmlformats.org/officeDocument/2006/relationships/hyperlink" Target="https://drive.google.com/file/d/1isp2NpC8UAVSa9m75uLHfTwdKFDcaWc7/view?usp=sharing" TargetMode="External"/><Relationship Id="rId487" Type="http://schemas.openxmlformats.org/officeDocument/2006/relationships/hyperlink" Target="https://drive.google.com/file/d/1vllOWcSRsoPoBO1qa8E8e-2Hz-PoD325/view?usp=sharing" TargetMode="External"/><Relationship Id="rId3013" Type="http://schemas.openxmlformats.org/officeDocument/2006/relationships/hyperlink" Target="https://drive.google.com/file/d/10zfg3L4hqXStdK8XtcCPCGEGHZHWrKgW/view?usp=sharing" TargetMode="External"/><Relationship Id="rId486" Type="http://schemas.openxmlformats.org/officeDocument/2006/relationships/hyperlink" Target="https://drive.google.com/file/d/1wKyf7LamcFdXHUTurI8Mh65w00YHssgq/view?usp=sharing" TargetMode="External"/><Relationship Id="rId3016" Type="http://schemas.openxmlformats.org/officeDocument/2006/relationships/hyperlink" Target="https://drive.google.com/file/d/12M65RYIdCR9YZCjGeIIe92MGsF8vzsvK/view?usp=sharing" TargetMode="External"/><Relationship Id="rId485" Type="http://schemas.openxmlformats.org/officeDocument/2006/relationships/hyperlink" Target="https://drive.google.com/file/d/1vhf9G7KFd4IQobpmcdX-UdgEtk3jBTWi/view?usp=sharing" TargetMode="External"/><Relationship Id="rId3015" Type="http://schemas.openxmlformats.org/officeDocument/2006/relationships/hyperlink" Target="https://drive.google.com/file/d/1CiDu5OdFiDs4gd-XJveC4--eFocSXeNN/view?usp=sharing" TargetMode="External"/><Relationship Id="rId3007" Type="http://schemas.openxmlformats.org/officeDocument/2006/relationships/hyperlink" Target="https://drive.google.com/file/d/1vYUTRt7twxZlaocYiC_1d2iZuITmb_z2/view?usp=sharing" TargetMode="External"/><Relationship Id="rId3006" Type="http://schemas.openxmlformats.org/officeDocument/2006/relationships/hyperlink" Target="https://drive.google.com/file/d/1nmurBcM3-SjCPvdNr1qE2d9O-fL2OGmW/view?usp=sharing" TargetMode="External"/><Relationship Id="rId3009" Type="http://schemas.openxmlformats.org/officeDocument/2006/relationships/hyperlink" Target="https://drive.google.com/file/d/1BZCHUWonJItd38ml-vvxis6XCLz6Jf_C/view?usp=sharing" TargetMode="External"/><Relationship Id="rId3008" Type="http://schemas.openxmlformats.org/officeDocument/2006/relationships/hyperlink" Target="https://drive.google.com/file/d/1awpeguFkP_Q3LYjvswVXfFEkKT1nYSUd/view?usp=sharing" TargetMode="External"/><Relationship Id="rId480" Type="http://schemas.openxmlformats.org/officeDocument/2006/relationships/hyperlink" Target="https://drive.google.com/file/d/1jSBBJJJm8x9rUWLFWsMf_pYe1M0HtkyL/view?usp=sharing" TargetMode="External"/><Relationship Id="rId479" Type="http://schemas.openxmlformats.org/officeDocument/2006/relationships/hyperlink" Target="https://drive.google.com/file/d/1z0brjKMQqvO9oz1XhucgEJaCHNSIZkVC/view?usp=sharing" TargetMode="External"/><Relationship Id="rId478" Type="http://schemas.openxmlformats.org/officeDocument/2006/relationships/hyperlink" Target="https://drive.google.com/file/d/1JXgzThgsKhnVFrKhJGn3tE0xXQqNYqhP/view?usp=sharing" TargetMode="External"/><Relationship Id="rId473" Type="http://schemas.openxmlformats.org/officeDocument/2006/relationships/hyperlink" Target="https://drive.google.com/file/d/12ixpL5Zu9iNrCXNzRQqu62AJhnQKdod3/view?usp=sharing" TargetMode="External"/><Relationship Id="rId472" Type="http://schemas.openxmlformats.org/officeDocument/2006/relationships/hyperlink" Target="https://drive.google.com/file/d/10h1tBAZ3MK87MNG6XQ3J6snHbq1wt_Xq/view?usp=sharing" TargetMode="External"/><Relationship Id="rId471" Type="http://schemas.openxmlformats.org/officeDocument/2006/relationships/hyperlink" Target="https://drive.google.com/file/d/1uylbp5WT3TbOHKtLbX9c1IJPo0uTOh4p/view?usp=sharing" TargetMode="External"/><Relationship Id="rId3001" Type="http://schemas.openxmlformats.org/officeDocument/2006/relationships/hyperlink" Target="https://drive.google.com/file/d/1yhmPcyO8TQZHLhIwUhhgjIYrvcx_8hiI/view?usp=sharing" TargetMode="External"/><Relationship Id="rId470" Type="http://schemas.openxmlformats.org/officeDocument/2006/relationships/hyperlink" Target="https://drive.google.com/file/d/115cGo8HJ5vSFA6yjbD7keIkgn5uxnYc-/view?usp=sharing" TargetMode="External"/><Relationship Id="rId3000" Type="http://schemas.openxmlformats.org/officeDocument/2006/relationships/hyperlink" Target="https://drive.google.com/file/d/11YzL3blT8GkfnaYWmnwc08dPtB55QMEq/view?usp=sharing" TargetMode="External"/><Relationship Id="rId477" Type="http://schemas.openxmlformats.org/officeDocument/2006/relationships/hyperlink" Target="https://drive.google.com/file/d/1mHrWAIkNUv0luM-bwFeLaM5yIzouGWYY/view?usp=sharing" TargetMode="External"/><Relationship Id="rId3003" Type="http://schemas.openxmlformats.org/officeDocument/2006/relationships/hyperlink" Target="https://drive.google.com/file/d/1FacE4cuz15xowZx5HnPeagIsz7lqWxw9/view?usp=sharing" TargetMode="External"/><Relationship Id="rId476" Type="http://schemas.openxmlformats.org/officeDocument/2006/relationships/hyperlink" Target="https://drive.google.com/file/d/19XbXt70IwizIWw629qfNRyPMkxzVuI2x/view?usp=sharing" TargetMode="External"/><Relationship Id="rId3002" Type="http://schemas.openxmlformats.org/officeDocument/2006/relationships/hyperlink" Target="https://drive.google.com/file/d/1u-0MXn3N70qBjqfkDIxcBEQz-G_a_8AS/view?usp=sharing" TargetMode="External"/><Relationship Id="rId475" Type="http://schemas.openxmlformats.org/officeDocument/2006/relationships/hyperlink" Target="https://drive.google.com/file/d/1vr3o7XxRCfr1XmUzOjd-CU7RkydzSXuk/view?usp=sharing" TargetMode="External"/><Relationship Id="rId3005" Type="http://schemas.openxmlformats.org/officeDocument/2006/relationships/hyperlink" Target="https://drive.google.com/file/d/1kgrjR3XPOWCTFte3QFEfriwlfQkUrW2N/view?usp=sharing" TargetMode="External"/><Relationship Id="rId474" Type="http://schemas.openxmlformats.org/officeDocument/2006/relationships/hyperlink" Target="https://drive.google.com/file/d/1ZHixghofpv8-qGjcaF3XPB5kiKaA46bT/view?usp=sharing" TargetMode="External"/><Relationship Id="rId3004" Type="http://schemas.openxmlformats.org/officeDocument/2006/relationships/hyperlink" Target="https://drive.google.com/file/d/1C9K5WsIUo9v966StDNSD-tSyY01oIOMj/view?usp=sharing" TargetMode="External"/><Relationship Id="rId1257" Type="http://schemas.openxmlformats.org/officeDocument/2006/relationships/hyperlink" Target="https://drive.google.com/file/d/1TI44kO055q4DHebNwcwOmogiBb4nfvtY/view?usp=sharing" TargetMode="External"/><Relationship Id="rId2588" Type="http://schemas.openxmlformats.org/officeDocument/2006/relationships/hyperlink" Target="https://drive.google.com/file/d/1OCZhA3kLZtnirt1J6z9Cy0EJswFora5i/view?usp=sharing" TargetMode="External"/><Relationship Id="rId1258" Type="http://schemas.openxmlformats.org/officeDocument/2006/relationships/hyperlink" Target="https://drive.google.com/file/d/10JwY3_vEAyss_Hq4bRabLp1Ttfe6t0dl/view?usp=sharing" TargetMode="External"/><Relationship Id="rId2589" Type="http://schemas.openxmlformats.org/officeDocument/2006/relationships/hyperlink" Target="https://drive.google.com/file/d/1OWuNa6HaLIvuPkrYM18viYBv_kC71OxA/view?usp=sharing" TargetMode="External"/><Relationship Id="rId1259" Type="http://schemas.openxmlformats.org/officeDocument/2006/relationships/hyperlink" Target="https://drive.google.com/file/d/1CsMll9LF-5JmKtylRB4RAc_IRORHrH37/view?usp=sharing" TargetMode="External"/><Relationship Id="rId426" Type="http://schemas.openxmlformats.org/officeDocument/2006/relationships/hyperlink" Target="https://drive.google.com/file/d/1PIfJpqPCRcaKziwQC2sYJEhZTh2ZgrFP/view?usp=sharing" TargetMode="External"/><Relationship Id="rId425" Type="http://schemas.openxmlformats.org/officeDocument/2006/relationships/hyperlink" Target="https://drive.google.com/file/d/1kWPCPl_JXfb0bEWFFMKr-5V4oYR0tF1O/view?usp=sharing" TargetMode="External"/><Relationship Id="rId424" Type="http://schemas.openxmlformats.org/officeDocument/2006/relationships/hyperlink" Target="https://drive.google.com/file/d/1-RUUxyktlBSrjrRnvBuuapio6F13f66C/view?usp=sharing" TargetMode="External"/><Relationship Id="rId423" Type="http://schemas.openxmlformats.org/officeDocument/2006/relationships/hyperlink" Target="https://drive.google.com/file/d/1OCAWDMYvFhgKV2xWgfPUvqAU4JhzmVKZ/view?usp=sharing" TargetMode="External"/><Relationship Id="rId429" Type="http://schemas.openxmlformats.org/officeDocument/2006/relationships/hyperlink" Target="https://drive.google.com/file/d/14DP_vjIQQFdx2I8rBtfRSlWqOCOIldL7/view?usp=sharing" TargetMode="External"/><Relationship Id="rId428" Type="http://schemas.openxmlformats.org/officeDocument/2006/relationships/hyperlink" Target="https://drive.google.com/file/d/1_pjFRkGUMX0wWIMjGOH9KYv5rtZ1ulnP/view?usp=sharing" TargetMode="External"/><Relationship Id="rId427" Type="http://schemas.openxmlformats.org/officeDocument/2006/relationships/hyperlink" Target="https://drive.google.com/file/d/1pNtoKScJA1rjQklzTivmDS2zejW06uNb/view?usp=sharing" TargetMode="External"/><Relationship Id="rId2580" Type="http://schemas.openxmlformats.org/officeDocument/2006/relationships/hyperlink" Target="https://drive.google.com/file/d/1-sAIf1lyX5uLBvrTeHQ8Fsb53_BfkaJY/view?usp=sharing" TargetMode="External"/><Relationship Id="rId1250" Type="http://schemas.openxmlformats.org/officeDocument/2006/relationships/hyperlink" Target="https://drive.google.com/file/d/18HbuXOX61LI6w5yzeevBDwx8x208Ien8/view?usp=sharing" TargetMode="External"/><Relationship Id="rId2581" Type="http://schemas.openxmlformats.org/officeDocument/2006/relationships/hyperlink" Target="https://drive.google.com/file/d/18a6xYD8bW_Tb_Wz35ukDv713DXcQkZZ3/view?usp=sharing" TargetMode="External"/><Relationship Id="rId1251" Type="http://schemas.openxmlformats.org/officeDocument/2006/relationships/hyperlink" Target="https://drive.google.com/file/d/1p8G33WBRjUdh7oJLtZuUhEbiTpCCHFax/view?usp=sharing" TargetMode="External"/><Relationship Id="rId2582" Type="http://schemas.openxmlformats.org/officeDocument/2006/relationships/hyperlink" Target="https://drive.google.com/file/d/1rYnuRrl-Cfsl0z3KB1FfBrvJ-ZvF6F3s/view?usp=sharing" TargetMode="External"/><Relationship Id="rId1252" Type="http://schemas.openxmlformats.org/officeDocument/2006/relationships/hyperlink" Target="https://drive.google.com/file/d/1XgNcjeQXSgA9nEZrDMPV4yN83gjHA9vi/view?usp=sharing" TargetMode="External"/><Relationship Id="rId2583" Type="http://schemas.openxmlformats.org/officeDocument/2006/relationships/hyperlink" Target="https://drive.google.com/file/d/1K7QQJDJ98MA-T3XK3QZ77MhE_1PqZ1md/view?usp=sharing" TargetMode="External"/><Relationship Id="rId422" Type="http://schemas.openxmlformats.org/officeDocument/2006/relationships/hyperlink" Target="https://drive.google.com/file/d/1LouPSjal7928Lpa9wuTOExNyYOpF6g8f/view?usp=sharing" TargetMode="External"/><Relationship Id="rId1253" Type="http://schemas.openxmlformats.org/officeDocument/2006/relationships/hyperlink" Target="https://drive.google.com/file/d/1Zl3__0sj0io5sgNKU_WtqHtxPShW-RuN/view?usp=sharing" TargetMode="External"/><Relationship Id="rId2584" Type="http://schemas.openxmlformats.org/officeDocument/2006/relationships/hyperlink" Target="https://drive.google.com/file/d/1Uk--N8VDveYYa4ZBZ4-KP7wtDcKQ-jpc/view?usp=sharing" TargetMode="External"/><Relationship Id="rId421" Type="http://schemas.openxmlformats.org/officeDocument/2006/relationships/hyperlink" Target="https://drive.google.com/file/d/1q7enTkf9dPKh9y3RPsxogzzOSQuMIdZl/view?usp=sharing" TargetMode="External"/><Relationship Id="rId1254" Type="http://schemas.openxmlformats.org/officeDocument/2006/relationships/hyperlink" Target="https://drive.google.com/file/d/1Z84V5_J-_nQEdpmZBgkdkxU5XKDUcVNT/view?usp=sharing" TargetMode="External"/><Relationship Id="rId2585" Type="http://schemas.openxmlformats.org/officeDocument/2006/relationships/hyperlink" Target="https://drive.google.com/file/d/15qnj7x5abiuQT-VAOtxHf4-LbnzJmGuX/view?usp=sharing" TargetMode="External"/><Relationship Id="rId420" Type="http://schemas.openxmlformats.org/officeDocument/2006/relationships/hyperlink" Target="https://drive.google.com/file/d/1zMdH0k9G_f-PMZQ6dW9E8nE5Ural4V5T/view?usp=sharing" TargetMode="External"/><Relationship Id="rId1255" Type="http://schemas.openxmlformats.org/officeDocument/2006/relationships/hyperlink" Target="https://drive.google.com/file/d/1-D2Jkifpeiu1-pD5fhFcs1WL4f8bEtT-/view?usp=sharing" TargetMode="External"/><Relationship Id="rId2586" Type="http://schemas.openxmlformats.org/officeDocument/2006/relationships/hyperlink" Target="https://drive.google.com/file/d/1HCC-cEqiz1_3s6g7D2EOpd4FbSJWixlE/view?usp=sharing" TargetMode="External"/><Relationship Id="rId1256" Type="http://schemas.openxmlformats.org/officeDocument/2006/relationships/hyperlink" Target="https://drive.google.com/file/d/1Ii3Fik6JNkDw96F50gZyMJbpzyA6sPVw/view?usp=sharing" TargetMode="External"/><Relationship Id="rId2587" Type="http://schemas.openxmlformats.org/officeDocument/2006/relationships/hyperlink" Target="https://drive.google.com/file/d/17btXiUwa02WluauEhpG25dsoa3h1SVQ9/view?usp=sharing" TargetMode="External"/><Relationship Id="rId1246" Type="http://schemas.openxmlformats.org/officeDocument/2006/relationships/hyperlink" Target="https://drive.google.com/file/d/1lkiwrYbv94AL49k8EVHaJgHsQV1gm1RV/view?usp=sharing" TargetMode="External"/><Relationship Id="rId2577" Type="http://schemas.openxmlformats.org/officeDocument/2006/relationships/hyperlink" Target="https://drive.google.com/file/d/1DGw8Fiqk1xKRYPgNph9FZ8NKASP5DA-c/view?usp=sharing" TargetMode="External"/><Relationship Id="rId1247" Type="http://schemas.openxmlformats.org/officeDocument/2006/relationships/hyperlink" Target="https://drive.google.com/file/d/1KRSRtiA1lpDwzGwl-V5Hdr7NXm8NzHzM/view?usp=sharing" TargetMode="External"/><Relationship Id="rId2578" Type="http://schemas.openxmlformats.org/officeDocument/2006/relationships/hyperlink" Target="https://drive.google.com/file/d/1Nz7bOOcUgEodQ9gQGzFGtymldqRri9pc/view?usp=sharing" TargetMode="External"/><Relationship Id="rId1248" Type="http://schemas.openxmlformats.org/officeDocument/2006/relationships/hyperlink" Target="https://drive.google.com/file/d/1N8BbYILcr7aBSkRmHl0Q8SQLvGolLKLZ/view?usp=sharing" TargetMode="External"/><Relationship Id="rId2579" Type="http://schemas.openxmlformats.org/officeDocument/2006/relationships/hyperlink" Target="https://drive.google.com/file/d/1zs_c2A3cn1OQqUa54EnrvnJhxwBCFbiR/view?usp=sharing" TargetMode="External"/><Relationship Id="rId1249" Type="http://schemas.openxmlformats.org/officeDocument/2006/relationships/hyperlink" Target="https://drive.google.com/file/d/1x_O1H49CJi4pvAQ5um8Y7HUn8u-q1vt2/view?usp=sharing" TargetMode="External"/><Relationship Id="rId415" Type="http://schemas.openxmlformats.org/officeDocument/2006/relationships/hyperlink" Target="https://drive.google.com/file/d/1Ppvvr3Lwbw7ElIRvbQEow-GzfwJbabkk/view?usp=sharing" TargetMode="External"/><Relationship Id="rId414" Type="http://schemas.openxmlformats.org/officeDocument/2006/relationships/hyperlink" Target="https://drive.google.com/file/d/1EO-44qkzegih5SbHpwpgk_iCIiYT8rkO/view?usp=sharing" TargetMode="External"/><Relationship Id="rId413" Type="http://schemas.openxmlformats.org/officeDocument/2006/relationships/hyperlink" Target="https://drive.google.com/file/d/1tMD4BwWnlkJa8mL2t9pD8gUmTvKM5asB/view?usp=sharing" TargetMode="External"/><Relationship Id="rId412" Type="http://schemas.openxmlformats.org/officeDocument/2006/relationships/hyperlink" Target="https://drive.google.com/file/d/10u1dMNo7GFWFNYw_GiNyIILTDCOuulIX/view?usp=sharing" TargetMode="External"/><Relationship Id="rId419" Type="http://schemas.openxmlformats.org/officeDocument/2006/relationships/hyperlink" Target="https://drive.google.com/file/d/1yUN6Sv0MY5T1ZuTjwWoCpa9rIZpCGEWl/view?usp=sharing" TargetMode="External"/><Relationship Id="rId418" Type="http://schemas.openxmlformats.org/officeDocument/2006/relationships/hyperlink" Target="https://drive.google.com/file/d/1pBrOR7Snf1qz5EBsqrRQ6YriJF2xyqA_/view?usp=sharing" TargetMode="External"/><Relationship Id="rId417" Type="http://schemas.openxmlformats.org/officeDocument/2006/relationships/hyperlink" Target="https://drive.google.com/file/d/1tOtEuDlCXmbsUdbGVrY-GXWQgog8SLeg/view?usp=sharing" TargetMode="External"/><Relationship Id="rId416" Type="http://schemas.openxmlformats.org/officeDocument/2006/relationships/hyperlink" Target="https://drive.google.com/file/d/1F-zCJPVfqiO_2MWQORsjnPSFuq0zJmLN/view?usp=sharing" TargetMode="External"/><Relationship Id="rId2570" Type="http://schemas.openxmlformats.org/officeDocument/2006/relationships/hyperlink" Target="https://drive.google.com/file/d/1tRGxj6bHfOw291jBICCyjlfYSJRb6Z_o/view?usp=sharing" TargetMode="External"/><Relationship Id="rId1240" Type="http://schemas.openxmlformats.org/officeDocument/2006/relationships/hyperlink" Target="https://drive.google.com/file/d/1sH_l-hbL0DdeJe0bVEakPsb6_QfK2RtR/view?usp=sharing" TargetMode="External"/><Relationship Id="rId2571" Type="http://schemas.openxmlformats.org/officeDocument/2006/relationships/hyperlink" Target="https://drive.google.com/file/d/1v24wLZvhk0lQ2zFst_hokRujTZG7vRp6/view?usp=sharing" TargetMode="External"/><Relationship Id="rId1241" Type="http://schemas.openxmlformats.org/officeDocument/2006/relationships/hyperlink" Target="https://drive.google.com/file/d/16_vkA-IpQcPkXjOAYIY7__kmo8bpjIYj/view?usp=sharing" TargetMode="External"/><Relationship Id="rId2572" Type="http://schemas.openxmlformats.org/officeDocument/2006/relationships/hyperlink" Target="https://drive.google.com/file/d/1IqaWhl4PVPieadyehBCqr2cZ6JMTXEMS/view?usp=sharing" TargetMode="External"/><Relationship Id="rId411" Type="http://schemas.openxmlformats.org/officeDocument/2006/relationships/hyperlink" Target="https://drive.google.com/file/d/1oBm-dVTZVyDeeWgOzfTbVEXhmSUhL6pR/view?usp=sharing" TargetMode="External"/><Relationship Id="rId1242" Type="http://schemas.openxmlformats.org/officeDocument/2006/relationships/hyperlink" Target="https://drive.google.com/file/d/1460f2rJAcjwEf6T_8q4a9th3Ib3G9RTs/view?usp=sharing" TargetMode="External"/><Relationship Id="rId2573" Type="http://schemas.openxmlformats.org/officeDocument/2006/relationships/hyperlink" Target="https://drive.google.com/file/d/1QpI4vEJTkjG-Wi-jHP1DnFulbs9cpYAa/view?usp=sharing" TargetMode="External"/><Relationship Id="rId410" Type="http://schemas.openxmlformats.org/officeDocument/2006/relationships/hyperlink" Target="https://drive.google.com/file/d/1gxAi3PYje9E6wrEcClZkg2jIylAVbi-J/view?usp=sharing" TargetMode="External"/><Relationship Id="rId1243" Type="http://schemas.openxmlformats.org/officeDocument/2006/relationships/hyperlink" Target="https://drive.google.com/file/d/1s0vNedGoKbqQSENDriXrdsDV2Ebzrj01/view?usp=sharing" TargetMode="External"/><Relationship Id="rId2574" Type="http://schemas.openxmlformats.org/officeDocument/2006/relationships/hyperlink" Target="https://drive.google.com/file/d/1g0uOC5cR-ADIOd5w0LdKenMi8TS8fL8r/view?usp=sharing" TargetMode="External"/><Relationship Id="rId1244" Type="http://schemas.openxmlformats.org/officeDocument/2006/relationships/hyperlink" Target="https://drive.google.com/file/d/1x-flFeBoaLV6-p7Q8Gj6HkoBEqY3sbTP/view?usp=sharing" TargetMode="External"/><Relationship Id="rId2575" Type="http://schemas.openxmlformats.org/officeDocument/2006/relationships/hyperlink" Target="https://drive.google.com/file/d/1BxMD3Mk4PFDrza9m09_Tn2YtwPp058rv/view?usp=sharing" TargetMode="External"/><Relationship Id="rId1245" Type="http://schemas.openxmlformats.org/officeDocument/2006/relationships/hyperlink" Target="https://drive.google.com/file/d/1O-HFewEBSGvhmeqDZSUqZ2bljPU1Utlm/view?usp=sharing" TargetMode="External"/><Relationship Id="rId2576" Type="http://schemas.openxmlformats.org/officeDocument/2006/relationships/hyperlink" Target="https://drive.google.com/file/d/1zvZq_qwhQDq84jTqR3F7Gu8YoYz7xBT2/view?usp=sharing" TargetMode="External"/><Relationship Id="rId1279" Type="http://schemas.openxmlformats.org/officeDocument/2006/relationships/hyperlink" Target="https://drive.google.com/file/d/10wXJdJEA_k10yMxCbrGXuMH60nLAEsGt/view?usp=sharing" TargetMode="External"/><Relationship Id="rId448" Type="http://schemas.openxmlformats.org/officeDocument/2006/relationships/hyperlink" Target="https://drive.google.com/file/d/16Z-OpgxEnOgMqnAJ5VEK_Ac0ZHNOMZPz/view?usp=sharing" TargetMode="External"/><Relationship Id="rId447" Type="http://schemas.openxmlformats.org/officeDocument/2006/relationships/hyperlink" Target="https://drive.google.com/file/d/1FrEmONwlTdjGicbnQcknr8QdUo2ZjaxS/view?usp=sharing" TargetMode="External"/><Relationship Id="rId446" Type="http://schemas.openxmlformats.org/officeDocument/2006/relationships/hyperlink" Target="https://drive.google.com/file/d/1kVQs2nxSN-tG6nN_NPVP0kjLtGm5fW_c/view?usp=sharing" TargetMode="External"/><Relationship Id="rId445" Type="http://schemas.openxmlformats.org/officeDocument/2006/relationships/hyperlink" Target="https://drive.google.com/file/d/1upGSXuP6uDJfJgTcSn1kGBhhjwDq0uM_/view?usp=sharing" TargetMode="External"/><Relationship Id="rId449" Type="http://schemas.openxmlformats.org/officeDocument/2006/relationships/hyperlink" Target="https://drive.google.com/file/d/12Xzeq_gr5CHJ_CZmGrMm2Tj9_0zou0PU/view?usp=sharing" TargetMode="External"/><Relationship Id="rId1270" Type="http://schemas.openxmlformats.org/officeDocument/2006/relationships/hyperlink" Target="https://drive.google.com/file/d/1vWYwtqM6a8ZbzX2r6NwrQ9oYkPZW50pD/view?usp=sharing" TargetMode="External"/><Relationship Id="rId440" Type="http://schemas.openxmlformats.org/officeDocument/2006/relationships/hyperlink" Target="https://drive.google.com/file/d/10Qd8lXCtW3O5KATBshraSbEiVHa9QPGS/view?usp=sharing" TargetMode="External"/><Relationship Id="rId1271" Type="http://schemas.openxmlformats.org/officeDocument/2006/relationships/hyperlink" Target="https://drive.google.com/file/d/1F65tef9SkRsquXBXPdr0kNhGnU2cGyts/view?usp=sharing" TargetMode="External"/><Relationship Id="rId1272" Type="http://schemas.openxmlformats.org/officeDocument/2006/relationships/hyperlink" Target="https://drive.google.com/file/d/1_Ybsk6jCaBiJbEgJrEK22SvmsahmHOWj/view?usp=sharing" TargetMode="External"/><Relationship Id="rId1273" Type="http://schemas.openxmlformats.org/officeDocument/2006/relationships/hyperlink" Target="https://drive.google.com/file/d/1JN17HpD-nPpH5Zaz3J6TmHqsXpF7ogfj/view?usp=sharing" TargetMode="External"/><Relationship Id="rId1274" Type="http://schemas.openxmlformats.org/officeDocument/2006/relationships/hyperlink" Target="https://drive.google.com/file/d/1_iq4Kbq3Vi8YdKIIhCbtPQfKyhFuwb9v/view?usp=sharing" TargetMode="External"/><Relationship Id="rId444" Type="http://schemas.openxmlformats.org/officeDocument/2006/relationships/hyperlink" Target="https://drive.google.com/file/d/10-bxFS-rTu7oyjrgwcR7oCH04wMqwkQi/view?usp=sharing" TargetMode="External"/><Relationship Id="rId1275" Type="http://schemas.openxmlformats.org/officeDocument/2006/relationships/hyperlink" Target="https://drive.google.com/file/d/1Thux39ZayKKFKqDL6HfMxOkH86tthh2p/view?usp=sharing" TargetMode="External"/><Relationship Id="rId443" Type="http://schemas.openxmlformats.org/officeDocument/2006/relationships/hyperlink" Target="https://drive.google.com/file/d/1FF_STascGSzqIjzh419Y20IDU9oKG-4p/view?usp=sharing" TargetMode="External"/><Relationship Id="rId1276" Type="http://schemas.openxmlformats.org/officeDocument/2006/relationships/hyperlink" Target="https://drive.google.com/file/d/1GwqaV9AAxZfbvKVsbGZL1Ezwmn44vABY/view?usp=sharing" TargetMode="External"/><Relationship Id="rId442" Type="http://schemas.openxmlformats.org/officeDocument/2006/relationships/hyperlink" Target="https://drive.google.com/file/d/11pFbV69gaAaKCYy9DIzgswbTE42YV-t-/view?usp=sharing" TargetMode="External"/><Relationship Id="rId1277" Type="http://schemas.openxmlformats.org/officeDocument/2006/relationships/hyperlink" Target="https://drive.google.com/file/d/1M_0iIf54L3MNS829wr7N4oKuVw0_58gE/view?usp=sharing" TargetMode="External"/><Relationship Id="rId441" Type="http://schemas.openxmlformats.org/officeDocument/2006/relationships/hyperlink" Target="https://drive.google.com/file/d/1ICz03o43X3qzVVJHOUIdjStM6RBr289Q/view?usp=sharing" TargetMode="External"/><Relationship Id="rId1278" Type="http://schemas.openxmlformats.org/officeDocument/2006/relationships/hyperlink" Target="https://drive.google.com/file/d/1yxieqRhlas7ECj6Rdczs6ftIUmpQyxC7/view?usp=sharing" TargetMode="External"/><Relationship Id="rId1268" Type="http://schemas.openxmlformats.org/officeDocument/2006/relationships/hyperlink" Target="https://drive.google.com/file/d/18w6LoB31RhS8jNrbJzRBTe5bN718ZkEN/view?usp=sharing" TargetMode="External"/><Relationship Id="rId2599" Type="http://schemas.openxmlformats.org/officeDocument/2006/relationships/hyperlink" Target="https://drive.google.com/file/d/1nIszk94HmO5OYEwl5AQZ5SS56F15W84k/view?usp=sharing" TargetMode="External"/><Relationship Id="rId1269" Type="http://schemas.openxmlformats.org/officeDocument/2006/relationships/hyperlink" Target="https://drive.google.com/file/d/1lM9yFdx7UPd0Ch53ergy7aqet7c8S_86/view?usp=sharing" TargetMode="External"/><Relationship Id="rId437" Type="http://schemas.openxmlformats.org/officeDocument/2006/relationships/hyperlink" Target="https://drive.google.com/file/d/1jcnzMBKdKSnEboIpt2X6HJjHbxDgIP3b/view?usp=sharing" TargetMode="External"/><Relationship Id="rId436" Type="http://schemas.openxmlformats.org/officeDocument/2006/relationships/hyperlink" Target="https://drive.google.com/file/d/1U3gCaNtxRpGwHxo67YNUih9zjTMvZSEx/view?usp=sharing" TargetMode="External"/><Relationship Id="rId435" Type="http://schemas.openxmlformats.org/officeDocument/2006/relationships/hyperlink" Target="https://drive.google.com/file/d/1Qo8xx1-4Aejy_P-iR4y5OmxVf9PbmybP/view?usp=sharing" TargetMode="External"/><Relationship Id="rId434" Type="http://schemas.openxmlformats.org/officeDocument/2006/relationships/hyperlink" Target="https://drive.google.com/file/d/14_O8Wn6pfaGM32f8yfah-5K5-LzNikJL/view?usp=sharing" TargetMode="External"/><Relationship Id="rId439" Type="http://schemas.openxmlformats.org/officeDocument/2006/relationships/hyperlink" Target="https://drive.google.com/file/d/1RmV6rukUGtuLVadKrhl5xwVa0GvpD4_6/view?usp=sharing" TargetMode="External"/><Relationship Id="rId438" Type="http://schemas.openxmlformats.org/officeDocument/2006/relationships/hyperlink" Target="https://drive.google.com/file/d/1FfQM-4mnrin07v7_qTqzlu2R1HMAR5rb/view?usp=sharing" TargetMode="External"/><Relationship Id="rId2590" Type="http://schemas.openxmlformats.org/officeDocument/2006/relationships/hyperlink" Target="https://drive.google.com/file/d/1xas2TC8KSFePziufl1g3S8t9kAyqTvQv/view?usp=sharing" TargetMode="External"/><Relationship Id="rId1260" Type="http://schemas.openxmlformats.org/officeDocument/2006/relationships/hyperlink" Target="https://drive.google.com/file/d/1sRln0iod5yVSpm011vSJgJaSn-hQEl_5/view?usp=sharing" TargetMode="External"/><Relationship Id="rId2591" Type="http://schemas.openxmlformats.org/officeDocument/2006/relationships/hyperlink" Target="https://drive.google.com/file/d/1vjiDcLkocUcPX3iLYXkiRRB3S_1jWY41/view?usp=sharing" TargetMode="External"/><Relationship Id="rId1261" Type="http://schemas.openxmlformats.org/officeDocument/2006/relationships/hyperlink" Target="https://drive.google.com/file/d/1_nYIxakfVN2Y447Yv6vmOqGpVZA4TEUV/view?usp=sharing" TargetMode="External"/><Relationship Id="rId2592" Type="http://schemas.openxmlformats.org/officeDocument/2006/relationships/hyperlink" Target="https://drive.google.com/file/d/11DkYHifow5Y5s8SpyAuyYTYCuT6svsDj/view?usp=sharing" TargetMode="External"/><Relationship Id="rId1262" Type="http://schemas.openxmlformats.org/officeDocument/2006/relationships/hyperlink" Target="https://drive.google.com/file/d/1HssfG1kCgnFyqEprXaVFrjLBG7SF3sop/view?usp=sharing" TargetMode="External"/><Relationship Id="rId2593" Type="http://schemas.openxmlformats.org/officeDocument/2006/relationships/hyperlink" Target="https://drive.google.com/file/d/1t338iir3mLjqJoZcbXwFILVZ4lfFK6u0/view?usp=sharing" TargetMode="External"/><Relationship Id="rId1263" Type="http://schemas.openxmlformats.org/officeDocument/2006/relationships/hyperlink" Target="https://drive.google.com/file/d/1QfKOye7Kvg2n79qBRIYeYAyRlTwSsbck/view?usp=sharing" TargetMode="External"/><Relationship Id="rId2594" Type="http://schemas.openxmlformats.org/officeDocument/2006/relationships/hyperlink" Target="https://drive.google.com/file/d/1recqESLkcgezH9FKU8umDsiO9mzs3w4A/view?usp=sharing" TargetMode="External"/><Relationship Id="rId433" Type="http://schemas.openxmlformats.org/officeDocument/2006/relationships/hyperlink" Target="https://drive.google.com/file/d/1rPxcrI2i6AOkZwL7by2yjiUOoZc4DeUN/view?usp=sharing" TargetMode="External"/><Relationship Id="rId1264" Type="http://schemas.openxmlformats.org/officeDocument/2006/relationships/hyperlink" Target="https://drive.google.com/file/d/1fVE9wSFZA8m1XHRapeRsKn8rYGNO2OGg/view?usp=sharing" TargetMode="External"/><Relationship Id="rId2595" Type="http://schemas.openxmlformats.org/officeDocument/2006/relationships/hyperlink" Target="https://drive.google.com/file/d/1_awHEbW2eSghLp-aO2EnvHaCz2UJZSwO/view?usp=sharing" TargetMode="External"/><Relationship Id="rId432" Type="http://schemas.openxmlformats.org/officeDocument/2006/relationships/hyperlink" Target="https://drive.google.com/file/d/1uB3QzI6USCauWRykd07fMpJoz5ZzdnBi/view?usp=sharing" TargetMode="External"/><Relationship Id="rId1265" Type="http://schemas.openxmlformats.org/officeDocument/2006/relationships/hyperlink" Target="https://drive.google.com/file/d/13HD8EyMmUAwyq50EPiQDq6mi9tQepfq2/view?usp=sharing" TargetMode="External"/><Relationship Id="rId2596" Type="http://schemas.openxmlformats.org/officeDocument/2006/relationships/hyperlink" Target="https://drive.google.com/file/d/1WEhQwtEJwWh1Rw9pNKeQHj4jK8okWm5G/view?usp=sharing" TargetMode="External"/><Relationship Id="rId431" Type="http://schemas.openxmlformats.org/officeDocument/2006/relationships/hyperlink" Target="https://drive.google.com/file/d/1Dz93BHUWLev2pLr6o2GQfkuCn-_WBsjM/view?usp=sharing" TargetMode="External"/><Relationship Id="rId1266" Type="http://schemas.openxmlformats.org/officeDocument/2006/relationships/hyperlink" Target="https://drive.google.com/file/d/1CC2ata6ce3PKWCYu6PsyACQl_MZfILvz/view?usp=sharing" TargetMode="External"/><Relationship Id="rId2597" Type="http://schemas.openxmlformats.org/officeDocument/2006/relationships/hyperlink" Target="https://drive.google.com/file/d/138bQPjfLtt4GSTW7ndbkCkvmYTp8A1-H/view?usp=sharing" TargetMode="External"/><Relationship Id="rId430" Type="http://schemas.openxmlformats.org/officeDocument/2006/relationships/hyperlink" Target="https://drive.google.com/file/d/1b70eX0XTfCrJlGF5OV1tB3O_DK-RSeB2/view?usp=sharing" TargetMode="External"/><Relationship Id="rId1267" Type="http://schemas.openxmlformats.org/officeDocument/2006/relationships/hyperlink" Target="https://drive.google.com/file/d/15cV2G1XhcSyD4CNqcx96aqPPgKykuME6/view?usp=sharing" TargetMode="External"/><Relationship Id="rId2598" Type="http://schemas.openxmlformats.org/officeDocument/2006/relationships/hyperlink" Target="https://drive.google.com/file/d/18hM59ChAUba5zURzs1NqdmbmkXWJ0S9l/view?usp=sharing" TargetMode="External"/><Relationship Id="rId3070" Type="http://schemas.openxmlformats.org/officeDocument/2006/relationships/hyperlink" Target="https://drive.google.com/file/d/1fFPY921l6EVeKpzyuKfZMgV4lMOnvSIC/view?usp=sharing" TargetMode="External"/><Relationship Id="rId3072" Type="http://schemas.openxmlformats.org/officeDocument/2006/relationships/hyperlink" Target="https://drive.google.com/file/d/1rJr2Iuj5NHglO57SzdIj1k09EwZdEEJO/view?usp=sharing" TargetMode="External"/><Relationship Id="rId3071" Type="http://schemas.openxmlformats.org/officeDocument/2006/relationships/hyperlink" Target="https://drive.google.com/file/d/1jsJxAgcBBtHB5jxMFk2pGCmdOO5ELxAp/view?usp=sharing" TargetMode="External"/><Relationship Id="rId3074" Type="http://schemas.openxmlformats.org/officeDocument/2006/relationships/hyperlink" Target="https://drive.google.com/file/d/1BuOJXhw53jvEGkMhIZRCgbiNHaBbjf28/view?usp=sharing" TargetMode="External"/><Relationship Id="rId3073" Type="http://schemas.openxmlformats.org/officeDocument/2006/relationships/hyperlink" Target="https://drive.google.com/file/d/1EVZQ4VkSXvG_f3bM5AuokLSm5g6JMVzl/view?usp=sharing" TargetMode="External"/><Relationship Id="rId3076" Type="http://schemas.openxmlformats.org/officeDocument/2006/relationships/hyperlink" Target="https://drive.google.com/file/d/1pESWr4G5SuHgaord0uCFVBzJ5sgs4px3/view?usp=sharing" TargetMode="External"/><Relationship Id="rId3075" Type="http://schemas.openxmlformats.org/officeDocument/2006/relationships/hyperlink" Target="https://drive.google.com/file/d/1KzzvCGQD_DpumFM2_cufjKsmzlDKSZEp/view?usp=sharing" TargetMode="External"/><Relationship Id="rId3078" Type="http://schemas.openxmlformats.org/officeDocument/2006/relationships/hyperlink" Target="https://drive.google.com/file/d/1lU2usHyzvYFQjIDhmmklZ1jRHZWxtVAY/view?usp=sharing" TargetMode="External"/><Relationship Id="rId3077" Type="http://schemas.openxmlformats.org/officeDocument/2006/relationships/hyperlink" Target="https://drive.google.com/file/d/1XkLQlQ8dFbrbTqgV0esfa6MN4XyBnX1j/view?usp=sharing" TargetMode="External"/><Relationship Id="rId3079" Type="http://schemas.openxmlformats.org/officeDocument/2006/relationships/hyperlink" Target="https://drive.google.com/file/d/1BfJC5XVA8FGQMzus8lxXF9xb5YBD1Y0w/view?usp=sharing" TargetMode="External"/><Relationship Id="rId3061" Type="http://schemas.openxmlformats.org/officeDocument/2006/relationships/hyperlink" Target="https://drive.google.com/file/d/1HHw6sMOpULPkWI3STV_DKo3QnMoPLULs/view?usp=sharing" TargetMode="External"/><Relationship Id="rId3060" Type="http://schemas.openxmlformats.org/officeDocument/2006/relationships/hyperlink" Target="https://drive.google.com/file/d/1vJyFEc9kqgFu5H7CJnj7Fn6wYzLrC9F0/view?usp=sharing" TargetMode="External"/><Relationship Id="rId3063" Type="http://schemas.openxmlformats.org/officeDocument/2006/relationships/hyperlink" Target="https://drive.google.com/file/d/1k54_hyMUImfHIBRrcLDBGYbWVpOeGkpG/view?usp=sharing" TargetMode="External"/><Relationship Id="rId3062" Type="http://schemas.openxmlformats.org/officeDocument/2006/relationships/hyperlink" Target="https://drive.google.com/file/d/1N7oLUHlGNCXYb_0gxLqR8FReLhLLY-lz/view?usp=sharing" TargetMode="External"/><Relationship Id="rId3065" Type="http://schemas.openxmlformats.org/officeDocument/2006/relationships/hyperlink" Target="https://drive.google.com/file/d/1QDHRASUXfYv5njykQIHHpfziAKMLaJxb/view?usp=sharing" TargetMode="External"/><Relationship Id="rId3064" Type="http://schemas.openxmlformats.org/officeDocument/2006/relationships/hyperlink" Target="https://drive.google.com/file/d/1Saum42aJdSldXqRf4ksOF4hJBS32qLtb/view?usp=sharing" TargetMode="External"/><Relationship Id="rId3067" Type="http://schemas.openxmlformats.org/officeDocument/2006/relationships/hyperlink" Target="https://drive.google.com/file/d/1fFJi5F7jrZk4V17cTaJGrdZxCIaVrP8o/view?usp=sharing" TargetMode="External"/><Relationship Id="rId3066" Type="http://schemas.openxmlformats.org/officeDocument/2006/relationships/hyperlink" Target="https://drive.google.com/file/d/1TpXtic4yXSbkL4SH1uLjCbw6tNTFmFz9/view?usp=sharing" TargetMode="External"/><Relationship Id="rId3069" Type="http://schemas.openxmlformats.org/officeDocument/2006/relationships/hyperlink" Target="https://drive.google.com/file/d/1-2F_WrhmkVxlMS4IILmoxfCB3-hsSWVT/view?usp=sharing" TargetMode="External"/><Relationship Id="rId3068" Type="http://schemas.openxmlformats.org/officeDocument/2006/relationships/hyperlink" Target="https://drive.google.com/file/d/18eJicg27uOWINFBmZJxekv83NixImQ1p/view?usp=sharing" TargetMode="External"/><Relationship Id="rId3090" Type="http://schemas.openxmlformats.org/officeDocument/2006/relationships/hyperlink" Target="https://drive.google.com/file/d/1Uqemlyd669FpYbMw97TpGq9gDWSho9bf/view?usp=sharing" TargetMode="External"/><Relationship Id="rId3092" Type="http://schemas.openxmlformats.org/officeDocument/2006/relationships/hyperlink" Target="https://drive.google.com/file/d/1VwxoCa1F0UK_B_LkRqV-UGuz0sGy-_RF/view?usp=sharing" TargetMode="External"/><Relationship Id="rId3091" Type="http://schemas.openxmlformats.org/officeDocument/2006/relationships/hyperlink" Target="https://drive.google.com/file/d/1ED0-itDrGzbCs7wHMDam5PKv2RBA-K3E/view?usp=sharing" TargetMode="External"/><Relationship Id="rId3094" Type="http://schemas.openxmlformats.org/officeDocument/2006/relationships/hyperlink" Target="https://drive.google.com/file/d/1GBARL7KeZsgA5mUPQbMPJDo6HAhiukOV/view?usp=sharing" TargetMode="External"/><Relationship Id="rId3093" Type="http://schemas.openxmlformats.org/officeDocument/2006/relationships/hyperlink" Target="https://drive.google.com/file/d/1R-AUxLKhhyzJG3bH2204jHKtjMKGjpGx/view?usp=sharing" TargetMode="External"/><Relationship Id="rId3096" Type="http://schemas.openxmlformats.org/officeDocument/2006/relationships/hyperlink" Target="https://drive.google.com/file/d/1uphYaNTRxuxaCVPWJ6ynPePPuD8uZq5I/view?usp=sharing" TargetMode="External"/><Relationship Id="rId3095" Type="http://schemas.openxmlformats.org/officeDocument/2006/relationships/hyperlink" Target="https://drive.google.com/file/d/1hRiy5hCWZ7DkafE-vy2epv2_DiQY45gk/view?usp=sharing" TargetMode="External"/><Relationship Id="rId3098" Type="http://schemas.openxmlformats.org/officeDocument/2006/relationships/hyperlink" Target="https://drive.google.com/file/d/11YOAYPwQYCRcjUdRDXngqzTgiWN_eqaP/view?usp=sharing" TargetMode="External"/><Relationship Id="rId3097" Type="http://schemas.openxmlformats.org/officeDocument/2006/relationships/hyperlink" Target="https://drive.google.com/file/d/1NdN8C3WB0ijL2dbgnIAZa15icAkyJEJ-/view?usp=sharing" TargetMode="External"/><Relationship Id="rId3099" Type="http://schemas.openxmlformats.org/officeDocument/2006/relationships/hyperlink" Target="https://drive.google.com/file/d/1rPRRjkiSlxyh85lNPM6bDbNoAMnrZ0VU/view?usp=sharing" TargetMode="External"/><Relationship Id="rId3081" Type="http://schemas.openxmlformats.org/officeDocument/2006/relationships/hyperlink" Target="https://drive.google.com/file/d/1r3TQbCrq2hjVfC8P7JNT0pSR9oJa5pV0/view?usp=sharing" TargetMode="External"/><Relationship Id="rId3080" Type="http://schemas.openxmlformats.org/officeDocument/2006/relationships/hyperlink" Target="https://drive.google.com/file/d/1Gkb78in1LjslWKHLACenDsWFiEF8347r/view?usp=sharing" TargetMode="External"/><Relationship Id="rId3083" Type="http://schemas.openxmlformats.org/officeDocument/2006/relationships/hyperlink" Target="https://drive.google.com/file/d/1KbaHA2diF5zg2iA_c-WIZxxocc8P4Qyx/view?usp=sharing" TargetMode="External"/><Relationship Id="rId3082" Type="http://schemas.openxmlformats.org/officeDocument/2006/relationships/hyperlink" Target="https://drive.google.com/file/d/1DS9Da3WTBWmrFMSygsi2TspzftZnp2Pf/view?usp=sharing" TargetMode="External"/><Relationship Id="rId3085" Type="http://schemas.openxmlformats.org/officeDocument/2006/relationships/hyperlink" Target="https://drive.google.com/file/d/1b0SAu1k2akVZNt1Uu8h1E74zoLaQ9UU4/view?usp=sharing" TargetMode="External"/><Relationship Id="rId3084" Type="http://schemas.openxmlformats.org/officeDocument/2006/relationships/hyperlink" Target="https://drive.google.com/file/d/10i2_TfvWt5joJVkBFc_z1H8EPzBdGTNk/view?usp=sharing" TargetMode="External"/><Relationship Id="rId3087" Type="http://schemas.openxmlformats.org/officeDocument/2006/relationships/hyperlink" Target="https://drive.google.com/file/d/1q_GgavuoBOFBa8E75ksGVGci1BVb_5Qo/view?usp=sharing" TargetMode="External"/><Relationship Id="rId3086" Type="http://schemas.openxmlformats.org/officeDocument/2006/relationships/hyperlink" Target="https://drive.google.com/file/d/1LO_gAp7FtcdT44ea0xoUiumI7up4uOQU/view?usp=sharing" TargetMode="External"/><Relationship Id="rId3089" Type="http://schemas.openxmlformats.org/officeDocument/2006/relationships/hyperlink" Target="https://drive.google.com/file/d/1AmyHSD8Rf5D_RguQSFSoyv2HNNjP7IoZ/view?usp=sharing" TargetMode="External"/><Relationship Id="rId3088" Type="http://schemas.openxmlformats.org/officeDocument/2006/relationships/hyperlink" Target="https://drive.google.com/file/d/1Kn_XSMHZ1owTL8YKpisHIw-mOonl9GE6/view?usp=sharing" TargetMode="External"/><Relationship Id="rId3039" Type="http://schemas.openxmlformats.org/officeDocument/2006/relationships/hyperlink" Target="https://drive.google.com/file/d/1EO547yQCIQVIAFwWPrXLmsE9_-pwCDzz/view?usp=sharing" TargetMode="External"/><Relationship Id="rId1" Type="http://schemas.openxmlformats.org/officeDocument/2006/relationships/hyperlink" Target="https://drive.google.com/file/d/1yNmUbZT_nqRNBC1nhxUxXH1qltytSsCA/view?usp=sharing" TargetMode="External"/><Relationship Id="rId2" Type="http://schemas.openxmlformats.org/officeDocument/2006/relationships/hyperlink" Target="https://drive.google.com/file/d/1TlxFBwnFfYsZWQjq2T1UkymnmKGh5ApZ/view?usp=sharing" TargetMode="External"/><Relationship Id="rId3" Type="http://schemas.openxmlformats.org/officeDocument/2006/relationships/hyperlink" Target="https://drive.google.com/file/d/1CQw2OpRN_seOjEfh6WEvIIji9wCy9Nod/view?usp=sharing" TargetMode="External"/><Relationship Id="rId4" Type="http://schemas.openxmlformats.org/officeDocument/2006/relationships/hyperlink" Target="https://drive.google.com/file/d/1JBMpCG3OQSvTSAwIJi7bb-HAUqNcEnCa/view?usp=sharing" TargetMode="External"/><Relationship Id="rId3030" Type="http://schemas.openxmlformats.org/officeDocument/2006/relationships/hyperlink" Target="https://drive.google.com/file/d/1ZhUqoQdOMqdRu7Qci-KNfasoEIoaPCcS/view?usp=sharing" TargetMode="External"/><Relationship Id="rId9" Type="http://schemas.openxmlformats.org/officeDocument/2006/relationships/hyperlink" Target="https://drive.google.com/file/d/1cut7SlB_HpkLYmYLhq1Jp_RRng5n4NmI/view?usp=sharing" TargetMode="External"/><Relationship Id="rId3032" Type="http://schemas.openxmlformats.org/officeDocument/2006/relationships/hyperlink" Target="https://drive.google.com/file/d/1GRJkfFF7pugHa9oF75gp7iGzx8tgAD89/view?usp=sharing" TargetMode="External"/><Relationship Id="rId3031" Type="http://schemas.openxmlformats.org/officeDocument/2006/relationships/hyperlink" Target="https://drive.google.com/file/d/1mSwJYuFo83ACzk1jmknMbRDbNs_SwLKD/view?usp=sharing" TargetMode="External"/><Relationship Id="rId3034" Type="http://schemas.openxmlformats.org/officeDocument/2006/relationships/hyperlink" Target="https://drive.google.com/file/d/1FoOEkbdPaCObdOe5gFa9yQvmrSRqcKp7/view?usp=sharing" TargetMode="External"/><Relationship Id="rId3033" Type="http://schemas.openxmlformats.org/officeDocument/2006/relationships/hyperlink" Target="https://drive.google.com/file/d/1wKoKgQ-f3y3QhZq-bn2d-zbiYQtjr0Zg/view?usp=sharing" TargetMode="External"/><Relationship Id="rId5" Type="http://schemas.openxmlformats.org/officeDocument/2006/relationships/hyperlink" Target="https://drive.google.com/file/d/1Q1a9v3pwCCkX8Q-sPumxJoFjuOpwO2hg/view?usp=sharing" TargetMode="External"/><Relationship Id="rId3036" Type="http://schemas.openxmlformats.org/officeDocument/2006/relationships/hyperlink" Target="https://drive.google.com/file/d/1PzsLC5dMIXoA_CE5MZzjFD8kDnhRU2DO/view?usp=sharing" TargetMode="External"/><Relationship Id="rId6" Type="http://schemas.openxmlformats.org/officeDocument/2006/relationships/hyperlink" Target="https://drive.google.com/file/d/1T5xhIdT3JMlGNFmJbvGmKLrD_8b938G8/view?usp=sharing" TargetMode="External"/><Relationship Id="rId3035" Type="http://schemas.openxmlformats.org/officeDocument/2006/relationships/hyperlink" Target="https://drive.google.com/file/d/1pKqvrmJsDI1sYH-02U9ta6CA1tT1IHow/view?usp=sharing" TargetMode="External"/><Relationship Id="rId7" Type="http://schemas.openxmlformats.org/officeDocument/2006/relationships/hyperlink" Target="https://drive.google.com/file/d/11AieFSFyzEP7_rAuzD-Y-KkO1zkU7tBP/view?usp=sharing" TargetMode="External"/><Relationship Id="rId3038" Type="http://schemas.openxmlformats.org/officeDocument/2006/relationships/hyperlink" Target="https://drive.google.com/file/d/1Roye3K5HotrRRK3f29Yd17KmdZAOekiD/view?usp=sharing" TargetMode="External"/><Relationship Id="rId8" Type="http://schemas.openxmlformats.org/officeDocument/2006/relationships/hyperlink" Target="https://drive.google.com/file/d/14HNEixvwtyS_pRqfybNby-S0W3jtUIVU/view?usp=sharing" TargetMode="External"/><Relationship Id="rId3037" Type="http://schemas.openxmlformats.org/officeDocument/2006/relationships/hyperlink" Target="https://drive.google.com/file/d/1wVcRHnakImrEcrA2vjlRTs128I091f3o/view?usp=sharing" TargetMode="External"/><Relationship Id="rId3029" Type="http://schemas.openxmlformats.org/officeDocument/2006/relationships/hyperlink" Target="https://drive.google.com/file/d/1YAyRUAzvzW0m8cOKIWCvI8OEJVdhe7sV/view?usp=sharing" TargetMode="External"/><Relationship Id="rId3028" Type="http://schemas.openxmlformats.org/officeDocument/2006/relationships/hyperlink" Target="https://drive.google.com/file/d/1AsUNGAoa6f0KXUX9EHUzp95JgJEIuMDL/view?usp=sharing" TargetMode="External"/><Relationship Id="rId3021" Type="http://schemas.openxmlformats.org/officeDocument/2006/relationships/hyperlink" Target="https://drive.google.com/file/d/1Yr-KHppUDi8ZoJxLA4P1Brv9l3J8MuQ_/view?usp=sharing" TargetMode="External"/><Relationship Id="rId3020" Type="http://schemas.openxmlformats.org/officeDocument/2006/relationships/hyperlink" Target="https://drive.google.com/file/d/1bJCDVK3YHk09R3xoFhGBu4pIkx6Lw24I/view?usp=sharing" TargetMode="External"/><Relationship Id="rId3023" Type="http://schemas.openxmlformats.org/officeDocument/2006/relationships/hyperlink" Target="https://drive.google.com/file/d/12owCx6rqbFRFddynfBoLOajBLCI_8OEj/view?usp=sharing" TargetMode="External"/><Relationship Id="rId3022" Type="http://schemas.openxmlformats.org/officeDocument/2006/relationships/hyperlink" Target="https://drive.google.com/file/d/1IyJRmMA4lkvNAckHyuic5kmSJsErds-3/view?usp=sharing" TargetMode="External"/><Relationship Id="rId3025" Type="http://schemas.openxmlformats.org/officeDocument/2006/relationships/hyperlink" Target="https://drive.google.com/file/d/1TqiS3peYAH3PzSPuhgwI3JjsNavURKlZ/view?usp=sharing" TargetMode="External"/><Relationship Id="rId3024" Type="http://schemas.openxmlformats.org/officeDocument/2006/relationships/hyperlink" Target="https://drive.google.com/file/d/1RKekkfsa5i52HcpZdovDfFKHVn0ZNKmM/view?usp=sharing" TargetMode="External"/><Relationship Id="rId3027" Type="http://schemas.openxmlformats.org/officeDocument/2006/relationships/hyperlink" Target="https://drive.google.com/file/d/1lnbOthNYno3jC8fLlkU0fANojJ9358uY/view?usp=sharing" TargetMode="External"/><Relationship Id="rId3026" Type="http://schemas.openxmlformats.org/officeDocument/2006/relationships/hyperlink" Target="https://drive.google.com/file/d/12ZCIAF0rNesfL-3pIVJHDjtdwFWgWinK/view?usp=sharing" TargetMode="External"/><Relationship Id="rId3050" Type="http://schemas.openxmlformats.org/officeDocument/2006/relationships/hyperlink" Target="https://drive.google.com/file/d/1cBlGOsR_HxgtyL7tjjnYv5AUe6bheqj7/view?usp=sharing" TargetMode="External"/><Relationship Id="rId3052" Type="http://schemas.openxmlformats.org/officeDocument/2006/relationships/hyperlink" Target="https://drive.google.com/file/d/1fOSYCIuhW8VD5ozzBlSHag3ao5EVOseF/view?usp=sharing" TargetMode="External"/><Relationship Id="rId3051" Type="http://schemas.openxmlformats.org/officeDocument/2006/relationships/hyperlink" Target="https://drive.google.com/file/d/1arboq2h16hXunNOaezHFXqBpICrNbfTP/view?usp=sharing" TargetMode="External"/><Relationship Id="rId3054" Type="http://schemas.openxmlformats.org/officeDocument/2006/relationships/hyperlink" Target="https://drive.google.com/file/d/1EjxIvwXF47M1M_gRdrB3eUk7oEO7QqKc/view?usp=sharing" TargetMode="External"/><Relationship Id="rId3053" Type="http://schemas.openxmlformats.org/officeDocument/2006/relationships/hyperlink" Target="https://drive.google.com/file/d/1iU_y8_5VEJicFKXP5YPtEU3c9KavfCud/view?usp=sharing" TargetMode="External"/><Relationship Id="rId3056" Type="http://schemas.openxmlformats.org/officeDocument/2006/relationships/hyperlink" Target="https://drive.google.com/file/d/1RA7MTd-J7foLLPJlh3aPt1bAmfhLW0vi/view?usp=sharing" TargetMode="External"/><Relationship Id="rId3055" Type="http://schemas.openxmlformats.org/officeDocument/2006/relationships/hyperlink" Target="https://drive.google.com/file/d/126kDpt9KrK9NEwiudpDXcVd7dereTF8W/view?usp=sharing" TargetMode="External"/><Relationship Id="rId3058" Type="http://schemas.openxmlformats.org/officeDocument/2006/relationships/hyperlink" Target="https://drive.google.com/file/d/1UrT0SPm-9o0RaMxWf5XEq6XE-N_SWXQ1/view?usp=sharing" TargetMode="External"/><Relationship Id="rId3057" Type="http://schemas.openxmlformats.org/officeDocument/2006/relationships/hyperlink" Target="https://drive.google.com/file/d/1-jwpWm_BfZo1ZwVWXgO02lsd1BrQBamn/view?usp=sharing" TargetMode="External"/><Relationship Id="rId3059" Type="http://schemas.openxmlformats.org/officeDocument/2006/relationships/hyperlink" Target="https://drive.google.com/file/d/1lQ0dOZJn-Z1n6Ug020KLu4LZXWJJs8S9/view?usp=sharing" TargetMode="External"/><Relationship Id="rId3041" Type="http://schemas.openxmlformats.org/officeDocument/2006/relationships/hyperlink" Target="https://drive.google.com/file/d/1ISXcExY2Hlti0F9F_MBgLEZV_fVWWOI3/view?usp=sharing" TargetMode="External"/><Relationship Id="rId3040" Type="http://schemas.openxmlformats.org/officeDocument/2006/relationships/hyperlink" Target="https://drive.google.com/file/d/1ic-3OYyVNzsujQ0TvfiZMP011FCaCGR1/view?usp=sharing" TargetMode="External"/><Relationship Id="rId3043" Type="http://schemas.openxmlformats.org/officeDocument/2006/relationships/hyperlink" Target="https://drive.google.com/file/d/1n1eQOhty4kHx4agWMk26C7Rgv6I4e0AH/view?usp=sharing" TargetMode="External"/><Relationship Id="rId3042" Type="http://schemas.openxmlformats.org/officeDocument/2006/relationships/hyperlink" Target="https://drive.google.com/file/d/1fJqINJboz_718pnTyHTX8t3567NOmMof/view?usp=sharing" TargetMode="External"/><Relationship Id="rId3045" Type="http://schemas.openxmlformats.org/officeDocument/2006/relationships/hyperlink" Target="https://drive.google.com/file/d/1WCNS73qFrrqQWK0gJz7l2qHw-fzPuehR/view?usp=sharing" TargetMode="External"/><Relationship Id="rId3044" Type="http://schemas.openxmlformats.org/officeDocument/2006/relationships/hyperlink" Target="https://drive.google.com/file/d/1SIqjKicBSdF0pmNmGiTUuQHX6vWAYtB8/view?usp=sharing" TargetMode="External"/><Relationship Id="rId3047" Type="http://schemas.openxmlformats.org/officeDocument/2006/relationships/hyperlink" Target="https://drive.google.com/file/d/1LWsCplajbRVA0Kk-oM0v1GtBuPyDvEJN/view?usp=sharing" TargetMode="External"/><Relationship Id="rId3046" Type="http://schemas.openxmlformats.org/officeDocument/2006/relationships/hyperlink" Target="https://drive.google.com/file/d/1cCHCPRsEjXFuzF_Bd9ji0ZIYRe_soiCR/view?usp=sharing" TargetMode="External"/><Relationship Id="rId3049" Type="http://schemas.openxmlformats.org/officeDocument/2006/relationships/hyperlink" Target="https://drive.google.com/file/d/1kWTVxwSGOE7oDQPeMxc7CP7Bgg1Z17ET/view?usp=sharing" TargetMode="External"/><Relationship Id="rId3048" Type="http://schemas.openxmlformats.org/officeDocument/2006/relationships/hyperlink" Target="https://drive.google.com/file/d/1fr4Uyi2vlomcRdj12ndUBvgPASMPM8Zt/view?usp=sharing" TargetMode="External"/><Relationship Id="rId2600" Type="http://schemas.openxmlformats.org/officeDocument/2006/relationships/hyperlink" Target="https://drive.google.com/file/d/19ay-TeG8uPS_RU0pPPlfZG_aVCy246aL/view?usp=sharing" TargetMode="External"/><Relationship Id="rId2601" Type="http://schemas.openxmlformats.org/officeDocument/2006/relationships/hyperlink" Target="https://drive.google.com/file/d/15P31mZoB_ugz5j6io_1whZ7LjsX2RU3O/view?usp=sharing" TargetMode="External"/><Relationship Id="rId2602" Type="http://schemas.openxmlformats.org/officeDocument/2006/relationships/hyperlink" Target="https://drive.google.com/file/d/12tzVdhR5mT7Za6PsDjQosBJLqo1D1LtL/view?usp=sharing" TargetMode="External"/><Relationship Id="rId2603" Type="http://schemas.openxmlformats.org/officeDocument/2006/relationships/hyperlink" Target="https://drive.google.com/file/d/1jlA-xcSBIIIhaT9hRp96r5WKLCLkyTPg/view?usp=sharing" TargetMode="External"/><Relationship Id="rId2604" Type="http://schemas.openxmlformats.org/officeDocument/2006/relationships/hyperlink" Target="https://drive.google.com/file/d/1fTyQn0cl8RvxLFsNkDnhKK7bH0mdDdu7/view?usp=sharing" TargetMode="External"/><Relationship Id="rId2605" Type="http://schemas.openxmlformats.org/officeDocument/2006/relationships/hyperlink" Target="https://drive.google.com/file/d/1WfCKmWCKUQ4l5jRa-_3hj5sr90m8RVz6/view?usp=sharing" TargetMode="External"/><Relationship Id="rId2606" Type="http://schemas.openxmlformats.org/officeDocument/2006/relationships/hyperlink" Target="https://drive.google.com/file/d/1Tb0ap0tFe-HuQ0HISRQMZrFdR-U3sSAP/view?usp=sharing" TargetMode="External"/><Relationship Id="rId808" Type="http://schemas.openxmlformats.org/officeDocument/2006/relationships/hyperlink" Target="https://drive.google.com/file/d/1nAzhE_jIyI_FEOM-bcQncK3VeqVvPjtS/view?usp=sharing" TargetMode="External"/><Relationship Id="rId2607" Type="http://schemas.openxmlformats.org/officeDocument/2006/relationships/hyperlink" Target="https://drive.google.com/file/d/1V7bq_1IpDL__op373xeA3IKB7-af9Cs7/view?usp=sharing" TargetMode="External"/><Relationship Id="rId807" Type="http://schemas.openxmlformats.org/officeDocument/2006/relationships/hyperlink" Target="https://drive.google.com/file/d/1Gq9KnzBwfoTPjCRQ1Sxxc_3ntJWDaLJO/view?usp=sharing" TargetMode="External"/><Relationship Id="rId2608" Type="http://schemas.openxmlformats.org/officeDocument/2006/relationships/hyperlink" Target="https://drive.google.com/file/d/1afKEiT3op6ORi4BSblMNC2mjFNzWZwxw/view?usp=sharing" TargetMode="External"/><Relationship Id="rId806" Type="http://schemas.openxmlformats.org/officeDocument/2006/relationships/hyperlink" Target="https://drive.google.com/file/d/175R-Xqh_f5ML0bVM9nlPzXAqHAAa67lG/view?usp=sharing" TargetMode="External"/><Relationship Id="rId2609" Type="http://schemas.openxmlformats.org/officeDocument/2006/relationships/hyperlink" Target="https://drive.google.com/file/d/1EB5nrdbK8McDcTpHHzV4kylKcK8kS_V3/view?usp=sharing" TargetMode="External"/><Relationship Id="rId805" Type="http://schemas.openxmlformats.org/officeDocument/2006/relationships/hyperlink" Target="https://drive.google.com/file/d/1T8co4Fz2PQ-6my9kOWTiTCHIcI4bQD3D/view?usp=sharing" TargetMode="External"/><Relationship Id="rId809" Type="http://schemas.openxmlformats.org/officeDocument/2006/relationships/hyperlink" Target="https://drive.google.com/file/d/1tjoRB-0Zzwnedloz7AY5eScjXbZ4FwdU/view?usp=sharing" TargetMode="External"/><Relationship Id="rId800" Type="http://schemas.openxmlformats.org/officeDocument/2006/relationships/hyperlink" Target="https://drive.google.com/file/d/1iligNOju6GiCrw46WG1pzr13pnwU98zn/view?usp=sharing" TargetMode="External"/><Relationship Id="rId804" Type="http://schemas.openxmlformats.org/officeDocument/2006/relationships/hyperlink" Target="https://drive.google.com/file/d/1G1zFcxnFiiVeYT9HCym44s0xP-E-Pndv/view?usp=sharing" TargetMode="External"/><Relationship Id="rId803" Type="http://schemas.openxmlformats.org/officeDocument/2006/relationships/hyperlink" Target="https://drive.google.com/file/d/10Qth4QizcUH-fZ5XYC7PyYEVleJHYIet/view?usp=sharing" TargetMode="External"/><Relationship Id="rId802" Type="http://schemas.openxmlformats.org/officeDocument/2006/relationships/hyperlink" Target="https://drive.google.com/file/d/1I-uULaiQsAPpPWmO6_nCm386Ik-mpvIp/view?usp=sharing" TargetMode="External"/><Relationship Id="rId801" Type="http://schemas.openxmlformats.org/officeDocument/2006/relationships/hyperlink" Target="https://drive.google.com/file/d/1LWK8AAEzTPm6oc9wDoVmk1MnXNmC4Bzu/view?usp=sharing" TargetMode="External"/><Relationship Id="rId1334" Type="http://schemas.openxmlformats.org/officeDocument/2006/relationships/hyperlink" Target="https://drive.google.com/file/d/1kqWTqc1Rw4U8lIT7qPPvNuephB54sxru/view?usp=sharing" TargetMode="External"/><Relationship Id="rId2665" Type="http://schemas.openxmlformats.org/officeDocument/2006/relationships/hyperlink" Target="https://drive.google.com/file/d/11yKlspUZSn0ljFgUAdizRTdMH-ShYkT2/view?usp=sharing" TargetMode="External"/><Relationship Id="rId1335" Type="http://schemas.openxmlformats.org/officeDocument/2006/relationships/hyperlink" Target="https://drive.google.com/file/d/1Osz92iFxe8C9dXE_rS5rJjIJu7aDS-pp/view?usp=sharing" TargetMode="External"/><Relationship Id="rId2666" Type="http://schemas.openxmlformats.org/officeDocument/2006/relationships/hyperlink" Target="https://drive.google.com/file/d/1c6Ge0OvL1Sct1RIIxEMbtS91Ozw_y-zw/view?usp=sharing" TargetMode="External"/><Relationship Id="rId1336" Type="http://schemas.openxmlformats.org/officeDocument/2006/relationships/hyperlink" Target="https://drive.google.com/file/d/1keNHJZw1HJRn1TrnQwuOJ9N7_Ann1OGh/view?usp=sharing" TargetMode="External"/><Relationship Id="rId2667" Type="http://schemas.openxmlformats.org/officeDocument/2006/relationships/hyperlink" Target="https://drive.google.com/file/d/1tV6UuFLcn2ZZOJKajhCfBfNPyZxD-7p1/view?usp=sharing" TargetMode="External"/><Relationship Id="rId1337" Type="http://schemas.openxmlformats.org/officeDocument/2006/relationships/hyperlink" Target="https://drive.google.com/file/d/19l6xjo112u5lTl8iM5BR95j-B5B1A2MO/view?usp=sharing" TargetMode="External"/><Relationship Id="rId2668" Type="http://schemas.openxmlformats.org/officeDocument/2006/relationships/hyperlink" Target="https://drive.google.com/file/d/1-xWNS34FBwe6VOUKdeCrcJUbf380CAA8/view?usp=sharing" TargetMode="External"/><Relationship Id="rId1338" Type="http://schemas.openxmlformats.org/officeDocument/2006/relationships/hyperlink" Target="https://drive.google.com/file/d/1Zhqn0wEQZ7REEiPT6BnWDhJwzP4ncnrB/view?usp=sharing" TargetMode="External"/><Relationship Id="rId2669" Type="http://schemas.openxmlformats.org/officeDocument/2006/relationships/hyperlink" Target="https://drive.google.com/file/d/1p-2w4LEKmu8-a5T44Nbo4mynvrdtrG_Y/view?usp=sharing" TargetMode="External"/><Relationship Id="rId1339" Type="http://schemas.openxmlformats.org/officeDocument/2006/relationships/hyperlink" Target="https://drive.google.com/file/d/1rvm8wRlmo3OjL7Ohgjnai8XhDSMWhahY/view?usp=sharing" TargetMode="External"/><Relationship Id="rId745" Type="http://schemas.openxmlformats.org/officeDocument/2006/relationships/hyperlink" Target="https://drive.google.com/file/d/1snzXVB02zKFLMC97jm6QToLu3-KVMXYp/view?usp=sharing" TargetMode="External"/><Relationship Id="rId744" Type="http://schemas.openxmlformats.org/officeDocument/2006/relationships/hyperlink" Target="https://drive.google.com/file/d/17LmpYvoFeRC-UAJbLGIhqUp0ThE1dbhJ/view?usp=sharing" TargetMode="External"/><Relationship Id="rId743" Type="http://schemas.openxmlformats.org/officeDocument/2006/relationships/hyperlink" Target="https://drive.google.com/file/d/1a1dvcvBWtjCV7M3XqEQbq3B582mrCc2M/view?usp=sharing" TargetMode="External"/><Relationship Id="rId742" Type="http://schemas.openxmlformats.org/officeDocument/2006/relationships/hyperlink" Target="https://drive.google.com/file/d/1wEXELtKYCTE21AelyQHk2jgnpGv07rvr/view?usp=sharing" TargetMode="External"/><Relationship Id="rId749" Type="http://schemas.openxmlformats.org/officeDocument/2006/relationships/hyperlink" Target="https://drive.google.com/file/d/1cL7X_XzYQMujVjXXQ6AjxawBsy_mBNS9/view?usp=sharing" TargetMode="External"/><Relationship Id="rId748" Type="http://schemas.openxmlformats.org/officeDocument/2006/relationships/hyperlink" Target="https://drive.google.com/file/d/1BY3llwoeLb_EmHJpipb-7gTxD5JnYjXg/view?usp=sharing" TargetMode="External"/><Relationship Id="rId747" Type="http://schemas.openxmlformats.org/officeDocument/2006/relationships/hyperlink" Target="https://drive.google.com/file/d/1Wk89aRqKPZ9UW8L-UgDM11wbNyvUMzFe/view?usp=sharing" TargetMode="External"/><Relationship Id="rId746" Type="http://schemas.openxmlformats.org/officeDocument/2006/relationships/hyperlink" Target="https://drive.google.com/file/d/1C1Yw_F_ya25gCs2LbPpzQzBkGhOeBizA/view?usp=sharing" TargetMode="External"/><Relationship Id="rId2660" Type="http://schemas.openxmlformats.org/officeDocument/2006/relationships/hyperlink" Target="https://drive.google.com/file/d/1XNEH528cudCVBzvfWk5stHTAnFTiMS4-/view?usp=sharing" TargetMode="External"/><Relationship Id="rId741" Type="http://schemas.openxmlformats.org/officeDocument/2006/relationships/hyperlink" Target="https://drive.google.com/file/d/1-crC08aXJ4V8Il_qGJPBWlRx5Itn_3KU/view?usp=sharing" TargetMode="External"/><Relationship Id="rId1330" Type="http://schemas.openxmlformats.org/officeDocument/2006/relationships/hyperlink" Target="https://drive.google.com/file/d/1mCVG9-dTLBQy_Nq7QmWi9oSLHmKmujZI/view?usp=sharing" TargetMode="External"/><Relationship Id="rId2661" Type="http://schemas.openxmlformats.org/officeDocument/2006/relationships/hyperlink" Target="https://drive.google.com/file/d/1r39qVFR9LunJiH_rjIPYbki7RNFqb3zE/view?usp=sharing" TargetMode="External"/><Relationship Id="rId740" Type="http://schemas.openxmlformats.org/officeDocument/2006/relationships/hyperlink" Target="https://drive.google.com/file/d/1QK-aBkb1usdNQ7od6w3C_a6zKoptJ1k5/view?usp=sharing" TargetMode="External"/><Relationship Id="rId1331" Type="http://schemas.openxmlformats.org/officeDocument/2006/relationships/hyperlink" Target="https://drive.google.com/file/d/1ZdgAeEClz8q5a9qbv3mZDeN25sr3QAk9/view?usp=sharing" TargetMode="External"/><Relationship Id="rId2662" Type="http://schemas.openxmlformats.org/officeDocument/2006/relationships/hyperlink" Target="https://drive.google.com/file/d/1kMlrH0OCU6Ao4AjENLRJ-BUdMe8NQmRe/view?usp=sharing" TargetMode="External"/><Relationship Id="rId1332" Type="http://schemas.openxmlformats.org/officeDocument/2006/relationships/hyperlink" Target="https://drive.google.com/file/d/1oxEWRQTg0SjDW1RE4cZPvAeJ6QA533T9/view?usp=sharing" TargetMode="External"/><Relationship Id="rId2663" Type="http://schemas.openxmlformats.org/officeDocument/2006/relationships/hyperlink" Target="https://drive.google.com/file/d/1oZN-5e2AXF3WKtUSlLUS89Rk4-s3vgJt/view?usp=sharing" TargetMode="External"/><Relationship Id="rId1333" Type="http://schemas.openxmlformats.org/officeDocument/2006/relationships/hyperlink" Target="https://drive.google.com/file/d/1_KNTMauhZIsa4vN34hML8nL9ZJHBecFn/view?usp=sharing" TargetMode="External"/><Relationship Id="rId2664" Type="http://schemas.openxmlformats.org/officeDocument/2006/relationships/hyperlink" Target="https://drive.google.com/file/d/18TKkNX-MwDFan5goutphDZcBXu1U9g7T/view?usp=sharing" TargetMode="External"/><Relationship Id="rId1323" Type="http://schemas.openxmlformats.org/officeDocument/2006/relationships/hyperlink" Target="https://drive.google.com/file/d/158AhW7ej-KHaHrInP0v18n5FhhZh4_sh/view?usp=sharing" TargetMode="External"/><Relationship Id="rId2654" Type="http://schemas.openxmlformats.org/officeDocument/2006/relationships/hyperlink" Target="https://drive.google.com/file/d/1T2dxREYKrv8snHT__gY3EswjY0qHiJtS/view?usp=sharing" TargetMode="External"/><Relationship Id="rId1324" Type="http://schemas.openxmlformats.org/officeDocument/2006/relationships/hyperlink" Target="https://drive.google.com/file/d/1zsU4IPRNWZ-Gq3834egVHFskRRWY1tIZ/view?usp=sharing" TargetMode="External"/><Relationship Id="rId2655" Type="http://schemas.openxmlformats.org/officeDocument/2006/relationships/hyperlink" Target="https://drive.google.com/file/d/1YSCePlPKu6iL3BlPtwkrgce7OCfXOUDo/view?usp=sharing" TargetMode="External"/><Relationship Id="rId1325" Type="http://schemas.openxmlformats.org/officeDocument/2006/relationships/hyperlink" Target="https://drive.google.com/file/d/1z4a1QIDAUnm9_hDRJUf58hl4WKyw4OzP/view?usp=sharing" TargetMode="External"/><Relationship Id="rId2656" Type="http://schemas.openxmlformats.org/officeDocument/2006/relationships/hyperlink" Target="https://drive.google.com/file/d/1w8xaoQlQZU4Fb_6dqKFHQp_TKrTHm5gA/view?usp=sharing" TargetMode="External"/><Relationship Id="rId1326" Type="http://schemas.openxmlformats.org/officeDocument/2006/relationships/hyperlink" Target="https://drive.google.com/file/d/1mJj1VQvzJmyY47EJAH49BDvtVCnYwsq9/view?usp=sharing" TargetMode="External"/><Relationship Id="rId2657" Type="http://schemas.openxmlformats.org/officeDocument/2006/relationships/hyperlink" Target="https://drive.google.com/file/d/1yEGVjTcPXxdrMJBPwbSxsKwpQ99Notjs/view?usp=sharing" TargetMode="External"/><Relationship Id="rId1327" Type="http://schemas.openxmlformats.org/officeDocument/2006/relationships/hyperlink" Target="https://drive.google.com/file/d/1evC-tkkNySl9xN8GUMgfTvwcqHwjMoE3/view?usp=sharing" TargetMode="External"/><Relationship Id="rId2658" Type="http://schemas.openxmlformats.org/officeDocument/2006/relationships/hyperlink" Target="https://drive.google.com/file/d/1PB-hNEgdtQTvP00mmWqDKNq3SpfrCgjQ/view?usp=sharing" TargetMode="External"/><Relationship Id="rId1328" Type="http://schemas.openxmlformats.org/officeDocument/2006/relationships/hyperlink" Target="https://drive.google.com/file/d/1nSPOSg39LFHPgCGAUmBZydOXE6_euy8r/view?usp=sharing" TargetMode="External"/><Relationship Id="rId2659" Type="http://schemas.openxmlformats.org/officeDocument/2006/relationships/hyperlink" Target="https://drive.google.com/file/d/18Gg5IxIWd5_vP2eATTPRtFUIoxYaLbTv/view?usp=sharing" TargetMode="External"/><Relationship Id="rId1329" Type="http://schemas.openxmlformats.org/officeDocument/2006/relationships/hyperlink" Target="https://drive.google.com/file/d/1qC5LYVAJpXRZ0EG4VcY5c3SrulNAv3aB/view?usp=sharing" TargetMode="External"/><Relationship Id="rId739" Type="http://schemas.openxmlformats.org/officeDocument/2006/relationships/hyperlink" Target="https://drive.google.com/file/d/1BQTcvAeZ2w8A6BUYVX5U528rJfAhzB_e/view?usp=sharing" TargetMode="External"/><Relationship Id="rId734" Type="http://schemas.openxmlformats.org/officeDocument/2006/relationships/hyperlink" Target="https://drive.google.com/file/d/10y0Z5K0Mzw-6I3A6DRPg_E4HQ2dEcT7a/view?usp=sharing" TargetMode="External"/><Relationship Id="rId733" Type="http://schemas.openxmlformats.org/officeDocument/2006/relationships/hyperlink" Target="https://drive.google.com/file/d/1qnCgaqTS4M33b4_plg4GL_XqppB5LQo0/view?usp=sharing" TargetMode="External"/><Relationship Id="rId732" Type="http://schemas.openxmlformats.org/officeDocument/2006/relationships/hyperlink" Target="https://drive.google.com/file/d/1Is6vPSy5Q9Fjk28ARNpPRyhIAn5-Hzc3/view?usp=sharing" TargetMode="External"/><Relationship Id="rId731" Type="http://schemas.openxmlformats.org/officeDocument/2006/relationships/hyperlink" Target="https://drive.google.com/file/d/16kVAcWcgz3FQdjKraH54VJc6XODp0J7d/view?usp=sharing" TargetMode="External"/><Relationship Id="rId738" Type="http://schemas.openxmlformats.org/officeDocument/2006/relationships/hyperlink" Target="https://drive.google.com/file/d/1LyJY1hBjFy4f2ir4nklNvDkck-Lsyadg/view?usp=sharing" TargetMode="External"/><Relationship Id="rId737" Type="http://schemas.openxmlformats.org/officeDocument/2006/relationships/hyperlink" Target="https://drive.google.com/file/d/1IxljxWXZbgLLjukYh52-70mn5iIlxwGI/view?usp=sharing" TargetMode="External"/><Relationship Id="rId736" Type="http://schemas.openxmlformats.org/officeDocument/2006/relationships/hyperlink" Target="https://drive.google.com/file/d/10wHRDr_Gz1nu9fs9PVYI-2OY2zJYDltG/view?usp=sharing" TargetMode="External"/><Relationship Id="rId735" Type="http://schemas.openxmlformats.org/officeDocument/2006/relationships/hyperlink" Target="https://drive.google.com/file/d/1VwQwz6foetAHK4lrlW-EFekRjjTuUSct/view?usp=sharing" TargetMode="External"/><Relationship Id="rId730" Type="http://schemas.openxmlformats.org/officeDocument/2006/relationships/hyperlink" Target="https://drive.google.com/file/d/1sKv08Q5PHFmeGqh1TkvrcMf6w48T8sND/view?usp=sharing" TargetMode="External"/><Relationship Id="rId2650" Type="http://schemas.openxmlformats.org/officeDocument/2006/relationships/hyperlink" Target="https://drive.google.com/file/d/1BysUUU971JmCjzfPpouhgCptbqkFWwxz/view?usp=sharing" TargetMode="External"/><Relationship Id="rId1320" Type="http://schemas.openxmlformats.org/officeDocument/2006/relationships/hyperlink" Target="https://drive.google.com/file/d/1bRsw4w7JiMfg4y1rWFZnbRu1DyUArAsZ/view?usp=sharing" TargetMode="External"/><Relationship Id="rId2651" Type="http://schemas.openxmlformats.org/officeDocument/2006/relationships/hyperlink" Target="https://drive.google.com/file/d/10-5ZBnRsN1gDGYzooX1AgiHqR6zYeHav/view?usp=sharing" TargetMode="External"/><Relationship Id="rId1321" Type="http://schemas.openxmlformats.org/officeDocument/2006/relationships/hyperlink" Target="https://drive.google.com/file/d/1tgTCmcbANisLIaiiNlUC5MAUqy5S3j99/view?usp=sharing" TargetMode="External"/><Relationship Id="rId2652" Type="http://schemas.openxmlformats.org/officeDocument/2006/relationships/hyperlink" Target="https://drive.google.com/file/d/1m-CbTWIvfdbLcslOzTcG-ez799hNBGVF/view?usp=sharing" TargetMode="External"/><Relationship Id="rId1322" Type="http://schemas.openxmlformats.org/officeDocument/2006/relationships/hyperlink" Target="https://drive.google.com/file/d/1R2vGDTdzv9-HoP4AXMwJ8spdWnrpjp-Z/view?usp=sharing" TargetMode="External"/><Relationship Id="rId2653" Type="http://schemas.openxmlformats.org/officeDocument/2006/relationships/hyperlink" Target="https://drive.google.com/file/d/1jIoR3CyfocmHdgTpDChRJm50yiENRwDO/view?usp=sharing" TargetMode="External"/><Relationship Id="rId1356" Type="http://schemas.openxmlformats.org/officeDocument/2006/relationships/hyperlink" Target="https://drive.google.com/file/d/1TE_d7ntbhUwutsso5V_kylajEPEbA7zc/view?usp=sharing" TargetMode="External"/><Relationship Id="rId2687" Type="http://schemas.openxmlformats.org/officeDocument/2006/relationships/hyperlink" Target="https://drive.google.com/file/d/1nTSxtF7NO7sZxSMFmU9J7Laqd8jinJEx/view?usp=sharing" TargetMode="External"/><Relationship Id="rId1357" Type="http://schemas.openxmlformats.org/officeDocument/2006/relationships/hyperlink" Target="https://drive.google.com/file/d/1YwH5ax2QMW6Zt75-16QSsj6P4vdbiSCE/view?usp=sharing" TargetMode="External"/><Relationship Id="rId2688" Type="http://schemas.openxmlformats.org/officeDocument/2006/relationships/hyperlink" Target="https://drive.google.com/file/d/1jnclX3I0CLkldCd_GFNclt0WboDo2HDU/view?usp=sharing" TargetMode="External"/><Relationship Id="rId1358" Type="http://schemas.openxmlformats.org/officeDocument/2006/relationships/hyperlink" Target="https://drive.google.com/file/d/1qg_vyIm6dnqaESYYgmKwBCzsYwadW8wU/view?usp=sharing" TargetMode="External"/><Relationship Id="rId2689" Type="http://schemas.openxmlformats.org/officeDocument/2006/relationships/hyperlink" Target="https://drive.google.com/file/d/1T0bQAR2k_GpGGn6Jjtv7YqZBY8PhC36y/view?usp=sharing" TargetMode="External"/><Relationship Id="rId1359" Type="http://schemas.openxmlformats.org/officeDocument/2006/relationships/hyperlink" Target="https://drive.google.com/file/d/1h8cnJSLPVNlVJi8FhEMnfqXmcesboaNS/view?usp=sharing" TargetMode="External"/><Relationship Id="rId767" Type="http://schemas.openxmlformats.org/officeDocument/2006/relationships/hyperlink" Target="https://drive.google.com/file/d/15L_mkZm-2qzLG_gHwdDDMcoecZ57k8EV/view?usp=sharing" TargetMode="External"/><Relationship Id="rId766" Type="http://schemas.openxmlformats.org/officeDocument/2006/relationships/hyperlink" Target="https://drive.google.com/file/d/1I5ngW5ylhBLu25KOExlm10ovPSIZ8af5/view?usp=sharing" TargetMode="External"/><Relationship Id="rId765" Type="http://schemas.openxmlformats.org/officeDocument/2006/relationships/hyperlink" Target="https://drive.google.com/file/d/1YrSUurSYb5Kw6s9dMdjmJ1Qj9wempVUH/view?usp=sharing" TargetMode="External"/><Relationship Id="rId764" Type="http://schemas.openxmlformats.org/officeDocument/2006/relationships/hyperlink" Target="https://drive.google.com/file/d/1sTitbYpcPTW4vxMsubGA5JtCAUigeOaN/view?usp=sharing" TargetMode="External"/><Relationship Id="rId769" Type="http://schemas.openxmlformats.org/officeDocument/2006/relationships/hyperlink" Target="https://drive.google.com/file/d/1FEtjZFJCHCIHLR7WDppJRGRdnwIwc38F/view?usp=sharing" TargetMode="External"/><Relationship Id="rId768" Type="http://schemas.openxmlformats.org/officeDocument/2006/relationships/hyperlink" Target="https://drive.google.com/file/d/1IaKem_lyOeGuor5O83r2bVR1QGjKMgWS/view?usp=sharing" TargetMode="External"/><Relationship Id="rId2680" Type="http://schemas.openxmlformats.org/officeDocument/2006/relationships/hyperlink" Target="https://drive.google.com/file/d/1qRNJK9URKB1YkXlQBopFto8JEjRcs3uZ/view?usp=sharing" TargetMode="External"/><Relationship Id="rId1350" Type="http://schemas.openxmlformats.org/officeDocument/2006/relationships/hyperlink" Target="https://drive.google.com/file/d/1hNuQpfUxhJrtrzd5MSY8wEyj7MXsNdka/view?usp=sharing" TargetMode="External"/><Relationship Id="rId2681" Type="http://schemas.openxmlformats.org/officeDocument/2006/relationships/hyperlink" Target="https://drive.google.com/file/d/1WZ_adC0MsH3JZtrJutLBE6XVMzG5LmQN/view?usp=sharing" TargetMode="External"/><Relationship Id="rId1351" Type="http://schemas.openxmlformats.org/officeDocument/2006/relationships/hyperlink" Target="https://drive.google.com/file/d/1dY1_39ua4ih9WVx9yiUx2CGLB2ImG659/view?usp=sharing" TargetMode="External"/><Relationship Id="rId2682" Type="http://schemas.openxmlformats.org/officeDocument/2006/relationships/hyperlink" Target="https://drive.google.com/file/d/1TcRsjLPfxB5vbbSf9zyL7IgKNXY8B9Fl/view?usp=sharing" TargetMode="External"/><Relationship Id="rId763" Type="http://schemas.openxmlformats.org/officeDocument/2006/relationships/hyperlink" Target="https://drive.google.com/file/d/1IsShL0LfcGpYOWgOofTbR6vOAGuOHC5k/view?usp=sharing" TargetMode="External"/><Relationship Id="rId1352" Type="http://schemas.openxmlformats.org/officeDocument/2006/relationships/hyperlink" Target="https://drive.google.com/file/d/1YwJRUYQaF4s4Fa8P9jch4oX7q5QKRPVj/view?usp=sharing" TargetMode="External"/><Relationship Id="rId2683" Type="http://schemas.openxmlformats.org/officeDocument/2006/relationships/hyperlink" Target="https://drive.google.com/file/d/12BrFBuRKbVPbkxrXWcOC5TVfLidkHZly/view?usp=sharing" TargetMode="External"/><Relationship Id="rId762" Type="http://schemas.openxmlformats.org/officeDocument/2006/relationships/hyperlink" Target="https://drive.google.com/file/d/1XRys-cTrGved75n3Kwzho1wVuJLL4TyN/view?usp=sharing" TargetMode="External"/><Relationship Id="rId1353" Type="http://schemas.openxmlformats.org/officeDocument/2006/relationships/hyperlink" Target="https://drive.google.com/file/d/1f4e8cJ5vWh4nMVXsMKl0qMfYs3d9-DhD/view?usp=sharing" TargetMode="External"/><Relationship Id="rId2684" Type="http://schemas.openxmlformats.org/officeDocument/2006/relationships/hyperlink" Target="https://drive.google.com/file/d/1LdAaO1IuDNBgUsy2YpIXVOOi38Xh1gcl/view?usp=sharing" TargetMode="External"/><Relationship Id="rId761" Type="http://schemas.openxmlformats.org/officeDocument/2006/relationships/hyperlink" Target="https://drive.google.com/file/d/1qGppgVzQP7rdEG9PgYpcauMbZxcWWGcW/view?usp=sharing" TargetMode="External"/><Relationship Id="rId1354" Type="http://schemas.openxmlformats.org/officeDocument/2006/relationships/hyperlink" Target="https://drive.google.com/file/d/1s5EbNpAE1iruCvKpqra7e8Ii1KMAj5ai/view?usp=sharing" TargetMode="External"/><Relationship Id="rId2685" Type="http://schemas.openxmlformats.org/officeDocument/2006/relationships/hyperlink" Target="https://drive.google.com/file/d/1srQ4Y4Q9-xYv9_3iHhgAYZIOQpRnLcZD/view?usp=sharing" TargetMode="External"/><Relationship Id="rId760" Type="http://schemas.openxmlformats.org/officeDocument/2006/relationships/hyperlink" Target="https://drive.google.com/file/d/1Jm1UCnueWzQXLEaNHZSDcXsfzh41KSpX/view?usp=sharing" TargetMode="External"/><Relationship Id="rId1355" Type="http://schemas.openxmlformats.org/officeDocument/2006/relationships/hyperlink" Target="https://drive.google.com/file/d/1lxsABOpxP1An203hdWTBuNeaBcgYGOHd/view?usp=sharing" TargetMode="External"/><Relationship Id="rId2686" Type="http://schemas.openxmlformats.org/officeDocument/2006/relationships/hyperlink" Target="https://drive.google.com/file/d/18Iws6o5yfmpYI9u6lNY4IbNp8wJKR9Fo/view?usp=sharing" TargetMode="External"/><Relationship Id="rId1345" Type="http://schemas.openxmlformats.org/officeDocument/2006/relationships/hyperlink" Target="https://drive.google.com/file/d/1cpG_uEaxiYgnq5hP3ch6R-TmKkkqLghX/view?usp=sharing" TargetMode="External"/><Relationship Id="rId2676" Type="http://schemas.openxmlformats.org/officeDocument/2006/relationships/hyperlink" Target="https://drive.google.com/file/d/1IwuDrSVSZdHlTRQRugQT8AyjU1HRvGgM/view?usp=sharing" TargetMode="External"/><Relationship Id="rId1346" Type="http://schemas.openxmlformats.org/officeDocument/2006/relationships/hyperlink" Target="https://drive.google.com/file/d/1cEuacX4Q138Gubp8yyiw2I2ZYFOi7cOX/view?usp=sharing" TargetMode="External"/><Relationship Id="rId2677" Type="http://schemas.openxmlformats.org/officeDocument/2006/relationships/hyperlink" Target="https://drive.google.com/file/d/14X_1y8Fdbcy93NmVzeAAPqZZBeJhRHmo/view?usp=sharing" TargetMode="External"/><Relationship Id="rId1347" Type="http://schemas.openxmlformats.org/officeDocument/2006/relationships/hyperlink" Target="https://drive.google.com/file/d/10C-lOPgfB-LKcckmk6_Hnu2arywVglYe/view?usp=sharing" TargetMode="External"/><Relationship Id="rId2678" Type="http://schemas.openxmlformats.org/officeDocument/2006/relationships/hyperlink" Target="https://drive.google.com/file/d/1r2KUDgiEUYws77qKMaWM2EhwHEFzo5_1/view?usp=sharing" TargetMode="External"/><Relationship Id="rId1348" Type="http://schemas.openxmlformats.org/officeDocument/2006/relationships/hyperlink" Target="https://drive.google.com/file/d/1GBNPOhH7c8VCl_Zre6Rlkhj0HwyWChdT/view?usp=sharing" TargetMode="External"/><Relationship Id="rId2679" Type="http://schemas.openxmlformats.org/officeDocument/2006/relationships/hyperlink" Target="https://drive.google.com/file/d/1eWaT_1BCfIVdk1chGbooqZvixerxVc3p/view?usp=sharing" TargetMode="External"/><Relationship Id="rId1349" Type="http://schemas.openxmlformats.org/officeDocument/2006/relationships/hyperlink" Target="https://drive.google.com/file/d/1sqFMf92-4wuJAjyKBnfGolfu4J1Rt4nl/view?usp=sharing" TargetMode="External"/><Relationship Id="rId756" Type="http://schemas.openxmlformats.org/officeDocument/2006/relationships/hyperlink" Target="https://drive.google.com/file/d/1rUBMywtsSgpu_C8CV07za5DTqfmW_7gX/view?usp=sharing" TargetMode="External"/><Relationship Id="rId755" Type="http://schemas.openxmlformats.org/officeDocument/2006/relationships/hyperlink" Target="https://drive.google.com/file/d/1L6aTmvc_x_SMoaLKcFE0D6sVKqUAJylT/view?usp=sharing" TargetMode="External"/><Relationship Id="rId754" Type="http://schemas.openxmlformats.org/officeDocument/2006/relationships/hyperlink" Target="https://drive.google.com/file/d/1cJAXlY-UMGgxjbMLH4AcRv1kN0BqJ9iO/view?usp=sharing" TargetMode="External"/><Relationship Id="rId753" Type="http://schemas.openxmlformats.org/officeDocument/2006/relationships/hyperlink" Target="https://drive.google.com/file/d/1Nfio-vjavRtkKLCX1i2UU-LmeyIqr5h_/view?usp=sharing" TargetMode="External"/><Relationship Id="rId759" Type="http://schemas.openxmlformats.org/officeDocument/2006/relationships/hyperlink" Target="https://drive.google.com/file/d/16ioa6QfUWFQKr7jqioXkSAO3h3sXcOcR/view?usp=sharing" TargetMode="External"/><Relationship Id="rId758" Type="http://schemas.openxmlformats.org/officeDocument/2006/relationships/hyperlink" Target="https://drive.google.com/file/d/1BXAGOaTAlQB9AGNiEzUGzrGbbhvlefYa/view?usp=sharing" TargetMode="External"/><Relationship Id="rId757" Type="http://schemas.openxmlformats.org/officeDocument/2006/relationships/hyperlink" Target="https://drive.google.com/file/d/1B-FdVxCD_uW2XEa9iwhTwZYyzjELJ5Bw/view?usp=sharing" TargetMode="External"/><Relationship Id="rId2670" Type="http://schemas.openxmlformats.org/officeDocument/2006/relationships/hyperlink" Target="https://drive.google.com/file/d/1O_TppeEd03cIOUHE4jpU15AiCQgLuJKp/view?usp=sharing" TargetMode="External"/><Relationship Id="rId1340" Type="http://schemas.openxmlformats.org/officeDocument/2006/relationships/hyperlink" Target="https://drive.google.com/file/d/1abBuDtbkk6Ws-EVQOka8usRQsHpyBJdR/view?usp=sharing" TargetMode="External"/><Relationship Id="rId2671" Type="http://schemas.openxmlformats.org/officeDocument/2006/relationships/hyperlink" Target="https://drive.google.com/file/d/1hlAywwrjI86-VklckNHZuCRXCN_z4OTm/view?usp=sharing" TargetMode="External"/><Relationship Id="rId752" Type="http://schemas.openxmlformats.org/officeDocument/2006/relationships/hyperlink" Target="https://drive.google.com/file/d/1A_gU0kLfQATvFPKOvBWYC7coBNvtJI2f/view?usp=sharing" TargetMode="External"/><Relationship Id="rId1341" Type="http://schemas.openxmlformats.org/officeDocument/2006/relationships/hyperlink" Target="https://drive.google.com/file/d/1-dhfv8v1dJqUUfYnaLIl3AlAQmyvSVhP/view?usp=sharing" TargetMode="External"/><Relationship Id="rId2672" Type="http://schemas.openxmlformats.org/officeDocument/2006/relationships/hyperlink" Target="https://drive.google.com/file/d/1qnAypoWjtSUkF1Y-K2oGzInwJWOmDqf6/view?usp=sharing" TargetMode="External"/><Relationship Id="rId751" Type="http://schemas.openxmlformats.org/officeDocument/2006/relationships/hyperlink" Target="https://drive.google.com/file/d/1_szY-QeaLJ2yvWaQg2ys1PmalSybSRD2/view?usp=sharing" TargetMode="External"/><Relationship Id="rId1342" Type="http://schemas.openxmlformats.org/officeDocument/2006/relationships/hyperlink" Target="https://drive.google.com/file/d/1NEnn-dDRfrhMBycdIioKlDlhLpRid6uu/view?usp=sharing" TargetMode="External"/><Relationship Id="rId2673" Type="http://schemas.openxmlformats.org/officeDocument/2006/relationships/hyperlink" Target="https://drive.google.com/file/d/14t_40pTfb9p2Nc9EqA8jdjFYov6ajRqX/view?usp=sharing" TargetMode="External"/><Relationship Id="rId750" Type="http://schemas.openxmlformats.org/officeDocument/2006/relationships/hyperlink" Target="https://drive.google.com/file/d/1U90HBlDv94gqGUYHB_9UVxMdXES8Pwe1/view?usp=sharing" TargetMode="External"/><Relationship Id="rId1343" Type="http://schemas.openxmlformats.org/officeDocument/2006/relationships/hyperlink" Target="https://drive.google.com/file/d/1hhgYxCxxyBcbHbUtW1vszBrgjzlAR90B/view?usp=sharing" TargetMode="External"/><Relationship Id="rId2674" Type="http://schemas.openxmlformats.org/officeDocument/2006/relationships/hyperlink" Target="https://drive.google.com/file/d/1DKx7LA4TwD55EPZfFK8AUCHWCNAsBPoe/view?usp=sharing" TargetMode="External"/><Relationship Id="rId1344" Type="http://schemas.openxmlformats.org/officeDocument/2006/relationships/hyperlink" Target="https://drive.google.com/file/d/1CRdDxvcxSjTwM97lkMzOa7jNYTT2CnIL/view?usp=sharing" TargetMode="External"/><Relationship Id="rId2675" Type="http://schemas.openxmlformats.org/officeDocument/2006/relationships/hyperlink" Target="https://drive.google.com/file/d/1o1SBGsbVABqofdjDOWsh0_1B8ypPG1Pp/view?usp=sharing" TargetMode="External"/><Relationship Id="rId2621" Type="http://schemas.openxmlformats.org/officeDocument/2006/relationships/hyperlink" Target="https://drive.google.com/file/d/1LeH5fXaU3NKEpqOQeSgNcu4TpIKCkmiB/view?usp=sharing" TargetMode="External"/><Relationship Id="rId2622" Type="http://schemas.openxmlformats.org/officeDocument/2006/relationships/hyperlink" Target="https://drive.google.com/file/d/1O3a7EK2nHdp70xBMku9FLkFUKLwcCTeI/view?usp=sharing" TargetMode="External"/><Relationship Id="rId2623" Type="http://schemas.openxmlformats.org/officeDocument/2006/relationships/hyperlink" Target="https://drive.google.com/file/d/1hoXx07MO3PhthAYPsaxTmL5TOZhE_7rj/view?usp=sharing" TargetMode="External"/><Relationship Id="rId2624" Type="http://schemas.openxmlformats.org/officeDocument/2006/relationships/hyperlink" Target="https://drive.google.com/file/d/12efFYHwL6q4ialej7l59fiALFnVFrl11/view?usp=sharing" TargetMode="External"/><Relationship Id="rId2625" Type="http://schemas.openxmlformats.org/officeDocument/2006/relationships/hyperlink" Target="https://drive.google.com/file/d/1E9XIgUsPiM15aLP4zOwemwewBaXLMIoo/view?usp=sharing" TargetMode="External"/><Relationship Id="rId2626" Type="http://schemas.openxmlformats.org/officeDocument/2006/relationships/hyperlink" Target="https://drive.google.com/file/d/1AB3QgW1dYmM8-ivhJO_AZ0fxlcMzxs3c/view?usp=sharing" TargetMode="External"/><Relationship Id="rId2627" Type="http://schemas.openxmlformats.org/officeDocument/2006/relationships/hyperlink" Target="https://drive.google.com/file/d/1RJXahzzHH3wwxq5hxDCriDR_1KpNQWmw/view?usp=sharing" TargetMode="External"/><Relationship Id="rId2628" Type="http://schemas.openxmlformats.org/officeDocument/2006/relationships/hyperlink" Target="https://drive.google.com/file/d/1ZN9GXrAMROR9QWP1se07aQVjJ0ZpbL_L/view?usp=sharing" TargetMode="External"/><Relationship Id="rId709" Type="http://schemas.openxmlformats.org/officeDocument/2006/relationships/hyperlink" Target="https://drive.google.com/file/d/15beT2UT0C60iwqqx51OVlKgDqcE5WNIi/view?usp=sharing" TargetMode="External"/><Relationship Id="rId2629" Type="http://schemas.openxmlformats.org/officeDocument/2006/relationships/hyperlink" Target="https://drive.google.com/file/d/1QWXQdHTLWq98fedtHco4ldu5A4_oJC-y/view?usp=sharing" TargetMode="External"/><Relationship Id="rId708" Type="http://schemas.openxmlformats.org/officeDocument/2006/relationships/hyperlink" Target="https://drive.google.com/file/d/105J5uEVkbQCJ5hVHULxCFk7PXsSRTEHg/view?usp=sharing" TargetMode="External"/><Relationship Id="rId707" Type="http://schemas.openxmlformats.org/officeDocument/2006/relationships/hyperlink" Target="https://drive.google.com/file/d/14cgNKAj070ykws5sTm-YtHHAvbY8FccU/view?usp=sharing" TargetMode="External"/><Relationship Id="rId706" Type="http://schemas.openxmlformats.org/officeDocument/2006/relationships/hyperlink" Target="https://drive.google.com/file/d/1s_OqwuO0aYrfx34eKs3bRWV8uqsRp83G/view?usp=sharing" TargetMode="External"/><Relationship Id="rId701" Type="http://schemas.openxmlformats.org/officeDocument/2006/relationships/hyperlink" Target="https://drive.google.com/file/d/1jZetQIo-lUHP9H3uGjxznLq483M6Pz8N/view?usp=sharing" TargetMode="External"/><Relationship Id="rId700" Type="http://schemas.openxmlformats.org/officeDocument/2006/relationships/hyperlink" Target="https://drive.google.com/file/d/1nR-jZjNusQvJyfqA8oPAWH-5lSeuoeCj/view?usp=sharing" TargetMode="External"/><Relationship Id="rId705" Type="http://schemas.openxmlformats.org/officeDocument/2006/relationships/hyperlink" Target="https://drive.google.com/file/d/1E6Xf5g_hm_Q2ln9bJu1aRY-UEkldQ_f2/view?usp=sharing" TargetMode="External"/><Relationship Id="rId704" Type="http://schemas.openxmlformats.org/officeDocument/2006/relationships/hyperlink" Target="https://drive.google.com/file/d/18duunsyX_YE9yXPfD-rIxXBkw8o3E0Zr/view?usp=sharing" TargetMode="External"/><Relationship Id="rId703" Type="http://schemas.openxmlformats.org/officeDocument/2006/relationships/hyperlink" Target="https://drive.google.com/file/d/1ZrR56Km_vZsOQmaBjbuBy8sBjrHtOkNu/view?usp=sharing" TargetMode="External"/><Relationship Id="rId702" Type="http://schemas.openxmlformats.org/officeDocument/2006/relationships/hyperlink" Target="https://drive.google.com/file/d/1ZOIsEVRRFodjLrI2cNa9LpEhCrrtfaZY/view?usp=sharing" TargetMode="External"/><Relationship Id="rId2620" Type="http://schemas.openxmlformats.org/officeDocument/2006/relationships/hyperlink" Target="https://drive.google.com/file/d/10FmNC_z11qoKmV4-oKybgc0YUkAXJs6B/view?usp=sharing" TargetMode="External"/><Relationship Id="rId2610" Type="http://schemas.openxmlformats.org/officeDocument/2006/relationships/hyperlink" Target="https://drive.google.com/file/d/1s_UqRFOjE8xJ7Bt61hcBV5rMKsPNkBm4/view?usp=sharing" TargetMode="External"/><Relationship Id="rId2611" Type="http://schemas.openxmlformats.org/officeDocument/2006/relationships/hyperlink" Target="https://drive.google.com/file/d/1UrjGeI6ZcqGrpSpDPFRdQ39eLwfgp-IU/view?usp=sharing" TargetMode="External"/><Relationship Id="rId2612" Type="http://schemas.openxmlformats.org/officeDocument/2006/relationships/hyperlink" Target="https://drive.google.com/file/d/1NhmOfueey5N6PFO6a-UlgKWhmvMThO-u/view?usp=sharing" TargetMode="External"/><Relationship Id="rId2613" Type="http://schemas.openxmlformats.org/officeDocument/2006/relationships/hyperlink" Target="https://drive.google.com/file/d/1ZVEd_dKFoJGnnJr0sqCCo1SrX_k0hqz0/view?usp=sharing" TargetMode="External"/><Relationship Id="rId2614" Type="http://schemas.openxmlformats.org/officeDocument/2006/relationships/hyperlink" Target="https://drive.google.com/file/d/1PzcYTYEkPX-0Ul9_LrSDJOK_RupOCebe/view?usp=sharing" TargetMode="External"/><Relationship Id="rId2615" Type="http://schemas.openxmlformats.org/officeDocument/2006/relationships/hyperlink" Target="https://drive.google.com/file/d/1h-175St6eB9BMP7yfU7s3MmlAlBoyvyk/view?usp=sharing" TargetMode="External"/><Relationship Id="rId2616" Type="http://schemas.openxmlformats.org/officeDocument/2006/relationships/hyperlink" Target="https://drive.google.com/file/d/1AMZ4XZrwaweijXaBwnL-p0X07yphr1w6/view?usp=sharing" TargetMode="External"/><Relationship Id="rId2617" Type="http://schemas.openxmlformats.org/officeDocument/2006/relationships/hyperlink" Target="https://drive.google.com/file/d/1OVENHenEpXNJNQVU7yZdrgyxMTSUN7QY/view?usp=sharing" TargetMode="External"/><Relationship Id="rId2618" Type="http://schemas.openxmlformats.org/officeDocument/2006/relationships/hyperlink" Target="https://drive.google.com/file/d/1EOOOTsvd1_bOLBd8CRG7ELuvuPUfuVSW/view?usp=sharing" TargetMode="External"/><Relationship Id="rId2619" Type="http://schemas.openxmlformats.org/officeDocument/2006/relationships/hyperlink" Target="https://drive.google.com/file/d/1a-oo9seubGm5n7nSSbRgScNOhSqnECet/view?usp=sharing" TargetMode="External"/><Relationship Id="rId1312" Type="http://schemas.openxmlformats.org/officeDocument/2006/relationships/hyperlink" Target="https://drive.google.com/file/d/1lp4_RnCEmOgkzM7VUxHEAJ1YBUGbAxFS/view?usp=sharing" TargetMode="External"/><Relationship Id="rId2643" Type="http://schemas.openxmlformats.org/officeDocument/2006/relationships/hyperlink" Target="https://drive.google.com/file/d/1XPhsOJPt36hbhGWpc1WwuoMVm5gfu0M8/view?usp=sharing" TargetMode="External"/><Relationship Id="rId1313" Type="http://schemas.openxmlformats.org/officeDocument/2006/relationships/hyperlink" Target="https://drive.google.com/file/d/1j3QPbq7mbMHzQNUX4sGmeHwQS9xICIR3/view?usp=sharing" TargetMode="External"/><Relationship Id="rId2644" Type="http://schemas.openxmlformats.org/officeDocument/2006/relationships/hyperlink" Target="https://drive.google.com/file/d/1y6lxG0hphk7KXZCeEZFDaMEWPL3h3dnF/view?usp=sharing" TargetMode="External"/><Relationship Id="rId1314" Type="http://schemas.openxmlformats.org/officeDocument/2006/relationships/hyperlink" Target="https://drive.google.com/file/d/1BMIj7j7_373j72cVRUkGSnGEOznHKbFq/view?usp=sharing" TargetMode="External"/><Relationship Id="rId2645" Type="http://schemas.openxmlformats.org/officeDocument/2006/relationships/hyperlink" Target="https://drive.google.com/file/d/1wL3M5EKbKNII1p9snPF8Pf768CWzJEpB/view?usp=sharing" TargetMode="External"/><Relationship Id="rId1315" Type="http://schemas.openxmlformats.org/officeDocument/2006/relationships/hyperlink" Target="https://drive.google.com/file/d/1WGCUKKmpW5cbTO8nnrER9hknDGhlrDrF/view?usp=sharing" TargetMode="External"/><Relationship Id="rId2646" Type="http://schemas.openxmlformats.org/officeDocument/2006/relationships/hyperlink" Target="https://drive.google.com/file/d/1cWLtFx3tNwdg2cuHC4KlExOaGGtyPSB7/view?usp=sharing" TargetMode="External"/><Relationship Id="rId1316" Type="http://schemas.openxmlformats.org/officeDocument/2006/relationships/hyperlink" Target="https://drive.google.com/file/d/1dWSvYPRIMRy2CE5lv7pqkd_c77zhldeR/view?usp=sharing" TargetMode="External"/><Relationship Id="rId2647" Type="http://schemas.openxmlformats.org/officeDocument/2006/relationships/hyperlink" Target="https://drive.google.com/file/d/1ecP-gffP0gQf7PycDlU_jum_HRBsens_/view?usp=sharing" TargetMode="External"/><Relationship Id="rId1317" Type="http://schemas.openxmlformats.org/officeDocument/2006/relationships/hyperlink" Target="https://drive.google.com/file/d/16CeqsAgCZQ_m00IjzxigsiQwEm0WXiqL/view?usp=sharing" TargetMode="External"/><Relationship Id="rId2648" Type="http://schemas.openxmlformats.org/officeDocument/2006/relationships/hyperlink" Target="https://drive.google.com/file/d/1I6iOlIQvjhjOBM4vq8AciYJNgDY2C3SO/view?usp=sharing" TargetMode="External"/><Relationship Id="rId1318" Type="http://schemas.openxmlformats.org/officeDocument/2006/relationships/hyperlink" Target="https://drive.google.com/file/d/1RGhtpydlSaOFDBhxHewjynGgYkinoG4G/view?usp=sharing" TargetMode="External"/><Relationship Id="rId2649" Type="http://schemas.openxmlformats.org/officeDocument/2006/relationships/hyperlink" Target="https://drive.google.com/file/d/1eLkKaroCVu6qHVqTxKo2hu2bj9s7QCm2/view?usp=sharing" TargetMode="External"/><Relationship Id="rId1319" Type="http://schemas.openxmlformats.org/officeDocument/2006/relationships/hyperlink" Target="https://drive.google.com/file/d/1GhNN2bZGykd3lLNRJUQbowHXHuq1-p72/view?usp=sharing" TargetMode="External"/><Relationship Id="rId729" Type="http://schemas.openxmlformats.org/officeDocument/2006/relationships/hyperlink" Target="https://drive.google.com/file/d/1s-0R_AKFUMiJ8t-J67uAxeazIQu7BQb9/view?usp=sharing" TargetMode="External"/><Relationship Id="rId728" Type="http://schemas.openxmlformats.org/officeDocument/2006/relationships/hyperlink" Target="https://drive.google.com/file/d/1SMD8_ViOWdqrjem3xY9fbfjRXx4_42dw/view?usp=sharing" TargetMode="External"/><Relationship Id="rId723" Type="http://schemas.openxmlformats.org/officeDocument/2006/relationships/hyperlink" Target="https://drive.google.com/file/d/1qJoB2oL-ofA5xfe-SXteix_G1zA8--WM/view?usp=sharing" TargetMode="External"/><Relationship Id="rId722" Type="http://schemas.openxmlformats.org/officeDocument/2006/relationships/hyperlink" Target="https://drive.google.com/file/d/1vey2IkL8jLZ8NUG4JWJlHwkkbnbsnfaZ/view?usp=sharing" TargetMode="External"/><Relationship Id="rId721" Type="http://schemas.openxmlformats.org/officeDocument/2006/relationships/hyperlink" Target="https://drive.google.com/file/d/10NhyQlbUFkpPpo3XA_nbaPUoB0ps2rtK/view?usp=sharing" TargetMode="External"/><Relationship Id="rId720" Type="http://schemas.openxmlformats.org/officeDocument/2006/relationships/hyperlink" Target="https://drive.google.com/file/d/1mhSL37-_vk7fLZ9Pp53hMiRa8Kx9AzyH/view?usp=sharing" TargetMode="External"/><Relationship Id="rId727" Type="http://schemas.openxmlformats.org/officeDocument/2006/relationships/hyperlink" Target="https://drive.google.com/file/d/15nBvxiZHdrNTZid1Y8p0HDgFhyZoGZad/view?usp=sharing" TargetMode="External"/><Relationship Id="rId726" Type="http://schemas.openxmlformats.org/officeDocument/2006/relationships/hyperlink" Target="https://drive.google.com/file/d/1IO--ksKZ7hjNYul02vRiC_VXwZ3n-gyf/view?usp=sharing" TargetMode="External"/><Relationship Id="rId725" Type="http://schemas.openxmlformats.org/officeDocument/2006/relationships/hyperlink" Target="https://drive.google.com/file/d/1s8_7dwnq5b6SJwDi0HB3nIen3p4xg3s9/view?usp=sharing" TargetMode="External"/><Relationship Id="rId724" Type="http://schemas.openxmlformats.org/officeDocument/2006/relationships/hyperlink" Target="https://drive.google.com/file/d/1gj5WXYXgdE5dt7F7QDrXlSlpaKY3vOiY/view?usp=sharing" TargetMode="External"/><Relationship Id="rId2640" Type="http://schemas.openxmlformats.org/officeDocument/2006/relationships/hyperlink" Target="https://drive.google.com/file/d/1RF6PRMY-BTvAZyU7j6EbDKZAgeCwQtJi/view?usp=sharing" TargetMode="External"/><Relationship Id="rId1310" Type="http://schemas.openxmlformats.org/officeDocument/2006/relationships/hyperlink" Target="https://drive.google.com/file/d/1upnV5Obms6G_Tvp8BrHj6xVHOLmDB53M/view?usp=sharing" TargetMode="External"/><Relationship Id="rId2641" Type="http://schemas.openxmlformats.org/officeDocument/2006/relationships/hyperlink" Target="https://drive.google.com/file/d/19KehjbvYkVjhgXFfbfJud90yT7mhbblc/view?usp=sharing" TargetMode="External"/><Relationship Id="rId1311" Type="http://schemas.openxmlformats.org/officeDocument/2006/relationships/hyperlink" Target="https://drive.google.com/file/d/1rjiLl_1dgJ08F1zCUzKqM5Kx4RmsqEGw/view?usp=sharing" TargetMode="External"/><Relationship Id="rId2642" Type="http://schemas.openxmlformats.org/officeDocument/2006/relationships/hyperlink" Target="https://drive.google.com/file/d/1O9JmEcwsY_ZDbsHXNY_OY9SZzeTpEh1B/view?usp=sharing" TargetMode="External"/><Relationship Id="rId1301" Type="http://schemas.openxmlformats.org/officeDocument/2006/relationships/hyperlink" Target="https://drive.google.com/file/d/1GJj11nyqrUME6A5n_ZTHZun8tvO99-ga/view?usp=sharing" TargetMode="External"/><Relationship Id="rId2632" Type="http://schemas.openxmlformats.org/officeDocument/2006/relationships/hyperlink" Target="https://drive.google.com/file/d/13kaWuKKWBI8U6JbIM2p7wifQX96AMvFW/view?usp=sharing" TargetMode="External"/><Relationship Id="rId1302" Type="http://schemas.openxmlformats.org/officeDocument/2006/relationships/hyperlink" Target="https://drive.google.com/file/d/11jnQWvO-xlJ_KfQbg_EepA5nJvYnGNcN/view?usp=sharing" TargetMode="External"/><Relationship Id="rId2633" Type="http://schemas.openxmlformats.org/officeDocument/2006/relationships/hyperlink" Target="https://drive.google.com/file/d/1UFFPjUo96S7zhYdZMwL_Lg3pM3doRomy/view?usp=sharing" TargetMode="External"/><Relationship Id="rId1303" Type="http://schemas.openxmlformats.org/officeDocument/2006/relationships/hyperlink" Target="https://drive.google.com/file/d/1SA0yYMEiOolpwe2PH-rblQleWMRxZZ36/view?usp=sharing" TargetMode="External"/><Relationship Id="rId2634" Type="http://schemas.openxmlformats.org/officeDocument/2006/relationships/hyperlink" Target="https://drive.google.com/file/d/1TRsHNvUmDsnRgk2OrTIXJ3Php0NDJpmj/view?usp=sharing" TargetMode="External"/><Relationship Id="rId1304" Type="http://schemas.openxmlformats.org/officeDocument/2006/relationships/hyperlink" Target="https://drive.google.com/file/d/1sB-JD5iJt2SHHaX6CGMuGZEcTBvtQN3x/view?usp=sharing" TargetMode="External"/><Relationship Id="rId2635" Type="http://schemas.openxmlformats.org/officeDocument/2006/relationships/hyperlink" Target="https://drive.google.com/file/d/1FrgvCvMEXJ4HZCdEhiJWm3MviFcJGsGf/view?usp=sharing" TargetMode="External"/><Relationship Id="rId1305" Type="http://schemas.openxmlformats.org/officeDocument/2006/relationships/hyperlink" Target="https://drive.google.com/file/d/1RCjLsJ1PwYC-gsvAXgk3IwiA3tgiT98i/view?usp=sharing" TargetMode="External"/><Relationship Id="rId2636" Type="http://schemas.openxmlformats.org/officeDocument/2006/relationships/hyperlink" Target="https://drive.google.com/file/d/14AvPmFFu8epHVtHO6Qd4N79SczVS6cZp/view?usp=sharing" TargetMode="External"/><Relationship Id="rId1306" Type="http://schemas.openxmlformats.org/officeDocument/2006/relationships/hyperlink" Target="https://drive.google.com/file/d/1p7AbpNF-dCt9wqWt_fibNqIVIkJhkheX/view?usp=sharing" TargetMode="External"/><Relationship Id="rId2637" Type="http://schemas.openxmlformats.org/officeDocument/2006/relationships/hyperlink" Target="https://drive.google.com/file/d/1NLLoj4TeakjtZoqW5-moI0CNC_GrNKVR/view?usp=sharing" TargetMode="External"/><Relationship Id="rId1307" Type="http://schemas.openxmlformats.org/officeDocument/2006/relationships/hyperlink" Target="https://drive.google.com/file/d/1Q5UGpZEnARNdgWBwLr_2wD1mCnvptkH9/view?usp=sharing" TargetMode="External"/><Relationship Id="rId2638" Type="http://schemas.openxmlformats.org/officeDocument/2006/relationships/hyperlink" Target="https://drive.google.com/file/d/1i8372i8sCJ9TG1YYezhCJ3nInJiKEzoB/view?usp=sharing" TargetMode="External"/><Relationship Id="rId1308" Type="http://schemas.openxmlformats.org/officeDocument/2006/relationships/hyperlink" Target="https://drive.google.com/file/d/1RnvGjRShOMVcMSMlRH3D8cx4cftY4Z8E/view?usp=sharing" TargetMode="External"/><Relationship Id="rId2639" Type="http://schemas.openxmlformats.org/officeDocument/2006/relationships/hyperlink" Target="https://drive.google.com/file/d/1UqEgsKTXQqoSn61Rk5_6Dn3LaExC_LoU/view?usp=sharing" TargetMode="External"/><Relationship Id="rId1309" Type="http://schemas.openxmlformats.org/officeDocument/2006/relationships/hyperlink" Target="https://drive.google.com/file/d/1HHiqez0zR46N8LSjVUaGgIANcLNRdPkP/view?usp=sharing" TargetMode="External"/><Relationship Id="rId719" Type="http://schemas.openxmlformats.org/officeDocument/2006/relationships/hyperlink" Target="https://drive.google.com/file/d/1Wpuc1hIV5qyJqN2jpyFAdAIRTJ9P6Z4c/view?usp=sharing" TargetMode="External"/><Relationship Id="rId718" Type="http://schemas.openxmlformats.org/officeDocument/2006/relationships/hyperlink" Target="https://drive.google.com/file/d/1xdhvh7fk-7BM2oFB1eaNkqz7DLOKGtX6/view?usp=sharing" TargetMode="External"/><Relationship Id="rId717" Type="http://schemas.openxmlformats.org/officeDocument/2006/relationships/hyperlink" Target="https://drive.google.com/file/d/14hTmIXizuAWLTO26Y56XhHRpkE9W9RYU/view?usp=sharing" TargetMode="External"/><Relationship Id="rId712" Type="http://schemas.openxmlformats.org/officeDocument/2006/relationships/hyperlink" Target="https://drive.google.com/file/d/1AjIfC8FMt3y1JWFaJBA9BXIodEUr2fJL/view?usp=sharing" TargetMode="External"/><Relationship Id="rId711" Type="http://schemas.openxmlformats.org/officeDocument/2006/relationships/hyperlink" Target="https://drive.google.com/file/d/1b7pjHMtg3zBc_1EsftygnL5b5uMcOcuF/view?usp=sharing" TargetMode="External"/><Relationship Id="rId710" Type="http://schemas.openxmlformats.org/officeDocument/2006/relationships/hyperlink" Target="https://drive.google.com/file/d/1ftleF63KqghrKL0fKUbsEvuHBDpT2b5-/view?usp=sharing" TargetMode="External"/><Relationship Id="rId716" Type="http://schemas.openxmlformats.org/officeDocument/2006/relationships/hyperlink" Target="https://drive.google.com/file/d/1NxSxv2tyZuWVjRsqCncC1DNzGbErlIVt/view?usp=sharing" TargetMode="External"/><Relationship Id="rId715" Type="http://schemas.openxmlformats.org/officeDocument/2006/relationships/hyperlink" Target="https://drive.google.com/file/d/1HA04xdw5M2gMlTVOXwU9ezfbvuOygPny/view?usp=sharing" TargetMode="External"/><Relationship Id="rId714" Type="http://schemas.openxmlformats.org/officeDocument/2006/relationships/hyperlink" Target="https://drive.google.com/file/d/1fJFGPBThdHnGJKbk1Pk96HzpQa7db_nt/view?usp=sharing" TargetMode="External"/><Relationship Id="rId713" Type="http://schemas.openxmlformats.org/officeDocument/2006/relationships/hyperlink" Target="https://drive.google.com/file/d/100cibciU8ByHgaxG0rgmeO-f5rqiD8_p/view?usp=sharing" TargetMode="External"/><Relationship Id="rId2630" Type="http://schemas.openxmlformats.org/officeDocument/2006/relationships/hyperlink" Target="https://drive.google.com/file/d/1aZcfMSnl3Cb-hcgxxQya0Il0g8n6IkRW/view?usp=sharing" TargetMode="External"/><Relationship Id="rId1300" Type="http://schemas.openxmlformats.org/officeDocument/2006/relationships/hyperlink" Target="https://drive.google.com/file/d/1625yGReozuf7s3H1InpPDTsM0JV3ZrHV/view?usp=sharing" TargetMode="External"/><Relationship Id="rId2631" Type="http://schemas.openxmlformats.org/officeDocument/2006/relationships/hyperlink" Target="https://drive.google.com/file/d/1wVgA5VujCaBxe1FuA_W--JRZTsMw6Dhj/view?usp=sharing" TargetMode="External"/><Relationship Id="rId3117" Type="http://schemas.openxmlformats.org/officeDocument/2006/relationships/hyperlink" Target="https://drive.google.com/file/d/1Gl13hwqjwN9UrBuv-g2sdjHRvL0-k6nE/view?usp=sharing" TargetMode="External"/><Relationship Id="rId3116" Type="http://schemas.openxmlformats.org/officeDocument/2006/relationships/hyperlink" Target="https://drive.google.com/file/d/12LOrog4H2_0E8NvsYodh9WqldIx_QQ9i/view?usp=sharing" TargetMode="External"/><Relationship Id="rId3119" Type="http://schemas.openxmlformats.org/officeDocument/2006/relationships/hyperlink" Target="https://drive.google.com/file/d/1a2DoWLzirnU18Cwv2_XIL3QTXK2Z5os5/view?usp=sharing" TargetMode="External"/><Relationship Id="rId3118" Type="http://schemas.openxmlformats.org/officeDocument/2006/relationships/hyperlink" Target="https://drive.google.com/file/d/1_ekJCGKLTXbTNEHWzPbU68gbXnB5RULq/view?usp=sharing" TargetMode="External"/><Relationship Id="rId3111" Type="http://schemas.openxmlformats.org/officeDocument/2006/relationships/hyperlink" Target="https://drive.google.com/file/d/1L2VJTCuEoDUUX3zzF-fJnLHhbJrc-d8B/view?usp=sharing" TargetMode="External"/><Relationship Id="rId3110" Type="http://schemas.openxmlformats.org/officeDocument/2006/relationships/hyperlink" Target="https://drive.google.com/file/d/1pGdNdgngmZoKzIQT8RYUJ0rYck2fhTxp/view?usp=sharing" TargetMode="External"/><Relationship Id="rId3113" Type="http://schemas.openxmlformats.org/officeDocument/2006/relationships/hyperlink" Target="https://drive.google.com/file/d/1GnJTy3usNWZHfYSmxlcqECWk8CG752K0/view?usp=sharing" TargetMode="External"/><Relationship Id="rId3112" Type="http://schemas.openxmlformats.org/officeDocument/2006/relationships/hyperlink" Target="https://drive.google.com/file/d/1Hg07C_cvEaP0lDsLf0dV7aDyCfxRou_Z/view?usp=sharing" TargetMode="External"/><Relationship Id="rId3115" Type="http://schemas.openxmlformats.org/officeDocument/2006/relationships/hyperlink" Target="https://drive.google.com/file/d/1LpWqEL8KCX1Ic-hAH8YAVdXzYrmhzTD8/view?usp=sharing" TargetMode="External"/><Relationship Id="rId3114" Type="http://schemas.openxmlformats.org/officeDocument/2006/relationships/hyperlink" Target="https://drive.google.com/file/d/1eUEzRoQHq6yl4olxpqdqe0_DsPcxiWAk/view?usp=sharing" TargetMode="External"/><Relationship Id="rId3106" Type="http://schemas.openxmlformats.org/officeDocument/2006/relationships/hyperlink" Target="https://drive.google.com/file/d/1ssN3mAHKM_wUHYOlqaxWpnhp0wgQyZBl/view?usp=sharing" TargetMode="External"/><Relationship Id="rId3105" Type="http://schemas.openxmlformats.org/officeDocument/2006/relationships/hyperlink" Target="https://drive.google.com/file/d/1gYq6o9-OaOOSe1EGum26_Q9lTr7w6IK-/view?usp=sharing" TargetMode="External"/><Relationship Id="rId3108" Type="http://schemas.openxmlformats.org/officeDocument/2006/relationships/hyperlink" Target="https://drive.google.com/file/d/1IxFzAHzXCGHsWSeKhoxkat8DHN4vML0l/view?usp=sharing" TargetMode="External"/><Relationship Id="rId3107" Type="http://schemas.openxmlformats.org/officeDocument/2006/relationships/hyperlink" Target="https://drive.google.com/file/d/1kpGXiBX0Fyn9AHquLBaKaatr9eccpKQu/view?usp=sharing" TargetMode="External"/><Relationship Id="rId3109" Type="http://schemas.openxmlformats.org/officeDocument/2006/relationships/hyperlink" Target="https://drive.google.com/file/d/1ER2SiR0ZPlgy6EuTeaQc5ftpRe66Y1o-/view?usp=sharing" TargetMode="External"/><Relationship Id="rId3100" Type="http://schemas.openxmlformats.org/officeDocument/2006/relationships/hyperlink" Target="https://drive.google.com/file/d/1rKMbYLCHeU8fA9n4c4zEn9Epf7dEulg5/view?usp=sharing" TargetMode="External"/><Relationship Id="rId3102" Type="http://schemas.openxmlformats.org/officeDocument/2006/relationships/hyperlink" Target="https://drive.google.com/file/d/106as9gNQdKDIRhBXpfTcJo1Kzl5myT0E/view?usp=sharing" TargetMode="External"/><Relationship Id="rId3101" Type="http://schemas.openxmlformats.org/officeDocument/2006/relationships/hyperlink" Target="https://drive.google.com/file/d/19wjDsc-2_6epVxwFWAIAgv5MB8smhSYU/view?usp=sharing" TargetMode="External"/><Relationship Id="rId3104" Type="http://schemas.openxmlformats.org/officeDocument/2006/relationships/hyperlink" Target="https://drive.google.com/file/d/1vAFvwP_GqUohnKyRU0YzVpg3yVgZWsDO/view?usp=sharing" TargetMode="External"/><Relationship Id="rId3103" Type="http://schemas.openxmlformats.org/officeDocument/2006/relationships/hyperlink" Target="https://drive.google.com/file/d/1sr5kiDAIaIUVJ4dRDsKDgAVvVIiNxXHm/view?usp=sharing" TargetMode="External"/><Relationship Id="rId3139" Type="http://schemas.openxmlformats.org/officeDocument/2006/relationships/hyperlink" Target="https://drive.google.com/file/d/1ChvpUICrjJ6Co21RWhOEvmW3EW8_JVZO/view?usp=sharing" TargetMode="External"/><Relationship Id="rId3138" Type="http://schemas.openxmlformats.org/officeDocument/2006/relationships/hyperlink" Target="https://drive.google.com/file/d/15S8mu6SYeLLCAqB-JhXqP7g1XQBpqNW5/view?usp=sharing" TargetMode="External"/><Relationship Id="rId3131" Type="http://schemas.openxmlformats.org/officeDocument/2006/relationships/hyperlink" Target="https://drive.google.com/file/d/1az4SeHiescZyzzInZ2jppYFMGJYm_772/view?usp=sharing" TargetMode="External"/><Relationship Id="rId3130" Type="http://schemas.openxmlformats.org/officeDocument/2006/relationships/hyperlink" Target="https://drive.google.com/file/d/1KLA0w0oam0_pW5bi3Vs5en2yiAA7km9z/view?usp=sharing" TargetMode="External"/><Relationship Id="rId3133" Type="http://schemas.openxmlformats.org/officeDocument/2006/relationships/hyperlink" Target="https://drive.google.com/file/d/1xGTmTyngUCeD2UqLAiMdp_5C_vswKxuU/view?usp=sharing" TargetMode="External"/><Relationship Id="rId3132" Type="http://schemas.openxmlformats.org/officeDocument/2006/relationships/hyperlink" Target="https://drive.google.com/file/d/14ZAXwDLYK2EXR1bsDyNPjZv316dF5LO5/view?usp=sharing" TargetMode="External"/><Relationship Id="rId3135" Type="http://schemas.openxmlformats.org/officeDocument/2006/relationships/hyperlink" Target="https://drive.google.com/file/d/1lOOdYHP0fqEqIqTkrvW_sbTK0cA9bFr5/view?usp=sharing" TargetMode="External"/><Relationship Id="rId3134" Type="http://schemas.openxmlformats.org/officeDocument/2006/relationships/hyperlink" Target="https://drive.google.com/file/d/1wc6RsCW2fZTfRTToAZgSzREkb5Mv5C8p/view?usp=sharing" TargetMode="External"/><Relationship Id="rId3137" Type="http://schemas.openxmlformats.org/officeDocument/2006/relationships/hyperlink" Target="https://drive.google.com/file/d/1AU8rBhOALdodI1Vdmj1iuDCi6hibD8Qz/view?usp=sharing" TargetMode="External"/><Relationship Id="rId3136" Type="http://schemas.openxmlformats.org/officeDocument/2006/relationships/hyperlink" Target="https://drive.google.com/file/d/1wTtATTx8EtJFJ0bTpbga2eiZHG_tcT-c/view?usp=sharing" TargetMode="External"/><Relationship Id="rId3128" Type="http://schemas.openxmlformats.org/officeDocument/2006/relationships/hyperlink" Target="https://drive.google.com/file/d/1_Mo7HCJcBZiRjcFr-XrH_-yUW6Qi-UwW/view?usp=sharing" TargetMode="External"/><Relationship Id="rId3127" Type="http://schemas.openxmlformats.org/officeDocument/2006/relationships/hyperlink" Target="https://drive.google.com/file/d/1Bqid_YhBUUfdmQ46tY1ATsc8_57S3BND/view?usp=sharing" TargetMode="External"/><Relationship Id="rId3129" Type="http://schemas.openxmlformats.org/officeDocument/2006/relationships/hyperlink" Target="https://drive.google.com/file/d/1bG8L0ds6RApJurmbWlPPfoIRMQ9UYeUR/view?usp=sharing" TargetMode="External"/><Relationship Id="rId3120" Type="http://schemas.openxmlformats.org/officeDocument/2006/relationships/hyperlink" Target="https://drive.google.com/file/d/1GAPf81PRIk2UFFU7V0W4lUBgJqBfGnME/view?usp=sharing" TargetMode="External"/><Relationship Id="rId3122" Type="http://schemas.openxmlformats.org/officeDocument/2006/relationships/hyperlink" Target="https://drive.google.com/file/d/1hrHBtTRgLwxmH0Nnlq2bPuPZFaDZTKlu/view?usp=sharing" TargetMode="External"/><Relationship Id="rId3121" Type="http://schemas.openxmlformats.org/officeDocument/2006/relationships/hyperlink" Target="https://drive.google.com/file/d/1J62C8zDXJhW2yh5qht6QUSTTtJPNJ0iX/view?usp=sharing" TargetMode="External"/><Relationship Id="rId3124" Type="http://schemas.openxmlformats.org/officeDocument/2006/relationships/hyperlink" Target="https://drive.google.com/file/d/1-VkxQjADeL8PSak-LylFRdmyCCko35qC/view?usp=sharing" TargetMode="External"/><Relationship Id="rId3123" Type="http://schemas.openxmlformats.org/officeDocument/2006/relationships/hyperlink" Target="https://drive.google.com/file/d/1Jjfsca_2nZa88nvd8wUSIwvd7HGGEYIK/view?usp=sharing" TargetMode="External"/><Relationship Id="rId3126" Type="http://schemas.openxmlformats.org/officeDocument/2006/relationships/hyperlink" Target="https://drive.google.com/file/d/1BMEhvHbotMc-09CKZz3rbG6FxBdQ9dIw/view?usp=sharing" TargetMode="External"/><Relationship Id="rId3125" Type="http://schemas.openxmlformats.org/officeDocument/2006/relationships/hyperlink" Target="https://drive.google.com/file/d/1IhbzszpS-El8w9QD3YFz_-61_TU6ii7V/view?usp=sharing" TargetMode="External"/><Relationship Id="rId1378" Type="http://schemas.openxmlformats.org/officeDocument/2006/relationships/hyperlink" Target="https://drive.google.com/file/d/1zStNSRHA2SVpl0va6WAgBuWLdoz_RijW/view?usp=sharing" TargetMode="External"/><Relationship Id="rId1379" Type="http://schemas.openxmlformats.org/officeDocument/2006/relationships/hyperlink" Target="https://drive.google.com/file/d/1tk-M1EfwfOncX01QQCeebIHSgb2cGluh/view?usp=sharing" TargetMode="External"/><Relationship Id="rId789" Type="http://schemas.openxmlformats.org/officeDocument/2006/relationships/hyperlink" Target="https://drive.google.com/file/d/1UkCVr-IAZH-UCDJv20jkhkbWOzAfEi-t/view?usp=sharing" TargetMode="External"/><Relationship Id="rId788" Type="http://schemas.openxmlformats.org/officeDocument/2006/relationships/hyperlink" Target="https://drive.google.com/file/d/18eg9k-DYdt3Z00Ru6lPkXQ8B4MaRVNBy/view?usp=sharing" TargetMode="External"/><Relationship Id="rId787" Type="http://schemas.openxmlformats.org/officeDocument/2006/relationships/hyperlink" Target="https://drive.google.com/file/d/1OaHFgrlO67J5uXE8fbu_qN2Xo3nZdg71/view?usp=sharing" TargetMode="External"/><Relationship Id="rId786" Type="http://schemas.openxmlformats.org/officeDocument/2006/relationships/hyperlink" Target="https://drive.google.com/file/d/1Jf3C7E-x5fLqUgW5HEDENwGWBIwHzkZl/view?usp=sharing" TargetMode="External"/><Relationship Id="rId781" Type="http://schemas.openxmlformats.org/officeDocument/2006/relationships/hyperlink" Target="https://drive.google.com/file/d/1_Wqx9QoDKduiIsgULYPypxYwEaO5S8ZZ/view?usp=sharing" TargetMode="External"/><Relationship Id="rId1370" Type="http://schemas.openxmlformats.org/officeDocument/2006/relationships/hyperlink" Target="https://drive.google.com/file/d/1CkWHUVET3calQJKirvupMOsSfv7-Vaa5/view?usp=sharing" TargetMode="External"/><Relationship Id="rId780" Type="http://schemas.openxmlformats.org/officeDocument/2006/relationships/hyperlink" Target="https://drive.google.com/file/d/139lkbu3b-HRGGnrBa6RxwFaZaAAOWBxh/view?usp=sharing" TargetMode="External"/><Relationship Id="rId1371" Type="http://schemas.openxmlformats.org/officeDocument/2006/relationships/hyperlink" Target="https://drive.google.com/file/d/1x0d4KZmnifwwJoUph_ESRDJ5uodYzmbH/view?usp=sharing" TargetMode="External"/><Relationship Id="rId1372" Type="http://schemas.openxmlformats.org/officeDocument/2006/relationships/hyperlink" Target="https://drive.google.com/file/d/1s7eDiYmYdQyvk_TonKAWiDWkFccXSm47/view?usp=sharing" TargetMode="External"/><Relationship Id="rId1373" Type="http://schemas.openxmlformats.org/officeDocument/2006/relationships/hyperlink" Target="https://drive.google.com/file/d/1O1xVfmKb6DMWQhMxEgQHaW86MUinlIhb/view?usp=sharing" TargetMode="External"/><Relationship Id="rId785" Type="http://schemas.openxmlformats.org/officeDocument/2006/relationships/hyperlink" Target="https://drive.google.com/file/d/1P7lt1hqG-ZzYcpvHxBCCVysfL3Zxulv9/view?usp=sharing" TargetMode="External"/><Relationship Id="rId1374" Type="http://schemas.openxmlformats.org/officeDocument/2006/relationships/hyperlink" Target="https://drive.google.com/file/d/1NK66idciKOxa2rHJJkKD4GfhqAIKCdBS/view?usp=sharing" TargetMode="External"/><Relationship Id="rId784" Type="http://schemas.openxmlformats.org/officeDocument/2006/relationships/hyperlink" Target="https://drive.google.com/file/d/1z-LqJ3RmZK6eQyXp99JdtNnwKVNib8-o/view?usp=sharing" TargetMode="External"/><Relationship Id="rId1375" Type="http://schemas.openxmlformats.org/officeDocument/2006/relationships/hyperlink" Target="https://drive.google.com/file/d/1PZuL1YxpUXZkMQ_7OJ2F3YLktNra-P_x/view?usp=sharing" TargetMode="External"/><Relationship Id="rId783" Type="http://schemas.openxmlformats.org/officeDocument/2006/relationships/hyperlink" Target="https://drive.google.com/file/d/1htYhDETOHk0xIPsEs4_F8kefYWPXri4X/view?usp=sharing" TargetMode="External"/><Relationship Id="rId1376" Type="http://schemas.openxmlformats.org/officeDocument/2006/relationships/hyperlink" Target="https://drive.google.com/file/d/1wCmmxNOJCRG4_jmz7RvFSMz8UvmMNmvc/view?usp=sharing" TargetMode="External"/><Relationship Id="rId782" Type="http://schemas.openxmlformats.org/officeDocument/2006/relationships/hyperlink" Target="https://drive.google.com/file/d/1sfoitDyEnD9AlSFHV8UL6QdTHDTS7PK8/view?usp=sharing" TargetMode="External"/><Relationship Id="rId1377" Type="http://schemas.openxmlformats.org/officeDocument/2006/relationships/hyperlink" Target="https://drive.google.com/file/d/1rIhthQxOPLEVgPR182dxtCKTOV1wtpz7/view?usp=sharing" TargetMode="External"/><Relationship Id="rId1367" Type="http://schemas.openxmlformats.org/officeDocument/2006/relationships/hyperlink" Target="https://drive.google.com/file/d/1TyEyDIry7kF4pU57PdUyq4b_ldGI3NnH/view?usp=sharing" TargetMode="External"/><Relationship Id="rId2698" Type="http://schemas.openxmlformats.org/officeDocument/2006/relationships/hyperlink" Target="https://drive.google.com/file/d/1syYpKqF1EP5aO2zcnsRhW7mfgrDmLktI/view?usp=sharing" TargetMode="External"/><Relationship Id="rId1368" Type="http://schemas.openxmlformats.org/officeDocument/2006/relationships/hyperlink" Target="https://drive.google.com/file/d/1xDU_gOeq-H9lSJxsouJZhr0QtpIEXYUQ/view?usp=sharing" TargetMode="External"/><Relationship Id="rId2699" Type="http://schemas.openxmlformats.org/officeDocument/2006/relationships/hyperlink" Target="https://drive.google.com/file/d/1zDtvwh2GDDfVHMqY2otkWF5vXLmGxvJM/view?usp=sharing" TargetMode="External"/><Relationship Id="rId1369" Type="http://schemas.openxmlformats.org/officeDocument/2006/relationships/hyperlink" Target="https://drive.google.com/file/d/1RA0VUKtp_PmhxYH-qNGjslORgXdhWaEY/view?usp=sharing" TargetMode="External"/><Relationship Id="rId778" Type="http://schemas.openxmlformats.org/officeDocument/2006/relationships/hyperlink" Target="https://drive.google.com/file/d/1cxmbg2LnFEbHBXH2ZW1Axv1wWZ59X28v/view?usp=sharing" TargetMode="External"/><Relationship Id="rId777" Type="http://schemas.openxmlformats.org/officeDocument/2006/relationships/hyperlink" Target="https://drive.google.com/file/d/18CFOcPgRzxQMP-Xwo3MSca7uSIK3UKsS/view?usp=sharing" TargetMode="External"/><Relationship Id="rId776" Type="http://schemas.openxmlformats.org/officeDocument/2006/relationships/hyperlink" Target="https://drive.google.com/file/d/11wrG7AEmmXb2UrGibjS-hSqkEL7u39qz/view?usp=sharing" TargetMode="External"/><Relationship Id="rId775" Type="http://schemas.openxmlformats.org/officeDocument/2006/relationships/hyperlink" Target="https://drive.google.com/file/d/1X3QsTQ5JR2h7j4t1uyok7qgSFqrhptzR/view?usp=sharing" TargetMode="External"/><Relationship Id="rId779" Type="http://schemas.openxmlformats.org/officeDocument/2006/relationships/hyperlink" Target="https://drive.google.com/file/d/1ZBJBTUTmPyv4gUfNBLpxz4fpcrDw7xak/view?usp=sharing" TargetMode="External"/><Relationship Id="rId770" Type="http://schemas.openxmlformats.org/officeDocument/2006/relationships/hyperlink" Target="https://drive.google.com/file/d/1zzNQ9XhzXszY62Lg14ytlQH28WvAbbA0/view?usp=sharing" TargetMode="External"/><Relationship Id="rId2690" Type="http://schemas.openxmlformats.org/officeDocument/2006/relationships/hyperlink" Target="https://drive.google.com/file/d/1j7gEw0vK2qumupHqewu2OHlY-_KJJ6l6/view?usp=sharing" TargetMode="External"/><Relationship Id="rId1360" Type="http://schemas.openxmlformats.org/officeDocument/2006/relationships/hyperlink" Target="https://drive.google.com/file/d/1lT3GPseGAmwUkqSrhgE4bxJtEKeJrC5E/view?usp=sharing" TargetMode="External"/><Relationship Id="rId2691" Type="http://schemas.openxmlformats.org/officeDocument/2006/relationships/hyperlink" Target="https://drive.google.com/file/d/1wsCDppsEK8B1DE9LU8T_5Cm9O7qQqtIS/view?usp=sharing" TargetMode="External"/><Relationship Id="rId1361" Type="http://schemas.openxmlformats.org/officeDocument/2006/relationships/hyperlink" Target="https://drive.google.com/file/d/1Vp-aRAg64_OUKHFk-vuzC0TuLTMXjUc6/view?usp=sharing" TargetMode="External"/><Relationship Id="rId2692" Type="http://schemas.openxmlformats.org/officeDocument/2006/relationships/hyperlink" Target="https://drive.google.com/file/d/1vD9neNKrGY6mvlfltd3q0cFa94SKjYHe/view?usp=sharing" TargetMode="External"/><Relationship Id="rId1362" Type="http://schemas.openxmlformats.org/officeDocument/2006/relationships/hyperlink" Target="https://drive.google.com/file/d/1gi-TZCinWouzcs46NX2DSv3_k0tndR4b/view?usp=sharing" TargetMode="External"/><Relationship Id="rId2693" Type="http://schemas.openxmlformats.org/officeDocument/2006/relationships/hyperlink" Target="https://drive.google.com/file/d/19ILVhCfrIaPPoYRYA9AmNl0QgitHs9pD/view?usp=sharing" TargetMode="External"/><Relationship Id="rId774" Type="http://schemas.openxmlformats.org/officeDocument/2006/relationships/hyperlink" Target="https://drive.google.com/file/d/1gQ0EFJby0ECoQzEjDRlPrI3h2LTe5Ks3/view?usp=sharing" TargetMode="External"/><Relationship Id="rId1363" Type="http://schemas.openxmlformats.org/officeDocument/2006/relationships/hyperlink" Target="https://drive.google.com/file/d/12QXFwuL2P3fZJW_Sjb_IueV7F2ExpxwA/view?usp=sharing" TargetMode="External"/><Relationship Id="rId2694" Type="http://schemas.openxmlformats.org/officeDocument/2006/relationships/hyperlink" Target="https://drive.google.com/file/d/14ylZG1u00wPjliPcwwfw_QoLhPurqhfR/view?usp=sharing" TargetMode="External"/><Relationship Id="rId773" Type="http://schemas.openxmlformats.org/officeDocument/2006/relationships/hyperlink" Target="https://drive.google.com/file/d/1A9GX0OULfe_NayRGw-ajeG1HCdNM1VWD/view?usp=sharing" TargetMode="External"/><Relationship Id="rId1364" Type="http://schemas.openxmlformats.org/officeDocument/2006/relationships/hyperlink" Target="https://drive.google.com/file/d/19Q9iIe95h3L_h8COfRwNXUr-uTjzzeO-/view?usp=sharing" TargetMode="External"/><Relationship Id="rId2695" Type="http://schemas.openxmlformats.org/officeDocument/2006/relationships/hyperlink" Target="https://drive.google.com/file/d/1gc-7APCyvf9jNlsgTuufy1ulKqnL_VnM/view?usp=sharing" TargetMode="External"/><Relationship Id="rId772" Type="http://schemas.openxmlformats.org/officeDocument/2006/relationships/hyperlink" Target="https://drive.google.com/file/d/1SNEKLWT5APTmQcvwM_VBfxYRqrkLLORG/view?usp=sharing" TargetMode="External"/><Relationship Id="rId1365" Type="http://schemas.openxmlformats.org/officeDocument/2006/relationships/hyperlink" Target="https://drive.google.com/file/d/1tYymNhkoKMbO7nbTUnoheottwHoxNSyZ/view?usp=sharing" TargetMode="External"/><Relationship Id="rId2696" Type="http://schemas.openxmlformats.org/officeDocument/2006/relationships/hyperlink" Target="https://drive.google.com/file/d/12Njm1M-lTmzrj_vdkpwaMrux7dy0Romw/view?usp=sharing" TargetMode="External"/><Relationship Id="rId771" Type="http://schemas.openxmlformats.org/officeDocument/2006/relationships/hyperlink" Target="https://drive.google.com/file/d/1mL2r_QUbJ6pMkP3dcgxbbk5qL6gOzRKn/view?usp=sharing" TargetMode="External"/><Relationship Id="rId1366" Type="http://schemas.openxmlformats.org/officeDocument/2006/relationships/hyperlink" Target="https://drive.google.com/file/d/1sy1Sw1JF6doLQ6jYVaa-l-JlPCryGW7N/view?usp=sharing" TargetMode="External"/><Relationship Id="rId2697" Type="http://schemas.openxmlformats.org/officeDocument/2006/relationships/hyperlink" Target="https://drive.google.com/file/d/1NkWMWOyvML3B2dmFgNMsIsr55AwTMk83/view?usp=sharing" TargetMode="External"/><Relationship Id="rId1390" Type="http://schemas.openxmlformats.org/officeDocument/2006/relationships/hyperlink" Target="https://drive.google.com/file/d/1QHADd8qG-vNEOCFssovYaXyY-Azplq2C/view?usp=sharing" TargetMode="External"/><Relationship Id="rId1391" Type="http://schemas.openxmlformats.org/officeDocument/2006/relationships/hyperlink" Target="https://drive.google.com/file/d/1rvgFOEcBi7OJRwjcxn4jysX-VRhrq6Gd/view?usp=sharing" TargetMode="External"/><Relationship Id="rId1392" Type="http://schemas.openxmlformats.org/officeDocument/2006/relationships/hyperlink" Target="https://drive.google.com/file/d/1XUyFJ0WzQXUtH_3gzbGSXgbkacKEdwvH/view?usp=sharing" TargetMode="External"/><Relationship Id="rId1393" Type="http://schemas.openxmlformats.org/officeDocument/2006/relationships/hyperlink" Target="https://drive.google.com/file/d/1xiJBLFMnpqcpfZ-2qf0yDYCISy8i7jGH/view?usp=sharing" TargetMode="External"/><Relationship Id="rId1394" Type="http://schemas.openxmlformats.org/officeDocument/2006/relationships/hyperlink" Target="https://drive.google.com/file/d/156DSkKsRGMkzsTL-Fuff7GSlz10_BG8p/view?usp=sharing" TargetMode="External"/><Relationship Id="rId1395" Type="http://schemas.openxmlformats.org/officeDocument/2006/relationships/hyperlink" Target="https://drive.google.com/file/d/1GTePl1JB49P71NZiQ_mfPxyfCH1m4c0k/view?usp=sharing" TargetMode="External"/><Relationship Id="rId1396" Type="http://schemas.openxmlformats.org/officeDocument/2006/relationships/hyperlink" Target="https://drive.google.com/file/d/105PLayzdYJssuTWiqd0igWNNYmRUip8S/view?usp=sharing" TargetMode="External"/><Relationship Id="rId1397" Type="http://schemas.openxmlformats.org/officeDocument/2006/relationships/hyperlink" Target="https://drive.google.com/file/d/16XqMPWWpDIulsYVl4oRf4Exi-y1zkPHo/view?usp=sharing" TargetMode="External"/><Relationship Id="rId1398" Type="http://schemas.openxmlformats.org/officeDocument/2006/relationships/hyperlink" Target="https://drive.google.com/file/d/1DIU5FGskW6NWKVXJ6qlAExpnmC8e45Np/view?usp=sharing" TargetMode="External"/><Relationship Id="rId1399" Type="http://schemas.openxmlformats.org/officeDocument/2006/relationships/hyperlink" Target="https://drive.google.com/file/d/1FF1E1Rn8OH9_T-NH4F5J5k9jXGES2A7G/view?usp=sharing" TargetMode="External"/><Relationship Id="rId1389" Type="http://schemas.openxmlformats.org/officeDocument/2006/relationships/hyperlink" Target="https://drive.google.com/file/d/17BkuZVXVToNaN0ySM0ikWkyap0ORkiRp/view?usp=sharing" TargetMode="External"/><Relationship Id="rId799" Type="http://schemas.openxmlformats.org/officeDocument/2006/relationships/hyperlink" Target="https://drive.google.com/file/d/1FIihlxSDMr2ZLY7YeWbyxtTyJc_dzKZz/view?usp=sharing" TargetMode="External"/><Relationship Id="rId798" Type="http://schemas.openxmlformats.org/officeDocument/2006/relationships/hyperlink" Target="https://drive.google.com/file/d/1Etokfl-aCVZcDbBl2TkgUzdNpFeORaZw/view?usp=sharing" TargetMode="External"/><Relationship Id="rId797" Type="http://schemas.openxmlformats.org/officeDocument/2006/relationships/hyperlink" Target="https://drive.google.com/file/d/1mkEuSOM-7XdCJVK_9ry5_O0v5GFRMzZp/view?usp=sharing" TargetMode="External"/><Relationship Id="rId1380" Type="http://schemas.openxmlformats.org/officeDocument/2006/relationships/hyperlink" Target="https://drive.google.com/file/d/13lwPXOkQGAs4dCc9RoS0rZKCt6uuLPbV/view?usp=sharing" TargetMode="External"/><Relationship Id="rId792" Type="http://schemas.openxmlformats.org/officeDocument/2006/relationships/hyperlink" Target="https://drive.google.com/file/d/10wPxYrqmDV6qwvtJdvPDQo9o2EHDbF5f/view?usp=sharing" TargetMode="External"/><Relationship Id="rId1381" Type="http://schemas.openxmlformats.org/officeDocument/2006/relationships/hyperlink" Target="https://drive.google.com/file/d/1Ru5JRDgs3ePQr4yz2DiRYwAiR591kPar/view?usp=sharing" TargetMode="External"/><Relationship Id="rId791" Type="http://schemas.openxmlformats.org/officeDocument/2006/relationships/hyperlink" Target="https://drive.google.com/file/d/1lVcx3qIrbgjMPnk-AEnILR1x2P_QUA6T/view?usp=sharing" TargetMode="External"/><Relationship Id="rId1382" Type="http://schemas.openxmlformats.org/officeDocument/2006/relationships/hyperlink" Target="https://drive.google.com/file/d/1ZxQXvZBHZycrqrjwQjg9usSI9xt8fB8r/view?usp=sharing" TargetMode="External"/><Relationship Id="rId790" Type="http://schemas.openxmlformats.org/officeDocument/2006/relationships/hyperlink" Target="https://drive.google.com/file/d/1hPqgCpCV29AF5UefCuyzE9zupA-7Jk0n/view?usp=sharing" TargetMode="External"/><Relationship Id="rId1383" Type="http://schemas.openxmlformats.org/officeDocument/2006/relationships/hyperlink" Target="https://drive.google.com/file/d/1-QKxCU1Zxy0PLS3OXx89tfsGW6-QzAWS/view?usp=sharing" TargetMode="External"/><Relationship Id="rId1384" Type="http://schemas.openxmlformats.org/officeDocument/2006/relationships/hyperlink" Target="https://drive.google.com/file/d/1RE944J_q6GvTwrJ5PuKXRP9Z-8eHuWFr/view?usp=sharing" TargetMode="External"/><Relationship Id="rId796" Type="http://schemas.openxmlformats.org/officeDocument/2006/relationships/hyperlink" Target="https://drive.google.com/file/d/1Fmoy3joK84i5j02LTYw7xCDEvhbKXqqv/view?usp=sharing" TargetMode="External"/><Relationship Id="rId1385" Type="http://schemas.openxmlformats.org/officeDocument/2006/relationships/hyperlink" Target="https://drive.google.com/file/d/1y4rROBoOWm1-9TRRfskMBP2KlWx41av4/view?usp=sharing" TargetMode="External"/><Relationship Id="rId795" Type="http://schemas.openxmlformats.org/officeDocument/2006/relationships/hyperlink" Target="https://drive.google.com/file/d/1VsXTdxSuw2-SY2iaqcfD_nF97rtYwxf_/view?usp=sharing" TargetMode="External"/><Relationship Id="rId1386" Type="http://schemas.openxmlformats.org/officeDocument/2006/relationships/hyperlink" Target="https://drive.google.com/file/d/1nMcHPnGh-JlOCMzABpEo4hDWtkG73365/view?usp=sharing" TargetMode="External"/><Relationship Id="rId794" Type="http://schemas.openxmlformats.org/officeDocument/2006/relationships/hyperlink" Target="https://drive.google.com/file/d/16p3eES5z27wvGeKktiz5uEf34Et8zKX9/view?usp=sharing" TargetMode="External"/><Relationship Id="rId1387" Type="http://schemas.openxmlformats.org/officeDocument/2006/relationships/hyperlink" Target="https://drive.google.com/file/d/1MhR_D6zEMMTWoQkv55AeDAsd9CC1HgGn/view?usp=sharing" TargetMode="External"/><Relationship Id="rId793" Type="http://schemas.openxmlformats.org/officeDocument/2006/relationships/hyperlink" Target="https://drive.google.com/file/d/13S6N6OI0tYK6PpvwQwP7hkkSYKKxONmy/view?usp=sharing" TargetMode="External"/><Relationship Id="rId1388" Type="http://schemas.openxmlformats.org/officeDocument/2006/relationships/hyperlink" Target="https://drive.google.com/file/d/1NZ4nHXM_9g8JuRWyVccinlDJbokP9dD3/view?usp=sharing" TargetMode="External"/><Relationship Id="rId3140" Type="http://schemas.openxmlformats.org/officeDocument/2006/relationships/hyperlink" Target="https://drive.google.com/file/d/1NedoZGautVE7UOz0jkmUgjLHAzlJ889a/view?usp=sharing" TargetMode="External"/><Relationship Id="rId3142" Type="http://schemas.openxmlformats.org/officeDocument/2006/relationships/hyperlink" Target="https://drive.google.com/file/d/1L5AxXzZQtzNoO921SkAcClUAK9F1zlXq/view?usp=sharing" TargetMode="External"/><Relationship Id="rId3141" Type="http://schemas.openxmlformats.org/officeDocument/2006/relationships/hyperlink" Target="https://drive.google.com/file/d/14FRjNcHqdD7PkprcVsi8nxVq1W45bjG5/view?usp=sharing" TargetMode="External"/><Relationship Id="rId3144" Type="http://schemas.openxmlformats.org/officeDocument/2006/relationships/hyperlink" Target="https://drive.google.com/file/d/1MJ76GyoSQKMMeyFXrap8HNv6AyJIepHU/view?usp=sharing" TargetMode="External"/><Relationship Id="rId3143" Type="http://schemas.openxmlformats.org/officeDocument/2006/relationships/hyperlink" Target="https://drive.google.com/file/d/1Kf3P5Ik5sRlS1OrDG2Jr_yq_KxRSA7Jq/view?usp=sharing" TargetMode="External"/><Relationship Id="rId3146" Type="http://schemas.openxmlformats.org/officeDocument/2006/relationships/hyperlink" Target="https://drive.google.com/file/d/1bTdzZ742H5O_i_iNUymlN8C5d8T4_VCr/view?usp=sharing" TargetMode="External"/><Relationship Id="rId3145" Type="http://schemas.openxmlformats.org/officeDocument/2006/relationships/hyperlink" Target="https://drive.google.com/file/d/1CelRahSSOpj43fqURMx5jQmXLVq1iTJX/view?usp=sharing" TargetMode="External"/><Relationship Id="rId3147" Type="http://schemas.openxmlformats.org/officeDocument/2006/relationships/drawing" Target="../drawings/drawing1.xml"/><Relationship Id="rId2700" Type="http://schemas.openxmlformats.org/officeDocument/2006/relationships/hyperlink" Target="https://drive.google.com/file/d/1BpILKZ-lPpo44iGapA1J9GlMQny_m5OJ/view?usp=sharing" TargetMode="External"/><Relationship Id="rId2701" Type="http://schemas.openxmlformats.org/officeDocument/2006/relationships/hyperlink" Target="https://drive.google.com/file/d/1AYXo1W_fHQFsxDRaG-lOzoyG14bGMXhX/view?usp=sharing" TargetMode="External"/><Relationship Id="rId2702" Type="http://schemas.openxmlformats.org/officeDocument/2006/relationships/hyperlink" Target="https://drive.google.com/file/d/1iVRGw2KJ1vwTXULrjxWmuIB38A815cIq/view?usp=sharing" TargetMode="External"/><Relationship Id="rId2703" Type="http://schemas.openxmlformats.org/officeDocument/2006/relationships/hyperlink" Target="https://drive.google.com/file/d/1qgbj9A5YQ1PLnpQJ2Z-J5jvX77ZuSOaO/view?usp=sharing" TargetMode="External"/><Relationship Id="rId2704" Type="http://schemas.openxmlformats.org/officeDocument/2006/relationships/hyperlink" Target="https://drive.google.com/file/d/1RjVwBifWPqga0B5reMRGnqaoSDWvhyfY/view?usp=sharing" TargetMode="External"/><Relationship Id="rId2705" Type="http://schemas.openxmlformats.org/officeDocument/2006/relationships/hyperlink" Target="https://drive.google.com/file/d/1NssUCrvT5A-191dAxacUqTQXV9HHNw_w/view?usp=sharing" TargetMode="External"/><Relationship Id="rId2706" Type="http://schemas.openxmlformats.org/officeDocument/2006/relationships/hyperlink" Target="https://drive.google.com/file/d/1tma2mWxgs-40t5KZpacnlYQnYQepLvHL/view?usp=sharing" TargetMode="External"/><Relationship Id="rId2707" Type="http://schemas.openxmlformats.org/officeDocument/2006/relationships/hyperlink" Target="https://drive.google.com/file/d/1ficJHyc8oTNiukVgAsXpR1iTTp8ZB5-_/view?usp=sharing" TargetMode="External"/><Relationship Id="rId2708" Type="http://schemas.openxmlformats.org/officeDocument/2006/relationships/hyperlink" Target="https://drive.google.com/file/d/1obZ_8cui83lwFIhef0kt323sbwIm67yk/view?usp=sharing" TargetMode="External"/><Relationship Id="rId2709" Type="http://schemas.openxmlformats.org/officeDocument/2006/relationships/hyperlink" Target="https://drive.google.com/file/d/1kYyhaFfYFLrwhiYE--nypUDVMX5UUvUB/view?usp=sharing" TargetMode="External"/><Relationship Id="rId2720" Type="http://schemas.openxmlformats.org/officeDocument/2006/relationships/hyperlink" Target="https://drive.google.com/file/d/1sccJjrdgBXwkRlScIu3azQiez9t5zXvy/view?usp=sharing" TargetMode="External"/><Relationship Id="rId2721" Type="http://schemas.openxmlformats.org/officeDocument/2006/relationships/hyperlink" Target="https://drive.google.com/file/d/17CU2POGU7fRdoKz4ovftQNn9s0-ftmoH/view?usp=sharing" TargetMode="External"/><Relationship Id="rId2722" Type="http://schemas.openxmlformats.org/officeDocument/2006/relationships/hyperlink" Target="https://drive.google.com/file/d/1qFxhqs7Fbj02bXi7U22iUzVW0tJkrYoT/view?usp=sharing" TargetMode="External"/><Relationship Id="rId2723" Type="http://schemas.openxmlformats.org/officeDocument/2006/relationships/hyperlink" Target="https://drive.google.com/file/d/1yCGSvQTqNRhidobkuO_1wZ7gMMgOcfGe/view?usp=sharing" TargetMode="External"/><Relationship Id="rId2724" Type="http://schemas.openxmlformats.org/officeDocument/2006/relationships/hyperlink" Target="https://drive.google.com/file/d/1grrTZjJLfWlFUlXCgXKrnrr2WqThIhp6/view?usp=sharing" TargetMode="External"/><Relationship Id="rId2725" Type="http://schemas.openxmlformats.org/officeDocument/2006/relationships/hyperlink" Target="https://drive.google.com/file/d/1_Adn8I63snJnGZXDt5ko7iTZ5nOIvmKI/view?usp=sharing" TargetMode="External"/><Relationship Id="rId2726" Type="http://schemas.openxmlformats.org/officeDocument/2006/relationships/hyperlink" Target="https://drive.google.com/file/d/1HTjrMyAYYXh0xXYhdp5mJmuZ3LLtn09C/view?usp=sharing" TargetMode="External"/><Relationship Id="rId2727" Type="http://schemas.openxmlformats.org/officeDocument/2006/relationships/hyperlink" Target="https://drive.google.com/file/d/19fLh0eDRFqhOX0i7pKflN5Cu23nmXhqF/view?usp=sharing" TargetMode="External"/><Relationship Id="rId2728" Type="http://schemas.openxmlformats.org/officeDocument/2006/relationships/hyperlink" Target="https://drive.google.com/file/d/1E_nDIqSwsnDtkGHFhSflg552lcDpZe_K/view?usp=sharing" TargetMode="External"/><Relationship Id="rId2729" Type="http://schemas.openxmlformats.org/officeDocument/2006/relationships/hyperlink" Target="https://drive.google.com/file/d/1bho9v1OICAFwasmC6HYxg47NEQr9Xu6H/view?usp=sharing" TargetMode="External"/><Relationship Id="rId2710" Type="http://schemas.openxmlformats.org/officeDocument/2006/relationships/hyperlink" Target="https://drive.google.com/file/d/1bsdxXFcxmATGBufiCmxwT7Q4-s9IAxjS/view?usp=sharing" TargetMode="External"/><Relationship Id="rId2711" Type="http://schemas.openxmlformats.org/officeDocument/2006/relationships/hyperlink" Target="https://drive.google.com/file/d/1s9yh5skH-O81e1ig-rT0n2Iyhw-R-7AW/view?usp=sharing" TargetMode="External"/><Relationship Id="rId2712" Type="http://schemas.openxmlformats.org/officeDocument/2006/relationships/hyperlink" Target="https://drive.google.com/file/d/1QvJk3IjPG2KQ6pd-qkLsavQ5eRgmApQh/view?usp=sharing" TargetMode="External"/><Relationship Id="rId2713" Type="http://schemas.openxmlformats.org/officeDocument/2006/relationships/hyperlink" Target="https://drive.google.com/file/d/1kfjmtfc40zm4tgnFQ95SyNGLt-iCjGaf/view?usp=sharing" TargetMode="External"/><Relationship Id="rId2714" Type="http://schemas.openxmlformats.org/officeDocument/2006/relationships/hyperlink" Target="https://drive.google.com/file/d/1uhxzLdQhL2EgVMAS-ye5Jnhv3NjquyiM/view?usp=sharing" TargetMode="External"/><Relationship Id="rId2715" Type="http://schemas.openxmlformats.org/officeDocument/2006/relationships/hyperlink" Target="https://drive.google.com/file/d/1wES_xbCInreu77HIX9LeBl94h-NWJrXK/view?usp=sharing" TargetMode="External"/><Relationship Id="rId2716" Type="http://schemas.openxmlformats.org/officeDocument/2006/relationships/hyperlink" Target="https://drive.google.com/file/d/1BI0ysmxGR54aZmTWkaDfy3nY6FPOURbm/view?usp=sharing" TargetMode="External"/><Relationship Id="rId2717" Type="http://schemas.openxmlformats.org/officeDocument/2006/relationships/hyperlink" Target="https://drive.google.com/file/d/1vf4FFfdXy8O20drNSmx8PBE05PB7QCD5/view?usp=sharing" TargetMode="External"/><Relationship Id="rId2718" Type="http://schemas.openxmlformats.org/officeDocument/2006/relationships/hyperlink" Target="https://drive.google.com/file/d/1iICi2omTPL7tjGzQxrrhrGwMMIfqgmtw/view?usp=sharing" TargetMode="External"/><Relationship Id="rId2719" Type="http://schemas.openxmlformats.org/officeDocument/2006/relationships/hyperlink" Target="https://drive.google.com/file/d/1wk_sQPHAI7ylVWpR94DstjymuAIzw_oP/view?usp=sharing" TargetMode="External"/><Relationship Id="rId1455" Type="http://schemas.openxmlformats.org/officeDocument/2006/relationships/hyperlink" Target="https://drive.google.com/file/d/1AOvfPLq_m6BU34go_halHM_rnNLRkyr0/view?usp=sharing" TargetMode="External"/><Relationship Id="rId2786" Type="http://schemas.openxmlformats.org/officeDocument/2006/relationships/hyperlink" Target="https://drive.google.com/file/d/19X-rj-eZmUBDtOarSB4Z77vSXXXVLDsc/view?usp=sharing" TargetMode="External"/><Relationship Id="rId1456" Type="http://schemas.openxmlformats.org/officeDocument/2006/relationships/hyperlink" Target="https://drive.google.com/file/d/1gtcYBMXWcvXuG30pDj_STxhyEgqitieh/view?usp=sharing" TargetMode="External"/><Relationship Id="rId2787" Type="http://schemas.openxmlformats.org/officeDocument/2006/relationships/hyperlink" Target="https://drive.google.com/file/d/129kX6TmiGukBfVhlHKxZS3pR0VxHPoeD/view?usp=sharing" TargetMode="External"/><Relationship Id="rId1457" Type="http://schemas.openxmlformats.org/officeDocument/2006/relationships/hyperlink" Target="https://drive.google.com/file/d/1zTp7dpTF6Uz-N1mGh0TU_vWSOGNOJVty/view?usp=sharing" TargetMode="External"/><Relationship Id="rId2788" Type="http://schemas.openxmlformats.org/officeDocument/2006/relationships/hyperlink" Target="https://drive.google.com/file/d/1lvYKBXW8ugtTswMatk67HJb2ntiRdM2E/view?usp=sharing" TargetMode="External"/><Relationship Id="rId1458" Type="http://schemas.openxmlformats.org/officeDocument/2006/relationships/hyperlink" Target="https://drive.google.com/file/d/1m_3W6iCPII2Jp9u6fKm-Y9fCfJvCEL8Z/view?usp=sharing" TargetMode="External"/><Relationship Id="rId2789" Type="http://schemas.openxmlformats.org/officeDocument/2006/relationships/hyperlink" Target="https://drive.google.com/file/d/1hnNVnYMaY-M7hm8vbgd-KRpHwcQ8elDT/view?usp=sharing" TargetMode="External"/><Relationship Id="rId1459" Type="http://schemas.openxmlformats.org/officeDocument/2006/relationships/hyperlink" Target="https://drive.google.com/file/d/1-HB86cbbeJFMH0-NjueqxtbmbqRu9zvl/view?usp=sharing" TargetMode="External"/><Relationship Id="rId629" Type="http://schemas.openxmlformats.org/officeDocument/2006/relationships/hyperlink" Target="https://drive.google.com/file/d/1VVYWNiO_nVkPb3Ly7hbWq1Yvf70BGUaw/view?usp=sharing" TargetMode="External"/><Relationship Id="rId624" Type="http://schemas.openxmlformats.org/officeDocument/2006/relationships/hyperlink" Target="https://drive.google.com/file/d/1Ptm190Izi3K7L9R1qoZnnxj5aUcNxcwg/view?usp=sharing" TargetMode="External"/><Relationship Id="rId623" Type="http://schemas.openxmlformats.org/officeDocument/2006/relationships/hyperlink" Target="https://drive.google.com/file/d/1HZQ81iSzZso852PVy1ImJK5yFWw_Kxmp/view?usp=sharing" TargetMode="External"/><Relationship Id="rId622" Type="http://schemas.openxmlformats.org/officeDocument/2006/relationships/hyperlink" Target="https://drive.google.com/file/d/1iCcApXol9e-nKNFNkZOvmS6CfAoe8rfQ/view?usp=sharing" TargetMode="External"/><Relationship Id="rId621" Type="http://schemas.openxmlformats.org/officeDocument/2006/relationships/hyperlink" Target="https://drive.google.com/file/d/1v1fxts3ZgCIcOvViHhmxSVh_BUdOj5G1/view?usp=sharing" TargetMode="External"/><Relationship Id="rId628" Type="http://schemas.openxmlformats.org/officeDocument/2006/relationships/hyperlink" Target="https://drive.google.com/file/d/1MrtZZCwGRYV3rHRFcDYtMOqW2phDtpvB/view?usp=sharing" TargetMode="External"/><Relationship Id="rId627" Type="http://schemas.openxmlformats.org/officeDocument/2006/relationships/hyperlink" Target="https://drive.google.com/file/d/1pg62JFAPqd1CwrE_RBGJrLwgGpDerH_2/view?usp=sharing" TargetMode="External"/><Relationship Id="rId626" Type="http://schemas.openxmlformats.org/officeDocument/2006/relationships/hyperlink" Target="https://drive.google.com/file/d/193v37HF2ZYZnq3yq4Lq2CpDCWLhfbnGd/view?usp=sharing" TargetMode="External"/><Relationship Id="rId625" Type="http://schemas.openxmlformats.org/officeDocument/2006/relationships/hyperlink" Target="https://drive.google.com/file/d/1HOJAlRN1j1_rkDakNnVh1ZZXgbViOeBT/view?usp=sharing" TargetMode="External"/><Relationship Id="rId2780" Type="http://schemas.openxmlformats.org/officeDocument/2006/relationships/hyperlink" Target="https://drive.google.com/file/d/1IN7R0DbkwXzbQEVmVuEpQ8Jj8DWL1IN9/view?usp=sharing" TargetMode="External"/><Relationship Id="rId1450" Type="http://schemas.openxmlformats.org/officeDocument/2006/relationships/hyperlink" Target="https://drive.google.com/file/d/1G9tY0b2wWSt5FAbofmiFjYrlZH6Vx4yg/view?usp=sharing" TargetMode="External"/><Relationship Id="rId2781" Type="http://schemas.openxmlformats.org/officeDocument/2006/relationships/hyperlink" Target="https://drive.google.com/file/d/1cYAHyr1sLTkijyOiiAMy80X4QCqJw--S/view?usp=sharing" TargetMode="External"/><Relationship Id="rId620" Type="http://schemas.openxmlformats.org/officeDocument/2006/relationships/hyperlink" Target="https://drive.google.com/file/d/198mxNWXJKxlHOXJiewvPuIryjknXDDo0/view?usp=sharing" TargetMode="External"/><Relationship Id="rId1451" Type="http://schemas.openxmlformats.org/officeDocument/2006/relationships/hyperlink" Target="https://drive.google.com/file/d/1eiHeuZWI_NSvZcyJvGaQVoxunpM7smOP/view?usp=sharing" TargetMode="External"/><Relationship Id="rId2782" Type="http://schemas.openxmlformats.org/officeDocument/2006/relationships/hyperlink" Target="https://drive.google.com/file/d/1smGlTjhvL-bY1Smil1_bu1dDXBvx7_nr/view?usp=sharing" TargetMode="External"/><Relationship Id="rId1452" Type="http://schemas.openxmlformats.org/officeDocument/2006/relationships/hyperlink" Target="https://drive.google.com/file/d/1JZ94xHeiJtriF_OcFQKOtR2BocJxxi4h/view?usp=sharing" TargetMode="External"/><Relationship Id="rId2783" Type="http://schemas.openxmlformats.org/officeDocument/2006/relationships/hyperlink" Target="https://drive.google.com/file/d/1yVOGUB_a6WRKGkbKrLJvpqd8wycdRcWW/view?usp=sharing" TargetMode="External"/><Relationship Id="rId1453" Type="http://schemas.openxmlformats.org/officeDocument/2006/relationships/hyperlink" Target="https://drive.google.com/file/d/10iJAuXPmYWVbw72upVHL_j_S3JuhNDcr/view?usp=sharing" TargetMode="External"/><Relationship Id="rId2784" Type="http://schemas.openxmlformats.org/officeDocument/2006/relationships/hyperlink" Target="https://drive.google.com/file/d/1mtt431IhZI7U8tYVMqLTYe_prKmg5tKN/view?usp=sharing" TargetMode="External"/><Relationship Id="rId1454" Type="http://schemas.openxmlformats.org/officeDocument/2006/relationships/hyperlink" Target="https://drive.google.com/file/d/1Gu-70nS8bXejDWhcMsR6YIcYgbttN1o6/view?usp=sharing" TargetMode="External"/><Relationship Id="rId2785" Type="http://schemas.openxmlformats.org/officeDocument/2006/relationships/hyperlink" Target="https://drive.google.com/file/d/1dWu1mlzCJtZ7pk1Zb_d7dRgPWOUP8Zdx/view?usp=sharing" TargetMode="External"/><Relationship Id="rId1444" Type="http://schemas.openxmlformats.org/officeDocument/2006/relationships/hyperlink" Target="https://drive.google.com/file/d/1yVTLce4m1HKzGFI7mYMGnhCyAg1j6cmy/view?usp=sharing" TargetMode="External"/><Relationship Id="rId2775" Type="http://schemas.openxmlformats.org/officeDocument/2006/relationships/hyperlink" Target="https://drive.google.com/file/d/1Soya3tV8mNcL91WnISjFxWaD7mFLEHmB/view?usp=sharing" TargetMode="External"/><Relationship Id="rId1445" Type="http://schemas.openxmlformats.org/officeDocument/2006/relationships/hyperlink" Target="https://drive.google.com/file/d/1DiznJVoo-t9zl0gETyfIBulbRGzWaoPA/view?usp=sharing" TargetMode="External"/><Relationship Id="rId2776" Type="http://schemas.openxmlformats.org/officeDocument/2006/relationships/hyperlink" Target="https://drive.google.com/file/d/1f27QXEeQn7TmW0O3vddlxx5iuAxvPNiI/view?usp=sharing" TargetMode="External"/><Relationship Id="rId1446" Type="http://schemas.openxmlformats.org/officeDocument/2006/relationships/hyperlink" Target="https://drive.google.com/file/d/1tPv0m1_3FDI3KecUSeQrqUxmRtorKyxD/view?usp=sharing" TargetMode="External"/><Relationship Id="rId2777" Type="http://schemas.openxmlformats.org/officeDocument/2006/relationships/hyperlink" Target="https://drive.google.com/file/d/1DY3r0ys0ayUpdQfiyS2Xq9xbMaRWvyOU/view?usp=sharing" TargetMode="External"/><Relationship Id="rId1447" Type="http://schemas.openxmlformats.org/officeDocument/2006/relationships/hyperlink" Target="https://drive.google.com/file/d/1CI5mLturgZKHi5Ir33WermIho4iXt7Uw/view?usp=sharing" TargetMode="External"/><Relationship Id="rId2778" Type="http://schemas.openxmlformats.org/officeDocument/2006/relationships/hyperlink" Target="https://drive.google.com/file/d/1jUx-I3sy_jovzuiWhYNUT7vFPuKk4Ka5/view?usp=sharing" TargetMode="External"/><Relationship Id="rId1448" Type="http://schemas.openxmlformats.org/officeDocument/2006/relationships/hyperlink" Target="https://drive.google.com/file/d/13kfHYhFO204eWNzix6dUiHGzKhCNZAnO/view?usp=sharing" TargetMode="External"/><Relationship Id="rId2779" Type="http://schemas.openxmlformats.org/officeDocument/2006/relationships/hyperlink" Target="https://drive.google.com/file/d/1srgrhTrzdnK6fnJ925BwxOG2h-U9Aqsh/view?usp=sharing" TargetMode="External"/><Relationship Id="rId1449" Type="http://schemas.openxmlformats.org/officeDocument/2006/relationships/hyperlink" Target="https://drive.google.com/file/d/1vpMw-7XpKzbV6zxySuNfTdQQYdp4CfM5/view?usp=sharing" TargetMode="External"/><Relationship Id="rId619" Type="http://schemas.openxmlformats.org/officeDocument/2006/relationships/hyperlink" Target="https://drive.google.com/file/d/1Ejy0OlfoO4rZz5SVrssrKTA58VqatmrJ/view?usp=sharing" TargetMode="External"/><Relationship Id="rId618" Type="http://schemas.openxmlformats.org/officeDocument/2006/relationships/hyperlink" Target="https://drive.google.com/file/d/1C5ZA_BbwrsBxhVYfOF0IdfETowEkgoe-/view?usp=sharing" TargetMode="External"/><Relationship Id="rId613" Type="http://schemas.openxmlformats.org/officeDocument/2006/relationships/hyperlink" Target="https://drive.google.com/file/d/1bD186Vg37uAf4d3YI9R6TuiftcSkaV4Y/view?usp=sharing" TargetMode="External"/><Relationship Id="rId612" Type="http://schemas.openxmlformats.org/officeDocument/2006/relationships/hyperlink" Target="https://drive.google.com/file/d/1I576FkIikmjMoZUBbZ30WP3zESdvud02/view?usp=sharing" TargetMode="External"/><Relationship Id="rId611" Type="http://schemas.openxmlformats.org/officeDocument/2006/relationships/hyperlink" Target="https://drive.google.com/file/d/1hKJq6qeNUX3QMqaHZ3eyWzRhCMvF6Jgj/view?usp=sharing" TargetMode="External"/><Relationship Id="rId610" Type="http://schemas.openxmlformats.org/officeDocument/2006/relationships/hyperlink" Target="https://drive.google.com/file/d/1FFTfg9tqLjGbW5UbdtwBtHpawRw3rgZB/view?usp=sharing" TargetMode="External"/><Relationship Id="rId617" Type="http://schemas.openxmlformats.org/officeDocument/2006/relationships/hyperlink" Target="https://drive.google.com/file/d/1rNSpmPnWblpYpesxomDAeFyUrrypOxWU/view?usp=sharing" TargetMode="External"/><Relationship Id="rId616" Type="http://schemas.openxmlformats.org/officeDocument/2006/relationships/hyperlink" Target="https://drive.google.com/file/d/14zzuwiXijhzk_MlbzvDxRmaEBz5ZbH2g/view?usp=sharing" TargetMode="External"/><Relationship Id="rId615" Type="http://schemas.openxmlformats.org/officeDocument/2006/relationships/hyperlink" Target="https://drive.google.com/file/d/1ZjGuUFDnmjQC2UGp5uf9DxyJDkcuhzCP/view?usp=sharing" TargetMode="External"/><Relationship Id="rId614" Type="http://schemas.openxmlformats.org/officeDocument/2006/relationships/hyperlink" Target="https://drive.google.com/file/d/1OoeP6yqCSGETPeE8AVwKCP0iJJ-MvlWH/view?usp=sharing" TargetMode="External"/><Relationship Id="rId2770" Type="http://schemas.openxmlformats.org/officeDocument/2006/relationships/hyperlink" Target="https://drive.google.com/file/d/1yjhPq-tgDRx2ag89QHBnCMJio1SPeDSn/view?usp=sharing" TargetMode="External"/><Relationship Id="rId1440" Type="http://schemas.openxmlformats.org/officeDocument/2006/relationships/hyperlink" Target="https://drive.google.com/file/d/1eCq6g75U3Gx86srpGFilCWYxnBRWREoe/view?usp=sharing" TargetMode="External"/><Relationship Id="rId2771" Type="http://schemas.openxmlformats.org/officeDocument/2006/relationships/hyperlink" Target="https://drive.google.com/file/d/1yUENCCFFX1rbFEMd4mc7N1cmueP_6bov/view?usp=sharing" TargetMode="External"/><Relationship Id="rId1441" Type="http://schemas.openxmlformats.org/officeDocument/2006/relationships/hyperlink" Target="https://drive.google.com/file/d/1uIOW8DSNz9LLBnY3M30YdiCg4kXcRj1D/view?usp=sharing" TargetMode="External"/><Relationship Id="rId2772" Type="http://schemas.openxmlformats.org/officeDocument/2006/relationships/hyperlink" Target="https://drive.google.com/file/d/1F-iV-BXPkdWPT5lNi9U5QG25pw63ZwIe/view?usp=sharing" TargetMode="External"/><Relationship Id="rId1442" Type="http://schemas.openxmlformats.org/officeDocument/2006/relationships/hyperlink" Target="https://drive.google.com/file/d/1Z8p12KTUZsuikgJ3KgwXcemL8_kiAGA0/view?usp=sharing" TargetMode="External"/><Relationship Id="rId2773" Type="http://schemas.openxmlformats.org/officeDocument/2006/relationships/hyperlink" Target="https://drive.google.com/file/d/1cGlnGm1P1GHy-N1TwK8LwhlbBWHaPGIf/view?usp=sharing" TargetMode="External"/><Relationship Id="rId1443" Type="http://schemas.openxmlformats.org/officeDocument/2006/relationships/hyperlink" Target="https://drive.google.com/file/d/1qdK7AKQ4AYhnxj5--jdMzjHnnqZScJcn/view?usp=sharing" TargetMode="External"/><Relationship Id="rId2774" Type="http://schemas.openxmlformats.org/officeDocument/2006/relationships/hyperlink" Target="https://drive.google.com/file/d/1SbcJAeW1oqVthdtLMsBLdQoUfY2xrxjd/view?usp=sharing" TargetMode="External"/><Relationship Id="rId1477" Type="http://schemas.openxmlformats.org/officeDocument/2006/relationships/hyperlink" Target="https://drive.google.com/file/d/1T3tEORCAr_E7omGzoxo8dGd8uQ67-InK/view?usp=sharing" TargetMode="External"/><Relationship Id="rId1478" Type="http://schemas.openxmlformats.org/officeDocument/2006/relationships/hyperlink" Target="https://drive.google.com/file/d/1-aHIt7DD9O4OvkNO5RSgbUsLjzpHHVJJ/view?usp=sharing" TargetMode="External"/><Relationship Id="rId1479" Type="http://schemas.openxmlformats.org/officeDocument/2006/relationships/hyperlink" Target="https://drive.google.com/file/d/1X2T-4x68dh4FmDe8CKh1wqn38K37X-yI/view?usp=sharing" TargetMode="External"/><Relationship Id="rId646" Type="http://schemas.openxmlformats.org/officeDocument/2006/relationships/hyperlink" Target="https://drive.google.com/file/d/1REFDi5kxe59KbY6rtNWqYrw1_BSPKE70/view?usp=sharing" TargetMode="External"/><Relationship Id="rId645" Type="http://schemas.openxmlformats.org/officeDocument/2006/relationships/hyperlink" Target="https://drive.google.com/file/d/1w1cqroHnEVemCnwMmsEHHZymJvYxkOZH/view?usp=sharing" TargetMode="External"/><Relationship Id="rId644" Type="http://schemas.openxmlformats.org/officeDocument/2006/relationships/hyperlink" Target="https://drive.google.com/file/d/1R-d6S0Czp43c6o1p6QW1gKpHqpSU2ct_/view?usp=sharing" TargetMode="External"/><Relationship Id="rId643" Type="http://schemas.openxmlformats.org/officeDocument/2006/relationships/hyperlink" Target="https://drive.google.com/file/d/103JD9lGKhBGO4_xPMRSLdUGHvlCE3RhV/view?usp=sharing" TargetMode="External"/><Relationship Id="rId649" Type="http://schemas.openxmlformats.org/officeDocument/2006/relationships/hyperlink" Target="https://drive.google.com/file/d/1KFBsY3rLgs1updho1LkudjrmTaatEm5b/view?usp=sharing" TargetMode="External"/><Relationship Id="rId648" Type="http://schemas.openxmlformats.org/officeDocument/2006/relationships/hyperlink" Target="https://drive.google.com/file/d/1TE2h5mbw460LoephgPLedcBIxh4SRM1b/view?usp=sharing" TargetMode="External"/><Relationship Id="rId647" Type="http://schemas.openxmlformats.org/officeDocument/2006/relationships/hyperlink" Target="https://drive.google.com/file/d/1WSWSqZ42K6DWsrd_EhL5GgK_AOBuae02/view?usp=sharing" TargetMode="External"/><Relationship Id="rId1470" Type="http://schemas.openxmlformats.org/officeDocument/2006/relationships/hyperlink" Target="https://drive.google.com/file/d/1FY2xvA505LRK7TKwouCbUjsdNmANM7Jk/view?usp=sharing" TargetMode="External"/><Relationship Id="rId1471" Type="http://schemas.openxmlformats.org/officeDocument/2006/relationships/hyperlink" Target="https://drive.google.com/file/d/1S29M0cLMxJI974fSmMLGYZVKQFymeUHZ/view?usp=sharing" TargetMode="External"/><Relationship Id="rId1472" Type="http://schemas.openxmlformats.org/officeDocument/2006/relationships/hyperlink" Target="https://drive.google.com/file/d/14YuPiL4tMsdW-FB1Jowl8nrQsOVkUxh3/view?usp=sharing" TargetMode="External"/><Relationship Id="rId642" Type="http://schemas.openxmlformats.org/officeDocument/2006/relationships/hyperlink" Target="https://drive.google.com/file/d/1wMbt7O41a0ILIa1beDPuI6nHWd5aXXu3/view?usp=sharing" TargetMode="External"/><Relationship Id="rId1473" Type="http://schemas.openxmlformats.org/officeDocument/2006/relationships/hyperlink" Target="https://drive.google.com/file/d/1YLLNqoc-x8rfua7QjYgMUKkcZrXuOXEX/view?usp=sharing" TargetMode="External"/><Relationship Id="rId641" Type="http://schemas.openxmlformats.org/officeDocument/2006/relationships/hyperlink" Target="https://drive.google.com/file/d/1eTpSSsAU7mamEHe34JNP3pZNFot7DiG8/view?usp=sharing" TargetMode="External"/><Relationship Id="rId1474" Type="http://schemas.openxmlformats.org/officeDocument/2006/relationships/hyperlink" Target="https://drive.google.com/file/d/1_Fj1bkJi_UX3fNHbZmAq24YtlKkHKYWu/view?usp=sharing" TargetMode="External"/><Relationship Id="rId640" Type="http://schemas.openxmlformats.org/officeDocument/2006/relationships/hyperlink" Target="https://drive.google.com/file/d/1aiueeZOd2FOqe0OaGeMsgZjE9v2pGm-b/view?usp=sharing" TargetMode="External"/><Relationship Id="rId1475" Type="http://schemas.openxmlformats.org/officeDocument/2006/relationships/hyperlink" Target="https://drive.google.com/file/d/1UpZoJKLIx7ceAl90MTzI8X6tuNWR8D9v/view?usp=sharing" TargetMode="External"/><Relationship Id="rId1476" Type="http://schemas.openxmlformats.org/officeDocument/2006/relationships/hyperlink" Target="https://drive.google.com/file/d/18zqZLCl8-zuJrRmd3aSN1if2R23bpVnJ/view?usp=sharing" TargetMode="External"/><Relationship Id="rId1466" Type="http://schemas.openxmlformats.org/officeDocument/2006/relationships/hyperlink" Target="https://drive.google.com/file/d/1oWGclN55VcKj6xp8HoXCUYj4Ot0sr0jc/view?usp=sharing" TargetMode="External"/><Relationship Id="rId2797" Type="http://schemas.openxmlformats.org/officeDocument/2006/relationships/hyperlink" Target="https://drive.google.com/file/d/1DaMVf9vvxhZApM8JsvnpvwimBuWvl0L6/view?usp=sharing" TargetMode="External"/><Relationship Id="rId1467" Type="http://schemas.openxmlformats.org/officeDocument/2006/relationships/hyperlink" Target="https://drive.google.com/file/d/1xU-3fnhNQ9Nh_3ORVVMbH6KhBcskSJBL/view?usp=sharing" TargetMode="External"/><Relationship Id="rId2798" Type="http://schemas.openxmlformats.org/officeDocument/2006/relationships/hyperlink" Target="https://drive.google.com/file/d/1MITBoJJO0CtS1xl_rPqm3DBFkSrNbqld/view?usp=sharing" TargetMode="External"/><Relationship Id="rId1468" Type="http://schemas.openxmlformats.org/officeDocument/2006/relationships/hyperlink" Target="https://drive.google.com/file/d/1QY8D9_S1rLXAb5fQOb0QkyzAKCQ6Ny1w/view?usp=sharing" TargetMode="External"/><Relationship Id="rId2799" Type="http://schemas.openxmlformats.org/officeDocument/2006/relationships/hyperlink" Target="https://drive.google.com/file/d/1QIZXn39uQqt0fYxmccqbYhl-DUBgNv2Z/view?usp=sharing" TargetMode="External"/><Relationship Id="rId1469" Type="http://schemas.openxmlformats.org/officeDocument/2006/relationships/hyperlink" Target="https://drive.google.com/file/d/1Ok5LC3v3K_PHIwq4SnTzzWPoaFjNbZwN/view?usp=sharing" TargetMode="External"/><Relationship Id="rId635" Type="http://schemas.openxmlformats.org/officeDocument/2006/relationships/hyperlink" Target="https://drive.google.com/file/d/1S1L29gv9MpDrh4Bs0YCFLE--kernkqkv/view?usp=sharing" TargetMode="External"/><Relationship Id="rId634" Type="http://schemas.openxmlformats.org/officeDocument/2006/relationships/hyperlink" Target="https://drive.google.com/file/d/1Ok6U5oi-gMgq16cFCCqrY-XAnBhgDW5U/view?usp=sharing" TargetMode="External"/><Relationship Id="rId633" Type="http://schemas.openxmlformats.org/officeDocument/2006/relationships/hyperlink" Target="https://drive.google.com/file/d/1lMYyj8X6rBrTPHmLlaTTB4QeRlRUv7YB/view?usp=sharing" TargetMode="External"/><Relationship Id="rId632" Type="http://schemas.openxmlformats.org/officeDocument/2006/relationships/hyperlink" Target="https://drive.google.com/file/d/1LPqsY4JinsSkLE1GSOkdzXC7ZQrQsHt_/view?usp=sharing" TargetMode="External"/><Relationship Id="rId639" Type="http://schemas.openxmlformats.org/officeDocument/2006/relationships/hyperlink" Target="https://drive.google.com/file/d/1vcXiNUXS3BWKLd8o10e__U-ndIBlBuTc/view?usp=sharing" TargetMode="External"/><Relationship Id="rId638" Type="http://schemas.openxmlformats.org/officeDocument/2006/relationships/hyperlink" Target="https://drive.google.com/file/d/1zj8KhlsS-coPOjATQZ3UM7pnBuPviEkU/view?usp=sharing" TargetMode="External"/><Relationship Id="rId637" Type="http://schemas.openxmlformats.org/officeDocument/2006/relationships/hyperlink" Target="https://drive.google.com/file/d/1a4fnrGL-CtNDpYkn8ZNJeGU_S5FlGklx/view?usp=sharing" TargetMode="External"/><Relationship Id="rId636" Type="http://schemas.openxmlformats.org/officeDocument/2006/relationships/hyperlink" Target="https://drive.google.com/file/d/1UxjG1xf0yS3jVDn_f-P0Q68S2hDNbVIG/view?usp=sharing" TargetMode="External"/><Relationship Id="rId2790" Type="http://schemas.openxmlformats.org/officeDocument/2006/relationships/hyperlink" Target="https://drive.google.com/file/d/1WJbhksSqtho-FD78QpOBQOuWaIpwciDX/view?usp=sharing" TargetMode="External"/><Relationship Id="rId1460" Type="http://schemas.openxmlformats.org/officeDocument/2006/relationships/hyperlink" Target="https://drive.google.com/file/d/1pWqA444lAQziUZ9kQOPlEhWnKSHxYPtL/view?usp=sharing" TargetMode="External"/><Relationship Id="rId2791" Type="http://schemas.openxmlformats.org/officeDocument/2006/relationships/hyperlink" Target="https://drive.google.com/file/d/175a43dLq-vl4R2RZDkOenSS2OQzj9UZx/view?usp=sharing" TargetMode="External"/><Relationship Id="rId1461" Type="http://schemas.openxmlformats.org/officeDocument/2006/relationships/hyperlink" Target="https://drive.google.com/file/d/1k5wFgxWBIpeNrAuDHvtOrJvCH6Kvrs49/view?usp=sharing" TargetMode="External"/><Relationship Id="rId2792" Type="http://schemas.openxmlformats.org/officeDocument/2006/relationships/hyperlink" Target="https://drive.google.com/file/d/1ZScruRQblFUaFtRhd2XGhfTCx3KjxYLp/view?usp=sharing" TargetMode="External"/><Relationship Id="rId631" Type="http://schemas.openxmlformats.org/officeDocument/2006/relationships/hyperlink" Target="https://drive.google.com/file/d/11bsgxiaCNjsRc09bvrx5WR23eA3hLZLj/view?usp=sharing" TargetMode="External"/><Relationship Id="rId1462" Type="http://schemas.openxmlformats.org/officeDocument/2006/relationships/hyperlink" Target="https://drive.google.com/file/d/1jqPC0LZNFrlnclAaOxXo9AOYPp4MrV3E/view?usp=sharing" TargetMode="External"/><Relationship Id="rId2793" Type="http://schemas.openxmlformats.org/officeDocument/2006/relationships/hyperlink" Target="https://drive.google.com/file/d/1S5EJXSe4ygVx2JWOQAdJLfVmHqY9hrQY/view?usp=sharing" TargetMode="External"/><Relationship Id="rId630" Type="http://schemas.openxmlformats.org/officeDocument/2006/relationships/hyperlink" Target="https://drive.google.com/file/d/1vgyCPrkNaWCqOQOSQMdiHXcsTyb2tnB_/view?usp=sharing" TargetMode="External"/><Relationship Id="rId1463" Type="http://schemas.openxmlformats.org/officeDocument/2006/relationships/hyperlink" Target="https://drive.google.com/file/d/1JYKXkLQMJFC2XIyDhjho9tFCMj9N1vcu/view?usp=sharing" TargetMode="External"/><Relationship Id="rId2794" Type="http://schemas.openxmlformats.org/officeDocument/2006/relationships/hyperlink" Target="https://drive.google.com/file/d/1qUlnmHQScBKMSrLz6yeVNpihSSpWhqAa/view?usp=sharing" TargetMode="External"/><Relationship Id="rId1464" Type="http://schemas.openxmlformats.org/officeDocument/2006/relationships/hyperlink" Target="https://drive.google.com/file/d/1N9PgteFg0-CUmvCL9IcuJoA5NyYtPP4R/view?usp=sharing" TargetMode="External"/><Relationship Id="rId2795" Type="http://schemas.openxmlformats.org/officeDocument/2006/relationships/hyperlink" Target="https://drive.google.com/file/d/1V9F_pXCXoulTy35zbQedBVIGlu3o9U70/view?usp=sharing" TargetMode="External"/><Relationship Id="rId1465" Type="http://schemas.openxmlformats.org/officeDocument/2006/relationships/hyperlink" Target="https://drive.google.com/file/d/1rBlFuxNHvXwpRgPT3OETDO5gP03UVHRm/view?usp=sharing" TargetMode="External"/><Relationship Id="rId2796" Type="http://schemas.openxmlformats.org/officeDocument/2006/relationships/hyperlink" Target="https://drive.google.com/file/d/1p1kfwh_tRdhB_5FYI-pln2ooHzMSrEeQ/view?usp=sharing" TargetMode="External"/><Relationship Id="rId1411" Type="http://schemas.openxmlformats.org/officeDocument/2006/relationships/hyperlink" Target="https://drive.google.com/file/d/1-ajk55qVcPXSSRZZHLZ11DETdUBM094m/view?usp=sharing" TargetMode="External"/><Relationship Id="rId2742" Type="http://schemas.openxmlformats.org/officeDocument/2006/relationships/hyperlink" Target="https://drive.google.com/file/d/1FVzAkqtPMWRn9jxUkxJYQ71bg9khRvSP/view?usp=sharing" TargetMode="External"/><Relationship Id="rId1412" Type="http://schemas.openxmlformats.org/officeDocument/2006/relationships/hyperlink" Target="https://drive.google.com/file/d/1AE_x3JveKavqIOk5MZhFjVIqXI1QYwP2/view?usp=sharing" TargetMode="External"/><Relationship Id="rId2743" Type="http://schemas.openxmlformats.org/officeDocument/2006/relationships/hyperlink" Target="https://drive.google.com/file/d/1nBhxo55PjOi6r8AH0nu671FTQG1wF7sU/view?usp=sharing" TargetMode="External"/><Relationship Id="rId1413" Type="http://schemas.openxmlformats.org/officeDocument/2006/relationships/hyperlink" Target="https://drive.google.com/file/d/13Is4JmlW-6mP0ujVaFd2qT5enkQhhjhv/view?usp=sharing" TargetMode="External"/><Relationship Id="rId2744" Type="http://schemas.openxmlformats.org/officeDocument/2006/relationships/hyperlink" Target="https://drive.google.com/file/d/1VD2nr_US285ZJlT5H7sWUjN21op7frjp/view?usp=sharing" TargetMode="External"/><Relationship Id="rId1414" Type="http://schemas.openxmlformats.org/officeDocument/2006/relationships/hyperlink" Target="https://drive.google.com/file/d/1-gCqeOzZu24Vvh7cE_jyxCaD4a-1OTmU/view?usp=sharing" TargetMode="External"/><Relationship Id="rId2745" Type="http://schemas.openxmlformats.org/officeDocument/2006/relationships/hyperlink" Target="https://drive.google.com/file/d/1Tnkh0l9A6wfPdce5QI9crUgY9ag4VbgF/view?usp=sharing" TargetMode="External"/><Relationship Id="rId1415" Type="http://schemas.openxmlformats.org/officeDocument/2006/relationships/hyperlink" Target="https://drive.google.com/file/d/1vDIswFNdLU-9e6IB57iAjixjgyXa4nr_/view?usp=sharing" TargetMode="External"/><Relationship Id="rId2746" Type="http://schemas.openxmlformats.org/officeDocument/2006/relationships/hyperlink" Target="https://drive.google.com/file/d/1t3N8UZqdDTV-YqqDb858hpZaIgJ0iCO4/view?usp=sharing" TargetMode="External"/><Relationship Id="rId1416" Type="http://schemas.openxmlformats.org/officeDocument/2006/relationships/hyperlink" Target="https://drive.google.com/file/d/1Axe2YVzcS5ikJhRMns65RDXS0gVyuwdw/view?usp=sharing" TargetMode="External"/><Relationship Id="rId2747" Type="http://schemas.openxmlformats.org/officeDocument/2006/relationships/hyperlink" Target="https://drive.google.com/file/d/1fd8YDll68q044q6fbSA-puytdZf3EYRr/view?usp=sharing" TargetMode="External"/><Relationship Id="rId1417" Type="http://schemas.openxmlformats.org/officeDocument/2006/relationships/hyperlink" Target="https://drive.google.com/file/d/1ImZ2ihp21CE0pLfVG30ksFvcblkFzOtw/view?usp=sharing" TargetMode="External"/><Relationship Id="rId2748" Type="http://schemas.openxmlformats.org/officeDocument/2006/relationships/hyperlink" Target="https://drive.google.com/file/d/10RDhZ15CiL_1qgzkD0hbJ9_adkfwl-cG/view?usp=sharing" TargetMode="External"/><Relationship Id="rId1418" Type="http://schemas.openxmlformats.org/officeDocument/2006/relationships/hyperlink" Target="https://drive.google.com/file/d/1ZXM3p_uj-308O6yoyjCAfgRTugFjDLZf/view?usp=sharing" TargetMode="External"/><Relationship Id="rId2749" Type="http://schemas.openxmlformats.org/officeDocument/2006/relationships/hyperlink" Target="https://drive.google.com/file/d/1Mj8uEvTI41JGOiAg66I9UZ6DnV98CDWq/view?usp=sharing" TargetMode="External"/><Relationship Id="rId1419" Type="http://schemas.openxmlformats.org/officeDocument/2006/relationships/hyperlink" Target="https://drive.google.com/file/d/19pxmYJghUrsvR9dRt8ulGy4wcWUOLTdo/view?usp=sharing" TargetMode="External"/><Relationship Id="rId2740" Type="http://schemas.openxmlformats.org/officeDocument/2006/relationships/hyperlink" Target="https://drive.google.com/file/d/1iUSjcBYa1JoKGMy1DaTHv2WQQAjkF9Sm/view?usp=sharing" TargetMode="External"/><Relationship Id="rId1410" Type="http://schemas.openxmlformats.org/officeDocument/2006/relationships/hyperlink" Target="https://drive.google.com/file/d/1IYptnt6AQo4-eCj3_WcwgPOeUZR2ZnS9/view?usp=sharing" TargetMode="External"/><Relationship Id="rId2741" Type="http://schemas.openxmlformats.org/officeDocument/2006/relationships/hyperlink" Target="https://drive.google.com/file/d/1Fl9oBwpHOvXX_8HV77T33pxs7kQnyPwB/view?usp=sharing" TargetMode="External"/><Relationship Id="rId1400" Type="http://schemas.openxmlformats.org/officeDocument/2006/relationships/hyperlink" Target="https://drive.google.com/file/d/1x9Yea0AbY0ovekZuGw2IjQOzQP_AAm6P/view?usp=sharing" TargetMode="External"/><Relationship Id="rId2731" Type="http://schemas.openxmlformats.org/officeDocument/2006/relationships/hyperlink" Target="https://drive.google.com/file/d/1cozyzngMcy9KAB_WjnB9A7zWOokmgf5Q/view?usp=sharing" TargetMode="External"/><Relationship Id="rId1401" Type="http://schemas.openxmlformats.org/officeDocument/2006/relationships/hyperlink" Target="https://drive.google.com/file/d/1QILdM0h3-EctzIoaYEjfSs04z5HUJSvK/view?usp=sharing" TargetMode="External"/><Relationship Id="rId2732" Type="http://schemas.openxmlformats.org/officeDocument/2006/relationships/hyperlink" Target="https://drive.google.com/file/d/18JEnyEvBnnCo2PkhYzSz6DxSAfl4LM1b/view?usp=sharing" TargetMode="External"/><Relationship Id="rId1402" Type="http://schemas.openxmlformats.org/officeDocument/2006/relationships/hyperlink" Target="https://drive.google.com/file/d/1BurQsua5EVENxlLHBWw-i88bAH6pJiq1/view?usp=sharing" TargetMode="External"/><Relationship Id="rId2733" Type="http://schemas.openxmlformats.org/officeDocument/2006/relationships/hyperlink" Target="https://drive.google.com/file/d/1eVd8tMOqo7q0v6D9gnyh5QRhHwJFfrf9/view?usp=sharing" TargetMode="External"/><Relationship Id="rId1403" Type="http://schemas.openxmlformats.org/officeDocument/2006/relationships/hyperlink" Target="https://drive.google.com/file/d/10zzdBZ43NhOck2usLfvQrFQj72tahVJK/view?usp=sharing" TargetMode="External"/><Relationship Id="rId2734" Type="http://schemas.openxmlformats.org/officeDocument/2006/relationships/hyperlink" Target="https://drive.google.com/file/d/1T6-Qvj-kggQSeJA9ImBweBSWw0ydsbxC/view?usp=sharing" TargetMode="External"/><Relationship Id="rId1404" Type="http://schemas.openxmlformats.org/officeDocument/2006/relationships/hyperlink" Target="https://drive.google.com/file/d/1neMai1TkdJpd1nMu_AIeS74y6PD7AMjP/view?usp=sharing" TargetMode="External"/><Relationship Id="rId2735" Type="http://schemas.openxmlformats.org/officeDocument/2006/relationships/hyperlink" Target="https://drive.google.com/file/d/1nwNZke6bsEeSUBZbGIizTZtkjerfJ2wK/view?usp=sharing" TargetMode="External"/><Relationship Id="rId1405" Type="http://schemas.openxmlformats.org/officeDocument/2006/relationships/hyperlink" Target="https://drive.google.com/file/d/12H9BKI1mHHM9ugSYndWFJK2kmJOCsTys/view?usp=sharing" TargetMode="External"/><Relationship Id="rId2736" Type="http://schemas.openxmlformats.org/officeDocument/2006/relationships/hyperlink" Target="https://drive.google.com/file/d/1tXxDlw8qNlZQ2j7vgYuWwpaFumQwQBJQ/view?usp=sharing" TargetMode="External"/><Relationship Id="rId1406" Type="http://schemas.openxmlformats.org/officeDocument/2006/relationships/hyperlink" Target="https://drive.google.com/file/d/1HsQ4oUiycN_Hm0db16WmLsDuUTVogKui/view?usp=sharing" TargetMode="External"/><Relationship Id="rId2737" Type="http://schemas.openxmlformats.org/officeDocument/2006/relationships/hyperlink" Target="https://drive.google.com/file/d/1VCzupUBk0UwdZXQr9GqARcy6Yaptzzy8/view?usp=sharing" TargetMode="External"/><Relationship Id="rId1407" Type="http://schemas.openxmlformats.org/officeDocument/2006/relationships/hyperlink" Target="https://drive.google.com/file/d/1Vkcg1WukUdaR-AeggQx08VIiOqtw0RLw/view?usp=sharing" TargetMode="External"/><Relationship Id="rId2738" Type="http://schemas.openxmlformats.org/officeDocument/2006/relationships/hyperlink" Target="https://drive.google.com/file/d/1dOhTod0ngVYBCE9cVWjm7fRSH2X3ibBa/view?usp=sharing" TargetMode="External"/><Relationship Id="rId1408" Type="http://schemas.openxmlformats.org/officeDocument/2006/relationships/hyperlink" Target="https://drive.google.com/file/d/1WZ9DtsyOg48yQqY3UYiVNtFBDe0Nno8c/view?usp=sharing" TargetMode="External"/><Relationship Id="rId2739" Type="http://schemas.openxmlformats.org/officeDocument/2006/relationships/hyperlink" Target="https://drive.google.com/file/d/1hXbmWxEzGqeVUj4LE0vTLuJAsaiu2XLz/view?usp=sharing" TargetMode="External"/><Relationship Id="rId1409" Type="http://schemas.openxmlformats.org/officeDocument/2006/relationships/hyperlink" Target="https://drive.google.com/file/d/1rSBS1yHLwFd7-k1CsIOYmbm55OziVAiG/view?usp=sharing" TargetMode="External"/><Relationship Id="rId2730" Type="http://schemas.openxmlformats.org/officeDocument/2006/relationships/hyperlink" Target="https://drive.google.com/file/d/17-5qXUgX1l7ZfMbr7eo5JPuKzR1VNM-O/view?usp=sharing" TargetMode="External"/><Relationship Id="rId1433" Type="http://schemas.openxmlformats.org/officeDocument/2006/relationships/hyperlink" Target="https://drive.google.com/file/d/1KzzyxFV2o0Yiu5JR4IsumxqeOBE2Ozwg/view?usp=sharing" TargetMode="External"/><Relationship Id="rId2764" Type="http://schemas.openxmlformats.org/officeDocument/2006/relationships/hyperlink" Target="https://drive.google.com/file/d/1DpkirDaTxpPWhrtlp2lrs88OFbvRkCOy/view?usp=sharing" TargetMode="External"/><Relationship Id="rId1434" Type="http://schemas.openxmlformats.org/officeDocument/2006/relationships/hyperlink" Target="https://drive.google.com/file/d/1k84fZ-foeHzhWut9rCIrjbSfkm1vu5W4/view?usp=sharing" TargetMode="External"/><Relationship Id="rId2765" Type="http://schemas.openxmlformats.org/officeDocument/2006/relationships/hyperlink" Target="https://drive.google.com/file/d/1rEDvZu8Yt3O8p-1I5zyK3at3SqhCW8OD/view?usp=sharing" TargetMode="External"/><Relationship Id="rId1435" Type="http://schemas.openxmlformats.org/officeDocument/2006/relationships/hyperlink" Target="https://drive.google.com/file/d/1e0F7JJVctPmgGEAUoOX3Sm8Ca_gIgp4g/view?usp=sharing" TargetMode="External"/><Relationship Id="rId2766" Type="http://schemas.openxmlformats.org/officeDocument/2006/relationships/hyperlink" Target="https://drive.google.com/file/d/17z4IUKTM0gCcdPLHAjXJm0Ox0AQ57mv9/view?usp=sharing" TargetMode="External"/><Relationship Id="rId1436" Type="http://schemas.openxmlformats.org/officeDocument/2006/relationships/hyperlink" Target="https://drive.google.com/file/d/1spE8hwIUmFEtmjhwjjUKhiWUtgEjOu1R/view?usp=sharing" TargetMode="External"/><Relationship Id="rId2767" Type="http://schemas.openxmlformats.org/officeDocument/2006/relationships/hyperlink" Target="https://drive.google.com/file/d/1gTxTPUIflcN4_HBHDCfy1v4OVmw1zvXE/view?usp=sharing" TargetMode="External"/><Relationship Id="rId1437" Type="http://schemas.openxmlformats.org/officeDocument/2006/relationships/hyperlink" Target="https://drive.google.com/file/d/1yv3XarIfUOhA6rYVjTdrMlfIv7eLIiCz/view?usp=sharing" TargetMode="External"/><Relationship Id="rId2768" Type="http://schemas.openxmlformats.org/officeDocument/2006/relationships/hyperlink" Target="https://drive.google.com/file/d/1h02AsSBkJNA-sD2gYPceNGcizkVsykSX/view?usp=sharing" TargetMode="External"/><Relationship Id="rId1438" Type="http://schemas.openxmlformats.org/officeDocument/2006/relationships/hyperlink" Target="https://drive.google.com/file/d/1ciN8p9Nzzl9v1v7EEW9VJsr3ash0aZ1o/view?usp=sharing" TargetMode="External"/><Relationship Id="rId2769" Type="http://schemas.openxmlformats.org/officeDocument/2006/relationships/hyperlink" Target="https://drive.google.com/file/d/1hm7rewFysPY4XDKKE6T1xePrQJ_ZZwdD/view?usp=sharing" TargetMode="External"/><Relationship Id="rId1439" Type="http://schemas.openxmlformats.org/officeDocument/2006/relationships/hyperlink" Target="https://drive.google.com/file/d/1VCVAztApToTrpWgmJTm1qiExtfDDD8lV/view?usp=sharing" TargetMode="External"/><Relationship Id="rId609" Type="http://schemas.openxmlformats.org/officeDocument/2006/relationships/hyperlink" Target="https://drive.google.com/file/d/1SQMlWQJnKb1SlD79_hwsCBw6G_L5AF1g/view?usp=sharing" TargetMode="External"/><Relationship Id="rId608" Type="http://schemas.openxmlformats.org/officeDocument/2006/relationships/hyperlink" Target="https://drive.google.com/file/d/1nKT3BToBX1bQ9HSGVhj9ua8fjIpr6g33/view?usp=sharing" TargetMode="External"/><Relationship Id="rId607" Type="http://schemas.openxmlformats.org/officeDocument/2006/relationships/hyperlink" Target="https://drive.google.com/file/d/1jiXw27SFH2xVFwwbmmt2j5rIsc_E-FgX/view?usp=sharing" TargetMode="External"/><Relationship Id="rId602" Type="http://schemas.openxmlformats.org/officeDocument/2006/relationships/hyperlink" Target="https://drive.google.com/file/d/1ciTmgdQUgl6v6MqUIysS8k-77SyEycUw/view?usp=sharing" TargetMode="External"/><Relationship Id="rId601" Type="http://schemas.openxmlformats.org/officeDocument/2006/relationships/hyperlink" Target="https://drive.google.com/file/d/1FFc73nZ6hBgWPWChTMZRSWL5TIcJXf2l/view?usp=sharing" TargetMode="External"/><Relationship Id="rId600" Type="http://schemas.openxmlformats.org/officeDocument/2006/relationships/hyperlink" Target="https://drive.google.com/file/d/1iw8q_nmwr5O5O7b1h_Skv0ZtbFcOrmsl/view?usp=sharing" TargetMode="External"/><Relationship Id="rId606" Type="http://schemas.openxmlformats.org/officeDocument/2006/relationships/hyperlink" Target="https://drive.google.com/file/d/1P1Racbt_KqmFpsmIK02Ll0ROVZcKGZqh/view?usp=sharing" TargetMode="External"/><Relationship Id="rId605" Type="http://schemas.openxmlformats.org/officeDocument/2006/relationships/hyperlink" Target="https://drive.google.com/file/d/1LXxypYslwhBGMr136WFJRo1TOc80LUW8/view?usp=sharing" TargetMode="External"/><Relationship Id="rId604" Type="http://schemas.openxmlformats.org/officeDocument/2006/relationships/hyperlink" Target="https://drive.google.com/file/d/1d3SUSm0e8lALvDThIReGCcKPm4ddxDvI/view?usp=sharing" TargetMode="External"/><Relationship Id="rId603" Type="http://schemas.openxmlformats.org/officeDocument/2006/relationships/hyperlink" Target="https://drive.google.com/file/d/1doaZGmPoX16XdqpBBjrJgfFCEBFi9IEq/view?usp=sharing" TargetMode="External"/><Relationship Id="rId2760" Type="http://schemas.openxmlformats.org/officeDocument/2006/relationships/hyperlink" Target="https://drive.google.com/file/d/1TqDciE_4Jr7Jzj-HLRgnEFlpCSGDP3tD/view?usp=sharing" TargetMode="External"/><Relationship Id="rId1430" Type="http://schemas.openxmlformats.org/officeDocument/2006/relationships/hyperlink" Target="https://drive.google.com/file/d/18XEroCn-CRkvdy6l05vL6wgQ6JwxHL4_/view?usp=sharing" TargetMode="External"/><Relationship Id="rId2761" Type="http://schemas.openxmlformats.org/officeDocument/2006/relationships/hyperlink" Target="https://drive.google.com/file/d/1al2uJPheL-QMTgFM2dgKxDQGY0U9Gveb/view?usp=sharing" TargetMode="External"/><Relationship Id="rId1431" Type="http://schemas.openxmlformats.org/officeDocument/2006/relationships/hyperlink" Target="https://drive.google.com/file/d/1PA6CKeODxXwPPIcjkuV9u5tWCCuQWKhu/view?usp=sharing" TargetMode="External"/><Relationship Id="rId2762" Type="http://schemas.openxmlformats.org/officeDocument/2006/relationships/hyperlink" Target="https://drive.google.com/file/d/1FwTGeXvY0jsZwknspM4jXzivfDnc24tX/view?usp=sharing" TargetMode="External"/><Relationship Id="rId1432" Type="http://schemas.openxmlformats.org/officeDocument/2006/relationships/hyperlink" Target="https://drive.google.com/file/d/1j5IpJwqmWTqe6beGLBwsls073AR9-KK8/view?usp=sharing" TargetMode="External"/><Relationship Id="rId2763" Type="http://schemas.openxmlformats.org/officeDocument/2006/relationships/hyperlink" Target="https://drive.google.com/file/d/1xOP8FzXM6JzXnJ3SJpOAxUg33DeL8UJV/view?usp=sharing" TargetMode="External"/><Relationship Id="rId1422" Type="http://schemas.openxmlformats.org/officeDocument/2006/relationships/hyperlink" Target="https://drive.google.com/file/d/1L2QSwHJNvP850upC3cnLi3Ek3ctDGj_L/view?usp=sharing" TargetMode="External"/><Relationship Id="rId2753" Type="http://schemas.openxmlformats.org/officeDocument/2006/relationships/hyperlink" Target="https://drive.google.com/file/d/1WXEmeRiSw1JJ8y_BCUauA24RoyIGwP3f/view?usp=sharing" TargetMode="External"/><Relationship Id="rId1423" Type="http://schemas.openxmlformats.org/officeDocument/2006/relationships/hyperlink" Target="https://drive.google.com/file/d/1X0ZEnsmK73VEitBSpl2EIIyoKthO8tyM/view?usp=sharing" TargetMode="External"/><Relationship Id="rId2754" Type="http://schemas.openxmlformats.org/officeDocument/2006/relationships/hyperlink" Target="https://drive.google.com/file/d/1UWVDJLsqUFGgVSpRl38NZ0Xu_ayPEE3C/view?usp=sharing" TargetMode="External"/><Relationship Id="rId1424" Type="http://schemas.openxmlformats.org/officeDocument/2006/relationships/hyperlink" Target="https://drive.google.com/file/d/1TuyLLzTRPAu2G9scfhU6lQysigvtiYOm/view?usp=sharing" TargetMode="External"/><Relationship Id="rId2755" Type="http://schemas.openxmlformats.org/officeDocument/2006/relationships/hyperlink" Target="https://drive.google.com/file/d/1XWnzJEJ91bGdW4zNLBi0xHw5yHokh6KZ/view?usp=sharing" TargetMode="External"/><Relationship Id="rId1425" Type="http://schemas.openxmlformats.org/officeDocument/2006/relationships/hyperlink" Target="https://drive.google.com/file/d/1bILh23D2Vr6avI48BSSdHEZeqDrqVzBg/view?usp=sharing" TargetMode="External"/><Relationship Id="rId2756" Type="http://schemas.openxmlformats.org/officeDocument/2006/relationships/hyperlink" Target="https://drive.google.com/file/d/1Wx3C8X_LjGkkrUIQcBJW-xnLk9Tr6_o-/view?usp=sharing" TargetMode="External"/><Relationship Id="rId1426" Type="http://schemas.openxmlformats.org/officeDocument/2006/relationships/hyperlink" Target="https://drive.google.com/file/d/17N-mB0c1Uell-5SjYIcpZjL2l_0CTi2X/view?usp=sharing" TargetMode="External"/><Relationship Id="rId2757" Type="http://schemas.openxmlformats.org/officeDocument/2006/relationships/hyperlink" Target="https://drive.google.com/file/d/1xLzlIYQCu6_0PhCKPYB91KE7vxoTTvLR/view?usp=sharing" TargetMode="External"/><Relationship Id="rId1427" Type="http://schemas.openxmlformats.org/officeDocument/2006/relationships/hyperlink" Target="https://drive.google.com/file/d/1xy4-g3TjygwjJ-44XZLwTSIl75JjPaDW/view?usp=sharing" TargetMode="External"/><Relationship Id="rId2758" Type="http://schemas.openxmlformats.org/officeDocument/2006/relationships/hyperlink" Target="https://drive.google.com/file/d/1safLSH6Fupd7WSqmCpDx4hxiDgRFtzsd/view?usp=sharing" TargetMode="External"/><Relationship Id="rId1428" Type="http://schemas.openxmlformats.org/officeDocument/2006/relationships/hyperlink" Target="https://drive.google.com/file/d/1CNec-Sa9eL1hCsfVDAzm5XuLu-5EQ_0T/view?usp=sharing" TargetMode="External"/><Relationship Id="rId2759" Type="http://schemas.openxmlformats.org/officeDocument/2006/relationships/hyperlink" Target="https://drive.google.com/file/d/19i08WdeOpUcwGczwkOOe3KsalCfdgZkR/view?usp=sharing" TargetMode="External"/><Relationship Id="rId1429" Type="http://schemas.openxmlformats.org/officeDocument/2006/relationships/hyperlink" Target="https://drive.google.com/file/d/1Nd641EEFQv83x6klGGwo6aE24lWoGEDI/view?usp=sharing" TargetMode="External"/><Relationship Id="rId2750" Type="http://schemas.openxmlformats.org/officeDocument/2006/relationships/hyperlink" Target="https://drive.google.com/file/d/1ScMblfKsgAYBXNgzWV2GJwov4-hknqu8/view?usp=sharing" TargetMode="External"/><Relationship Id="rId1420" Type="http://schemas.openxmlformats.org/officeDocument/2006/relationships/hyperlink" Target="https://drive.google.com/file/d/1G2Zojm4InH323zw7vyu_z7kDJXoKHSuq/view?usp=sharing" TargetMode="External"/><Relationship Id="rId2751" Type="http://schemas.openxmlformats.org/officeDocument/2006/relationships/hyperlink" Target="https://drive.google.com/file/d/1nCkGq81HWU5N30uiSPI1AVR61gpCRoq_/view?usp=sharing" TargetMode="External"/><Relationship Id="rId1421" Type="http://schemas.openxmlformats.org/officeDocument/2006/relationships/hyperlink" Target="https://drive.google.com/file/d/1HtSOhLdHZgrKZbiAwypY3t4DaGUbU9-B/view?usp=sharing" TargetMode="External"/><Relationship Id="rId2752" Type="http://schemas.openxmlformats.org/officeDocument/2006/relationships/hyperlink" Target="https://drive.google.com/file/d/1QUoiwhcSb_avFakX2-5vjsvPHCEhOS3V/view?usp=sharing" TargetMode="External"/><Relationship Id="rId699" Type="http://schemas.openxmlformats.org/officeDocument/2006/relationships/hyperlink" Target="https://drive.google.com/file/d/1QSRmTBtkypZQP74Vgap-uMHs2cam0X3u/view?usp=sharing" TargetMode="External"/><Relationship Id="rId698" Type="http://schemas.openxmlformats.org/officeDocument/2006/relationships/hyperlink" Target="https://drive.google.com/file/d/1Zwvk4m3Jpq-oCZRIhFlxtpQ9howi1opS/view?usp=sharing" TargetMode="External"/><Relationship Id="rId693" Type="http://schemas.openxmlformats.org/officeDocument/2006/relationships/hyperlink" Target="https://drive.google.com/file/d/1hqR4ckGTVUxLmTSMyu5L7JExkU5bto1Y/view?usp=sharing" TargetMode="External"/><Relationship Id="rId692" Type="http://schemas.openxmlformats.org/officeDocument/2006/relationships/hyperlink" Target="https://drive.google.com/file/d/18Igi9_dkuCr2tqo1ga6o7XIE9hri6LAy/view?usp=sharing" TargetMode="External"/><Relationship Id="rId691" Type="http://schemas.openxmlformats.org/officeDocument/2006/relationships/hyperlink" Target="https://drive.google.com/file/d/1nO-_n5w8IJT20Y-qiJV__1iPk33XprDH/view?usp=sharing" TargetMode="External"/><Relationship Id="rId690" Type="http://schemas.openxmlformats.org/officeDocument/2006/relationships/hyperlink" Target="https://drive.google.com/file/d/1OVziJi77z55xXlf3s_8ja2lKub6g7HiJ/view?usp=sharing" TargetMode="External"/><Relationship Id="rId697" Type="http://schemas.openxmlformats.org/officeDocument/2006/relationships/hyperlink" Target="https://drive.google.com/file/d/1jKizN4l2OZd9rS6FiWses2FJAvxFZWyC/view?usp=sharing" TargetMode="External"/><Relationship Id="rId696" Type="http://schemas.openxmlformats.org/officeDocument/2006/relationships/hyperlink" Target="https://drive.google.com/file/d/1fRLuW-kRrLf3jLMvpql62WtWoVBy8tF1/view?usp=sharing" TargetMode="External"/><Relationship Id="rId695" Type="http://schemas.openxmlformats.org/officeDocument/2006/relationships/hyperlink" Target="https://drive.google.com/file/d/1mAoodC2NU6JjzQuZdGmtxKOp4VW3kqqC/view?usp=sharing" TargetMode="External"/><Relationship Id="rId694" Type="http://schemas.openxmlformats.org/officeDocument/2006/relationships/hyperlink" Target="https://drive.google.com/file/d/1XmGbzPIV3DfLhA4267h5rlClJGm1mcKq/view?usp=sharing" TargetMode="External"/><Relationship Id="rId1499" Type="http://schemas.openxmlformats.org/officeDocument/2006/relationships/hyperlink" Target="https://drive.google.com/file/d/1NBi3_0GlAZdwiZTsuXrohmsbIFsmAuE9/view?usp=sharing" TargetMode="External"/><Relationship Id="rId668" Type="http://schemas.openxmlformats.org/officeDocument/2006/relationships/hyperlink" Target="https://drive.google.com/file/d/1GJLTsYsxGAYQ7kCPEdY_F5s9mnGwrM7n/view?usp=sharing" TargetMode="External"/><Relationship Id="rId667" Type="http://schemas.openxmlformats.org/officeDocument/2006/relationships/hyperlink" Target="https://drive.google.com/file/d/1wkBwfD26-v8oL7AS32cENIVBgs2UQUVW/view?usp=sharing" TargetMode="External"/><Relationship Id="rId666" Type="http://schemas.openxmlformats.org/officeDocument/2006/relationships/hyperlink" Target="https://drive.google.com/file/d/1QFCNISCbpgr3cfdY7PHMLGITvHaJ0rk8/view?usp=sharing" TargetMode="External"/><Relationship Id="rId665" Type="http://schemas.openxmlformats.org/officeDocument/2006/relationships/hyperlink" Target="https://drive.google.com/file/d/1cYDR9_7OZSqvlayXgICI5VilhTCbjXqc/view?usp=sharing" TargetMode="External"/><Relationship Id="rId669" Type="http://schemas.openxmlformats.org/officeDocument/2006/relationships/hyperlink" Target="https://drive.google.com/file/d/1YkQxKv5QnS6cMAJUcjEMA7ahxJMMhnop/view?usp=sharing" TargetMode="External"/><Relationship Id="rId1490" Type="http://schemas.openxmlformats.org/officeDocument/2006/relationships/hyperlink" Target="https://drive.google.com/file/d/1QceylHE5mfRmJj_oxu1BuTSCifJ43eEJ/view?usp=sharing" TargetMode="External"/><Relationship Id="rId660" Type="http://schemas.openxmlformats.org/officeDocument/2006/relationships/hyperlink" Target="https://drive.google.com/file/d/1KAgNgrAVq9EcDZr9dVmjZqLWF9t0-wax/view?usp=sharing" TargetMode="External"/><Relationship Id="rId1491" Type="http://schemas.openxmlformats.org/officeDocument/2006/relationships/hyperlink" Target="https://drive.google.com/file/d/17qtlKjZlCs1ble5miZmpjBwb8T6p1RQv/view?usp=sharing" TargetMode="External"/><Relationship Id="rId1492" Type="http://schemas.openxmlformats.org/officeDocument/2006/relationships/hyperlink" Target="https://drive.google.com/file/d/1U_N4EE8zp6nsBjEliBD0DXlfou1Kk6OQ/view?usp=sharing" TargetMode="External"/><Relationship Id="rId1493" Type="http://schemas.openxmlformats.org/officeDocument/2006/relationships/hyperlink" Target="https://drive.google.com/file/d/1jCd3AWFIaGgQiNZ3P2M5EyXeoNoCAPKv/view?usp=sharing" TargetMode="External"/><Relationship Id="rId1494" Type="http://schemas.openxmlformats.org/officeDocument/2006/relationships/hyperlink" Target="https://drive.google.com/file/d/1fdmUiQCsNA7DzUODzCipNJ2WuGCVo3SS/view?usp=sharing" TargetMode="External"/><Relationship Id="rId664" Type="http://schemas.openxmlformats.org/officeDocument/2006/relationships/hyperlink" Target="https://drive.google.com/file/d/1CxqJq5998He3Kpaq66RWDY_sdrgLFRmg/view?usp=sharing" TargetMode="External"/><Relationship Id="rId1495" Type="http://schemas.openxmlformats.org/officeDocument/2006/relationships/hyperlink" Target="https://drive.google.com/file/d/1Tg19pkULHMj2tX1wZhI921I-I2amHKsw/view?usp=sharing" TargetMode="External"/><Relationship Id="rId663" Type="http://schemas.openxmlformats.org/officeDocument/2006/relationships/hyperlink" Target="https://drive.google.com/file/d/11e0kW6n0m2f1nF3gN5jGwZtmZBadhhIg/view?usp=sharing" TargetMode="External"/><Relationship Id="rId1496" Type="http://schemas.openxmlformats.org/officeDocument/2006/relationships/hyperlink" Target="https://drive.google.com/file/d/1rMR2GvOgAYy5TEnzxF7PGpmbxweeSIFC/view?usp=sharing" TargetMode="External"/><Relationship Id="rId662" Type="http://schemas.openxmlformats.org/officeDocument/2006/relationships/hyperlink" Target="https://drive.google.com/file/d/13Nf7dAlv4w-Ijc0fljWf8F5ysbfhx7N3/view?usp=sharing" TargetMode="External"/><Relationship Id="rId1497" Type="http://schemas.openxmlformats.org/officeDocument/2006/relationships/hyperlink" Target="https://drive.google.com/file/d/1kT1xbxzyqc9m429WDeGpdhzxGM6dm88X/view?usp=sharing" TargetMode="External"/><Relationship Id="rId661" Type="http://schemas.openxmlformats.org/officeDocument/2006/relationships/hyperlink" Target="https://drive.google.com/file/d/1UEfjucDTdXFYOSrvOMG1iZKNqRlxZd3x/view?usp=sharing" TargetMode="External"/><Relationship Id="rId1498" Type="http://schemas.openxmlformats.org/officeDocument/2006/relationships/hyperlink" Target="https://drive.google.com/file/d/1J_ZwYYzMaq2K9mXze3wDs_aUwOQ_AtY5/view?usp=sharing" TargetMode="External"/><Relationship Id="rId1488" Type="http://schemas.openxmlformats.org/officeDocument/2006/relationships/hyperlink" Target="https://drive.google.com/file/d/1XHi9ZvbMGtVf5EL2SVDXkxExvi4YOORx/view?usp=sharing" TargetMode="External"/><Relationship Id="rId1489" Type="http://schemas.openxmlformats.org/officeDocument/2006/relationships/hyperlink" Target="https://drive.google.com/file/d/1NH-zOWAJvbSA-uETNoUsxOIi5d4FD3yc/view?usp=sharing" TargetMode="External"/><Relationship Id="rId657" Type="http://schemas.openxmlformats.org/officeDocument/2006/relationships/hyperlink" Target="https://drive.google.com/file/d/1xLu2ed5aMjCzAFpLkEBdF3U7oV46qsH9/view?usp=sharing" TargetMode="External"/><Relationship Id="rId656" Type="http://schemas.openxmlformats.org/officeDocument/2006/relationships/hyperlink" Target="https://drive.google.com/file/d/1NJR4Ihs6jVR4za3PtEu5miSCyZT1-YL3/view?usp=sharing" TargetMode="External"/><Relationship Id="rId655" Type="http://schemas.openxmlformats.org/officeDocument/2006/relationships/hyperlink" Target="https://drive.google.com/file/d/1p0bWT45D5GRKy65aHgMX_3w5ggoOR80c/view?usp=sharing" TargetMode="External"/><Relationship Id="rId654" Type="http://schemas.openxmlformats.org/officeDocument/2006/relationships/hyperlink" Target="https://drive.google.com/file/d/1VIWeLpplPHwaSZf_iaw95irRUF8Jlguj/view?usp=sharing" TargetMode="External"/><Relationship Id="rId659" Type="http://schemas.openxmlformats.org/officeDocument/2006/relationships/hyperlink" Target="https://drive.google.com/file/d/1e6o0cNqJI1ECYXrmcWJSJvY2yLD1NR2e/view?usp=sharing" TargetMode="External"/><Relationship Id="rId658" Type="http://schemas.openxmlformats.org/officeDocument/2006/relationships/hyperlink" Target="https://drive.google.com/file/d/1SvuBgVjfuE8A8RiAGYTkMTR_2FpUf4Fu/view?usp=sharing" TargetMode="External"/><Relationship Id="rId1480" Type="http://schemas.openxmlformats.org/officeDocument/2006/relationships/hyperlink" Target="https://drive.google.com/file/d/1Y-1ai9xOnB4qgjlhwPtr6ZTSy-LmPt4W/view?usp=sharing" TargetMode="External"/><Relationship Id="rId1481" Type="http://schemas.openxmlformats.org/officeDocument/2006/relationships/hyperlink" Target="https://drive.google.com/file/d/16FE5I3iOch3wA1YKA0AJYN1l6rXS8eSD/view?usp=sharing" TargetMode="External"/><Relationship Id="rId1482" Type="http://schemas.openxmlformats.org/officeDocument/2006/relationships/hyperlink" Target="https://drive.google.com/file/d/1Vgyt01EIqWC1OhJxXMNVfMhzScbnsDrL/view?usp=sharing" TargetMode="External"/><Relationship Id="rId1483" Type="http://schemas.openxmlformats.org/officeDocument/2006/relationships/hyperlink" Target="https://drive.google.com/file/d/1nYywwntmp_eYZDV9wqUb4Z4Hb8ZXIm5C/view?usp=sharing" TargetMode="External"/><Relationship Id="rId653" Type="http://schemas.openxmlformats.org/officeDocument/2006/relationships/hyperlink" Target="https://drive.google.com/file/d/10ORZhVYw7ndac3ZOWqIh4-3tCbRrAloz/view?usp=sharing" TargetMode="External"/><Relationship Id="rId1484" Type="http://schemas.openxmlformats.org/officeDocument/2006/relationships/hyperlink" Target="https://drive.google.com/file/d/10bvdej-BTfi4ixe_NJcYfUFATswqlxv1/view?usp=sharing" TargetMode="External"/><Relationship Id="rId652" Type="http://schemas.openxmlformats.org/officeDocument/2006/relationships/hyperlink" Target="https://drive.google.com/file/d/198cq5nE5_xoM14E8KKpZe_8ZYWzskMao/view?usp=sharing" TargetMode="External"/><Relationship Id="rId1485" Type="http://schemas.openxmlformats.org/officeDocument/2006/relationships/hyperlink" Target="https://drive.google.com/file/d/1l8f8tMH0LVjn5XmxsevDrfI-YMCa5ZAO/view?usp=sharing" TargetMode="External"/><Relationship Id="rId651" Type="http://schemas.openxmlformats.org/officeDocument/2006/relationships/hyperlink" Target="https://drive.google.com/file/d/1WKoSEHYnQnhFd1cmytB-ogWzSJS7dAqM/view?usp=sharing" TargetMode="External"/><Relationship Id="rId1486" Type="http://schemas.openxmlformats.org/officeDocument/2006/relationships/hyperlink" Target="https://drive.google.com/file/d/1E1HIaQmjr0LQG4MtopxJLqzDOFUj5ssf/view?usp=sharing" TargetMode="External"/><Relationship Id="rId650" Type="http://schemas.openxmlformats.org/officeDocument/2006/relationships/hyperlink" Target="https://drive.google.com/file/d/1BkjzoH2Ek3nRHpCKGJOn9mpupUIsbWrB/view?usp=sharing" TargetMode="External"/><Relationship Id="rId1487" Type="http://schemas.openxmlformats.org/officeDocument/2006/relationships/hyperlink" Target="https://drive.google.com/file/d/1YjW00WmKMGPMfmIv5bA_ZtY2gCiNzAJ5/view?usp=sharing" TargetMode="External"/><Relationship Id="rId689" Type="http://schemas.openxmlformats.org/officeDocument/2006/relationships/hyperlink" Target="https://drive.google.com/file/d/1k4PFmND_IOdzD3N3I9S9hl8SpI36VP99/view?usp=sharing" TargetMode="External"/><Relationship Id="rId688" Type="http://schemas.openxmlformats.org/officeDocument/2006/relationships/hyperlink" Target="https://drive.google.com/file/d/1kwhqUnM1WWmh03lHEMZPNb3Ue6Foy5US/view?usp=sharing" TargetMode="External"/><Relationship Id="rId687" Type="http://schemas.openxmlformats.org/officeDocument/2006/relationships/hyperlink" Target="https://drive.google.com/file/d/1kYgOPB9zunefCnW7kTtD8w3UeGrhZjcc/view?usp=sharing" TargetMode="External"/><Relationship Id="rId682" Type="http://schemas.openxmlformats.org/officeDocument/2006/relationships/hyperlink" Target="https://drive.google.com/file/d/1OFaVszFgztr4IjWhq37iCOmuOqq7EPhb/view?usp=sharing" TargetMode="External"/><Relationship Id="rId681" Type="http://schemas.openxmlformats.org/officeDocument/2006/relationships/hyperlink" Target="https://drive.google.com/file/d/1ddesGfygAKjVRCMGUsqA5gaMs2Vo9iLg/view?usp=sharing" TargetMode="External"/><Relationship Id="rId680" Type="http://schemas.openxmlformats.org/officeDocument/2006/relationships/hyperlink" Target="https://drive.google.com/file/d/1saSQ1Ym23Fn-aGlSEOddeqvui8NUiwTQ/view?usp=sharing" TargetMode="External"/><Relationship Id="rId686" Type="http://schemas.openxmlformats.org/officeDocument/2006/relationships/hyperlink" Target="https://drive.google.com/file/d/1Basw8d9E36zaCRklAOO6D_kfR2eLetXd/view?usp=sharing" TargetMode="External"/><Relationship Id="rId685" Type="http://schemas.openxmlformats.org/officeDocument/2006/relationships/hyperlink" Target="https://drive.google.com/file/d/1S4A9U6SkL57ZTpsGizJ-DkikOKSy7U0X/view?usp=sharing" TargetMode="External"/><Relationship Id="rId684" Type="http://schemas.openxmlformats.org/officeDocument/2006/relationships/hyperlink" Target="https://drive.google.com/file/d/1cjeRiVtaa1JbFwnnD0Fy6Z_L5fzIcgvu/view?usp=sharing" TargetMode="External"/><Relationship Id="rId683" Type="http://schemas.openxmlformats.org/officeDocument/2006/relationships/hyperlink" Target="https://drive.google.com/file/d/1YxVl6TB_5yHEYxd26h-AzbETJYGqe5ZT/view?usp=sharing" TargetMode="External"/><Relationship Id="rId679" Type="http://schemas.openxmlformats.org/officeDocument/2006/relationships/hyperlink" Target="https://drive.google.com/file/d/1PINFpiH7vzxUnp5iYC0cK2_Bku4DBzwG/view?usp=sharing" TargetMode="External"/><Relationship Id="rId678" Type="http://schemas.openxmlformats.org/officeDocument/2006/relationships/hyperlink" Target="https://drive.google.com/file/d/1IHQpzxsvnR1wJypVEwGX1hJ1JdgNospq/view?usp=sharing" TargetMode="External"/><Relationship Id="rId677" Type="http://schemas.openxmlformats.org/officeDocument/2006/relationships/hyperlink" Target="https://drive.google.com/file/d/1LdlNBcr3vTlUsExcdiMHBbm7TChq0Jyw/view?usp=sharing" TargetMode="External"/><Relationship Id="rId676" Type="http://schemas.openxmlformats.org/officeDocument/2006/relationships/hyperlink" Target="https://drive.google.com/file/d/1A6IFJjWqtBc7ytkICj61GKYLQNOH1U9x/view?usp=sharing" TargetMode="External"/><Relationship Id="rId671" Type="http://schemas.openxmlformats.org/officeDocument/2006/relationships/hyperlink" Target="https://drive.google.com/file/d/1djzeZeHISe9kU3eL8Iqqn3nEXIs4cGsi/view?usp=sharing" TargetMode="External"/><Relationship Id="rId670" Type="http://schemas.openxmlformats.org/officeDocument/2006/relationships/hyperlink" Target="https://drive.google.com/file/d/1g4lk8gfbz7AlRCPgQO7dyEHjP1AV7uLD/view?usp=sharing" TargetMode="External"/><Relationship Id="rId675" Type="http://schemas.openxmlformats.org/officeDocument/2006/relationships/hyperlink" Target="https://drive.google.com/file/d/1bRIsl0grua0LhNp0VwY7WSjSFEUV2kKy/view?usp=sharing" TargetMode="External"/><Relationship Id="rId674" Type="http://schemas.openxmlformats.org/officeDocument/2006/relationships/hyperlink" Target="https://drive.google.com/file/d/1FPRRM7XsNFXR6fiHYFsFoughPyt5qRiX/view?usp=sharing" TargetMode="External"/><Relationship Id="rId673" Type="http://schemas.openxmlformats.org/officeDocument/2006/relationships/hyperlink" Target="https://drive.google.com/file/d/1fXcOH7tZIPpWQ7OS0n7-ODENfsJtxIxT/view?usp=sharing" TargetMode="External"/><Relationship Id="rId672" Type="http://schemas.openxmlformats.org/officeDocument/2006/relationships/hyperlink" Target="https://drive.google.com/file/d/1LLslG4qNEdDSRooVGh5BjmOpaIHkyp1O/view?usp=sharing" TargetMode="External"/><Relationship Id="rId190" Type="http://schemas.openxmlformats.org/officeDocument/2006/relationships/hyperlink" Target="https://drive.google.com/file/d/1JXrek18-N_p8yW227ubWfX01egeVurNL/view?usp=sharing" TargetMode="External"/><Relationship Id="rId194" Type="http://schemas.openxmlformats.org/officeDocument/2006/relationships/hyperlink" Target="https://drive.google.com/file/d/1A_lRwRdLmTlN_ydNl3nWoUXRNwrHcVPe/view?usp=sharing" TargetMode="External"/><Relationship Id="rId193" Type="http://schemas.openxmlformats.org/officeDocument/2006/relationships/hyperlink" Target="https://drive.google.com/file/d/1zr5iR1dOAD531SwTjNFkxFWUxB5f_JQU/view?usp=sharing" TargetMode="External"/><Relationship Id="rId192" Type="http://schemas.openxmlformats.org/officeDocument/2006/relationships/hyperlink" Target="https://drive.google.com/file/d/160b5MBkGsV6IbPvTsQ5UWRptWJQVO7io/view?usp=sharing" TargetMode="External"/><Relationship Id="rId191" Type="http://schemas.openxmlformats.org/officeDocument/2006/relationships/hyperlink" Target="https://drive.google.com/file/d/1IlHu3tvsw-EFwCODOlBplqpK8Fom8QWn/view?usp=sharing" TargetMode="External"/><Relationship Id="rId187" Type="http://schemas.openxmlformats.org/officeDocument/2006/relationships/hyperlink" Target="https://drive.google.com/file/d/1arrpYr-U89B7aOloBkx8ZPaJCEf4Klvf/view?usp=sharing" TargetMode="External"/><Relationship Id="rId186" Type="http://schemas.openxmlformats.org/officeDocument/2006/relationships/hyperlink" Target="https://drive.google.com/file/d/14utLa0RfinEDdm5BlKSkPQgyH7FZxDT1/view?usp=sharing" TargetMode="External"/><Relationship Id="rId185" Type="http://schemas.openxmlformats.org/officeDocument/2006/relationships/hyperlink" Target="https://drive.google.com/file/d/1tJvTxei0MIdO97qg9eItVF9jc2TpC3ZI/view?usp=sharing" TargetMode="External"/><Relationship Id="rId184" Type="http://schemas.openxmlformats.org/officeDocument/2006/relationships/hyperlink" Target="https://drive.google.com/file/d/1kLndPq-6BEj6dcfCvtHrNn6dNK_KrtcB/view?usp=sharing" TargetMode="External"/><Relationship Id="rId189" Type="http://schemas.openxmlformats.org/officeDocument/2006/relationships/hyperlink" Target="https://drive.google.com/file/d/120ysn9Co-oWzBBDRWgkZ80FKwBOggydr/view?usp=sharing" TargetMode="External"/><Relationship Id="rId188" Type="http://schemas.openxmlformats.org/officeDocument/2006/relationships/hyperlink" Target="https://drive.google.com/file/d/14h--FesdzWg5kfN-s0TAVh1x8J9T0wqQ/view?usp=sharing" TargetMode="External"/><Relationship Id="rId183" Type="http://schemas.openxmlformats.org/officeDocument/2006/relationships/hyperlink" Target="https://drive.google.com/file/d/1ZC1trinACLD-bNiD3VZaNeiLTVpy0GMy/view?usp=sharing" TargetMode="External"/><Relationship Id="rId182" Type="http://schemas.openxmlformats.org/officeDocument/2006/relationships/hyperlink" Target="https://drive.google.com/file/d/1vhp8DJ_WszusaipVulbKXWNquCJH_xMK/view?usp=sharing" TargetMode="External"/><Relationship Id="rId181" Type="http://schemas.openxmlformats.org/officeDocument/2006/relationships/hyperlink" Target="https://drive.google.com/file/d/1ndb180bsTdfZXHrIb38CjNuUKuuL9T2W/view?usp=sharing" TargetMode="External"/><Relationship Id="rId180" Type="http://schemas.openxmlformats.org/officeDocument/2006/relationships/hyperlink" Target="https://drive.google.com/file/d/13YrOsuJUYfqOFdAXfkx9QNSoVo2PJZnl/view?usp=sharing" TargetMode="External"/><Relationship Id="rId176" Type="http://schemas.openxmlformats.org/officeDocument/2006/relationships/hyperlink" Target="https://drive.google.com/file/d/1RWb9WgPcQIkkpUBkagrRUxgXtUVGfHA1/view?usp=sharing" TargetMode="External"/><Relationship Id="rId175" Type="http://schemas.openxmlformats.org/officeDocument/2006/relationships/hyperlink" Target="https://drive.google.com/file/d/1Gu--jA7BoSBhLio9PCXmxdmZjSAObEq5/view?usp=sharing" TargetMode="External"/><Relationship Id="rId174" Type="http://schemas.openxmlformats.org/officeDocument/2006/relationships/hyperlink" Target="https://drive.google.com/file/d/1j7aZWrSfpaw0b5AmqeUC_Hsz9-h84CPc/view?usp=sharing" TargetMode="External"/><Relationship Id="rId173" Type="http://schemas.openxmlformats.org/officeDocument/2006/relationships/hyperlink" Target="https://drive.google.com/file/d/1J9Y6xkEbaulLjFbvDKEaLZJ8E-loXmS3/view?usp=sharing" TargetMode="External"/><Relationship Id="rId179" Type="http://schemas.openxmlformats.org/officeDocument/2006/relationships/hyperlink" Target="https://drive.google.com/file/d/1EzrBUdGPdZLAOBfYd6kVMPXDFb3Vt_am/view?usp=sharing" TargetMode="External"/><Relationship Id="rId178" Type="http://schemas.openxmlformats.org/officeDocument/2006/relationships/hyperlink" Target="https://drive.google.com/file/d/1bTB4H10F7L7LCFLzE5yWjNKm2C63DAh5/view?usp=sharing" TargetMode="External"/><Relationship Id="rId177" Type="http://schemas.openxmlformats.org/officeDocument/2006/relationships/hyperlink" Target="https://drive.google.com/file/d/1c-qUFNnGCZkKY_-c42hlADeXiYBOtiYW/view?usp=sharing" TargetMode="External"/><Relationship Id="rId198" Type="http://schemas.openxmlformats.org/officeDocument/2006/relationships/hyperlink" Target="https://drive.google.com/file/d/1KTUTKUYBhyl9jbkdOVFqby9uT25hRvwT/view?usp=sharing" TargetMode="External"/><Relationship Id="rId197" Type="http://schemas.openxmlformats.org/officeDocument/2006/relationships/hyperlink" Target="https://drive.google.com/file/d/1OLLMTBPX3PD88ljNJ4B2-QwS1vow_53k/view?usp=sharing" TargetMode="External"/><Relationship Id="rId196" Type="http://schemas.openxmlformats.org/officeDocument/2006/relationships/hyperlink" Target="https://drive.google.com/file/d/1OawofjEAMT3Px3snKyB75ObovU56qd5L/view?usp=sharing" TargetMode="External"/><Relationship Id="rId195" Type="http://schemas.openxmlformats.org/officeDocument/2006/relationships/hyperlink" Target="https://drive.google.com/file/d/1hsHiQYdQkdE_78RQwmBSwKX2GqblWyU9/view?usp=sharing" TargetMode="External"/><Relationship Id="rId199" Type="http://schemas.openxmlformats.org/officeDocument/2006/relationships/hyperlink" Target="https://drive.google.com/file/d/1NsyuDALmHj3LlCNkozXQA6ZX4hfchmtg/view?usp=sharing" TargetMode="External"/><Relationship Id="rId150" Type="http://schemas.openxmlformats.org/officeDocument/2006/relationships/hyperlink" Target="https://drive.google.com/file/d/1c-s6rDoRK1PV1-UYGIwEaA5_G8kCsLhv/view?usp=sharing" TargetMode="External"/><Relationship Id="rId149" Type="http://schemas.openxmlformats.org/officeDocument/2006/relationships/hyperlink" Target="https://drive.google.com/file/d/1OEe1AQ5hW1Rgq28dH9nAdq2gHhE4_P1D/view?usp=sharing" TargetMode="External"/><Relationship Id="rId148" Type="http://schemas.openxmlformats.org/officeDocument/2006/relationships/hyperlink" Target="https://drive.google.com/file/d/18PvskTVQWky1PTEdpSAOfRJmVRknN_ZN/view?usp=sharing" TargetMode="External"/><Relationship Id="rId143" Type="http://schemas.openxmlformats.org/officeDocument/2006/relationships/hyperlink" Target="https://drive.google.com/file/d/1z0ILxTtLJueLF1DSHuSxDKcQvVfqxLfD/view?usp=sharing" TargetMode="External"/><Relationship Id="rId142" Type="http://schemas.openxmlformats.org/officeDocument/2006/relationships/hyperlink" Target="https://drive.google.com/file/d/1Ux8z9BLSU-jp0Jarz7h1wmLLQeNNQC20/view?usp=sharing" TargetMode="External"/><Relationship Id="rId141" Type="http://schemas.openxmlformats.org/officeDocument/2006/relationships/hyperlink" Target="https://drive.google.com/file/d/1K_hfmZeQ3UGhFLFVTKJephPngzjZ3Rc9/view?usp=sharing" TargetMode="External"/><Relationship Id="rId140" Type="http://schemas.openxmlformats.org/officeDocument/2006/relationships/hyperlink" Target="https://drive.google.com/file/d/1_NBBWYN_Z_v2epxPql59Arb7OZZQbsB1/view?usp=sharing" TargetMode="External"/><Relationship Id="rId147" Type="http://schemas.openxmlformats.org/officeDocument/2006/relationships/hyperlink" Target="https://drive.google.com/file/d/1hCUoaZDvM_lRUgq_NbqZcqnx1ZxaLjPa/view?usp=sharing" TargetMode="External"/><Relationship Id="rId146" Type="http://schemas.openxmlformats.org/officeDocument/2006/relationships/hyperlink" Target="https://drive.google.com/file/d/1cAsHjf7fn2hAH42GM5zUjDsPeF57vNGQ/view?usp=sharing" TargetMode="External"/><Relationship Id="rId145" Type="http://schemas.openxmlformats.org/officeDocument/2006/relationships/hyperlink" Target="https://drive.google.com/file/d/1Kn_YUM4XNZXi78bgmI7ji0iuJxJmXaIU/view?usp=sharing" TargetMode="External"/><Relationship Id="rId144" Type="http://schemas.openxmlformats.org/officeDocument/2006/relationships/hyperlink" Target="https://drive.google.com/file/d/1kY07tQA-65FmYIWPRPuc51eQC-L3xu80/view?usp=sharing" TargetMode="External"/><Relationship Id="rId139" Type="http://schemas.openxmlformats.org/officeDocument/2006/relationships/hyperlink" Target="https://drive.google.com/file/d/1I6QVYzVuuT4b6soeIDTAUeBLYmf8uwmp/view?usp=sharing" TargetMode="External"/><Relationship Id="rId138" Type="http://schemas.openxmlformats.org/officeDocument/2006/relationships/hyperlink" Target="https://drive.google.com/file/d/1tWekMxeYadJaAvdDfpe5r_qm8ihy7jFO/view?usp=sharing" TargetMode="External"/><Relationship Id="rId137" Type="http://schemas.openxmlformats.org/officeDocument/2006/relationships/hyperlink" Target="https://drive.google.com/file/d/1Y31uNk-H-jTxggFg75bzrHn2XKoUcTC5/view?usp=sharing" TargetMode="External"/><Relationship Id="rId132" Type="http://schemas.openxmlformats.org/officeDocument/2006/relationships/hyperlink" Target="https://drive.google.com/file/d/117q7t5DOwt4OB80OY8T6R8UH_ChUJOTM/view?usp=sharing" TargetMode="External"/><Relationship Id="rId131" Type="http://schemas.openxmlformats.org/officeDocument/2006/relationships/hyperlink" Target="https://drive.google.com/file/d/1O9fxfPl99Q48QZor_mKp_RuYyq5a3MU4/view?usp=sharing" TargetMode="External"/><Relationship Id="rId130" Type="http://schemas.openxmlformats.org/officeDocument/2006/relationships/hyperlink" Target="https://drive.google.com/file/d/1VCRkWfWbenn8-sDpWt8X9Fnq7olobiN_/view?usp=sharing" TargetMode="External"/><Relationship Id="rId136" Type="http://schemas.openxmlformats.org/officeDocument/2006/relationships/hyperlink" Target="https://drive.google.com/file/d/1M5jyhlnPAs2NMKI5j8e-g7Nul2nLD6zl/view?usp=sharing" TargetMode="External"/><Relationship Id="rId135" Type="http://schemas.openxmlformats.org/officeDocument/2006/relationships/hyperlink" Target="https://drive.google.com/file/d/1vdBk-Or5mJKChS8Ff3fjjKOoVlzy2h5B/view?usp=sharing" TargetMode="External"/><Relationship Id="rId134" Type="http://schemas.openxmlformats.org/officeDocument/2006/relationships/hyperlink" Target="https://drive.google.com/file/d/1WPAfKjkw_5NDOO8_QIeyyF96MkvwR28_/view?usp=sharing" TargetMode="External"/><Relationship Id="rId133" Type="http://schemas.openxmlformats.org/officeDocument/2006/relationships/hyperlink" Target="https://drive.google.com/file/d/1QqJJE3qJ_uOlSLjkDdqL1XowjNfvta8v/view?usp=sharing" TargetMode="External"/><Relationship Id="rId172" Type="http://schemas.openxmlformats.org/officeDocument/2006/relationships/hyperlink" Target="https://drive.google.com/file/d/1SseSaVltUHWZGLQZBvZwXikseg2KO9tp/view?usp=sharing" TargetMode="External"/><Relationship Id="rId171" Type="http://schemas.openxmlformats.org/officeDocument/2006/relationships/hyperlink" Target="https://drive.google.com/file/d/1l_ianTcicC9u5wtlkPLoeAqkORAAk2PV/view?usp=sharing" TargetMode="External"/><Relationship Id="rId170" Type="http://schemas.openxmlformats.org/officeDocument/2006/relationships/hyperlink" Target="https://drive.google.com/file/d/1i_-hFlOJFRGhG8rdxU6bAtTeIpYjwuN_/view?usp=sharing" TargetMode="External"/><Relationship Id="rId165" Type="http://schemas.openxmlformats.org/officeDocument/2006/relationships/hyperlink" Target="https://drive.google.com/file/d/1G1pxJ0Wt_afqHjaX5IrHw3Ja-zExoUyg/view?usp=sharing" TargetMode="External"/><Relationship Id="rId164" Type="http://schemas.openxmlformats.org/officeDocument/2006/relationships/hyperlink" Target="https://drive.google.com/file/d/1_wqED_5Ic4aXzMrVpS1DROtH-MP8t2cA/view?usp=sharing" TargetMode="External"/><Relationship Id="rId163" Type="http://schemas.openxmlformats.org/officeDocument/2006/relationships/hyperlink" Target="https://drive.google.com/file/d/1IIfXjlQ7SAU4F7_UqHLHRf8hBQuey5SQ/view?usp=sharing" TargetMode="External"/><Relationship Id="rId162" Type="http://schemas.openxmlformats.org/officeDocument/2006/relationships/hyperlink" Target="https://drive.google.com/file/d/1DkRFsA-yCgT9LXrC7alSBAcH_OQxYpW3/view?usp=sharing" TargetMode="External"/><Relationship Id="rId169" Type="http://schemas.openxmlformats.org/officeDocument/2006/relationships/hyperlink" Target="https://drive.google.com/file/d/1e6h9L-zdOkdlnrFIhcUVKbi-yr9myEh8/view?usp=sharing" TargetMode="External"/><Relationship Id="rId168" Type="http://schemas.openxmlformats.org/officeDocument/2006/relationships/hyperlink" Target="https://drive.google.com/file/d/1rOnNUik8VWXh-TFLaH1TfjGPggFzOx0I/view?usp=sharing" TargetMode="External"/><Relationship Id="rId167" Type="http://schemas.openxmlformats.org/officeDocument/2006/relationships/hyperlink" Target="https://drive.google.com/file/d/16wysuhD5vzV_i4NiZYL5vsUO8XVrmHXz/view?usp=sharing" TargetMode="External"/><Relationship Id="rId166" Type="http://schemas.openxmlformats.org/officeDocument/2006/relationships/hyperlink" Target="https://drive.google.com/file/d/1TYvjLVrtqP0KJED-3giqaXcFu_XqKblw/view?usp=sharing" TargetMode="External"/><Relationship Id="rId161" Type="http://schemas.openxmlformats.org/officeDocument/2006/relationships/hyperlink" Target="https://drive.google.com/file/d/13qMO2qXGduyV_fFAOH5Cwl1m2MFnSTJ4/view?usp=sharing" TargetMode="External"/><Relationship Id="rId160" Type="http://schemas.openxmlformats.org/officeDocument/2006/relationships/hyperlink" Target="https://drive.google.com/file/d/1OVriZlkr4PKDcPHOiTrEzon0VyRS8l4p/view?usp=sharing" TargetMode="External"/><Relationship Id="rId159" Type="http://schemas.openxmlformats.org/officeDocument/2006/relationships/hyperlink" Target="https://drive.google.com/file/d/1ondVrYzKVpCrAQV1WYCx9VUGr2FQBdBB/view?usp=sharing" TargetMode="External"/><Relationship Id="rId154" Type="http://schemas.openxmlformats.org/officeDocument/2006/relationships/hyperlink" Target="https://drive.google.com/file/d/1VsXjzqaBxX4qKkxI17R2gc66bSz7DDA4/view?usp=sharing" TargetMode="External"/><Relationship Id="rId153" Type="http://schemas.openxmlformats.org/officeDocument/2006/relationships/hyperlink" Target="https://drive.google.com/file/d/16R4aOfH839QB3CnSp7s7eKaqwob77dTA/view?usp=sharing" TargetMode="External"/><Relationship Id="rId152" Type="http://schemas.openxmlformats.org/officeDocument/2006/relationships/hyperlink" Target="https://drive.google.com/file/d/1WwQPeiBwl_0j6MaBEiQ5h7UkRrqkVPl9/view?usp=sharing" TargetMode="External"/><Relationship Id="rId151" Type="http://schemas.openxmlformats.org/officeDocument/2006/relationships/hyperlink" Target="https://drive.google.com/file/d/1Q-BEfAcQfM3qGr5KIZNX1GiEpsVngcLr/view?usp=sharing" TargetMode="External"/><Relationship Id="rId158" Type="http://schemas.openxmlformats.org/officeDocument/2006/relationships/hyperlink" Target="https://drive.google.com/file/d/1--nFJR6DmE47j8UjuqgJNM6oIn6hXK3t/view?usp=sharing" TargetMode="External"/><Relationship Id="rId157" Type="http://schemas.openxmlformats.org/officeDocument/2006/relationships/hyperlink" Target="https://drive.google.com/file/d/1_znziSjF4mta3H7kwiTQqXXe3wmvTonx/view?usp=sharing" TargetMode="External"/><Relationship Id="rId156" Type="http://schemas.openxmlformats.org/officeDocument/2006/relationships/hyperlink" Target="https://drive.google.com/file/d/1rti2N_H2jbA8PPqLSHdvISu9mmYoyX2A/view?usp=sharing" TargetMode="External"/><Relationship Id="rId155" Type="http://schemas.openxmlformats.org/officeDocument/2006/relationships/hyperlink" Target="https://drive.google.com/file/d/173eatdx-IBU6OYbXfnb5Mts2w_0X0p9t/view?usp=sharing" TargetMode="External"/><Relationship Id="rId2820" Type="http://schemas.openxmlformats.org/officeDocument/2006/relationships/hyperlink" Target="https://drive.google.com/file/d/1E_3KqWXeaHRv7ENkTNaju7rJG370wxAa/view?usp=sharing" TargetMode="External"/><Relationship Id="rId2821" Type="http://schemas.openxmlformats.org/officeDocument/2006/relationships/hyperlink" Target="https://drive.google.com/file/d/1Y8xBA3T9iOJ1lPrFxCC5Bx5ixJK1SJwP/view?usp=sharing" TargetMode="External"/><Relationship Id="rId2822" Type="http://schemas.openxmlformats.org/officeDocument/2006/relationships/hyperlink" Target="https://drive.google.com/file/d/1TbSExaQh6p3gz5gQu_jw7Jv1oS4D3egj/view?usp=sharing" TargetMode="External"/><Relationship Id="rId2823" Type="http://schemas.openxmlformats.org/officeDocument/2006/relationships/hyperlink" Target="https://drive.google.com/file/d/1I4Q2VLsASpjOS9Fjnp0kF54q08g_k-q2/view?usp=sharing" TargetMode="External"/><Relationship Id="rId2824" Type="http://schemas.openxmlformats.org/officeDocument/2006/relationships/hyperlink" Target="https://drive.google.com/file/d/1POpER9RF5mI9R7P7VPzr9glaobBEuKo1/view?usp=sharing" TargetMode="External"/><Relationship Id="rId2825" Type="http://schemas.openxmlformats.org/officeDocument/2006/relationships/hyperlink" Target="https://drive.google.com/file/d/1LLaU1-3HEQzu1FJecuY22p4w0cRmWWtf/view?usp=sharing" TargetMode="External"/><Relationship Id="rId2826" Type="http://schemas.openxmlformats.org/officeDocument/2006/relationships/hyperlink" Target="https://drive.google.com/file/d/1NfHHTl9bj0E_nceIs5RNu2dJ7Beg7zrI/view?usp=sharing" TargetMode="External"/><Relationship Id="rId2827" Type="http://schemas.openxmlformats.org/officeDocument/2006/relationships/hyperlink" Target="https://drive.google.com/file/d/1bASCyGj_GmOvUNqVQl8F-F1jCVG9sYls/view?usp=sharing" TargetMode="External"/><Relationship Id="rId2828" Type="http://schemas.openxmlformats.org/officeDocument/2006/relationships/hyperlink" Target="https://drive.google.com/file/d/1iJ_eRZcPggahan1rMpFYr03zAPeaNKxZ/view?usp=sharing" TargetMode="External"/><Relationship Id="rId2829" Type="http://schemas.openxmlformats.org/officeDocument/2006/relationships/hyperlink" Target="https://drive.google.com/file/d/1vFDgyugtpfs4hByrBSr2BYX5Kp8DDRiY/view?usp=sharing" TargetMode="External"/><Relationship Id="rId2810" Type="http://schemas.openxmlformats.org/officeDocument/2006/relationships/hyperlink" Target="https://drive.google.com/file/d/1w9TUWnSxrb0YuhhPTH9ipGIXc70AQvoT/view?usp=sharing" TargetMode="External"/><Relationship Id="rId2811" Type="http://schemas.openxmlformats.org/officeDocument/2006/relationships/hyperlink" Target="https://drive.google.com/file/d/18ppnZZ6saFAO4veqXqdfGbo-nOAhhxB_/view?usp=sharing" TargetMode="External"/><Relationship Id="rId2812" Type="http://schemas.openxmlformats.org/officeDocument/2006/relationships/hyperlink" Target="https://drive.google.com/file/d/1U86x_jt4UuXNXZeOb47IstlCk3wQyq8p/view?usp=sharing" TargetMode="External"/><Relationship Id="rId2813" Type="http://schemas.openxmlformats.org/officeDocument/2006/relationships/hyperlink" Target="https://drive.google.com/file/d/1IfwjWiP52_WIyNB0hnU2MDeA7XTPi0FI/view?usp=sharing" TargetMode="External"/><Relationship Id="rId2814" Type="http://schemas.openxmlformats.org/officeDocument/2006/relationships/hyperlink" Target="https://drive.google.com/file/d/1Ur0zIIuvu8jbx3tCCfqTJ67VkXeP4qbe/view?usp=sharing" TargetMode="External"/><Relationship Id="rId2815" Type="http://schemas.openxmlformats.org/officeDocument/2006/relationships/hyperlink" Target="https://drive.google.com/file/d/12174D8phwans-PZzDaLh-RD5HJlwcQgd/view?usp=sharing" TargetMode="External"/><Relationship Id="rId2816" Type="http://schemas.openxmlformats.org/officeDocument/2006/relationships/hyperlink" Target="https://drive.google.com/file/d/1nFZHHloV0vi8bBHy9iiJNcnUTPtk2Ft6/view?usp=sharing" TargetMode="External"/><Relationship Id="rId2817" Type="http://schemas.openxmlformats.org/officeDocument/2006/relationships/hyperlink" Target="https://drive.google.com/file/d/17C7qenwhmNbn8mfKmXfVrBrjniAUhTDQ/view?usp=sharing" TargetMode="External"/><Relationship Id="rId2818" Type="http://schemas.openxmlformats.org/officeDocument/2006/relationships/hyperlink" Target="https://drive.google.com/file/d/1uLP7RnDhFFycWXnkysA5_rAZUtO-fbfE/view?usp=sharing" TargetMode="External"/><Relationship Id="rId2819" Type="http://schemas.openxmlformats.org/officeDocument/2006/relationships/hyperlink" Target="https://drive.google.com/file/d/1i5lzkppG8TlMaV2Hq-fWXpQKE3NvyoJv/view?usp=sharing" TargetMode="External"/><Relationship Id="rId1510" Type="http://schemas.openxmlformats.org/officeDocument/2006/relationships/hyperlink" Target="https://drive.google.com/file/d/1rfKaFYSGPfrECnJpUQLNp7mRo9jb5EnR/view?usp=sharing" TargetMode="External"/><Relationship Id="rId2841" Type="http://schemas.openxmlformats.org/officeDocument/2006/relationships/hyperlink" Target="https://drive.google.com/file/d/1M0n53qQ25LiL-ADIOKK2a_5B8yGwOrlN/view?usp=sharing" TargetMode="External"/><Relationship Id="rId1511" Type="http://schemas.openxmlformats.org/officeDocument/2006/relationships/hyperlink" Target="https://drive.google.com/file/d/1qdM3aamWm9Xlvh6zYrBxpVKxicnjnDy7/view?usp=sharing" TargetMode="External"/><Relationship Id="rId2842" Type="http://schemas.openxmlformats.org/officeDocument/2006/relationships/hyperlink" Target="https://drive.google.com/file/d/1F_xJrP1IVQ8LMlX51cIFbO3HZoeOrqXz/view?usp=sharing" TargetMode="External"/><Relationship Id="rId1512" Type="http://schemas.openxmlformats.org/officeDocument/2006/relationships/hyperlink" Target="https://drive.google.com/file/d/1_ZnaWMC95xMOrdjCXp1oaMwHoXohVRuP/view?usp=sharing" TargetMode="External"/><Relationship Id="rId2843" Type="http://schemas.openxmlformats.org/officeDocument/2006/relationships/hyperlink" Target="https://drive.google.com/file/d/1rqtfR-A7pR6iuEXrWFBgDqVyeq8tI0q3/view?usp=sharing" TargetMode="External"/><Relationship Id="rId1513" Type="http://schemas.openxmlformats.org/officeDocument/2006/relationships/hyperlink" Target="https://drive.google.com/file/d/1mWiLnpMtuSfDqkM7Oh-o-mSA4po8eQTW/view?usp=sharing" TargetMode="External"/><Relationship Id="rId2844" Type="http://schemas.openxmlformats.org/officeDocument/2006/relationships/hyperlink" Target="https://drive.google.com/file/d/1b90Ag5ayc1J-9Ynxg2wl0ujU218_mKV1/view?usp=sharing" TargetMode="External"/><Relationship Id="rId1514" Type="http://schemas.openxmlformats.org/officeDocument/2006/relationships/hyperlink" Target="https://drive.google.com/file/d/1hLcvtKX-qo16TfdOvN-vytx7j5cAhLQi/view?usp=sharing" TargetMode="External"/><Relationship Id="rId2845" Type="http://schemas.openxmlformats.org/officeDocument/2006/relationships/hyperlink" Target="https://drive.google.com/file/d/1iCFKDvIys4CW2VYVllbbcSWWMHJPf2fo/view?usp=sharing" TargetMode="External"/><Relationship Id="rId1515" Type="http://schemas.openxmlformats.org/officeDocument/2006/relationships/hyperlink" Target="https://drive.google.com/file/d/1i9m-TeHXJGj5z9tSzMSK5qSpqy9eJ-BP/view?usp=sharing" TargetMode="External"/><Relationship Id="rId2846" Type="http://schemas.openxmlformats.org/officeDocument/2006/relationships/hyperlink" Target="https://drive.google.com/file/d/1mdXrePOj46tmgxr-sXlna0gM2idsnzMh/view?usp=sharing" TargetMode="External"/><Relationship Id="rId1516" Type="http://schemas.openxmlformats.org/officeDocument/2006/relationships/hyperlink" Target="https://drive.google.com/file/d/1wPy4Zh0xIaUnO2zRg3UVZCvuPmHccUBt/view?usp=sharing" TargetMode="External"/><Relationship Id="rId2847" Type="http://schemas.openxmlformats.org/officeDocument/2006/relationships/hyperlink" Target="https://drive.google.com/file/d/1X2MNzOvwObsqG3aTx97mginkNaSLpIVU/view?usp=sharing" TargetMode="External"/><Relationship Id="rId1517" Type="http://schemas.openxmlformats.org/officeDocument/2006/relationships/hyperlink" Target="https://drive.google.com/file/d/153dqPmtR3CAF8-Ho6n01yURZTcI7hbeS/view?usp=sharing" TargetMode="External"/><Relationship Id="rId2848" Type="http://schemas.openxmlformats.org/officeDocument/2006/relationships/hyperlink" Target="https://drive.google.com/file/d/1pRE7oGhouDPO8guxEFihNv8T9jE86BKi/view?usp=sharing" TargetMode="External"/><Relationship Id="rId1518" Type="http://schemas.openxmlformats.org/officeDocument/2006/relationships/hyperlink" Target="https://drive.google.com/file/d/1g4i8Glme_u54OrU0Z4AanqvJvabKXo00/view?usp=sharing" TargetMode="External"/><Relationship Id="rId2849" Type="http://schemas.openxmlformats.org/officeDocument/2006/relationships/hyperlink" Target="https://drive.google.com/file/d/1M5QWxv40S-THFTpKyjWHe3kiX-SVlweq/view?usp=sharing" TargetMode="External"/><Relationship Id="rId1519" Type="http://schemas.openxmlformats.org/officeDocument/2006/relationships/hyperlink" Target="https://drive.google.com/file/d/1-SEG1VYZ9IdcqiU0hRFBBrgYrB5nSFPD/view?usp=sharing" TargetMode="External"/><Relationship Id="rId2840" Type="http://schemas.openxmlformats.org/officeDocument/2006/relationships/hyperlink" Target="https://drive.google.com/file/d/1AEnTP16Kf3warEJpiYhH7mt9D51Y_mTE/view?usp=sharing" TargetMode="External"/><Relationship Id="rId2830" Type="http://schemas.openxmlformats.org/officeDocument/2006/relationships/hyperlink" Target="https://drive.google.com/file/d/1mMS26zjVvAtWhHoZkPeRByfUC91-U7Zi/view?usp=sharing" TargetMode="External"/><Relationship Id="rId1500" Type="http://schemas.openxmlformats.org/officeDocument/2006/relationships/hyperlink" Target="https://drive.google.com/file/d/1Uqv7RVHS4pFCI8REG26KcfZAzTkXBDpk/view?usp=sharing" TargetMode="External"/><Relationship Id="rId2831" Type="http://schemas.openxmlformats.org/officeDocument/2006/relationships/hyperlink" Target="https://drive.google.com/file/d/1_Rm3JPuEFaOjCztuV-gUG2jieYdiy5za/view?usp=sharing" TargetMode="External"/><Relationship Id="rId1501" Type="http://schemas.openxmlformats.org/officeDocument/2006/relationships/hyperlink" Target="https://drive.google.com/file/d/1Cm_41iw6oyJfX_X8aGpbIM7Eq44JeG0Z/view?usp=sharing" TargetMode="External"/><Relationship Id="rId2832" Type="http://schemas.openxmlformats.org/officeDocument/2006/relationships/hyperlink" Target="https://drive.google.com/file/d/1glFw2d1_f3xV5D9A95O-9tMOCny-xFHu/view?usp=sharing" TargetMode="External"/><Relationship Id="rId1502" Type="http://schemas.openxmlformats.org/officeDocument/2006/relationships/hyperlink" Target="https://drive.google.com/file/d/1y9EtTahEB7sY_389LHu0cQttpCaoRdfi/view?usp=sharing" TargetMode="External"/><Relationship Id="rId2833" Type="http://schemas.openxmlformats.org/officeDocument/2006/relationships/hyperlink" Target="https://drive.google.com/file/d/1dJFtyV9XlEfqTub82KHeu5QQZVixRJpK/view?usp=sharing" TargetMode="External"/><Relationship Id="rId1503" Type="http://schemas.openxmlformats.org/officeDocument/2006/relationships/hyperlink" Target="https://drive.google.com/file/d/1aam2_jhTElBHGu2J_yiKCUfRTPUvnlpy/view?usp=sharing" TargetMode="External"/><Relationship Id="rId2834" Type="http://schemas.openxmlformats.org/officeDocument/2006/relationships/hyperlink" Target="https://drive.google.com/file/d/1rjS0dEFVlsDsP_ByjjBsL8hAqta7pwtB/view?usp=sharing" TargetMode="External"/><Relationship Id="rId1504" Type="http://schemas.openxmlformats.org/officeDocument/2006/relationships/hyperlink" Target="https://drive.google.com/file/d/19XDjy4-3ALVCmfEL5F2yRxDAvtiUcitz/view?usp=sharing" TargetMode="External"/><Relationship Id="rId2835" Type="http://schemas.openxmlformats.org/officeDocument/2006/relationships/hyperlink" Target="https://drive.google.com/file/d/1W51BmQ_xqRGTWgbG9ELr9qVK5zVI6uye/view?usp=sharing" TargetMode="External"/><Relationship Id="rId1505" Type="http://schemas.openxmlformats.org/officeDocument/2006/relationships/hyperlink" Target="https://drive.google.com/file/d/1hYCtTI_6qeasxHBZpAcjgtsuhwx2fAAD/view?usp=sharing" TargetMode="External"/><Relationship Id="rId2836" Type="http://schemas.openxmlformats.org/officeDocument/2006/relationships/hyperlink" Target="https://drive.google.com/file/d/1J0WB3iJjlk6AMesW3k3gM7dyboxGolHr/view?usp=sharing" TargetMode="External"/><Relationship Id="rId1506" Type="http://schemas.openxmlformats.org/officeDocument/2006/relationships/hyperlink" Target="https://drive.google.com/file/d/1thMRDTc8kdUI05NbnhM93HzZpdfiMlFj/view?usp=sharing" TargetMode="External"/><Relationship Id="rId2837" Type="http://schemas.openxmlformats.org/officeDocument/2006/relationships/hyperlink" Target="https://drive.google.com/file/d/1QOnHmBpPyn77dFBGVLMfMDDex54hX7lj/view?usp=sharing" TargetMode="External"/><Relationship Id="rId1507" Type="http://schemas.openxmlformats.org/officeDocument/2006/relationships/hyperlink" Target="https://drive.google.com/file/d/1thMRDTc8kdUI05NbnhM93HzZpdfiMlFj/view?usp=sharing" TargetMode="External"/><Relationship Id="rId2838" Type="http://schemas.openxmlformats.org/officeDocument/2006/relationships/hyperlink" Target="https://drive.google.com/file/d/12RFiVQ3Y3YiL_dsMgoto0hIvfWYq_UtU/view?usp=sharing" TargetMode="External"/><Relationship Id="rId1508" Type="http://schemas.openxmlformats.org/officeDocument/2006/relationships/hyperlink" Target="https://drive.google.com/file/d/1DUH5I9lkEZRWi5BusPercJPHRYXiv2a0/view?usp=sharing" TargetMode="External"/><Relationship Id="rId2839" Type="http://schemas.openxmlformats.org/officeDocument/2006/relationships/hyperlink" Target="https://drive.google.com/file/d/19khJAVCEdrhWVZba1AJVTWddd6qTPQkM/view?usp=sharing" TargetMode="External"/><Relationship Id="rId1509" Type="http://schemas.openxmlformats.org/officeDocument/2006/relationships/hyperlink" Target="https://drive.google.com/file/d/1p9VsLd3_rxzJzcqiM5uUV0yrdH34sBIm/view?usp=sharing" TargetMode="External"/><Relationship Id="rId2800" Type="http://schemas.openxmlformats.org/officeDocument/2006/relationships/hyperlink" Target="https://drive.google.com/file/d/1PwuB76IWy-YTlDd9QeMLu0Zxv3f_4_Oe/view?usp=sharing" TargetMode="External"/><Relationship Id="rId2801" Type="http://schemas.openxmlformats.org/officeDocument/2006/relationships/hyperlink" Target="https://drive.google.com/file/d/1x4gFucQ4SjEgwr0sygNIR8o_XFWZhYxT/view?usp=sharing" TargetMode="External"/><Relationship Id="rId2802" Type="http://schemas.openxmlformats.org/officeDocument/2006/relationships/hyperlink" Target="https://drive.google.com/file/d/1jCsVfvClQNrXC_ORUwIbm2asJkm1DVCe/view?usp=sharing" TargetMode="External"/><Relationship Id="rId2803" Type="http://schemas.openxmlformats.org/officeDocument/2006/relationships/hyperlink" Target="https://drive.google.com/file/d/1YrFIklI1zHQ2PoHuysiVQuA_KCV2q79N/view?usp=sharing" TargetMode="External"/><Relationship Id="rId2804" Type="http://schemas.openxmlformats.org/officeDocument/2006/relationships/hyperlink" Target="https://drive.google.com/file/d/1LDlch9LqaNFyqOWUpj9mzw8d32iJgPZV/view?usp=sharing" TargetMode="External"/><Relationship Id="rId2805" Type="http://schemas.openxmlformats.org/officeDocument/2006/relationships/hyperlink" Target="https://drive.google.com/file/d/1u1HGqDtDTgDvhGDfOTXV4SLMa-IJSxz9/view?usp=sharing" TargetMode="External"/><Relationship Id="rId2806" Type="http://schemas.openxmlformats.org/officeDocument/2006/relationships/hyperlink" Target="https://drive.google.com/file/d/1Qn57FTzr7DZ1EmtlLSb__xayJo4Ma9qU/view?usp=sharing" TargetMode="External"/><Relationship Id="rId2807" Type="http://schemas.openxmlformats.org/officeDocument/2006/relationships/hyperlink" Target="https://drive.google.com/file/d/1DqZw86UtVmXw4H-0srKHv6UFB3igQdTK/view?usp=sharing" TargetMode="External"/><Relationship Id="rId2808" Type="http://schemas.openxmlformats.org/officeDocument/2006/relationships/hyperlink" Target="https://drive.google.com/file/d/1W7FoZHXXud72BVN7jnzmtO6PTm-tXXSa/view?usp=sharing" TargetMode="External"/><Relationship Id="rId2809" Type="http://schemas.openxmlformats.org/officeDocument/2006/relationships/hyperlink" Target="https://drive.google.com/file/d/11IVbV3qOdXdLlkaEV_9M8pFdnvIgOKMF/view?usp=sharing" TargetMode="External"/><Relationship Id="rId1576" Type="http://schemas.openxmlformats.org/officeDocument/2006/relationships/hyperlink" Target="https://drive.google.com/file/d/1Ts4xB9JUh4qa36VBHQvjA3MZHusq4M4V/view?usp=sharing" TargetMode="External"/><Relationship Id="rId1577" Type="http://schemas.openxmlformats.org/officeDocument/2006/relationships/hyperlink" Target="https://drive.google.com/file/d/1wf2mwGaQZ59UUlM29WL4uAC4av_yl8YM/view?usp=sharing" TargetMode="External"/><Relationship Id="rId1578" Type="http://schemas.openxmlformats.org/officeDocument/2006/relationships/hyperlink" Target="https://drive.google.com/file/d/1_0N04Nxs0vORUinvfdi4GD3-zJetf4S8/view?usp=sharing" TargetMode="External"/><Relationship Id="rId1579" Type="http://schemas.openxmlformats.org/officeDocument/2006/relationships/hyperlink" Target="https://drive.google.com/file/d/1Yk_7vbPH57es0EC04wp6ACdG5U0q1aDb/view?usp=sharing" TargetMode="External"/><Relationship Id="rId987" Type="http://schemas.openxmlformats.org/officeDocument/2006/relationships/hyperlink" Target="https://drive.google.com/file/d/1y9YmLlDDtY-gk_W6jDuovtYsZ5Dcns3x/view?usp=sharing" TargetMode="External"/><Relationship Id="rId986" Type="http://schemas.openxmlformats.org/officeDocument/2006/relationships/hyperlink" Target="https://drive.google.com/file/d/1szQrbdwrUqOcfL8Qka86CcHAKgZ0LO1b/view?usp=sharing" TargetMode="External"/><Relationship Id="rId985" Type="http://schemas.openxmlformats.org/officeDocument/2006/relationships/hyperlink" Target="https://drive.google.com/file/d/1RKWD3Deski6u7wMpuu5bpCdoqJP_9l0P/view?usp=sharing" TargetMode="External"/><Relationship Id="rId984" Type="http://schemas.openxmlformats.org/officeDocument/2006/relationships/hyperlink" Target="https://drive.google.com/file/d/1bTe3EuWdRdESw62ZFtoEQcC3uKenFGs0/view?usp=sharing" TargetMode="External"/><Relationship Id="rId989" Type="http://schemas.openxmlformats.org/officeDocument/2006/relationships/hyperlink" Target="https://drive.google.com/file/d/1ir96RxesnG51yIR28zgaOGArLuXEQ-Rh/view?usp=sharing" TargetMode="External"/><Relationship Id="rId988" Type="http://schemas.openxmlformats.org/officeDocument/2006/relationships/hyperlink" Target="https://drive.google.com/file/d/166O0i0aMISp__YVjqVei6ZG5nIVBG5Zp/view?usp=sharing" TargetMode="External"/><Relationship Id="rId1570" Type="http://schemas.openxmlformats.org/officeDocument/2006/relationships/hyperlink" Target="https://drive.google.com/file/d/1kJJXkgXyVLUA5DzPkr0lPQqgRNLQdswx/view?usp=sharing" TargetMode="External"/><Relationship Id="rId1571" Type="http://schemas.openxmlformats.org/officeDocument/2006/relationships/hyperlink" Target="https://drive.google.com/file/d/1mQbrShZAhsrLeX2T_kND-rK7Do0saMBO/view?usp=sharing" TargetMode="External"/><Relationship Id="rId983" Type="http://schemas.openxmlformats.org/officeDocument/2006/relationships/hyperlink" Target="https://drive.google.com/file/d/1acLrc9KAMiCJorbIIxm57kI8BC-KVekn/view?usp=sharing" TargetMode="External"/><Relationship Id="rId1572" Type="http://schemas.openxmlformats.org/officeDocument/2006/relationships/hyperlink" Target="https://drive.google.com/file/d/1-wEjHjJ01_FVOMQZnFGn_dpK-5j8XaJt/view?usp=sharing" TargetMode="External"/><Relationship Id="rId982" Type="http://schemas.openxmlformats.org/officeDocument/2006/relationships/hyperlink" Target="https://drive.google.com/file/d/1avlDhS0eE5-A3-TezUHOJePVZgrVjFZ6/view?usp=sharing" TargetMode="External"/><Relationship Id="rId1573" Type="http://schemas.openxmlformats.org/officeDocument/2006/relationships/hyperlink" Target="https://drive.google.com/file/d/1W0gpsphZRsjOBCZ7L0VniHTw2Gb_-noV/view?usp=sharing" TargetMode="External"/><Relationship Id="rId981" Type="http://schemas.openxmlformats.org/officeDocument/2006/relationships/hyperlink" Target="https://drive.google.com/file/d/1Ffw2Arm0Z4FvRdP8I1ml3m81LtToTwrb/view?usp=sharing" TargetMode="External"/><Relationship Id="rId1574" Type="http://schemas.openxmlformats.org/officeDocument/2006/relationships/hyperlink" Target="https://drive.google.com/file/d/1w6SuG7dz9ruNIjrx0ZhtqiLVYjmRr3SV/view?usp=sharing" TargetMode="External"/><Relationship Id="rId980" Type="http://schemas.openxmlformats.org/officeDocument/2006/relationships/hyperlink" Target="https://drive.google.com/file/d/1jAw1X4yieSanukAlyBLtNNb2El2gdosR/view?usp=sharing" TargetMode="External"/><Relationship Id="rId1575" Type="http://schemas.openxmlformats.org/officeDocument/2006/relationships/hyperlink" Target="https://drive.google.com/file/d/1ZlRsGhBwtessu7Rjo8scWEyBzfFXLuvC/view?usp=sharing" TargetMode="External"/><Relationship Id="rId1565" Type="http://schemas.openxmlformats.org/officeDocument/2006/relationships/hyperlink" Target="https://drive.google.com/file/d/1O7x2UcfZjd2Ja_fTwvJ56YZhTPrlRodg/view?usp=sharing" TargetMode="External"/><Relationship Id="rId2896" Type="http://schemas.openxmlformats.org/officeDocument/2006/relationships/hyperlink" Target="https://drive.google.com/file/d/1bR6KvyvNPOVjlgE3CJWdNz7jpQFbBxsw/view?usp=sharing" TargetMode="External"/><Relationship Id="rId1566" Type="http://schemas.openxmlformats.org/officeDocument/2006/relationships/hyperlink" Target="https://drive.google.com/file/d/1AxAQhWAZkgbpW_5uX4Vz7eG_iEYF5DEe/view?usp=sharing" TargetMode="External"/><Relationship Id="rId2897" Type="http://schemas.openxmlformats.org/officeDocument/2006/relationships/hyperlink" Target="https://drive.google.com/file/d/1AIYiXdmxqkSmM3wuotXb6-5hPp4Qf_K7/view?usp=sharing" TargetMode="External"/><Relationship Id="rId1567" Type="http://schemas.openxmlformats.org/officeDocument/2006/relationships/hyperlink" Target="https://drive.google.com/file/d/17_IzvF_f6I_ZJ5MG-_ZI2kWTaLVqRVBF/view?usp=sharing" TargetMode="External"/><Relationship Id="rId2898" Type="http://schemas.openxmlformats.org/officeDocument/2006/relationships/hyperlink" Target="https://drive.google.com/file/d/1EfKlPOd2A5oldwYJOyvp01tIe3rl8hbp/view?usp=sharing" TargetMode="External"/><Relationship Id="rId1568" Type="http://schemas.openxmlformats.org/officeDocument/2006/relationships/hyperlink" Target="https://drive.google.com/file/d/18RVfRtJWsyrGKYvL41vRWPfCoLlFIUWl/view?usp=sharing" TargetMode="External"/><Relationship Id="rId2899" Type="http://schemas.openxmlformats.org/officeDocument/2006/relationships/hyperlink" Target="https://drive.google.com/file/d/1WwxClx7B6gvCfC2vLqC30EeOCGVNMFvc/view?usp=sharing" TargetMode="External"/><Relationship Id="rId1569" Type="http://schemas.openxmlformats.org/officeDocument/2006/relationships/hyperlink" Target="https://drive.google.com/file/d/1wkkCVGK6SYNCXGeDjNIL62fya9guf_HU/view?usp=sharing" TargetMode="External"/><Relationship Id="rId976" Type="http://schemas.openxmlformats.org/officeDocument/2006/relationships/hyperlink" Target="https://drive.google.com/file/d/1Au8K-qyOhvkVhCu2lzHyKvn_sWBTUOnY/view?usp=sharing" TargetMode="External"/><Relationship Id="rId975" Type="http://schemas.openxmlformats.org/officeDocument/2006/relationships/hyperlink" Target="https://drive.google.com/file/d/1up7_Vu7U_aA3LCLUQJlGSf43_DWYQYik/view?usp=sharing" TargetMode="External"/><Relationship Id="rId974" Type="http://schemas.openxmlformats.org/officeDocument/2006/relationships/hyperlink" Target="https://drive.google.com/file/d/19RP7ou6CWAx6k6h4ak2fyEYnm0I4DNHc/view?usp=sharing" TargetMode="External"/><Relationship Id="rId973" Type="http://schemas.openxmlformats.org/officeDocument/2006/relationships/hyperlink" Target="https://drive.google.com/file/d/1EwI5bT2mRsyhMGmURtXqp4aP4oYrw4mh/view?usp=sharing" TargetMode="External"/><Relationship Id="rId979" Type="http://schemas.openxmlformats.org/officeDocument/2006/relationships/hyperlink" Target="https://drive.google.com/file/d/1b8WQSKlSEAI2xG4IjR_c88-lMY9fWaQm/view?usp=sharing" TargetMode="External"/><Relationship Id="rId978" Type="http://schemas.openxmlformats.org/officeDocument/2006/relationships/hyperlink" Target="https://drive.google.com/file/d/1l8154rjQsmI0GKrRDTEILOBhdpywM-uv/view?usp=sharing" TargetMode="External"/><Relationship Id="rId977" Type="http://schemas.openxmlformats.org/officeDocument/2006/relationships/hyperlink" Target="https://drive.google.com/file/d/1_mG_rEI0UchqY2Lw290uwx90s0WZ_6iP/view?usp=sharing" TargetMode="External"/><Relationship Id="rId2890" Type="http://schemas.openxmlformats.org/officeDocument/2006/relationships/hyperlink" Target="https://drive.google.com/file/d/1A01un5XTa2zofwcGZ1GyG132OJKgInA_/view?usp=sharing" TargetMode="External"/><Relationship Id="rId1560" Type="http://schemas.openxmlformats.org/officeDocument/2006/relationships/hyperlink" Target="https://drive.google.com/file/d/1agQWFt43dqhXfxaSEUQryTnJ7AnIQ1BT/view?usp=sharing" TargetMode="External"/><Relationship Id="rId2891" Type="http://schemas.openxmlformats.org/officeDocument/2006/relationships/hyperlink" Target="https://drive.google.com/file/d/1LIZIwANZcAYCSCe083TkWxMQXQJPc5V_/view?usp=sharing" TargetMode="External"/><Relationship Id="rId972" Type="http://schemas.openxmlformats.org/officeDocument/2006/relationships/hyperlink" Target="https://drive.google.com/file/d/1yxkj5mlUvgrd7Gv8iOQ2uZ_rYYFr82qZ/view?usp=sharing" TargetMode="External"/><Relationship Id="rId1561" Type="http://schemas.openxmlformats.org/officeDocument/2006/relationships/hyperlink" Target="https://drive.google.com/file/d/1PEDBol5eoH8EOXG66ug0b-bTC7XMXqqw/view?usp=sharing" TargetMode="External"/><Relationship Id="rId2892" Type="http://schemas.openxmlformats.org/officeDocument/2006/relationships/hyperlink" Target="https://drive.google.com/file/d/1Su1l5tMbOuW0VStBBtOiiMHgmnyTmR9O/view?usp=sharing" TargetMode="External"/><Relationship Id="rId971" Type="http://schemas.openxmlformats.org/officeDocument/2006/relationships/hyperlink" Target="https://drive.google.com/file/d/1nGk0Ie-WjvRfOfMvdUdMlQPzcAm4UcKD/view?usp=sharing" TargetMode="External"/><Relationship Id="rId1562" Type="http://schemas.openxmlformats.org/officeDocument/2006/relationships/hyperlink" Target="https://drive.google.com/file/d/1PHRyPbBA-szj7yqlEojouHLs_3LyFNBL/view?usp=sharing" TargetMode="External"/><Relationship Id="rId2893" Type="http://schemas.openxmlformats.org/officeDocument/2006/relationships/hyperlink" Target="https://drive.google.com/file/d/1nxDyNb71oP9-cST19UscF8XRSXu2GRjK/view?usp=sharing" TargetMode="External"/><Relationship Id="rId970" Type="http://schemas.openxmlformats.org/officeDocument/2006/relationships/hyperlink" Target="https://drive.google.com/file/d/1rSlvBRksxINLcI0hA075UzqKNLG8oIWn/view?usp=sharing" TargetMode="External"/><Relationship Id="rId1563" Type="http://schemas.openxmlformats.org/officeDocument/2006/relationships/hyperlink" Target="https://drive.google.com/file/d/1HXJOu3ry7xQexYRQo-Rs2DBQ-zCUOFZJ/view?usp=sharing" TargetMode="External"/><Relationship Id="rId2894" Type="http://schemas.openxmlformats.org/officeDocument/2006/relationships/hyperlink" Target="https://drive.google.com/file/d/1FMaThdWhUxocrWEZTaXsA1ewTHblz-Ww/view?usp=sharing" TargetMode="External"/><Relationship Id="rId1564" Type="http://schemas.openxmlformats.org/officeDocument/2006/relationships/hyperlink" Target="https://drive.google.com/file/d/1-UOYOU67B0bOevr6I1IzkPn3KIecA4y9/view?usp=sharing" TargetMode="External"/><Relationship Id="rId2895" Type="http://schemas.openxmlformats.org/officeDocument/2006/relationships/hyperlink" Target="https://drive.google.com/file/d/10X9JznjR8mrHDKPz3z45Wr_scxfWgeXv/view?usp=sharing" TargetMode="External"/><Relationship Id="rId1598" Type="http://schemas.openxmlformats.org/officeDocument/2006/relationships/hyperlink" Target="https://drive.google.com/file/d/1C65IXnoRBJj463qHvO9hi1Qqk0l5vUN1/view?usp=sharing" TargetMode="External"/><Relationship Id="rId1599" Type="http://schemas.openxmlformats.org/officeDocument/2006/relationships/hyperlink" Target="https://drive.google.com/file/d/1SdMJy8ERt0njvvjxAP9M7RU0TLdKqvus/view?usp=sharing" TargetMode="External"/><Relationship Id="rId1590" Type="http://schemas.openxmlformats.org/officeDocument/2006/relationships/hyperlink" Target="https://drive.google.com/file/d/1wfk-Z4UAr5TRVopuWTHO2I65Md8FYTa4/view?usp=sharing" TargetMode="External"/><Relationship Id="rId1591" Type="http://schemas.openxmlformats.org/officeDocument/2006/relationships/hyperlink" Target="https://drive.google.com/file/d/1_12vCtF1ZJT6VYcbmzRZJfM04K1f203M/view?usp=sharing" TargetMode="External"/><Relationship Id="rId1592" Type="http://schemas.openxmlformats.org/officeDocument/2006/relationships/hyperlink" Target="https://drive.google.com/file/d/1QPcgc7LocdkErb_2yv_8RARdpTwXsSzZ/view?usp=sharing" TargetMode="External"/><Relationship Id="rId1593" Type="http://schemas.openxmlformats.org/officeDocument/2006/relationships/hyperlink" Target="https://drive.google.com/file/d/1R-Ohes6_u5j8rK1Gi47rs7BGafNSQUKP/view?usp=sharing" TargetMode="External"/><Relationship Id="rId1594" Type="http://schemas.openxmlformats.org/officeDocument/2006/relationships/hyperlink" Target="https://drive.google.com/file/d/1y1bd0H--hBoaj7kqv5Do7IQqATa475kw/view?usp=sharing" TargetMode="External"/><Relationship Id="rId1595" Type="http://schemas.openxmlformats.org/officeDocument/2006/relationships/hyperlink" Target="https://drive.google.com/file/d/1I23hc-vmse_cr3DRmQ3I2WkD-n2tk4bf/view?usp=sharing" TargetMode="External"/><Relationship Id="rId1596" Type="http://schemas.openxmlformats.org/officeDocument/2006/relationships/hyperlink" Target="https://drive.google.com/file/d/1N-qngkfy02pKeek4mPhwV-BH93qAfI5_/view?usp=sharing" TargetMode="External"/><Relationship Id="rId1597" Type="http://schemas.openxmlformats.org/officeDocument/2006/relationships/hyperlink" Target="https://drive.google.com/file/d/1Kqgi9Jy80K_BkLzU1AwK46A3ssUnRHSD/view?usp=sharing" TargetMode="External"/><Relationship Id="rId1587" Type="http://schemas.openxmlformats.org/officeDocument/2006/relationships/hyperlink" Target="https://drive.google.com/file/d/1HTbdpFt68CsY7hZN60FA7euoSpVvf4_t/view?usp=sharing" TargetMode="External"/><Relationship Id="rId1588" Type="http://schemas.openxmlformats.org/officeDocument/2006/relationships/hyperlink" Target="https://drive.google.com/file/d/1CRa_fG9pDe0654jNAeEJuDjEQM_sxI9S/view?usp=sharing" TargetMode="External"/><Relationship Id="rId1589" Type="http://schemas.openxmlformats.org/officeDocument/2006/relationships/hyperlink" Target="https://drive.google.com/file/d/1OJ-qaFAFDFP0e68no08ZSCgrRMOUIvk2/view?usp=sharing" TargetMode="External"/><Relationship Id="rId998" Type="http://schemas.openxmlformats.org/officeDocument/2006/relationships/hyperlink" Target="https://drive.google.com/file/d/1-e_Lj1Glv-ZRNWcie_VcSC7KWwuOU48S/view?usp=sharing" TargetMode="External"/><Relationship Id="rId997" Type="http://schemas.openxmlformats.org/officeDocument/2006/relationships/hyperlink" Target="https://drive.google.com/file/d/1B8p-mNFyRhFFOhgmszz34J-yTqT2KooJ/view?usp=sharing" TargetMode="External"/><Relationship Id="rId996" Type="http://schemas.openxmlformats.org/officeDocument/2006/relationships/hyperlink" Target="https://drive.google.com/file/d/1Bl2XkWSJ1G8IMWD2NlW7P7V2wAgWENtG/view?usp=sharing" TargetMode="External"/><Relationship Id="rId995" Type="http://schemas.openxmlformats.org/officeDocument/2006/relationships/hyperlink" Target="https://drive.google.com/file/d/1WhA4bLYELYlE3Gu8DqYLUez4GHAtQVkR/view?usp=sharing" TargetMode="External"/><Relationship Id="rId999" Type="http://schemas.openxmlformats.org/officeDocument/2006/relationships/hyperlink" Target="https://drive.google.com/file/d/15o6CuYR4DsZ3i3ykGmNjWJpT_mCo962t/view?usp=sharing" TargetMode="External"/><Relationship Id="rId990" Type="http://schemas.openxmlformats.org/officeDocument/2006/relationships/hyperlink" Target="https://drive.google.com/file/d/1lBcU2pRWQjFO2BHVr-Vpn1md4Kybrf4f/view?usp=sharing" TargetMode="External"/><Relationship Id="rId1580" Type="http://schemas.openxmlformats.org/officeDocument/2006/relationships/hyperlink" Target="https://drive.google.com/file/d/1gzX6KcyOYgtgSpbqEUXfNy4J6gNTG2Bs/view?usp=sharing" TargetMode="External"/><Relationship Id="rId1581" Type="http://schemas.openxmlformats.org/officeDocument/2006/relationships/hyperlink" Target="https://drive.google.com/file/d/1BsuZWo6ejujP7nLCDk2vIPCB_RWDUa9K/view?usp=sharing" TargetMode="External"/><Relationship Id="rId1582" Type="http://schemas.openxmlformats.org/officeDocument/2006/relationships/hyperlink" Target="https://drive.google.com/file/d/1nvuxNeOU0WYJxs9G78yM5rtggBZ8yGzT/view?usp=sharing" TargetMode="External"/><Relationship Id="rId994" Type="http://schemas.openxmlformats.org/officeDocument/2006/relationships/hyperlink" Target="https://drive.google.com/file/d/1wghaaSOSsz8s0SFx10W4BgAyAnP7RuHj/view?usp=sharing" TargetMode="External"/><Relationship Id="rId1583" Type="http://schemas.openxmlformats.org/officeDocument/2006/relationships/hyperlink" Target="https://drive.google.com/file/d/1-GaTl54-D9jpBeIcJkmjbjzOeiOx4xZd/view?usp=sharing" TargetMode="External"/><Relationship Id="rId993" Type="http://schemas.openxmlformats.org/officeDocument/2006/relationships/hyperlink" Target="https://drive.google.com/file/d/1YFcpuQUHtoyT9XGEjTZptQrUP9nigVTn/view?usp=sharing" TargetMode="External"/><Relationship Id="rId1584" Type="http://schemas.openxmlformats.org/officeDocument/2006/relationships/hyperlink" Target="https://drive.google.com/file/d/1irkenTdZLlWJhSgHYy95mHKJT2Gm6Hd0/view?usp=sharing" TargetMode="External"/><Relationship Id="rId992" Type="http://schemas.openxmlformats.org/officeDocument/2006/relationships/hyperlink" Target="https://drive.google.com/file/d/1eiRG8AjvxyxEU7xmP8EIAsmLURoNJmlW/view?usp=sharing" TargetMode="External"/><Relationship Id="rId1585" Type="http://schemas.openxmlformats.org/officeDocument/2006/relationships/hyperlink" Target="https://drive.google.com/file/d/1Hs0p7P1Vi2wpNtXdZZ3vuxNEuz5yxejA/view?usp=sharing" TargetMode="External"/><Relationship Id="rId991" Type="http://schemas.openxmlformats.org/officeDocument/2006/relationships/hyperlink" Target="https://drive.google.com/file/d/16xsdcpfOaxYsN5xncjXI3_X4rHgdRJ0K/view?usp=sharing" TargetMode="External"/><Relationship Id="rId1586" Type="http://schemas.openxmlformats.org/officeDocument/2006/relationships/hyperlink" Target="https://drive.google.com/file/d/19Itpf7H_rsbd3ohRuqdYSE7RHRe0UbCr/view?usp=sharing" TargetMode="External"/><Relationship Id="rId1532" Type="http://schemas.openxmlformats.org/officeDocument/2006/relationships/hyperlink" Target="https://drive.google.com/file/d/1JS8AC5mUQcoazaoaF8GCLBBBvhz70CRU/view?usp=sharing" TargetMode="External"/><Relationship Id="rId2863" Type="http://schemas.openxmlformats.org/officeDocument/2006/relationships/hyperlink" Target="https://drive.google.com/file/d/1f-SVOfJv4jgWEan1K23MgikEdmE-AW4U/view?usp=sharing" TargetMode="External"/><Relationship Id="rId1533" Type="http://schemas.openxmlformats.org/officeDocument/2006/relationships/hyperlink" Target="https://drive.google.com/file/d/14jJ75lH4s5zFl_3KFl1ZrLiy3isDKmKI/view?usp=sharing" TargetMode="External"/><Relationship Id="rId2864" Type="http://schemas.openxmlformats.org/officeDocument/2006/relationships/hyperlink" Target="https://drive.google.com/file/d/1kGH6LF5XCzwwKy68p1gR4u2975Lmbu-E/view?usp=sharing" TargetMode="External"/><Relationship Id="rId1534" Type="http://schemas.openxmlformats.org/officeDocument/2006/relationships/hyperlink" Target="https://drive.google.com/file/d/1dE0vYj8wjFzOeDo4cpgYquqtR6kuD_z5/view?usp=sharing" TargetMode="External"/><Relationship Id="rId2865" Type="http://schemas.openxmlformats.org/officeDocument/2006/relationships/hyperlink" Target="https://drive.google.com/file/d/1Mi-ToRV2Pqhnk0Jan0nZSmHb8v4UvOZ0/view?usp=sharing" TargetMode="External"/><Relationship Id="rId1535" Type="http://schemas.openxmlformats.org/officeDocument/2006/relationships/hyperlink" Target="https://drive.google.com/file/d/1TNNBkFyXXCYOMK485zOBWXlbfTb0Hbca/view?usp=sharing" TargetMode="External"/><Relationship Id="rId2866" Type="http://schemas.openxmlformats.org/officeDocument/2006/relationships/hyperlink" Target="https://drive.google.com/file/d/1XXxDJPFbaQHQBwC-zBWVopfZHsQm7Pvr/view?usp=sharing" TargetMode="External"/><Relationship Id="rId1536" Type="http://schemas.openxmlformats.org/officeDocument/2006/relationships/hyperlink" Target="https://drive.google.com/file/d/1zSVGal50xhQ9KzjAlAGodlCga5GopiOZ/view?usp=sharing" TargetMode="External"/><Relationship Id="rId2867" Type="http://schemas.openxmlformats.org/officeDocument/2006/relationships/hyperlink" Target="https://drive.google.com/file/d/1b1qm7JombQ0rBIB08niGSBsIGx7kXqrT/view?usp=sharing" TargetMode="External"/><Relationship Id="rId1537" Type="http://schemas.openxmlformats.org/officeDocument/2006/relationships/hyperlink" Target="https://drive.google.com/file/d/1zXTKlXf1kN8v6SwE7ylmy8utQE259Ivy/view?usp=sharing" TargetMode="External"/><Relationship Id="rId2868" Type="http://schemas.openxmlformats.org/officeDocument/2006/relationships/hyperlink" Target="https://drive.google.com/file/d/1Av007B-TNAwF2WAY2T4SAIG9VORNhp9h/view?usp=sharing" TargetMode="External"/><Relationship Id="rId1538" Type="http://schemas.openxmlformats.org/officeDocument/2006/relationships/hyperlink" Target="https://drive.google.com/file/d/17K6e1GOM7E871I8P6F-baP6Nn_Eu3m-A/view?usp=sharing" TargetMode="External"/><Relationship Id="rId2869" Type="http://schemas.openxmlformats.org/officeDocument/2006/relationships/hyperlink" Target="https://drive.google.com/file/d/1MHudfB8nj6Cuau_tSvOxc8iA_Ei9BboV/view?usp=sharing" TargetMode="External"/><Relationship Id="rId1539" Type="http://schemas.openxmlformats.org/officeDocument/2006/relationships/hyperlink" Target="https://drive.google.com/file/d/1qWqSoQcKgCbWU1Mq8MIFCJfaArpu0uek/view?usp=sharing" TargetMode="External"/><Relationship Id="rId949" Type="http://schemas.openxmlformats.org/officeDocument/2006/relationships/hyperlink" Target="https://drive.google.com/file/d/1QUJ3xKtY7R9TG7uTA-ASiR14NA9p2VIy/view?usp=sharing" TargetMode="External"/><Relationship Id="rId948" Type="http://schemas.openxmlformats.org/officeDocument/2006/relationships/hyperlink" Target="https://drive.google.com/file/d/1Cc2Fgn_dBMRRj9pKgIgEqAOuJMi2MVW6/view?usp=sharing" TargetMode="External"/><Relationship Id="rId943" Type="http://schemas.openxmlformats.org/officeDocument/2006/relationships/hyperlink" Target="https://drive.google.com/file/d/19tTj0V1IrRHWjEgqMuyzy7ZvQoNaSZJ3/view?usp=sharing" TargetMode="External"/><Relationship Id="rId942" Type="http://schemas.openxmlformats.org/officeDocument/2006/relationships/hyperlink" Target="https://drive.google.com/file/d/1NYRXGfIiZoDeZ903TSf4nEL3QB1SR5o6/view?usp=sharing" TargetMode="External"/><Relationship Id="rId941" Type="http://schemas.openxmlformats.org/officeDocument/2006/relationships/hyperlink" Target="https://drive.google.com/file/d/1pFiWQsXQIUGrchhWmGTuMYcK2sNeJ1tg/view?usp=sharing" TargetMode="External"/><Relationship Id="rId940" Type="http://schemas.openxmlformats.org/officeDocument/2006/relationships/hyperlink" Target="https://drive.google.com/file/d/1f2Dc6xfw9mZDAG29WjilC-p3eAMp_Gar/view?usp=sharing" TargetMode="External"/><Relationship Id="rId947" Type="http://schemas.openxmlformats.org/officeDocument/2006/relationships/hyperlink" Target="https://drive.google.com/file/d/149dkiPagEM3JilT7w6zAujxuOpP6evR3/view?usp=sharing" TargetMode="External"/><Relationship Id="rId946" Type="http://schemas.openxmlformats.org/officeDocument/2006/relationships/hyperlink" Target="https://drive.google.com/file/d/1B3gbYXBd01ZC9EzJyU9Y_Ia2Lh_OjxsK/view?usp=sharing" TargetMode="External"/><Relationship Id="rId945" Type="http://schemas.openxmlformats.org/officeDocument/2006/relationships/hyperlink" Target="https://drive.google.com/file/d/1GS4wwvfRSgRTLCEoO2Y4-1tiNvnMVZuW/view?usp=sharing" TargetMode="External"/><Relationship Id="rId944" Type="http://schemas.openxmlformats.org/officeDocument/2006/relationships/hyperlink" Target="https://drive.google.com/file/d/1vX8RoirwtZZ1pm3xxlBzHggNJOWk5QVj/view?usp=sharing" TargetMode="External"/><Relationship Id="rId2860" Type="http://schemas.openxmlformats.org/officeDocument/2006/relationships/hyperlink" Target="https://drive.google.com/file/d/1WiAT71vaUv0Nacu8vEJnERxHuUYPbfF5/view?usp=sharing" TargetMode="External"/><Relationship Id="rId1530" Type="http://schemas.openxmlformats.org/officeDocument/2006/relationships/hyperlink" Target="https://drive.google.com/file/d/1axgN3vxTd3PUbCQvqWJW-EAc8BWei5rH/view?usp=sharing" TargetMode="External"/><Relationship Id="rId2861" Type="http://schemas.openxmlformats.org/officeDocument/2006/relationships/hyperlink" Target="https://drive.google.com/file/d/1CNeZC7JmwpbuNAs-urlhgSoKdq8Ag_4v/view?usp=sharing" TargetMode="External"/><Relationship Id="rId1531" Type="http://schemas.openxmlformats.org/officeDocument/2006/relationships/hyperlink" Target="https://drive.google.com/file/d/1j_FpwPCPGeOyyZke_8_F4lRmWvNNhdL9/view?usp=sharing" TargetMode="External"/><Relationship Id="rId2862" Type="http://schemas.openxmlformats.org/officeDocument/2006/relationships/hyperlink" Target="https://drive.google.com/file/d/1vcT-WTvSslfaqMvWyjTetV-jYSmOx_q8/view?usp=sharing" TargetMode="External"/><Relationship Id="rId1521" Type="http://schemas.openxmlformats.org/officeDocument/2006/relationships/hyperlink" Target="https://drive.google.com/file/d/18k2cf0N90n1EZetDc0q0SbhKj4pf5Hn5/view?usp=sharing" TargetMode="External"/><Relationship Id="rId2852" Type="http://schemas.openxmlformats.org/officeDocument/2006/relationships/hyperlink" Target="https://drive.google.com/file/d/1xBd5xsy8Y3C-stzsK5sY2oP339kLFHd5/view?usp=sharing" TargetMode="External"/><Relationship Id="rId1522" Type="http://schemas.openxmlformats.org/officeDocument/2006/relationships/hyperlink" Target="https://drive.google.com/file/d/1DISW-gwLoN8JPbisabpYaoRFdA9xQgoC/view?usp=sharing" TargetMode="External"/><Relationship Id="rId2853" Type="http://schemas.openxmlformats.org/officeDocument/2006/relationships/hyperlink" Target="https://drive.google.com/file/d/1DxxxoABC_mU1UwLhAnv63X__jLiKS84l/view?usp=sharing" TargetMode="External"/><Relationship Id="rId1523" Type="http://schemas.openxmlformats.org/officeDocument/2006/relationships/hyperlink" Target="https://drive.google.com/file/d/1ZvPegkEfQTg1AxsdHIdcFivZjuMs1fLO/view?usp=sharing" TargetMode="External"/><Relationship Id="rId2854" Type="http://schemas.openxmlformats.org/officeDocument/2006/relationships/hyperlink" Target="https://drive.google.com/file/d/1CdmGKO1ye40Nup6ReeVPEx2WojBX8s6P/view?usp=sharing" TargetMode="External"/><Relationship Id="rId1524" Type="http://schemas.openxmlformats.org/officeDocument/2006/relationships/hyperlink" Target="https://drive.google.com/file/d/18kn0wnR2351QetUQuh2SvoW8m6RXcGFI/view?usp=sharing" TargetMode="External"/><Relationship Id="rId2855" Type="http://schemas.openxmlformats.org/officeDocument/2006/relationships/hyperlink" Target="https://drive.google.com/file/d/1-RXMPaQd1iNS-sR8bzxWlEShlkGSjIRT/view?usp=sharing" TargetMode="External"/><Relationship Id="rId1525" Type="http://schemas.openxmlformats.org/officeDocument/2006/relationships/hyperlink" Target="https://drive.google.com/file/d/1qwO0qvMOSNZ4H2RBnLt3rAfvOdz6Zrp5/view?usp=sharing" TargetMode="External"/><Relationship Id="rId2856" Type="http://schemas.openxmlformats.org/officeDocument/2006/relationships/hyperlink" Target="https://drive.google.com/file/d/1a2QZU9yH6EsAvsDJW_EQpIPfnmn8iu3a/view?usp=sharing" TargetMode="External"/><Relationship Id="rId1526" Type="http://schemas.openxmlformats.org/officeDocument/2006/relationships/hyperlink" Target="https://drive.google.com/file/d/1Fe-I2C-rHgs9iugjJIrqI-4jHYDc3lUA/view?usp=sharing" TargetMode="External"/><Relationship Id="rId2857" Type="http://schemas.openxmlformats.org/officeDocument/2006/relationships/hyperlink" Target="https://drive.google.com/file/d/1WdNwhocWh3a4eUYQf8IiyH1y86QY-zX9/view?usp=sharing" TargetMode="External"/><Relationship Id="rId1527" Type="http://schemas.openxmlformats.org/officeDocument/2006/relationships/hyperlink" Target="https://drive.google.com/file/d/1SNCv4pqCvN3jdA4Eh3jOxkk2FhPGwf05/view?usp=sharing" TargetMode="External"/><Relationship Id="rId2858" Type="http://schemas.openxmlformats.org/officeDocument/2006/relationships/hyperlink" Target="https://drive.google.com/file/d/1Z---TpMylkENoArJIidCS4qXRTBxMqiR/view?usp=sharing" TargetMode="External"/><Relationship Id="rId1528" Type="http://schemas.openxmlformats.org/officeDocument/2006/relationships/hyperlink" Target="https://drive.google.com/file/d/1EHRiDKjgzOXQJ6woAf1y2x3niYL_hqS2/view?usp=sharing" TargetMode="External"/><Relationship Id="rId2859" Type="http://schemas.openxmlformats.org/officeDocument/2006/relationships/hyperlink" Target="https://drive.google.com/file/d/1g8i9lgIufhfNoGxBt7UiAQqZuTldJ3i6/view?usp=sharing" TargetMode="External"/><Relationship Id="rId1529" Type="http://schemas.openxmlformats.org/officeDocument/2006/relationships/hyperlink" Target="https://drive.google.com/file/d/1jxtP3TqDBVit8dn7xcVBIC-s8Zjg1rWm/view?usp=sharing" TargetMode="External"/><Relationship Id="rId939" Type="http://schemas.openxmlformats.org/officeDocument/2006/relationships/hyperlink" Target="https://drive.google.com/file/d/1GmuJsp2SAZaPHmi37C4dWXT3y7F8SRX1/view?usp=sharing" TargetMode="External"/><Relationship Id="rId938" Type="http://schemas.openxmlformats.org/officeDocument/2006/relationships/hyperlink" Target="https://drive.google.com/file/d/1ZBNzblHDnBWN5XYvx5FqAXdjnIc3103g/view?usp=sharing" TargetMode="External"/><Relationship Id="rId937" Type="http://schemas.openxmlformats.org/officeDocument/2006/relationships/hyperlink" Target="https://drive.google.com/file/d/19iHycP123a3wI-ST8zAYHSXKZ12tZziD/view?usp=sharing" TargetMode="External"/><Relationship Id="rId932" Type="http://schemas.openxmlformats.org/officeDocument/2006/relationships/hyperlink" Target="https://drive.google.com/file/d/1U9U1-80FFhLErt_YXVGYpe_adrcaIjxp/view?usp=sharing" TargetMode="External"/><Relationship Id="rId931" Type="http://schemas.openxmlformats.org/officeDocument/2006/relationships/hyperlink" Target="https://drive.google.com/file/d/1KZuFGi6iYMTVoh8luiuR53_xLxdKIdCe/view?usp=sharing" TargetMode="External"/><Relationship Id="rId930" Type="http://schemas.openxmlformats.org/officeDocument/2006/relationships/hyperlink" Target="https://drive.google.com/file/d/1veLRB2DLpQA_GBTvhQFwiBNFWueDV0CP/view?usp=sharing" TargetMode="External"/><Relationship Id="rId936" Type="http://schemas.openxmlformats.org/officeDocument/2006/relationships/hyperlink" Target="https://drive.google.com/file/d/1q-v-pRfRDC-X7233RyrKziCYjlmQL2cz/view?usp=sharing" TargetMode="External"/><Relationship Id="rId935" Type="http://schemas.openxmlformats.org/officeDocument/2006/relationships/hyperlink" Target="https://drive.google.com/file/d/13h7t9Kyd1r-3xFclcgrRzIpnpKMxTOOo/view?usp=sharing" TargetMode="External"/><Relationship Id="rId934" Type="http://schemas.openxmlformats.org/officeDocument/2006/relationships/hyperlink" Target="https://drive.google.com/file/d/1Vt2MfAHHv8YZcoXLwr3VjL7vEKv_4gGy/view?usp=sharing" TargetMode="External"/><Relationship Id="rId933" Type="http://schemas.openxmlformats.org/officeDocument/2006/relationships/hyperlink" Target="https://drive.google.com/file/d/18gLV1cc25JMfR7S2haiY3vXWy7v6bSDJ/view?usp=sharing" TargetMode="External"/><Relationship Id="rId2850" Type="http://schemas.openxmlformats.org/officeDocument/2006/relationships/hyperlink" Target="https://drive.google.com/file/d/18m145hXiEmNbZzqUAWwl4WXcq9P0Pcoh/view?usp=sharing" TargetMode="External"/><Relationship Id="rId1520" Type="http://schemas.openxmlformats.org/officeDocument/2006/relationships/hyperlink" Target="https://drive.google.com/file/d/1iiUJgWmXn4uX_LQ-Q12ipK8j6ivU-0OG/view?usp=sharing" TargetMode="External"/><Relationship Id="rId2851" Type="http://schemas.openxmlformats.org/officeDocument/2006/relationships/hyperlink" Target="https://drive.google.com/file/d/13cIhBSFLExAUx_5J2Hbtd64NtCYO44M9/view?usp=sharing" TargetMode="External"/><Relationship Id="rId1554" Type="http://schemas.openxmlformats.org/officeDocument/2006/relationships/hyperlink" Target="https://drive.google.com/file/d/1fGOxMquHNi2_xO-03rZEw-Win1wQvByy/view?usp=sharing" TargetMode="External"/><Relationship Id="rId2885" Type="http://schemas.openxmlformats.org/officeDocument/2006/relationships/hyperlink" Target="https://drive.google.com/file/d/1Nd3sG8OZBsGiOXCudDlS_Do3tXPz0d2R/view?usp=sharing" TargetMode="External"/><Relationship Id="rId1555" Type="http://schemas.openxmlformats.org/officeDocument/2006/relationships/hyperlink" Target="https://drive.google.com/file/d/1CgGSYV2WJb5aAFP3rVxxwl-05aDfF2HX/view?usp=sharing" TargetMode="External"/><Relationship Id="rId2886" Type="http://schemas.openxmlformats.org/officeDocument/2006/relationships/hyperlink" Target="https://drive.google.com/file/d/1HMXWshrOUOc5Y-JdAWxikih0Y_nYMTPH/view?usp=sharing" TargetMode="External"/><Relationship Id="rId1556" Type="http://schemas.openxmlformats.org/officeDocument/2006/relationships/hyperlink" Target="https://drive.google.com/file/d/1W6lXHXaBrFkXxqvVEyTcWd3_y9AYv-j9/view?usp=sharing" TargetMode="External"/><Relationship Id="rId2887" Type="http://schemas.openxmlformats.org/officeDocument/2006/relationships/hyperlink" Target="https://drive.google.com/file/d/1xVdHktR4IxutaNfMI9khP9uqttHgiugf/view?usp=sharing" TargetMode="External"/><Relationship Id="rId1557" Type="http://schemas.openxmlformats.org/officeDocument/2006/relationships/hyperlink" Target="https://drive.google.com/file/d/1_7eH6jtF8odI7D1mBp-aliFZ49AxNABU/view?usp=sharing" TargetMode="External"/><Relationship Id="rId2888" Type="http://schemas.openxmlformats.org/officeDocument/2006/relationships/hyperlink" Target="https://drive.google.com/file/d/1BpoIqobAxRAS7J1jvfuOp2Co9Is3TaHt/view?usp=sharing" TargetMode="External"/><Relationship Id="rId1558" Type="http://schemas.openxmlformats.org/officeDocument/2006/relationships/hyperlink" Target="https://drive.google.com/file/d/1tV4_bA8SbYbyIq-h1YeoawUq52Qxi_Cw/view?usp=sharing" TargetMode="External"/><Relationship Id="rId2889" Type="http://schemas.openxmlformats.org/officeDocument/2006/relationships/hyperlink" Target="https://drive.google.com/file/d/10ew-Br87mHHtqw2jwcqm0gG_nRXcrgcl/view?usp=sharing" TargetMode="External"/><Relationship Id="rId1559" Type="http://schemas.openxmlformats.org/officeDocument/2006/relationships/hyperlink" Target="https://drive.google.com/file/d/1D3V_jlUv0Zudir9T-KpqwXs8JBT6TqJ0/view?usp=sharing" TargetMode="External"/><Relationship Id="rId965" Type="http://schemas.openxmlformats.org/officeDocument/2006/relationships/hyperlink" Target="https://drive.google.com/file/d/1UenigV8C1EVGHzHLw8a9vDs9JsyZR_Mx/view?usp=sharing" TargetMode="External"/><Relationship Id="rId964" Type="http://schemas.openxmlformats.org/officeDocument/2006/relationships/hyperlink" Target="https://drive.google.com/file/d/159-cyn0NtPeWof0sP1OxVRX57OBP7N-q/view?usp=sharing" TargetMode="External"/><Relationship Id="rId963" Type="http://schemas.openxmlformats.org/officeDocument/2006/relationships/hyperlink" Target="https://drive.google.com/file/d/1N6sugNiusPKxbzuGSjtQ7uO9WZ7P7hHF/view?usp=sharing" TargetMode="External"/><Relationship Id="rId962" Type="http://schemas.openxmlformats.org/officeDocument/2006/relationships/hyperlink" Target="https://drive.google.com/file/d/18QHUU6j8INvcTOcZikfX-hlZQu23Bw62/view?usp=sharing" TargetMode="External"/><Relationship Id="rId969" Type="http://schemas.openxmlformats.org/officeDocument/2006/relationships/hyperlink" Target="https://drive.google.com/file/d/1PTcSPnHNAmYRKoXB8E_4l68zyyY_s4Xq/view?usp=sharing" TargetMode="External"/><Relationship Id="rId968" Type="http://schemas.openxmlformats.org/officeDocument/2006/relationships/hyperlink" Target="https://drive.google.com/file/d/1Tv2W3AhJNy4JO8R5kDC-rLdxzF8Z0eX_/view?usp=sharing" TargetMode="External"/><Relationship Id="rId967" Type="http://schemas.openxmlformats.org/officeDocument/2006/relationships/hyperlink" Target="https://drive.google.com/file/d/1zitbE8IPdQhqPKFjoi57pGh0WHJHLvE1/view?usp=sharing" TargetMode="External"/><Relationship Id="rId966" Type="http://schemas.openxmlformats.org/officeDocument/2006/relationships/hyperlink" Target="https://drive.google.com/file/d/1-IXdKblcdCMG9MkmXzmd2n05JGMlMi4v/view?usp=sharing" TargetMode="External"/><Relationship Id="rId2880" Type="http://schemas.openxmlformats.org/officeDocument/2006/relationships/hyperlink" Target="https://drive.google.com/file/d/1g5QAO6PMBqx_deff850CjcqK7lEOOYVT/view?usp=sharing" TargetMode="External"/><Relationship Id="rId961" Type="http://schemas.openxmlformats.org/officeDocument/2006/relationships/hyperlink" Target="https://drive.google.com/file/d/1_KtkeygvfJr1sBcWUjfzG6jUMVHUgpAb/view?usp=sharing" TargetMode="External"/><Relationship Id="rId1550" Type="http://schemas.openxmlformats.org/officeDocument/2006/relationships/hyperlink" Target="https://drive.google.com/file/d/1bTopdnhnSJSi4_cza47QFZRqGy8agumY/view?usp=sharing" TargetMode="External"/><Relationship Id="rId2881" Type="http://schemas.openxmlformats.org/officeDocument/2006/relationships/hyperlink" Target="https://drive.google.com/file/d/1BKQ0gijK6tifeiQqj3Ce8Vpso2ga7voP/view?usp=sharing" TargetMode="External"/><Relationship Id="rId960" Type="http://schemas.openxmlformats.org/officeDocument/2006/relationships/hyperlink" Target="https://drive.google.com/file/d/1opkqjTEvLjWOU_grqbD8WiCHjuJZs0Hy/view?usp=sharing" TargetMode="External"/><Relationship Id="rId1551" Type="http://schemas.openxmlformats.org/officeDocument/2006/relationships/hyperlink" Target="https://drive.google.com/file/d/1TS9ErRVusrbqaCeGzGqWcQt1FPHXJPd0/view?usp=sharing" TargetMode="External"/><Relationship Id="rId2882" Type="http://schemas.openxmlformats.org/officeDocument/2006/relationships/hyperlink" Target="https://drive.google.com/file/d/1mrJGNM7yIYodgi33jQ992nuqCXzgTTfB/view?usp=sharing" TargetMode="External"/><Relationship Id="rId1552" Type="http://schemas.openxmlformats.org/officeDocument/2006/relationships/hyperlink" Target="https://drive.google.com/file/d/1-KwRcr-4j4iaw6VPZqnwvbsEcjVyuo_5/view?usp=sharing" TargetMode="External"/><Relationship Id="rId2883" Type="http://schemas.openxmlformats.org/officeDocument/2006/relationships/hyperlink" Target="https://drive.google.com/file/d/17I6Kcgx82Z9qTrg6oFlxD2YBFkR6xSLK/view?usp=sharing" TargetMode="External"/><Relationship Id="rId1553" Type="http://schemas.openxmlformats.org/officeDocument/2006/relationships/hyperlink" Target="https://drive.google.com/file/d/15tOq0l0nz4tmzQN7KhMZs7snoEp37KSo/view?usp=sharing" TargetMode="External"/><Relationship Id="rId2884" Type="http://schemas.openxmlformats.org/officeDocument/2006/relationships/hyperlink" Target="https://drive.google.com/file/d/1KMXEShJCmpKqcMhYORCH_z1TT_Y1b_wt/view?usp=sharing" TargetMode="External"/><Relationship Id="rId1543" Type="http://schemas.openxmlformats.org/officeDocument/2006/relationships/hyperlink" Target="https://drive.google.com/file/d/10EK9eu4mkrUb_sOSeykJeAEB4PN0JirS/view?usp=sharing" TargetMode="External"/><Relationship Id="rId2874" Type="http://schemas.openxmlformats.org/officeDocument/2006/relationships/hyperlink" Target="https://drive.google.com/file/d/1s-0pMZ1hu0mtxxPAFFf9dldr2uz0zP7T/view?usp=sharing" TargetMode="External"/><Relationship Id="rId1544" Type="http://schemas.openxmlformats.org/officeDocument/2006/relationships/hyperlink" Target="https://drive.google.com/file/d/1gxoNq_idbHbXqhWINmktCo3HxcDilEwW/view?usp=sharing" TargetMode="External"/><Relationship Id="rId2875" Type="http://schemas.openxmlformats.org/officeDocument/2006/relationships/hyperlink" Target="https://drive.google.com/file/d/1Tgc-tTmIKa5qFTo9hNnrAhEFPKvzl2Xo/view?usp=sharing" TargetMode="External"/><Relationship Id="rId1545" Type="http://schemas.openxmlformats.org/officeDocument/2006/relationships/hyperlink" Target="https://drive.google.com/file/d/1MwUk_P4O3jYXmSgvxFdmngWdKkZyU5uz/view?usp=sharing" TargetMode="External"/><Relationship Id="rId2876" Type="http://schemas.openxmlformats.org/officeDocument/2006/relationships/hyperlink" Target="https://drive.google.com/file/d/1fAIcRkx8Ruqkx1G0SJv7gqis6VqGAAGr/view?usp=sharing" TargetMode="External"/><Relationship Id="rId1546" Type="http://schemas.openxmlformats.org/officeDocument/2006/relationships/hyperlink" Target="https://drive.google.com/file/d/1DvhFUiC-TuVFIu9Yb4Q7j2PE6KO7XEX8/view?usp=sharing" TargetMode="External"/><Relationship Id="rId2877" Type="http://schemas.openxmlformats.org/officeDocument/2006/relationships/hyperlink" Target="https://drive.google.com/file/d/1fmDe7NRuDP4Dvf3woETiT678VnGOjxDo/view?usp=sharing" TargetMode="External"/><Relationship Id="rId1547" Type="http://schemas.openxmlformats.org/officeDocument/2006/relationships/hyperlink" Target="https://drive.google.com/file/d/10bXUBpvdLygOsumiP1cGScj4a1PlKeFy/view?usp=sharing" TargetMode="External"/><Relationship Id="rId2878" Type="http://schemas.openxmlformats.org/officeDocument/2006/relationships/hyperlink" Target="https://drive.google.com/file/d/1z-Lvw9_3Y5w775YN0znmVWtULm_OLNsO/view?usp=sharing" TargetMode="External"/><Relationship Id="rId1548" Type="http://schemas.openxmlformats.org/officeDocument/2006/relationships/hyperlink" Target="https://drive.google.com/file/d/1GYh5kXOx2qqJ3hL05gfF8oUOZaRyPZXU/view?usp=sharing" TargetMode="External"/><Relationship Id="rId2879" Type="http://schemas.openxmlformats.org/officeDocument/2006/relationships/hyperlink" Target="https://drive.google.com/file/d/1iuW8dcEuuFMfzLeyyJhE1AWn-483LYc1/view?usp=sharing" TargetMode="External"/><Relationship Id="rId1549" Type="http://schemas.openxmlformats.org/officeDocument/2006/relationships/hyperlink" Target="https://drive.google.com/file/d/1Am2aVEl7wyBu84AZdntKpjtKmhn8B98R/view?usp=sharing" TargetMode="External"/><Relationship Id="rId959" Type="http://schemas.openxmlformats.org/officeDocument/2006/relationships/hyperlink" Target="https://drive.google.com/file/d/1HN4tYdk8IsYAC2MunDnXdHYhRkmdFdbT/view?usp=sharing" TargetMode="External"/><Relationship Id="rId954" Type="http://schemas.openxmlformats.org/officeDocument/2006/relationships/hyperlink" Target="https://drive.google.com/file/d/1NpANJ8AyHyjRMcl-rd_A5nNP0cccge2M/view?usp=sharing" TargetMode="External"/><Relationship Id="rId953" Type="http://schemas.openxmlformats.org/officeDocument/2006/relationships/hyperlink" Target="https://drive.google.com/file/d/1Mc1T-v1NtOgUtDMn61dcsZAJ_lJydM8G/view?usp=sharing" TargetMode="External"/><Relationship Id="rId952" Type="http://schemas.openxmlformats.org/officeDocument/2006/relationships/hyperlink" Target="https://drive.google.com/file/d/1WMVJiNkJessFWD3XNRBjtuMAXg1DgjI1/view?usp=sharing" TargetMode="External"/><Relationship Id="rId951" Type="http://schemas.openxmlformats.org/officeDocument/2006/relationships/hyperlink" Target="https://drive.google.com/file/d/1KwJuT6qM2tJ4Q2JyJ_2jx01e-Asq4jvB/view?usp=sharing" TargetMode="External"/><Relationship Id="rId958" Type="http://schemas.openxmlformats.org/officeDocument/2006/relationships/hyperlink" Target="https://drive.google.com/file/d/1ZuUXrHKGMXHKptIx1jSzZXzxpqxJnKpW/view?usp=sharing" TargetMode="External"/><Relationship Id="rId957" Type="http://schemas.openxmlformats.org/officeDocument/2006/relationships/hyperlink" Target="https://drive.google.com/file/d/1aGudd9rH1FeAbZy5JEoJcVuiCcNY9M0G/view?usp=sharing" TargetMode="External"/><Relationship Id="rId956" Type="http://schemas.openxmlformats.org/officeDocument/2006/relationships/hyperlink" Target="https://drive.google.com/file/d/1-k0pgroiiuUGJi0wY4eEtA8f39UN8Xpp/view?usp=sharing" TargetMode="External"/><Relationship Id="rId955" Type="http://schemas.openxmlformats.org/officeDocument/2006/relationships/hyperlink" Target="https://drive.google.com/file/d/1PkN0WwDFgFUnEZ3yvkuNjvHzyalNj5Rx/view?usp=sharing" TargetMode="External"/><Relationship Id="rId950" Type="http://schemas.openxmlformats.org/officeDocument/2006/relationships/hyperlink" Target="https://drive.google.com/file/d/1Z7QIfuNGjutAnpvrau6KvvRrwh0MN_xN/view?usp=sharing" TargetMode="External"/><Relationship Id="rId2870" Type="http://schemas.openxmlformats.org/officeDocument/2006/relationships/hyperlink" Target="https://drive.google.com/file/d/147Gl-xy6z7zS4ZvZW-HJBBv_uevlXnnv/view?usp=sharing" TargetMode="External"/><Relationship Id="rId1540" Type="http://schemas.openxmlformats.org/officeDocument/2006/relationships/hyperlink" Target="https://drive.google.com/file/d/1wUNjNkYDi3IdP9CcgNW0skKLRsWEYHpw/view?usp=sharing" TargetMode="External"/><Relationship Id="rId2871" Type="http://schemas.openxmlformats.org/officeDocument/2006/relationships/hyperlink" Target="https://drive.google.com/file/d/1iTurkClXCJFQowLmVCPCDqdoF9ONmM6j/view?usp=sharing" TargetMode="External"/><Relationship Id="rId1541" Type="http://schemas.openxmlformats.org/officeDocument/2006/relationships/hyperlink" Target="https://drive.google.com/file/d/1lFfpXe8ItEngkf8gKuU5h19MaldlqbQF/view?usp=sharing" TargetMode="External"/><Relationship Id="rId2872" Type="http://schemas.openxmlformats.org/officeDocument/2006/relationships/hyperlink" Target="https://drive.google.com/file/d/1UC2Um-tinwoDSQmIc_s6MYoeewxgF2nf/view?usp=sharing" TargetMode="External"/><Relationship Id="rId1542" Type="http://schemas.openxmlformats.org/officeDocument/2006/relationships/hyperlink" Target="https://drive.google.com/file/d/11xTJLkuQAyPm8_VxnX3aqOc8Wg1AEQ_L/view?usp=sharing" TargetMode="External"/><Relationship Id="rId2873" Type="http://schemas.openxmlformats.org/officeDocument/2006/relationships/hyperlink" Target="https://drive.google.com/file/d/1RHOwqjZmYolevBcW8I9EWB_1JvAhqJfu/view?usp=sharing" TargetMode="External"/><Relationship Id="rId2027" Type="http://schemas.openxmlformats.org/officeDocument/2006/relationships/hyperlink" Target="https://drive.google.com/file/d/1zUGfNCZbRRKsO8tY2O0GQQ-Odz43uJru/view?usp=sharing" TargetMode="External"/><Relationship Id="rId2028" Type="http://schemas.openxmlformats.org/officeDocument/2006/relationships/hyperlink" Target="https://drive.google.com/file/d/1wJdsx-P5jKZtXNNRz7qQCgYBmCwJ4HM8/view?usp=sharing" TargetMode="External"/><Relationship Id="rId2029" Type="http://schemas.openxmlformats.org/officeDocument/2006/relationships/hyperlink" Target="https://drive.google.com/file/d/1BlsYrYDBAi3QWZSFq9562pXTvPFwnd3T/view?usp=sharing" TargetMode="External"/><Relationship Id="rId107" Type="http://schemas.openxmlformats.org/officeDocument/2006/relationships/hyperlink" Target="https://drive.google.com/file/d/1l_K4DlrjTFZe_13CIrcBR2XVJABYRGaa/view?usp=sharing" TargetMode="External"/><Relationship Id="rId106" Type="http://schemas.openxmlformats.org/officeDocument/2006/relationships/hyperlink" Target="https://drive.google.com/file/d/1O9J7ikyPnpQDnB6qXO55BdHXClItBbVq/view?usp=sharing" TargetMode="External"/><Relationship Id="rId105" Type="http://schemas.openxmlformats.org/officeDocument/2006/relationships/hyperlink" Target="https://drive.google.com/file/d/1baVQGgBAikbc3itQ-UY2M-wLi0uKd5NA/view?usp=sharing" TargetMode="External"/><Relationship Id="rId104" Type="http://schemas.openxmlformats.org/officeDocument/2006/relationships/hyperlink" Target="https://drive.google.com/file/d/16Njz3K44hWODYkindZQeHUGCCJFzZdpy/view?usp=sharing" TargetMode="External"/><Relationship Id="rId109" Type="http://schemas.openxmlformats.org/officeDocument/2006/relationships/hyperlink" Target="https://drive.google.com/file/d/1mJ4-iGcqDSUMsE5hA2499qmjOogIyyUX/view?usp=sharing" TargetMode="External"/><Relationship Id="rId108" Type="http://schemas.openxmlformats.org/officeDocument/2006/relationships/hyperlink" Target="https://drive.google.com/file/d/140xe9b4qqIfCpZR-K54CshUc6eYNmpBH/view?usp=sharing" TargetMode="External"/><Relationship Id="rId2020" Type="http://schemas.openxmlformats.org/officeDocument/2006/relationships/hyperlink" Target="https://drive.google.com/file/d/1p5WtZjG_IP-94cAl57RW3tHmHrSO41LL/view?usp=sharing" TargetMode="External"/><Relationship Id="rId2021" Type="http://schemas.openxmlformats.org/officeDocument/2006/relationships/hyperlink" Target="https://drive.google.com/file/d/1fK4I6EW_9Tx7BTXWzvHiu6FTUcTAVSxL/view?usp=sharing" TargetMode="External"/><Relationship Id="rId2022" Type="http://schemas.openxmlformats.org/officeDocument/2006/relationships/hyperlink" Target="https://drive.google.com/file/d/1m5o0juiGutV3m6YK5xWpBKL_rDNmZGqm/view?usp=sharing" TargetMode="External"/><Relationship Id="rId103" Type="http://schemas.openxmlformats.org/officeDocument/2006/relationships/hyperlink" Target="https://drive.google.com/file/d/1etq7juQP-VGwCAlfvDvB63f2B12ZQcQL/view?usp=sharing" TargetMode="External"/><Relationship Id="rId2023" Type="http://schemas.openxmlformats.org/officeDocument/2006/relationships/hyperlink" Target="https://drive.google.com/file/d/1Bw7IBSPOzTVYlmAFhROICXFW2mabEN8G/view?usp=sharing" TargetMode="External"/><Relationship Id="rId102" Type="http://schemas.openxmlformats.org/officeDocument/2006/relationships/hyperlink" Target="https://drive.google.com/file/d/1yC9c68_m1q7bsd-CSD2Tuw9CdUUhw-wd/view?usp=sharing" TargetMode="External"/><Relationship Id="rId2024" Type="http://schemas.openxmlformats.org/officeDocument/2006/relationships/hyperlink" Target="https://drive.google.com/file/d/1ikF_qyoDmS80x7t2LvrZH1MzHqxleP0T/view?usp=sharing" TargetMode="External"/><Relationship Id="rId101" Type="http://schemas.openxmlformats.org/officeDocument/2006/relationships/hyperlink" Target="https://drive.google.com/file/d/1rPnW0psQ9iDOzyFT2ylMa8DxkLYfHANb/view?usp=sharing" TargetMode="External"/><Relationship Id="rId2025" Type="http://schemas.openxmlformats.org/officeDocument/2006/relationships/hyperlink" Target="https://drive.google.com/file/d/1umGTYQZtmvrVsaWm8HgxP2LUHI5FLQvp/view?usp=sharing" TargetMode="External"/><Relationship Id="rId100" Type="http://schemas.openxmlformats.org/officeDocument/2006/relationships/hyperlink" Target="https://drive.google.com/file/d/16SHWRvmAi_8v52Zv0blJjuT7gUlvBdsp/view?usp=sharing" TargetMode="External"/><Relationship Id="rId2026" Type="http://schemas.openxmlformats.org/officeDocument/2006/relationships/hyperlink" Target="https://drive.google.com/file/d/1zq6CeqZ5K9_7zHP7taA_YZ9unx_71zQJ/view?usp=sharing" TargetMode="External"/><Relationship Id="rId2016" Type="http://schemas.openxmlformats.org/officeDocument/2006/relationships/hyperlink" Target="https://drive.google.com/file/d/1or0Qml8TWh5uwoPnBuaO6ZN7MZDCai0C/view?usp=sharing" TargetMode="External"/><Relationship Id="rId2017" Type="http://schemas.openxmlformats.org/officeDocument/2006/relationships/hyperlink" Target="https://drive.google.com/file/d/1K0UwTkURJNNRHZsqzhUUGUl3iPMQiIjS/view?usp=sharing" TargetMode="External"/><Relationship Id="rId2018" Type="http://schemas.openxmlformats.org/officeDocument/2006/relationships/hyperlink" Target="https://drive.google.com/file/d/1k7zOwi4um1k8Lw1Ss3iJ_aj8DK_1JUrs/view?usp=sharing" TargetMode="External"/><Relationship Id="rId2019" Type="http://schemas.openxmlformats.org/officeDocument/2006/relationships/hyperlink" Target="https://drive.google.com/file/d/1BN6XnrnRo4KRnS5zPzPrYOkN06sYPoDl/view?usp=sharing" TargetMode="External"/><Relationship Id="rId2010" Type="http://schemas.openxmlformats.org/officeDocument/2006/relationships/hyperlink" Target="https://drive.google.com/file/d/1tvp1hKGlWbM5_D2WIOLU9Y2c465GYvVK/view?usp=sharing" TargetMode="External"/><Relationship Id="rId2011" Type="http://schemas.openxmlformats.org/officeDocument/2006/relationships/hyperlink" Target="https://drive.google.com/file/d/1W3-FAoGek0spO1HouM5Kr0w7gSVok3Gr/view?usp=sharing" TargetMode="External"/><Relationship Id="rId2012" Type="http://schemas.openxmlformats.org/officeDocument/2006/relationships/hyperlink" Target="https://drive.google.com/file/d/1J6QTQlwQeFHgD_OZsA2xaC7pmvJ6DMeJ/view?usp=sharing" TargetMode="External"/><Relationship Id="rId2013" Type="http://schemas.openxmlformats.org/officeDocument/2006/relationships/hyperlink" Target="https://drive.google.com/file/d/1HUCatDTWfCbsBFD8bTVPyNaJDYlE4598/view?usp=sharing" TargetMode="External"/><Relationship Id="rId2014" Type="http://schemas.openxmlformats.org/officeDocument/2006/relationships/hyperlink" Target="https://drive.google.com/file/d/14ZsBccuh4aJ8xs_jLokDGRX65UeFLvl9/view?usp=sharing" TargetMode="External"/><Relationship Id="rId2015" Type="http://schemas.openxmlformats.org/officeDocument/2006/relationships/hyperlink" Target="https://drive.google.com/file/d/1Wo__JNHy1Dwlefcy_FoCuMdp8F7lozV4/view?usp=sharing" TargetMode="External"/><Relationship Id="rId2049" Type="http://schemas.openxmlformats.org/officeDocument/2006/relationships/hyperlink" Target="https://drive.google.com/file/d/1E8_HW0Y3Imx6E1zq5QNNsffdj2aJvMgl/view?usp=sharing" TargetMode="External"/><Relationship Id="rId129" Type="http://schemas.openxmlformats.org/officeDocument/2006/relationships/hyperlink" Target="https://drive.google.com/file/d/1BdMZFeRawhp-De9qXs0X_Hu5iECXkEhs/view?usp=sharing" TargetMode="External"/><Relationship Id="rId128" Type="http://schemas.openxmlformats.org/officeDocument/2006/relationships/hyperlink" Target="https://drive.google.com/file/d/1aqESeBkY8DY3_F84rkTzKa4d2II3ECh0/view?usp=sharing" TargetMode="External"/><Relationship Id="rId127" Type="http://schemas.openxmlformats.org/officeDocument/2006/relationships/hyperlink" Target="https://drive.google.com/file/d/1Xp6lvadQh87Z_78vOJ_EK_HldRfGXjFn/view?usp=sharing" TargetMode="External"/><Relationship Id="rId126" Type="http://schemas.openxmlformats.org/officeDocument/2006/relationships/hyperlink" Target="https://drive.google.com/file/d/1GihnowPn2qF_nnaQX-mpndfcH5p0npvE/view?usp=sharing" TargetMode="External"/><Relationship Id="rId2040" Type="http://schemas.openxmlformats.org/officeDocument/2006/relationships/hyperlink" Target="https://drive.google.com/file/d/1OA_Nc74IsVnLqH98mho3biCR9jQAfXAs/view?usp=sharing" TargetMode="External"/><Relationship Id="rId121" Type="http://schemas.openxmlformats.org/officeDocument/2006/relationships/hyperlink" Target="https://drive.google.com/file/d/15k7wm1IZx0gyPnDrS3Z5jzUYnTy86jI0/view?usp=sharing" TargetMode="External"/><Relationship Id="rId2041" Type="http://schemas.openxmlformats.org/officeDocument/2006/relationships/hyperlink" Target="https://drive.google.com/file/d/17cw6cXBcC5JDCy1UYbZzZ08IbbkGo-1-/view?usp=sharing" TargetMode="External"/><Relationship Id="rId120" Type="http://schemas.openxmlformats.org/officeDocument/2006/relationships/hyperlink" Target="https://drive.google.com/file/d/1NeqmyuktHeWu1e-mfpejB_0bxwu1RhmB/view?usp=sharing" TargetMode="External"/><Relationship Id="rId2042" Type="http://schemas.openxmlformats.org/officeDocument/2006/relationships/hyperlink" Target="https://drive.google.com/file/d/18w3M5n3J3jNqpLBLy2kPFpyvAUYJpxna/view?usp=sharing" TargetMode="External"/><Relationship Id="rId2043" Type="http://schemas.openxmlformats.org/officeDocument/2006/relationships/hyperlink" Target="https://drive.google.com/file/d/1aYTGnfmBClhPpwTYvczUVgMsUzXMxax9/view?usp=sharing" TargetMode="External"/><Relationship Id="rId2044" Type="http://schemas.openxmlformats.org/officeDocument/2006/relationships/hyperlink" Target="https://drive.google.com/file/d/1_voqQjhMw5ofczBp5QATZ0FRvE2a6bZ7/view?usp=sharing" TargetMode="External"/><Relationship Id="rId125" Type="http://schemas.openxmlformats.org/officeDocument/2006/relationships/hyperlink" Target="https://drive.google.com/file/d/1nJStyyfDcE6af8K_lTl3jcCepGN9Chr8/view?usp=sharing" TargetMode="External"/><Relationship Id="rId2045" Type="http://schemas.openxmlformats.org/officeDocument/2006/relationships/hyperlink" Target="https://drive.google.com/file/d/1aK61JvvDe7NFrJH7MrcnyRIZvwCpym_A/view?usp=sharing" TargetMode="External"/><Relationship Id="rId124" Type="http://schemas.openxmlformats.org/officeDocument/2006/relationships/hyperlink" Target="https://drive.google.com/file/d/1UYYUDK-bKpqbgNKzm9BrQ_i41ppx6_iI/view?usp=sharing" TargetMode="External"/><Relationship Id="rId2046" Type="http://schemas.openxmlformats.org/officeDocument/2006/relationships/hyperlink" Target="https://drive.google.com/file/d/1BiPawsLH97icHNmjMCjxbFP2fI43HmSh/view?usp=sharing" TargetMode="External"/><Relationship Id="rId123" Type="http://schemas.openxmlformats.org/officeDocument/2006/relationships/hyperlink" Target="https://drive.google.com/file/d/1otWDstZrcftn02MJdlfdo2kjLsANM74a/view?usp=sharing" TargetMode="External"/><Relationship Id="rId2047" Type="http://schemas.openxmlformats.org/officeDocument/2006/relationships/hyperlink" Target="https://drive.google.com/file/d/1a5Q68izZAXCBqOgDCQhShyet11qS4Fa4/view?usp=sharing" TargetMode="External"/><Relationship Id="rId122" Type="http://schemas.openxmlformats.org/officeDocument/2006/relationships/hyperlink" Target="https://drive.google.com/file/d/1AdB-jwDFdXuJW5aPNX4ucmg4NkBMGSOp/view?usp=sharing" TargetMode="External"/><Relationship Id="rId2048" Type="http://schemas.openxmlformats.org/officeDocument/2006/relationships/hyperlink" Target="https://drive.google.com/file/d/1aLR96_kl5PRzH4jTynQUOfCMyDMQKNul/view?usp=sharing" TargetMode="External"/><Relationship Id="rId2038" Type="http://schemas.openxmlformats.org/officeDocument/2006/relationships/hyperlink" Target="https://drive.google.com/file/d/1rHTD8CgyVkY2RFeYGH1XIX7Z1DxaUpbx/view?usp=sharing" TargetMode="External"/><Relationship Id="rId2039" Type="http://schemas.openxmlformats.org/officeDocument/2006/relationships/hyperlink" Target="https://drive.google.com/file/d/1kbR7Nco36my3BGdLVSSdOsfbU2723WxG/view?usp=sharing" TargetMode="External"/><Relationship Id="rId118" Type="http://schemas.openxmlformats.org/officeDocument/2006/relationships/hyperlink" Target="https://drive.google.com/file/d/1S5ITsW6sS0bD1seziVRZ9tWu2OUuLQN8/view?usp=sharing" TargetMode="External"/><Relationship Id="rId117" Type="http://schemas.openxmlformats.org/officeDocument/2006/relationships/hyperlink" Target="https://drive.google.com/file/d/1nuLdYNDOuY8uev8Vupt3_2TebjNHTixY/view?usp=sharing" TargetMode="External"/><Relationship Id="rId116" Type="http://schemas.openxmlformats.org/officeDocument/2006/relationships/hyperlink" Target="https://drive.google.com/file/d/1gBcbNVjY4FmcMqZu3u2Quyk2XmrU4dhw/view?usp=sharing" TargetMode="External"/><Relationship Id="rId115" Type="http://schemas.openxmlformats.org/officeDocument/2006/relationships/hyperlink" Target="https://drive.google.com/file/d/1EdeOIuVmw7UbtOhmYgLQDIYrRZ5RU_e5/view?usp=sharing" TargetMode="External"/><Relationship Id="rId119" Type="http://schemas.openxmlformats.org/officeDocument/2006/relationships/hyperlink" Target="https://drive.google.com/file/d/1uZB8fYtH0aT-Mt7rBgJMdYtiMgQYVLhZ/view?usp=sharing" TargetMode="External"/><Relationship Id="rId110" Type="http://schemas.openxmlformats.org/officeDocument/2006/relationships/hyperlink" Target="https://drive.google.com/file/d/1N783I-1pUUluQv-BKot6P6m3L_45DFkK/view?usp=sharing" TargetMode="External"/><Relationship Id="rId2030" Type="http://schemas.openxmlformats.org/officeDocument/2006/relationships/hyperlink" Target="https://drive.google.com/file/d/1Smj-gwLf6MSrY_VP_jGwxgL139smZzOv/view?usp=sharing" TargetMode="External"/><Relationship Id="rId2031" Type="http://schemas.openxmlformats.org/officeDocument/2006/relationships/hyperlink" Target="https://drive.google.com/file/d/1lT24wvRdfKjnb5MPxfXp1lcATg0B3PpK/view?usp=sharing" TargetMode="External"/><Relationship Id="rId2032" Type="http://schemas.openxmlformats.org/officeDocument/2006/relationships/hyperlink" Target="https://drive.google.com/file/d/11QG7dve7g9aMDVZzhQ1c1bY2Pt-FC6o-/view?usp=sharing" TargetMode="External"/><Relationship Id="rId2033" Type="http://schemas.openxmlformats.org/officeDocument/2006/relationships/hyperlink" Target="https://drive.google.com/file/d/1Ddvg2sLL4gTMxV6g_zsznOt6cG_XnwzZ/view?usp=sharing" TargetMode="External"/><Relationship Id="rId114" Type="http://schemas.openxmlformats.org/officeDocument/2006/relationships/hyperlink" Target="https://drive.google.com/file/d/1dzS5OlEddHL7bC-CqFcn1aSz2bK6dUNu/view?usp=sharing" TargetMode="External"/><Relationship Id="rId2034" Type="http://schemas.openxmlformats.org/officeDocument/2006/relationships/hyperlink" Target="https://drive.google.com/file/d/1IzRyLRNwoh5FKHr1Cf41_hrFKgOCjU3I/view?usp=sharing" TargetMode="External"/><Relationship Id="rId113" Type="http://schemas.openxmlformats.org/officeDocument/2006/relationships/hyperlink" Target="https://drive.google.com/file/d/1qWZGKH-lrjgAohGM7lETZILbpt0wbWSr/view?usp=sharing" TargetMode="External"/><Relationship Id="rId2035" Type="http://schemas.openxmlformats.org/officeDocument/2006/relationships/hyperlink" Target="https://drive.google.com/file/d/1gPksvLG_L-cQRVHUWLzBJ70OUk7cOH11/view?usp=sharing" TargetMode="External"/><Relationship Id="rId112" Type="http://schemas.openxmlformats.org/officeDocument/2006/relationships/hyperlink" Target="https://drive.google.com/file/d/1h5VdRQkk_jKW-rWrQuVlqYr4t-twPB_L/view?usp=sharing" TargetMode="External"/><Relationship Id="rId2036" Type="http://schemas.openxmlformats.org/officeDocument/2006/relationships/hyperlink" Target="https://drive.google.com/file/d/1b217AMx0iCZXuCyyNhhlsXv6TKANoqcl/view?usp=sharing" TargetMode="External"/><Relationship Id="rId111" Type="http://schemas.openxmlformats.org/officeDocument/2006/relationships/hyperlink" Target="https://drive.google.com/file/d/1mgztBIT_40pyhT9Y-MPELupwYYn1eDzF/view?usp=sharing" TargetMode="External"/><Relationship Id="rId2037" Type="http://schemas.openxmlformats.org/officeDocument/2006/relationships/hyperlink" Target="https://drive.google.com/file/d/1_YsXc6-4PBRExGTvBe6lGp1DMBEXg0A3/view?usp=sharing" TargetMode="External"/><Relationship Id="rId2005" Type="http://schemas.openxmlformats.org/officeDocument/2006/relationships/hyperlink" Target="https://drive.google.com/file/d/11naCxg5XGorguAA9v3LiyiUb69BRFefS/view?usp=sharing" TargetMode="External"/><Relationship Id="rId2006" Type="http://schemas.openxmlformats.org/officeDocument/2006/relationships/hyperlink" Target="https://drive.google.com/file/d/1tINzQFlCbiGIaqm2htYPFsnsNeloLbR1/view?usp=sharing" TargetMode="External"/><Relationship Id="rId2007" Type="http://schemas.openxmlformats.org/officeDocument/2006/relationships/hyperlink" Target="https://drive.google.com/file/d/1O9e41Fza6hmR2MLifN6P_aNXh_tKmdUE/view?usp=sharing" TargetMode="External"/><Relationship Id="rId2008" Type="http://schemas.openxmlformats.org/officeDocument/2006/relationships/hyperlink" Target="https://drive.google.com/file/d/10HPmEP2AZKBc79O19LeyXWQUW_fYZfyC/view?usp=sharing" TargetMode="External"/><Relationship Id="rId2009" Type="http://schemas.openxmlformats.org/officeDocument/2006/relationships/hyperlink" Target="https://drive.google.com/file/d/1kuMOrrjZSglmDHyjb78xay_8HCTyMyEK/view?usp=sharing" TargetMode="External"/><Relationship Id="rId2000" Type="http://schemas.openxmlformats.org/officeDocument/2006/relationships/hyperlink" Target="https://drive.google.com/file/d/1UXZ2n6NvSJALr5z1dNO460WdMo6DU7-i/view?usp=sharing" TargetMode="External"/><Relationship Id="rId2001" Type="http://schemas.openxmlformats.org/officeDocument/2006/relationships/hyperlink" Target="https://drive.google.com/file/d/1dsxh-uxiB6fDLHWCefVs1gB8x57ZvG8-/view?usp=sharing" TargetMode="External"/><Relationship Id="rId2002" Type="http://schemas.openxmlformats.org/officeDocument/2006/relationships/hyperlink" Target="https://drive.google.com/file/d/1abbkzDwPPmORVzxBwyFX4bMZAP2VKxFG/view?usp=sharing" TargetMode="External"/><Relationship Id="rId2003" Type="http://schemas.openxmlformats.org/officeDocument/2006/relationships/hyperlink" Target="https://drive.google.com/file/d/1HcNQ4YjcEiOGKf79L-5CLX-2TV9tjvhH/view?usp=sharing" TargetMode="External"/><Relationship Id="rId2004" Type="http://schemas.openxmlformats.org/officeDocument/2006/relationships/hyperlink" Target="https://drive.google.com/file/d/1_Skvaypt1w4IDjxALYmXSB_Oz_NvPD2_/view?usp=sharing" TargetMode="External"/><Relationship Id="rId2090" Type="http://schemas.openxmlformats.org/officeDocument/2006/relationships/hyperlink" Target="https://drive.google.com/file/d/1CpbkD-kB1ce6ZXgWNVhgZy22mN_HNPC-/view?usp=sharing" TargetMode="External"/><Relationship Id="rId2091" Type="http://schemas.openxmlformats.org/officeDocument/2006/relationships/hyperlink" Target="https://drive.google.com/file/d/19Figy154pZipgVwCv_er8_WgTKrqN1CD/view?usp=sharing" TargetMode="External"/><Relationship Id="rId2092" Type="http://schemas.openxmlformats.org/officeDocument/2006/relationships/hyperlink" Target="https://drive.google.com/file/d/1QPvwIDuQwPU7NBNP0wG9W4L6PrQfw48Q/view?usp=sharing" TargetMode="External"/><Relationship Id="rId2093" Type="http://schemas.openxmlformats.org/officeDocument/2006/relationships/hyperlink" Target="https://drive.google.com/file/d/19NOvEOZC7RfHEUK80O04uCnRYzdj-g9M/view?usp=sharing" TargetMode="External"/><Relationship Id="rId2094" Type="http://schemas.openxmlformats.org/officeDocument/2006/relationships/hyperlink" Target="https://drive.google.com/file/d/1T63ZhZMbrdaZeq1pZD6Wz5qbjf5iKAoN/view?usp=sharing" TargetMode="External"/><Relationship Id="rId2095" Type="http://schemas.openxmlformats.org/officeDocument/2006/relationships/hyperlink" Target="https://drive.google.com/file/d/1uCPEvyK5NuzKyCBJDYi7Rwtls7tJmi_x/view?usp=sharing" TargetMode="External"/><Relationship Id="rId2096" Type="http://schemas.openxmlformats.org/officeDocument/2006/relationships/hyperlink" Target="https://drive.google.com/file/d/1DJvGmzy18qY0HbXlsXXKqXAMo3tM_7ql/view?usp=sharing" TargetMode="External"/><Relationship Id="rId2097" Type="http://schemas.openxmlformats.org/officeDocument/2006/relationships/hyperlink" Target="https://drive.google.com/file/d/1wVE60vhmt8Hf4UOx3XQ_plRIdtJxYLyc/view?usp=sharing" TargetMode="External"/><Relationship Id="rId2098" Type="http://schemas.openxmlformats.org/officeDocument/2006/relationships/hyperlink" Target="https://drive.google.com/file/d/10repoMbsvpB91ypS_lS52zY2T7SdKGZu/view?usp=sharing" TargetMode="External"/><Relationship Id="rId2099" Type="http://schemas.openxmlformats.org/officeDocument/2006/relationships/hyperlink" Target="https://drive.google.com/file/d/1dxgRq5EjmcLUf_lqBSWz4h2IEKgpYPaf/view?usp=sharing" TargetMode="External"/><Relationship Id="rId2060" Type="http://schemas.openxmlformats.org/officeDocument/2006/relationships/hyperlink" Target="https://drive.google.com/file/d/1FOS_RGb_GZdWfvvMIFyop7oB9s1GJd6I/view?usp=sharing" TargetMode="External"/><Relationship Id="rId2061" Type="http://schemas.openxmlformats.org/officeDocument/2006/relationships/hyperlink" Target="https://drive.google.com/file/d/1hBaMxeKYWU2Vx5hWShjfJs22CqbXMkPz/view?usp=sharing" TargetMode="External"/><Relationship Id="rId2062" Type="http://schemas.openxmlformats.org/officeDocument/2006/relationships/hyperlink" Target="https://drive.google.com/file/d/1jjymnSNUy9PdYbOUIdEBWqkxEazkwAjZ/view?usp=sharing" TargetMode="External"/><Relationship Id="rId2063" Type="http://schemas.openxmlformats.org/officeDocument/2006/relationships/hyperlink" Target="https://drive.google.com/file/d/1-q9-Q8Zq1DkueLBWUnxdo7Zd8vE5tx_3/view?usp=sharing" TargetMode="External"/><Relationship Id="rId2064" Type="http://schemas.openxmlformats.org/officeDocument/2006/relationships/hyperlink" Target="https://drive.google.com/file/d/1u3QQLRIChpcCa1mlWbR2ohK5Q9uuMC64/view?usp=sharing" TargetMode="External"/><Relationship Id="rId2065" Type="http://schemas.openxmlformats.org/officeDocument/2006/relationships/hyperlink" Target="https://drive.google.com/file/d/1F3QwmXxkzXm5-Q3J8aAz3TbA1xvi3yre/view?usp=sharing" TargetMode="External"/><Relationship Id="rId2066" Type="http://schemas.openxmlformats.org/officeDocument/2006/relationships/hyperlink" Target="https://drive.google.com/file/d/1pVwg5Wlmmv_uWj9uFUatteZXDqrGYgr4/view?usp=sharing" TargetMode="External"/><Relationship Id="rId2067" Type="http://schemas.openxmlformats.org/officeDocument/2006/relationships/hyperlink" Target="https://drive.google.com/file/d/1KTg3nQr2Bkt4ghwHpihNnM1X42NBl3xK/view?usp=sharing" TargetMode="External"/><Relationship Id="rId2068" Type="http://schemas.openxmlformats.org/officeDocument/2006/relationships/hyperlink" Target="https://drive.google.com/file/d/1CFlJWlMxUAVq4ikebz70gcbycaNGDGMx/view?usp=sharing" TargetMode="External"/><Relationship Id="rId2069" Type="http://schemas.openxmlformats.org/officeDocument/2006/relationships/hyperlink" Target="https://drive.google.com/file/d/1cQT3QrUdmDq41srAHq2sPOMYHIFy0Sdl/view?usp=sharing" TargetMode="External"/><Relationship Id="rId2050" Type="http://schemas.openxmlformats.org/officeDocument/2006/relationships/hyperlink" Target="https://drive.google.com/file/d/1WXiUTauXay92FobjtxwKMFBoVevd3OIl/view?usp=sharing" TargetMode="External"/><Relationship Id="rId2051" Type="http://schemas.openxmlformats.org/officeDocument/2006/relationships/hyperlink" Target="https://drive.google.com/file/d/1rQ4HCYneuhS_BRXx_AJuvpyWSU83lUiX/view?usp=sharing" TargetMode="External"/><Relationship Id="rId2052" Type="http://schemas.openxmlformats.org/officeDocument/2006/relationships/hyperlink" Target="https://drive.google.com/file/d/1mZthy-DtiMCyWaRa6TOU6SSyOpUHPvsd/view?usp=sharing" TargetMode="External"/><Relationship Id="rId2053" Type="http://schemas.openxmlformats.org/officeDocument/2006/relationships/hyperlink" Target="https://drive.google.com/file/d/1utYA8XjQ64Oe5VroS3FSaHSIWwXdZsUK/view?usp=sharing" TargetMode="External"/><Relationship Id="rId2054" Type="http://schemas.openxmlformats.org/officeDocument/2006/relationships/hyperlink" Target="https://drive.google.com/file/d/1rensi5DUHBEzIOm5064VGMFQ_fZHoEZH/view?usp=sharing" TargetMode="External"/><Relationship Id="rId2055" Type="http://schemas.openxmlformats.org/officeDocument/2006/relationships/hyperlink" Target="https://drive.google.com/file/d/1WBC0JIuWofb6AKIzWAYS9VpM7-wBjJnG/view?usp=sharing" TargetMode="External"/><Relationship Id="rId2056" Type="http://schemas.openxmlformats.org/officeDocument/2006/relationships/hyperlink" Target="https://drive.google.com/file/d/15YxEQHjHgFrBcxXy4KA0SbTKSntcHMYy/view?usp=sharing" TargetMode="External"/><Relationship Id="rId2057" Type="http://schemas.openxmlformats.org/officeDocument/2006/relationships/hyperlink" Target="https://drive.google.com/file/d/1XnS0ml6FRABAX_u6IaCp49572XB7jBQh/view?usp=sharing" TargetMode="External"/><Relationship Id="rId2058" Type="http://schemas.openxmlformats.org/officeDocument/2006/relationships/hyperlink" Target="https://drive.google.com/file/d/10AcAK0SThhwqAEgaxsQvFRG2Dlh-6Ypb/view?usp=sharing" TargetMode="External"/><Relationship Id="rId2059" Type="http://schemas.openxmlformats.org/officeDocument/2006/relationships/hyperlink" Target="https://drive.google.com/file/d/13WlpbwK9i2jM1e5rltznlMMqxr5DAeq9/view?usp=sharing" TargetMode="External"/><Relationship Id="rId2080" Type="http://schemas.openxmlformats.org/officeDocument/2006/relationships/hyperlink" Target="https://drive.google.com/file/d/1XQ4gEyfaid3qEhWy_nu_0APMVbOgjJN6/view?usp=sharing" TargetMode="External"/><Relationship Id="rId2081" Type="http://schemas.openxmlformats.org/officeDocument/2006/relationships/hyperlink" Target="https://drive.google.com/file/d/1YnqSCYmTaVdSRYYLByYeXUqShvKGfoM4/view?usp=sharing" TargetMode="External"/><Relationship Id="rId2082" Type="http://schemas.openxmlformats.org/officeDocument/2006/relationships/hyperlink" Target="https://drive.google.com/file/d/1Dlg6rOLeIWTi8_VeOlb1XcTnzOAOcT0O/view?usp=sharing" TargetMode="External"/><Relationship Id="rId2083" Type="http://schemas.openxmlformats.org/officeDocument/2006/relationships/hyperlink" Target="https://drive.google.com/file/d/1Xp7n748W84W8rGj4ki-rdq2wAFPaz5rM/view?usp=sharing" TargetMode="External"/><Relationship Id="rId2084" Type="http://schemas.openxmlformats.org/officeDocument/2006/relationships/hyperlink" Target="https://drive.google.com/file/d/104ZAX7MSKuQLbjJqgjGhvsR6CsMiE154/view?usp=sharing" TargetMode="External"/><Relationship Id="rId2085" Type="http://schemas.openxmlformats.org/officeDocument/2006/relationships/hyperlink" Target="https://drive.google.com/file/d/1sJDy81paA5Q3NAwtS06uDjUyirL7xQ_1/view?usp=sharing" TargetMode="External"/><Relationship Id="rId2086" Type="http://schemas.openxmlformats.org/officeDocument/2006/relationships/hyperlink" Target="https://drive.google.com/file/d/1fwTeLNNv1Y-8-O_jvilZqWkxuhYrZyXn/view?usp=sharing" TargetMode="External"/><Relationship Id="rId2087" Type="http://schemas.openxmlformats.org/officeDocument/2006/relationships/hyperlink" Target="https://drive.google.com/file/d/1NrL5G3tRIW68QUp0j5QkASdp5fUPYfAi/view?usp=sharing" TargetMode="External"/><Relationship Id="rId2088" Type="http://schemas.openxmlformats.org/officeDocument/2006/relationships/hyperlink" Target="https://drive.google.com/file/d/1l1wfzokQ8aCnDmPp5J3KJ6IJWzHm7tJp/view?usp=sharing" TargetMode="External"/><Relationship Id="rId2089" Type="http://schemas.openxmlformats.org/officeDocument/2006/relationships/hyperlink" Target="https://drive.google.com/file/d/1clSFrO5LrfnAa3Cs4vXutjurjtMoPGo9/view?usp=sharing" TargetMode="External"/><Relationship Id="rId2070" Type="http://schemas.openxmlformats.org/officeDocument/2006/relationships/hyperlink" Target="https://drive.google.com/file/d/1mpygMEKv35XahVRVjmFaeqvWKJMMmdkT/view?usp=sharing" TargetMode="External"/><Relationship Id="rId2071" Type="http://schemas.openxmlformats.org/officeDocument/2006/relationships/hyperlink" Target="https://drive.google.com/file/d/1UHq5crDBxO07vXSytP7rcUl8ZsCCseIh/view?usp=sharing" TargetMode="External"/><Relationship Id="rId2072" Type="http://schemas.openxmlformats.org/officeDocument/2006/relationships/hyperlink" Target="https://drive.google.com/file/d/1W4Xv5_ZLQXaaf1yHTKmRPgSrnQQJkL3X/view?usp=sharing" TargetMode="External"/><Relationship Id="rId2073" Type="http://schemas.openxmlformats.org/officeDocument/2006/relationships/hyperlink" Target="https://drive.google.com/file/d/1QehQKOaiaa7qHfsArSHUnh_Sp8HYe_xE/view?usp=sharing" TargetMode="External"/><Relationship Id="rId2074" Type="http://schemas.openxmlformats.org/officeDocument/2006/relationships/hyperlink" Target="https://drive.google.com/file/d/1dHTub0qN1xzbG_3xNUbKh2T6dXHyYFNQ/view?usp=sharing" TargetMode="External"/><Relationship Id="rId2075" Type="http://schemas.openxmlformats.org/officeDocument/2006/relationships/hyperlink" Target="https://drive.google.com/file/d/11Yu9f8Q6f9QFibs_1jixfyBcNXGJslht/view?usp=sharing" TargetMode="External"/><Relationship Id="rId2076" Type="http://schemas.openxmlformats.org/officeDocument/2006/relationships/hyperlink" Target="https://drive.google.com/file/d/1MgEcwa4FaPkuIVK3kRjX8x17pJGlTLtd/view?usp=sharing" TargetMode="External"/><Relationship Id="rId2077" Type="http://schemas.openxmlformats.org/officeDocument/2006/relationships/hyperlink" Target="https://drive.google.com/file/d/1fmck49gQ0cl_KZh1Is5Sq2rrn2RQ6l4p/view?usp=sharing" TargetMode="External"/><Relationship Id="rId2078" Type="http://schemas.openxmlformats.org/officeDocument/2006/relationships/hyperlink" Target="https://drive.google.com/file/d/1fsVlnjpzCuf2c1n0LI9IUguNTtIFEHtm/view?usp=sharing" TargetMode="External"/><Relationship Id="rId2079" Type="http://schemas.openxmlformats.org/officeDocument/2006/relationships/hyperlink" Target="https://drive.google.com/file/d/1sLUL5Vi5W9eshJJ9oB2dt1Ie0FD1jx0Y/view?usp=sharing" TargetMode="External"/><Relationship Id="rId2940" Type="http://schemas.openxmlformats.org/officeDocument/2006/relationships/hyperlink" Target="https://drive.google.com/file/d/1NZGXO_vhRYN9bgQi7qOsDNtRf7-mhKzh/view?usp=sharing" TargetMode="External"/><Relationship Id="rId1610" Type="http://schemas.openxmlformats.org/officeDocument/2006/relationships/hyperlink" Target="https://drive.google.com/file/d/16CQV4z06WRojUmfB8UP03LeeuomqQ669/view?usp=sharing" TargetMode="External"/><Relationship Id="rId2941" Type="http://schemas.openxmlformats.org/officeDocument/2006/relationships/hyperlink" Target="https://drive.google.com/file/d/192t4zGRrxVI7O7-RZPfpaDnNRWZGikry/view?usp=sharing" TargetMode="External"/><Relationship Id="rId1611" Type="http://schemas.openxmlformats.org/officeDocument/2006/relationships/hyperlink" Target="https://drive.google.com/file/d/1y6yZ4588JoKXsrVy39vNPqBDb26yj9rK/view?usp=sharing" TargetMode="External"/><Relationship Id="rId2942" Type="http://schemas.openxmlformats.org/officeDocument/2006/relationships/hyperlink" Target="https://drive.google.com/file/d/10UDpq-DOjybVm32_6xoDDcXe9hRE9och/view?usp=sharing" TargetMode="External"/><Relationship Id="rId1612" Type="http://schemas.openxmlformats.org/officeDocument/2006/relationships/hyperlink" Target="https://drive.google.com/file/d/1yeKgU03ddLNSii4AK5vO3m4by687wlNc/view?usp=sharing" TargetMode="External"/><Relationship Id="rId2943" Type="http://schemas.openxmlformats.org/officeDocument/2006/relationships/hyperlink" Target="https://drive.google.com/file/d/11B00AEznPstR45rMEPMcuz6GE5pCPFFz/view?usp=sharing" TargetMode="External"/><Relationship Id="rId1613" Type="http://schemas.openxmlformats.org/officeDocument/2006/relationships/hyperlink" Target="https://drive.google.com/file/d/1jEIhO80lDq5qxjW21isrMwneoS8hHgLv/view?usp=sharing" TargetMode="External"/><Relationship Id="rId2944" Type="http://schemas.openxmlformats.org/officeDocument/2006/relationships/hyperlink" Target="https://drive.google.com/file/d/1xfz9ja19gs3Id09L8Bnr5rARngLXF03m/view?usp=sharing" TargetMode="External"/><Relationship Id="rId1614" Type="http://schemas.openxmlformats.org/officeDocument/2006/relationships/hyperlink" Target="https://drive.google.com/file/d/1AsGbCBxrjCxvNqPooH2YSj-cbZuNzCvF/view?usp=sharing" TargetMode="External"/><Relationship Id="rId2945" Type="http://schemas.openxmlformats.org/officeDocument/2006/relationships/hyperlink" Target="https://drive.google.com/file/d/1_TpJ2s5THdJITtxhCqaT4Xm2qYMkQFY3/view?usp=sharing" TargetMode="External"/><Relationship Id="rId1615" Type="http://schemas.openxmlformats.org/officeDocument/2006/relationships/hyperlink" Target="https://drive.google.com/file/d/1pRjKZWYTxt8JzGlG3pTNaRfl64_xcAsc/view?usp=sharing" TargetMode="External"/><Relationship Id="rId2946" Type="http://schemas.openxmlformats.org/officeDocument/2006/relationships/hyperlink" Target="https://drive.google.com/file/d/1rpNZCVUYdnjxnVshpxNmaDymWTFjfEHb/view?usp=sharing" TargetMode="External"/><Relationship Id="rId1616" Type="http://schemas.openxmlformats.org/officeDocument/2006/relationships/hyperlink" Target="https://drive.google.com/file/d/1TIlmEIGCvvVx8ZWhxlUGCgoGxRNqyyVG/view?usp=sharing" TargetMode="External"/><Relationship Id="rId2947" Type="http://schemas.openxmlformats.org/officeDocument/2006/relationships/hyperlink" Target="https://drive.google.com/file/d/1nWO0W14RSmnYt122ArhcLj0fTlz34iU-/view?usp=sharing" TargetMode="External"/><Relationship Id="rId907" Type="http://schemas.openxmlformats.org/officeDocument/2006/relationships/hyperlink" Target="https://drive.google.com/file/d/15KuSdTPyc-lOt4Nfie2TVgftAryo6Dor/view?usp=sharing" TargetMode="External"/><Relationship Id="rId1617" Type="http://schemas.openxmlformats.org/officeDocument/2006/relationships/hyperlink" Target="https://drive.google.com/file/d/1nyKu_xtJ2UFaUFBtz6anOGTFT7dNZb_N/view?usp=sharing" TargetMode="External"/><Relationship Id="rId2948" Type="http://schemas.openxmlformats.org/officeDocument/2006/relationships/hyperlink" Target="https://drive.google.com/file/d/10hAiFjBtRnne-i5q3OgN0yJqrUJRLy0s/view?usp=sharing" TargetMode="External"/><Relationship Id="rId906" Type="http://schemas.openxmlformats.org/officeDocument/2006/relationships/hyperlink" Target="https://drive.google.com/file/d/1PVqQ2G-h4R4-oGe-TpqyG5IGopqUDEMo/view?usp=sharing" TargetMode="External"/><Relationship Id="rId1618" Type="http://schemas.openxmlformats.org/officeDocument/2006/relationships/hyperlink" Target="https://drive.google.com/file/d/1duHC2bQaeDoqguF5X2t9_B9HkeLSyM9W/view?usp=sharing" TargetMode="External"/><Relationship Id="rId2949" Type="http://schemas.openxmlformats.org/officeDocument/2006/relationships/hyperlink" Target="https://drive.google.com/file/d/1GSkBW7hOHqVYttfmab_5evgEcOShVu8y/view?usp=sharing" TargetMode="External"/><Relationship Id="rId905" Type="http://schemas.openxmlformats.org/officeDocument/2006/relationships/hyperlink" Target="https://drive.google.com/file/d/1-NCov-CHMW4IsfukGL0j1FYNUPRW7fzi/view?usp=sharing" TargetMode="External"/><Relationship Id="rId1619" Type="http://schemas.openxmlformats.org/officeDocument/2006/relationships/hyperlink" Target="https://drive.google.com/file/d/1aK8pQQNYbXCrG80zHwfwbLduTL59Tpom/view?usp=sharing" TargetMode="External"/><Relationship Id="rId904" Type="http://schemas.openxmlformats.org/officeDocument/2006/relationships/hyperlink" Target="https://drive.google.com/file/d/1LgKqorZ1FGfDOyEe9_o59okFMvatWcZ8/view?usp=sharing" TargetMode="External"/><Relationship Id="rId909" Type="http://schemas.openxmlformats.org/officeDocument/2006/relationships/hyperlink" Target="https://drive.google.com/file/d/1_ZAleWiH9iZHjs3aeVjWMzogmO3yW4_Q/view?usp=sharing" TargetMode="External"/><Relationship Id="rId908" Type="http://schemas.openxmlformats.org/officeDocument/2006/relationships/hyperlink" Target="https://drive.google.com/file/d/16t_RCnUdZ49K08thcDwew4OKqihbb3cL/view?usp=sharing" TargetMode="External"/><Relationship Id="rId903" Type="http://schemas.openxmlformats.org/officeDocument/2006/relationships/hyperlink" Target="https://drive.google.com/file/d/1DXYT9X0hTdbCFQbB4b_reYqiZ_AedXGz/view?usp=sharing" TargetMode="External"/><Relationship Id="rId902" Type="http://schemas.openxmlformats.org/officeDocument/2006/relationships/hyperlink" Target="https://drive.google.com/file/d/1w2SDW94ZnPSEITwB-Zld1tXEXU399-pN/view?usp=sharing" TargetMode="External"/><Relationship Id="rId901" Type="http://schemas.openxmlformats.org/officeDocument/2006/relationships/hyperlink" Target="https://drive.google.com/file/d/17PrdaeOowVJibWyyZe75KaqYF7anpb2F/view?usp=sharing" TargetMode="External"/><Relationship Id="rId900" Type="http://schemas.openxmlformats.org/officeDocument/2006/relationships/hyperlink" Target="https://drive.google.com/file/d/1i5KshFO6HNG0wYm3d3dEyffrCGXYPylu/view?usp=sharing" TargetMode="External"/><Relationship Id="rId2930" Type="http://schemas.openxmlformats.org/officeDocument/2006/relationships/hyperlink" Target="https://drive.google.com/file/d/1KYDyUi3UNVGyqNllfanMaus1OYNsj-5T/view?usp=sharing" TargetMode="External"/><Relationship Id="rId1600" Type="http://schemas.openxmlformats.org/officeDocument/2006/relationships/hyperlink" Target="https://drive.google.com/file/d/1ZP6lUeLwDfIQ4I5x2aHelvOibAe94Fga/view?usp=sharing" TargetMode="External"/><Relationship Id="rId2931" Type="http://schemas.openxmlformats.org/officeDocument/2006/relationships/hyperlink" Target="https://drive.google.com/file/d/19IW9iCURHQMTPxh-bntuSXFgCXMmdX2j/view?usp=sharing" TargetMode="External"/><Relationship Id="rId1601" Type="http://schemas.openxmlformats.org/officeDocument/2006/relationships/hyperlink" Target="https://drive.google.com/file/d/1ed9tGLxRcR5xwDmw54ngt9TfIG2__YIF/view?usp=sharing" TargetMode="External"/><Relationship Id="rId2932" Type="http://schemas.openxmlformats.org/officeDocument/2006/relationships/hyperlink" Target="https://drive.google.com/file/d/1p1LEGW72mYfHTiDiTlVN--huzpNDN5AX/view?usp=sharing" TargetMode="External"/><Relationship Id="rId1602" Type="http://schemas.openxmlformats.org/officeDocument/2006/relationships/hyperlink" Target="https://drive.google.com/file/d/1gYUTuz7O4MxBJCy-fFZmoCA7Uodrpouv/view?usp=sharing" TargetMode="External"/><Relationship Id="rId2933" Type="http://schemas.openxmlformats.org/officeDocument/2006/relationships/hyperlink" Target="https://drive.google.com/file/d/1dej9p3OraWIHYX-0Eg2SzU5buh9dIjk1/view?usp=sharing" TargetMode="External"/><Relationship Id="rId1603" Type="http://schemas.openxmlformats.org/officeDocument/2006/relationships/hyperlink" Target="https://drive.google.com/file/d/1Ic6p1vEIikWIyrzMGvcWWDU6JUsJnS8i/view?usp=sharing" TargetMode="External"/><Relationship Id="rId2934" Type="http://schemas.openxmlformats.org/officeDocument/2006/relationships/hyperlink" Target="https://drive.google.com/file/d/1ZIJq_W6PZtJ0cFG57M3jOKGSy8mkh-c2/view?usp=sharing" TargetMode="External"/><Relationship Id="rId1604" Type="http://schemas.openxmlformats.org/officeDocument/2006/relationships/hyperlink" Target="https://drive.google.com/file/d/1lHiaYZvDb-Fu8LMzkvtFOu-PCIOza8oD/view?usp=sharing" TargetMode="External"/><Relationship Id="rId2935" Type="http://schemas.openxmlformats.org/officeDocument/2006/relationships/hyperlink" Target="https://drive.google.com/file/d/1wM6ZPZp3hc9KzsWv6ABywQnpwH3Fsr1D/view?usp=sharing" TargetMode="External"/><Relationship Id="rId1605" Type="http://schemas.openxmlformats.org/officeDocument/2006/relationships/hyperlink" Target="https://drive.google.com/file/d/1Zzv2quPKgCb7cAfwcHXNAXCMpiRr9Ese/view?usp=sharing" TargetMode="External"/><Relationship Id="rId2936" Type="http://schemas.openxmlformats.org/officeDocument/2006/relationships/hyperlink" Target="https://drive.google.com/file/d/1SsFUAAwliDWHK6h_CNyLF2rEk1bkHXQx/view?usp=sharing" TargetMode="External"/><Relationship Id="rId1606" Type="http://schemas.openxmlformats.org/officeDocument/2006/relationships/hyperlink" Target="https://drive.google.com/file/d/1YC-NiQBd7aGPhbNdIjIyJqaNUwDYThTa/view?usp=sharing" TargetMode="External"/><Relationship Id="rId2937" Type="http://schemas.openxmlformats.org/officeDocument/2006/relationships/hyperlink" Target="https://drive.google.com/file/d/19g4CHfLmJhD6uyLRMEPckzq0jWl94j-9/view?usp=sharing" TargetMode="External"/><Relationship Id="rId1607" Type="http://schemas.openxmlformats.org/officeDocument/2006/relationships/hyperlink" Target="https://drive.google.com/file/d/1T-f5WtpcgZNk9db2nQzExwc4TYnaWtfi/view?usp=sharing" TargetMode="External"/><Relationship Id="rId2938" Type="http://schemas.openxmlformats.org/officeDocument/2006/relationships/hyperlink" Target="https://drive.google.com/file/d/1Rg9C2m2eAPI9V0HcghcnZXtTZPcjiZhZ/view?usp=sharing" TargetMode="External"/><Relationship Id="rId1608" Type="http://schemas.openxmlformats.org/officeDocument/2006/relationships/hyperlink" Target="https://drive.google.com/file/d/19sN6zm_2-eKAsSgcN-bXePcUwwKBn8ry/view?usp=sharing" TargetMode="External"/><Relationship Id="rId2939" Type="http://schemas.openxmlformats.org/officeDocument/2006/relationships/hyperlink" Target="https://drive.google.com/file/d/1cApsrFkFe8IPbCcuFFmdC-u6ZJ0bG7Ym/view?usp=sharing" TargetMode="External"/><Relationship Id="rId1609" Type="http://schemas.openxmlformats.org/officeDocument/2006/relationships/hyperlink" Target="https://drive.google.com/file/d/1F8-57-ChnQ-nLhqY4vhLAbJtJie5Tua7/view?usp=sharing" TargetMode="External"/><Relationship Id="rId1631" Type="http://schemas.openxmlformats.org/officeDocument/2006/relationships/hyperlink" Target="https://drive.google.com/file/d/1epv-f-VUcIRwffoLuO2ENiCLHNdIhOJq/view?usp=sharing" TargetMode="External"/><Relationship Id="rId2962" Type="http://schemas.openxmlformats.org/officeDocument/2006/relationships/hyperlink" Target="https://drive.google.com/file/d/1C2iEVctJ8y0n57m22RBxEFwBH7rB9z3q/view?usp=sharing" TargetMode="External"/><Relationship Id="rId1632" Type="http://schemas.openxmlformats.org/officeDocument/2006/relationships/hyperlink" Target="https://drive.google.com/file/d/1qomKTH0ZCg21NHkPfMQPYka9WvrSdJYq/view?usp=sharing" TargetMode="External"/><Relationship Id="rId2963" Type="http://schemas.openxmlformats.org/officeDocument/2006/relationships/hyperlink" Target="https://drive.google.com/file/d/1raNGUgSpsaxCOxb0iSKzKdiu-QQyL_KU/view?usp=sharing" TargetMode="External"/><Relationship Id="rId1633" Type="http://schemas.openxmlformats.org/officeDocument/2006/relationships/hyperlink" Target="https://drive.google.com/file/d/1OgXcN0NzTYczyy4LQOdBKcDO5sEq-kRC/view?usp=sharing" TargetMode="External"/><Relationship Id="rId2964" Type="http://schemas.openxmlformats.org/officeDocument/2006/relationships/hyperlink" Target="https://drive.google.com/file/d/1con4dHQKNFO_IdL8IFh1jiAcyPY2Oz4O/view?usp=sharing" TargetMode="External"/><Relationship Id="rId1634" Type="http://schemas.openxmlformats.org/officeDocument/2006/relationships/hyperlink" Target="https://drive.google.com/file/d/1bfNFEUav9ZGfEdu4Pmnn11c_ZkgITpM9/view?usp=sharing" TargetMode="External"/><Relationship Id="rId2965" Type="http://schemas.openxmlformats.org/officeDocument/2006/relationships/hyperlink" Target="https://drive.google.com/file/d/1rqFcLmpgq1yagEjV0T70xPOLCI27YUta/view?usp=sharing" TargetMode="External"/><Relationship Id="rId1635" Type="http://schemas.openxmlformats.org/officeDocument/2006/relationships/hyperlink" Target="https://drive.google.com/file/d/1Yzfkod6zdJQxFofnu3ZNkN078TBKlPiu/view?usp=sharing" TargetMode="External"/><Relationship Id="rId2966" Type="http://schemas.openxmlformats.org/officeDocument/2006/relationships/hyperlink" Target="https://drive.google.com/file/d/1e5RZmv1q9tt9ed2MZVXLFtG5zquiFSlm/view?usp=sharing" TargetMode="External"/><Relationship Id="rId1636" Type="http://schemas.openxmlformats.org/officeDocument/2006/relationships/hyperlink" Target="https://drive.google.com/file/d/1ClJnyU-bHP8Lb1lC1vmPZYrfszIsdPKO/view?usp=sharing" TargetMode="External"/><Relationship Id="rId2967" Type="http://schemas.openxmlformats.org/officeDocument/2006/relationships/hyperlink" Target="https://drive.google.com/file/d/1S2Btt9yF78-qF0eOmnkVBNn5C_YX7Ixf/view?usp=sharing" TargetMode="External"/><Relationship Id="rId1637" Type="http://schemas.openxmlformats.org/officeDocument/2006/relationships/hyperlink" Target="https://drive.google.com/file/d/1dtXVDwHn08ef7o3rx-7muovJmf4YwhLy/view?usp=sharing" TargetMode="External"/><Relationship Id="rId2968" Type="http://schemas.openxmlformats.org/officeDocument/2006/relationships/hyperlink" Target="https://drive.google.com/file/d/1Dg6ICtpjNChCuk5Ya7Ff6yp1h4E1biNe/view?usp=sharing" TargetMode="External"/><Relationship Id="rId1638" Type="http://schemas.openxmlformats.org/officeDocument/2006/relationships/hyperlink" Target="https://drive.google.com/file/d/1rLTvkeGn7iYkvvVRKHJNu4eIuTdmmfru/view?usp=sharing" TargetMode="External"/><Relationship Id="rId2969" Type="http://schemas.openxmlformats.org/officeDocument/2006/relationships/hyperlink" Target="https://drive.google.com/file/d/1MUmI5sXDtBxVb3TnJhxWXxi_04BJhGVs/view?usp=sharing" TargetMode="External"/><Relationship Id="rId929" Type="http://schemas.openxmlformats.org/officeDocument/2006/relationships/hyperlink" Target="https://drive.google.com/file/d/1psFFnx8I84eYSR1XXTjdxceLDCnaFCh0/view?usp=sharing" TargetMode="External"/><Relationship Id="rId1639" Type="http://schemas.openxmlformats.org/officeDocument/2006/relationships/hyperlink" Target="https://drive.google.com/file/d/1YGDx7xKCTyBqPnKPEnRf_1u9jeC_jIpD/view?usp=sharing" TargetMode="External"/><Relationship Id="rId928" Type="http://schemas.openxmlformats.org/officeDocument/2006/relationships/hyperlink" Target="https://drive.google.com/file/d/1uPtRa1xN9GoIiyXHbF-TodV2vBcxH9Lg/view?usp=sharing" TargetMode="External"/><Relationship Id="rId927" Type="http://schemas.openxmlformats.org/officeDocument/2006/relationships/hyperlink" Target="https://drive.google.com/file/d/14TxRMI42uDFKVNkyY1w0fX-ERI0TcT1r/view?usp=sharing" TargetMode="External"/><Relationship Id="rId926" Type="http://schemas.openxmlformats.org/officeDocument/2006/relationships/hyperlink" Target="https://drive.google.com/file/d/1XXCB6kanj8XMOV0LAs2R-jpiRxeofa43/view?usp=sharing" TargetMode="External"/><Relationship Id="rId921" Type="http://schemas.openxmlformats.org/officeDocument/2006/relationships/hyperlink" Target="https://drive.google.com/file/d/1wi_ohyT1q6IQDGP93VKNEvgP5NLM2Til/view?usp=sharing" TargetMode="External"/><Relationship Id="rId920" Type="http://schemas.openxmlformats.org/officeDocument/2006/relationships/hyperlink" Target="https://drive.google.com/file/d/1OLtxlBwrcKCyHHJBnFOcNkxNlGhA4ojz/view?usp=sharing" TargetMode="External"/><Relationship Id="rId925" Type="http://schemas.openxmlformats.org/officeDocument/2006/relationships/hyperlink" Target="https://drive.google.com/file/d/1jVvkbOJXeo_zpTJhBhwImADrzsp7Y7mK/view?usp=sharing" TargetMode="External"/><Relationship Id="rId924" Type="http://schemas.openxmlformats.org/officeDocument/2006/relationships/hyperlink" Target="https://drive.google.com/file/d/1FF6DXjSpHAFGvSAVZwsgMO4_UK7YUxlS/view?usp=sharing" TargetMode="External"/><Relationship Id="rId923" Type="http://schemas.openxmlformats.org/officeDocument/2006/relationships/hyperlink" Target="https://drive.google.com/file/d/1-6EshPgTwRLla5N2_pjBbYg2k83bvpP2/view?usp=sharing" TargetMode="External"/><Relationship Id="rId922" Type="http://schemas.openxmlformats.org/officeDocument/2006/relationships/hyperlink" Target="https://drive.google.com/file/d/1vBRJGzXgfrYsMbvbT4hvm7CpWBdU9HCt/view?usp=sharing" TargetMode="External"/><Relationship Id="rId2960" Type="http://schemas.openxmlformats.org/officeDocument/2006/relationships/hyperlink" Target="https://drive.google.com/file/d/1exGT9puv__SZkbko5RTgdcStdXYhAAqo/view?usp=sharing" TargetMode="External"/><Relationship Id="rId1630" Type="http://schemas.openxmlformats.org/officeDocument/2006/relationships/hyperlink" Target="https://drive.google.com/file/d/1EPjqwL9HUW1kMXlUZfLNmQmwcl7Py3M-/view?usp=sharing" TargetMode="External"/><Relationship Id="rId2961" Type="http://schemas.openxmlformats.org/officeDocument/2006/relationships/hyperlink" Target="https://drive.google.com/file/d/1Sa2SavbwooFy1EsqpiWa7--mCxVklQhT/view?usp=sharing" TargetMode="External"/><Relationship Id="rId1620" Type="http://schemas.openxmlformats.org/officeDocument/2006/relationships/hyperlink" Target="https://drive.google.com/file/d/1_kRjDZZnEBs97zzdwD1eU1ZbKGLzUTB3/view?usp=sharing" TargetMode="External"/><Relationship Id="rId2951" Type="http://schemas.openxmlformats.org/officeDocument/2006/relationships/hyperlink" Target="https://drive.google.com/file/d/15JjrJgQkHLaLYwuMENiF_LP_liUvGDWe/view?usp=sharing" TargetMode="External"/><Relationship Id="rId1621" Type="http://schemas.openxmlformats.org/officeDocument/2006/relationships/hyperlink" Target="https://drive.google.com/file/d/1-R_osM8TGKyWe8Qj9WWYrAxSliTzIiXe/view?usp=sharing" TargetMode="External"/><Relationship Id="rId2952" Type="http://schemas.openxmlformats.org/officeDocument/2006/relationships/hyperlink" Target="https://drive.google.com/file/d/146pRvT1BizneCsJDECHiUR8VWlqbuoyo/view?usp=sharing" TargetMode="External"/><Relationship Id="rId1622" Type="http://schemas.openxmlformats.org/officeDocument/2006/relationships/hyperlink" Target="https://drive.google.com/file/d/1PJKuIzN__QKDY9tzIViLEFJJx0UudDZz/view?usp=sharing" TargetMode="External"/><Relationship Id="rId2953" Type="http://schemas.openxmlformats.org/officeDocument/2006/relationships/hyperlink" Target="https://drive.google.com/file/d/163l5vQE3l9xkjlhRJFLVekm6L1UkmG7L/view?usp=sharing" TargetMode="External"/><Relationship Id="rId1623" Type="http://schemas.openxmlformats.org/officeDocument/2006/relationships/hyperlink" Target="https://drive.google.com/file/d/1P0EdrEJL8MhC8NfbY2fZ0PFdDcWvSp17/view?usp=sharing" TargetMode="External"/><Relationship Id="rId2954" Type="http://schemas.openxmlformats.org/officeDocument/2006/relationships/hyperlink" Target="https://drive.google.com/file/d/1F6H2IjvYr9hv_4byGzyZGaJGsRu0iQRS/view?usp=sharing" TargetMode="External"/><Relationship Id="rId1624" Type="http://schemas.openxmlformats.org/officeDocument/2006/relationships/hyperlink" Target="https://drive.google.com/file/d/1ecKniBF-r8ye_wzlyx-hb587Tzee8ziq/view?usp=sharing" TargetMode="External"/><Relationship Id="rId2955" Type="http://schemas.openxmlformats.org/officeDocument/2006/relationships/hyperlink" Target="https://drive.google.com/file/d/1eFbAYY89WlPYwXA1BNCWreC3PPBVVJoa/view?usp=sharing" TargetMode="External"/><Relationship Id="rId1625" Type="http://schemas.openxmlformats.org/officeDocument/2006/relationships/hyperlink" Target="https://drive.google.com/file/d/1u25gFF4z5mM9wq29nnPOh1mfve9L_BhB/view?usp=sharing" TargetMode="External"/><Relationship Id="rId2956" Type="http://schemas.openxmlformats.org/officeDocument/2006/relationships/hyperlink" Target="https://drive.google.com/file/d/1N8XNWh913OAjl6czWtlVN1RSOt34e_m9/view?usp=sharing" TargetMode="External"/><Relationship Id="rId1626" Type="http://schemas.openxmlformats.org/officeDocument/2006/relationships/hyperlink" Target="https://drive.google.com/file/d/1Y4sWnrnUrb-P6QGvkym6Fs_odn-ZiMth/view?usp=sharing" TargetMode="External"/><Relationship Id="rId2957" Type="http://schemas.openxmlformats.org/officeDocument/2006/relationships/hyperlink" Target="https://drive.google.com/file/d/1Tr0G7kNIi-ckjMos_Npn39VpwcBuVDI_/view?usp=sharing" TargetMode="External"/><Relationship Id="rId1627" Type="http://schemas.openxmlformats.org/officeDocument/2006/relationships/hyperlink" Target="https://drive.google.com/file/d/1A4G14r1buZLRT9324liwpFbH3CBtMQBw/view?usp=sharing" TargetMode="External"/><Relationship Id="rId2958" Type="http://schemas.openxmlformats.org/officeDocument/2006/relationships/hyperlink" Target="https://drive.google.com/file/d/1OLHLQrL_JOKRCqQH0QRGPRliwKxep5Fs/view?usp=sharing" TargetMode="External"/><Relationship Id="rId918" Type="http://schemas.openxmlformats.org/officeDocument/2006/relationships/hyperlink" Target="https://drive.google.com/file/d/18ACuGuD7i2Zlb0bwHM4SFRoLhnvFQDAy/view?usp=sharing" TargetMode="External"/><Relationship Id="rId1628" Type="http://schemas.openxmlformats.org/officeDocument/2006/relationships/hyperlink" Target="https://drive.google.com/file/d/149kxLcrnV5fM7OgViVqMsMGwBX24c9JL/view?usp=sharing" TargetMode="External"/><Relationship Id="rId2959" Type="http://schemas.openxmlformats.org/officeDocument/2006/relationships/hyperlink" Target="https://drive.google.com/file/d/1IUNzbjsFiJAO9WZYKWJ8tYRVrYLLVhj0/view?usp=sharing" TargetMode="External"/><Relationship Id="rId917" Type="http://schemas.openxmlformats.org/officeDocument/2006/relationships/hyperlink" Target="https://drive.google.com/file/d/1i_YbG2sNCU3EK3ljC3NtC-3gqEEDF2kt/view?usp=sharing" TargetMode="External"/><Relationship Id="rId1629" Type="http://schemas.openxmlformats.org/officeDocument/2006/relationships/hyperlink" Target="https://drive.google.com/file/d/1WuaVkIlurdpnN1PUGebF0u5-ui3ovetp/view?usp=sharing" TargetMode="External"/><Relationship Id="rId916" Type="http://schemas.openxmlformats.org/officeDocument/2006/relationships/hyperlink" Target="https://drive.google.com/file/d/1e4N_t2crBuWDxL-1IGNFA-wEg7BZA0jO/view?usp=sharing" TargetMode="External"/><Relationship Id="rId915" Type="http://schemas.openxmlformats.org/officeDocument/2006/relationships/hyperlink" Target="https://drive.google.com/file/d/1T3fN3oq5dM01SByc-yO9Y5oZ6IQK2LSd/view?usp=sharing" TargetMode="External"/><Relationship Id="rId919" Type="http://schemas.openxmlformats.org/officeDocument/2006/relationships/hyperlink" Target="https://drive.google.com/file/d/1A6tVLN6rtw7L0io9_7KH17ps0Tir9OQi/view?usp=sharing" TargetMode="External"/><Relationship Id="rId910" Type="http://schemas.openxmlformats.org/officeDocument/2006/relationships/hyperlink" Target="https://drive.google.com/file/d/1_3apRHlJXBLqrtcPnt2hwWX_x7Rto-9i/view?usp=sharing" TargetMode="External"/><Relationship Id="rId914" Type="http://schemas.openxmlformats.org/officeDocument/2006/relationships/hyperlink" Target="https://drive.google.com/file/d/1noa3cij5DGy6FJA_6INPaF1pibTiXnrS/view?usp=sharing" TargetMode="External"/><Relationship Id="rId913" Type="http://schemas.openxmlformats.org/officeDocument/2006/relationships/hyperlink" Target="https://drive.google.com/file/d/1E8BcffpsOqigVTHmaaTOaYm2vpa-jsmp/view?usp=sharing" TargetMode="External"/><Relationship Id="rId912" Type="http://schemas.openxmlformats.org/officeDocument/2006/relationships/hyperlink" Target="https://drive.google.com/file/d/1SAei-LUv_InFDpT48PyKRvKhabpnwVJr/view?usp=sharing" TargetMode="External"/><Relationship Id="rId911" Type="http://schemas.openxmlformats.org/officeDocument/2006/relationships/hyperlink" Target="https://drive.google.com/file/d/1-t3T7M_PfbNC7XuHpOWGlyM5ah_PojsI/view?usp=sharing" TargetMode="External"/><Relationship Id="rId2950" Type="http://schemas.openxmlformats.org/officeDocument/2006/relationships/hyperlink" Target="https://drive.google.com/file/d/1sNrxo97cnav_gpQzKm-ZSLbVC4Sel-8p/view?usp=sharing" TargetMode="External"/><Relationship Id="rId2900" Type="http://schemas.openxmlformats.org/officeDocument/2006/relationships/hyperlink" Target="https://drive.google.com/file/d/1He-worubYIrg8AUt8P4ESq5UPuZOYCLW/view?usp=sharing" TargetMode="External"/><Relationship Id="rId2901" Type="http://schemas.openxmlformats.org/officeDocument/2006/relationships/hyperlink" Target="https://drive.google.com/file/d/1NpuyWmYpaOoomlhCU63U0IQg7dsuwzoh/view?usp=sharing" TargetMode="External"/><Relationship Id="rId2902" Type="http://schemas.openxmlformats.org/officeDocument/2006/relationships/hyperlink" Target="https://drive.google.com/file/d/1YD45I_xzVoh0Iv_lJDcu7fPCaMbmcctN/view?usp=sharing" TargetMode="External"/><Relationship Id="rId2903" Type="http://schemas.openxmlformats.org/officeDocument/2006/relationships/hyperlink" Target="https://drive.google.com/file/d/11rJGcJzRPNhEVAVyzeV477uOrhKskr0d/view?usp=sharing" TargetMode="External"/><Relationship Id="rId2904" Type="http://schemas.openxmlformats.org/officeDocument/2006/relationships/hyperlink" Target="https://drive.google.com/file/d/1RPYNgUpz9DtFAQ_z7v6-aID_TYX2qJYC/view?usp=sharing" TargetMode="External"/><Relationship Id="rId2905" Type="http://schemas.openxmlformats.org/officeDocument/2006/relationships/hyperlink" Target="https://drive.google.com/file/d/1HJYISKmJ832cltmEISdxT73j2q_pPALW/view?usp=sharing" TargetMode="External"/><Relationship Id="rId2906" Type="http://schemas.openxmlformats.org/officeDocument/2006/relationships/hyperlink" Target="https://drive.google.com/file/d/1XwiSP26OiEJdFm_YweLOHjEoSEntg_1v/view?usp=sharing" TargetMode="External"/><Relationship Id="rId2907" Type="http://schemas.openxmlformats.org/officeDocument/2006/relationships/hyperlink" Target="https://drive.google.com/file/d/1DhD8ndaW1VhP-icaMZv1d68XISDC7-2t/view?usp=sharing" TargetMode="External"/><Relationship Id="rId2908" Type="http://schemas.openxmlformats.org/officeDocument/2006/relationships/hyperlink" Target="https://drive.google.com/file/d/1ykW4ISIRcqnUhAle_ePTcZdHg5wmW1A6/view?usp=sharing" TargetMode="External"/><Relationship Id="rId2909" Type="http://schemas.openxmlformats.org/officeDocument/2006/relationships/hyperlink" Target="https://drive.google.com/file/d/1-DuwNZhBKNAgDpIp5a5VFtB-dKNyD8ll/view?usp=sharing" TargetMode="External"/><Relationship Id="rId2920" Type="http://schemas.openxmlformats.org/officeDocument/2006/relationships/hyperlink" Target="https://drive.google.com/file/d/1sChEhztZMsEv9JQoCvrbDCbXuCQzwNrY/view?usp=sharing" TargetMode="External"/><Relationship Id="rId2921" Type="http://schemas.openxmlformats.org/officeDocument/2006/relationships/hyperlink" Target="https://drive.google.com/file/d/1-JtYk6UIJSaKtzte_VkC8Zck5wrPcQEB/view?usp=sharing" TargetMode="External"/><Relationship Id="rId2922" Type="http://schemas.openxmlformats.org/officeDocument/2006/relationships/hyperlink" Target="https://drive.google.com/file/d/10iAdrOWihXeZba1c6qlTtSDMnNj5gDQA/view?usp=sharing" TargetMode="External"/><Relationship Id="rId2923" Type="http://schemas.openxmlformats.org/officeDocument/2006/relationships/hyperlink" Target="https://drive.google.com/file/d/14ZY-ggvWY1aTgjADc2ArL2o2DYIM2oZM/view?usp=sharing" TargetMode="External"/><Relationship Id="rId2924" Type="http://schemas.openxmlformats.org/officeDocument/2006/relationships/hyperlink" Target="https://drive.google.com/file/d/1xxyPyNZ_ZrpCjPfQUAsli1q_UTaxQctL/view?usp=sharing" TargetMode="External"/><Relationship Id="rId2925" Type="http://schemas.openxmlformats.org/officeDocument/2006/relationships/hyperlink" Target="https://drive.google.com/file/d/1WK6HaWKRxG8IruVjMANpWwaFJn9zagQa/view?usp=sharing" TargetMode="External"/><Relationship Id="rId2926" Type="http://schemas.openxmlformats.org/officeDocument/2006/relationships/hyperlink" Target="https://drive.google.com/file/d/1N6s13oE3ri2FOKe2qRnoPFYQ0xVkVB_G/view?usp=sharing" TargetMode="External"/><Relationship Id="rId2927" Type="http://schemas.openxmlformats.org/officeDocument/2006/relationships/hyperlink" Target="https://drive.google.com/file/d/1S6F8bSwY9LA9WbN_OBLr1HOsblpUEGx4/view?usp=sharing" TargetMode="External"/><Relationship Id="rId2928" Type="http://schemas.openxmlformats.org/officeDocument/2006/relationships/hyperlink" Target="https://drive.google.com/file/d/1WTiq9ZAQRrkf-g5G36jVPoEyyo2Kvouc/view?usp=sharing" TargetMode="External"/><Relationship Id="rId2929" Type="http://schemas.openxmlformats.org/officeDocument/2006/relationships/hyperlink" Target="https://drive.google.com/file/d/1YGZDJyEN4Kco85rfRgTyQnJh226XN-GL/view?usp=sharing" TargetMode="External"/><Relationship Id="rId2910" Type="http://schemas.openxmlformats.org/officeDocument/2006/relationships/hyperlink" Target="https://drive.google.com/file/d/1V8B2YZA59xCdM7T4Q6JnLVhUbyJ2nX0z/view?usp=sharing" TargetMode="External"/><Relationship Id="rId2911" Type="http://schemas.openxmlformats.org/officeDocument/2006/relationships/hyperlink" Target="https://drive.google.com/file/d/15ROXqroGo6aU28GZkF2maS1i9qHI-T2n/view?usp=sharing" TargetMode="External"/><Relationship Id="rId2912" Type="http://schemas.openxmlformats.org/officeDocument/2006/relationships/hyperlink" Target="https://drive.google.com/file/d/1xiFd-ouRn0CbScyMPk4gTZxPwBexYXsI/view?usp=sharing" TargetMode="External"/><Relationship Id="rId2913" Type="http://schemas.openxmlformats.org/officeDocument/2006/relationships/hyperlink" Target="https://drive.google.com/file/d/1bNfLUvimnuRyP3iA4yAU5F1TujR-3M9t/view?usp=sharing" TargetMode="External"/><Relationship Id="rId2914" Type="http://schemas.openxmlformats.org/officeDocument/2006/relationships/hyperlink" Target="https://drive.google.com/file/d/1d_KNX1cIIKlRpcwZUJoMaRJXEnUOkAde/view?usp=sharing" TargetMode="External"/><Relationship Id="rId2915" Type="http://schemas.openxmlformats.org/officeDocument/2006/relationships/hyperlink" Target="https://drive.google.com/file/d/13Sb68tFbxfvxdTREdJet0s_Scr9b5DRQ/view?usp=sharing" TargetMode="External"/><Relationship Id="rId2916" Type="http://schemas.openxmlformats.org/officeDocument/2006/relationships/hyperlink" Target="https://drive.google.com/file/d/1OlgvZHhmIljBFZKliK85vKM_ur_U_12o/view?usp=sharing" TargetMode="External"/><Relationship Id="rId2917" Type="http://schemas.openxmlformats.org/officeDocument/2006/relationships/hyperlink" Target="https://drive.google.com/file/d/1DXfE1S3gfR9u6hQSsjCd78QZsPwNvvZd/view?usp=sharing" TargetMode="External"/><Relationship Id="rId2918" Type="http://schemas.openxmlformats.org/officeDocument/2006/relationships/hyperlink" Target="https://drive.google.com/file/d/1WrTWO3ls9GKO5sB-8_7oYi7PdDYDmx2P/view?usp=sharing" TargetMode="External"/><Relationship Id="rId2919" Type="http://schemas.openxmlformats.org/officeDocument/2006/relationships/hyperlink" Target="https://drive.google.com/file/d/1vwMlblUS06mjO5MUBSPohdDy2bymPcJw/view?usp=sharing" TargetMode="External"/><Relationship Id="rId1697" Type="http://schemas.openxmlformats.org/officeDocument/2006/relationships/hyperlink" Target="https://drive.google.com/file/d/12KObfW4Q41XMQg9bK1C4vG04JxWayp8q/view?usp=sharing" TargetMode="External"/><Relationship Id="rId1698" Type="http://schemas.openxmlformats.org/officeDocument/2006/relationships/hyperlink" Target="https://drive.google.com/file/d/1B1He3S8UJxEjTkrtYy8fwbGJ58BlDrD0/view?usp=sharing" TargetMode="External"/><Relationship Id="rId1699" Type="http://schemas.openxmlformats.org/officeDocument/2006/relationships/hyperlink" Target="https://drive.google.com/file/d/1qkIhLwyWaT53vnVDPnT6Qy1SpIXfFvD3/view?usp=sharing" TargetMode="External"/><Relationship Id="rId866" Type="http://schemas.openxmlformats.org/officeDocument/2006/relationships/hyperlink" Target="https://drive.google.com/file/d/1YtSKZMe4FGzY-3LtMDXjevgYM5Xnpmeo/view?usp=sharing" TargetMode="External"/><Relationship Id="rId865" Type="http://schemas.openxmlformats.org/officeDocument/2006/relationships/hyperlink" Target="https://drive.google.com/file/d/1NyFRnKYp9lsxY2NSUP6piLbbq1_vp8rd/view?usp=sharing" TargetMode="External"/><Relationship Id="rId864" Type="http://schemas.openxmlformats.org/officeDocument/2006/relationships/hyperlink" Target="https://drive.google.com/file/d/1Fm2_kly1EpG3XFq8aAr5SRZxPEC0gspd/view?usp=sharing" TargetMode="External"/><Relationship Id="rId863" Type="http://schemas.openxmlformats.org/officeDocument/2006/relationships/hyperlink" Target="https://drive.google.com/file/d/1VRrWwGmj5C9I123RT2b-aNplJVyxs3CS/view?usp=sharing" TargetMode="External"/><Relationship Id="rId869" Type="http://schemas.openxmlformats.org/officeDocument/2006/relationships/hyperlink" Target="https://drive.google.com/file/d/1u7eClN3LVA6T0yCLWZjpTWPXDEtw33k5/view?usp=sharing" TargetMode="External"/><Relationship Id="rId868" Type="http://schemas.openxmlformats.org/officeDocument/2006/relationships/hyperlink" Target="https://drive.google.com/file/d/1lSmPeJHz0uOxT35EgMKfr0OUTgXpNx4E/view?usp=sharing" TargetMode="External"/><Relationship Id="rId867" Type="http://schemas.openxmlformats.org/officeDocument/2006/relationships/hyperlink" Target="https://drive.google.com/file/d/1WYUOBXCqAZrtHlHaAkNhmC6ZH0wfAbfS/view?usp=sharing" TargetMode="External"/><Relationship Id="rId1690" Type="http://schemas.openxmlformats.org/officeDocument/2006/relationships/hyperlink" Target="https://drive.google.com/file/d/1P_J1BOmDDpoYlFtObb1ozgfwDCKrwbxq/view?usp=sharing" TargetMode="External"/><Relationship Id="rId1691" Type="http://schemas.openxmlformats.org/officeDocument/2006/relationships/hyperlink" Target="https://drive.google.com/file/d/1RhdqccWPb7HYQ0v0VrM1nNTOyBdk_FlI/view?usp=sharing" TargetMode="External"/><Relationship Id="rId1692" Type="http://schemas.openxmlformats.org/officeDocument/2006/relationships/hyperlink" Target="https://drive.google.com/file/d/1rRt1mZOTziGsEMO5IGTT-puATIHH5543/view?usp=sharing" TargetMode="External"/><Relationship Id="rId862" Type="http://schemas.openxmlformats.org/officeDocument/2006/relationships/hyperlink" Target="https://drive.google.com/file/d/1paR94yeIQtJdqk7sBHtt_CdnndKRZNE9/view?usp=sharing" TargetMode="External"/><Relationship Id="rId1693" Type="http://schemas.openxmlformats.org/officeDocument/2006/relationships/hyperlink" Target="https://drive.google.com/file/d/1nj98yv5JgN0_172h4zP0vmlSgSGSucry/view?usp=sharing" TargetMode="External"/><Relationship Id="rId861" Type="http://schemas.openxmlformats.org/officeDocument/2006/relationships/hyperlink" Target="https://drive.google.com/file/d/1J3yaFnG5CmstGSo2D13wNnu1J8OA7nu6/view?usp=sharing" TargetMode="External"/><Relationship Id="rId1694" Type="http://schemas.openxmlformats.org/officeDocument/2006/relationships/hyperlink" Target="https://drive.google.com/file/d/1s2X4ZdOLqaDmMBySOAxOQlhhSkELnwcq/view?usp=sharing" TargetMode="External"/><Relationship Id="rId860" Type="http://schemas.openxmlformats.org/officeDocument/2006/relationships/hyperlink" Target="https://drive.google.com/file/d/1L8EvcUYnkzCxGQSyGo26T_I21gLMQ9Cl/view?usp=sharing" TargetMode="External"/><Relationship Id="rId1695" Type="http://schemas.openxmlformats.org/officeDocument/2006/relationships/hyperlink" Target="https://drive.google.com/file/d/1ZOHHY3aDofKLLj9bXuznpHnQpwObH53k/view?usp=sharing" TargetMode="External"/><Relationship Id="rId1696" Type="http://schemas.openxmlformats.org/officeDocument/2006/relationships/hyperlink" Target="https://drive.google.com/file/d/1kqWTFyDmheZnxVXz4CmAtrZhLEp5jZ1W/view?usp=sharing" TargetMode="External"/><Relationship Id="rId1686" Type="http://schemas.openxmlformats.org/officeDocument/2006/relationships/hyperlink" Target="https://drive.google.com/file/d/171531Z3Npf0nF1-bNuMxeIdk6yueLoS5/view?usp=sharing" TargetMode="External"/><Relationship Id="rId1687" Type="http://schemas.openxmlformats.org/officeDocument/2006/relationships/hyperlink" Target="https://drive.google.com/file/d/15TVNlb0rY2rdMhQih65tKFPSVdMQLIOX/view?usp=sharing" TargetMode="External"/><Relationship Id="rId1688" Type="http://schemas.openxmlformats.org/officeDocument/2006/relationships/hyperlink" Target="https://drive.google.com/file/d/16DZfVz1Dk2NaE4G08jFF8TV8Dp9Tg70-/view?usp=sharing" TargetMode="External"/><Relationship Id="rId1689" Type="http://schemas.openxmlformats.org/officeDocument/2006/relationships/hyperlink" Target="https://drive.google.com/file/d/1J7KKhuSYxaw-CsK-75TYCB0oNGRmbdE8/view?usp=sharing" TargetMode="External"/><Relationship Id="rId855" Type="http://schemas.openxmlformats.org/officeDocument/2006/relationships/hyperlink" Target="https://drive.google.com/file/d/1IJFMbQFImi14iAmuCgVVzIuFdHkKR0yJ/view?usp=sharing" TargetMode="External"/><Relationship Id="rId854" Type="http://schemas.openxmlformats.org/officeDocument/2006/relationships/hyperlink" Target="https://drive.google.com/file/d/1l55vN2Gmbz7_JmlSJwJNnnmVPJT9KV6S/view?usp=sharing" TargetMode="External"/><Relationship Id="rId853" Type="http://schemas.openxmlformats.org/officeDocument/2006/relationships/hyperlink" Target="https://drive.google.com/file/d/12tAXmhxO31uw-_Z3xMK6kTbNXxFIRtbE/view?usp=sharing" TargetMode="External"/><Relationship Id="rId852" Type="http://schemas.openxmlformats.org/officeDocument/2006/relationships/hyperlink" Target="https://drive.google.com/file/d/16Qw3lOhh6SwBHOgCVeR4zkJLMW83dfSR/view?usp=sharing" TargetMode="External"/><Relationship Id="rId859" Type="http://schemas.openxmlformats.org/officeDocument/2006/relationships/hyperlink" Target="https://drive.google.com/file/d/1BkzXCM17DwhWdYOWEinKzHURwem-e0DK/view?usp=sharing" TargetMode="External"/><Relationship Id="rId858" Type="http://schemas.openxmlformats.org/officeDocument/2006/relationships/hyperlink" Target="https://drive.google.com/file/d/1673UAmgJiu-U__P6v8Gv3LSXCV9qunv6/view?usp=sharing" TargetMode="External"/><Relationship Id="rId857" Type="http://schemas.openxmlformats.org/officeDocument/2006/relationships/hyperlink" Target="https://drive.google.com/file/d/1YSms_aeay3Rh5G4lp76a_auHkTN63CAp/view?usp=sharing" TargetMode="External"/><Relationship Id="rId856" Type="http://schemas.openxmlformats.org/officeDocument/2006/relationships/hyperlink" Target="https://drive.google.com/file/d/147K75RWl1LZoePTIkNcIWrBZoDfQ8wS6/view?usp=sharing" TargetMode="External"/><Relationship Id="rId1680" Type="http://schemas.openxmlformats.org/officeDocument/2006/relationships/hyperlink" Target="https://drive.google.com/file/d/1102s4Kjh1xrfoiHqha7lPi70Yl-P7oE6/view?usp=sharing" TargetMode="External"/><Relationship Id="rId1681" Type="http://schemas.openxmlformats.org/officeDocument/2006/relationships/hyperlink" Target="https://drive.google.com/file/d/101edF2ikH-sYqGjXZFd2xcdNmtbh0-hf/view?usp=sharing" TargetMode="External"/><Relationship Id="rId851" Type="http://schemas.openxmlformats.org/officeDocument/2006/relationships/hyperlink" Target="https://drive.google.com/file/d/1NU8v7gSLUJb1MRM9TDvnCrqvClel6opy/view?usp=sharing" TargetMode="External"/><Relationship Id="rId1682" Type="http://schemas.openxmlformats.org/officeDocument/2006/relationships/hyperlink" Target="https://drive.google.com/file/d/14M7FwHS0T3xge6dO3vn0uNipCffdkGco/view?usp=sharing" TargetMode="External"/><Relationship Id="rId850" Type="http://schemas.openxmlformats.org/officeDocument/2006/relationships/hyperlink" Target="https://drive.google.com/file/d/13ia3qqKuTl7TzMZW7UO3aILTJ40kI6ig/view?usp=sharing" TargetMode="External"/><Relationship Id="rId1683" Type="http://schemas.openxmlformats.org/officeDocument/2006/relationships/hyperlink" Target="https://drive.google.com/file/d/1b2Dfm4_-PFZUQfkOEKJjSMtNUojI1Cge/view?usp=sharing" TargetMode="External"/><Relationship Id="rId1684" Type="http://schemas.openxmlformats.org/officeDocument/2006/relationships/hyperlink" Target="https://drive.google.com/file/d/1iktCnKhb6o9oFUf8E2J-IHdoV4oQ8X6o/view?usp=sharing" TargetMode="External"/><Relationship Id="rId1685" Type="http://schemas.openxmlformats.org/officeDocument/2006/relationships/hyperlink" Target="https://drive.google.com/file/d/1-li8CorWm1HzuiCq8dFTjeasYY0JynkK/view?usp=sharing" TargetMode="External"/><Relationship Id="rId888" Type="http://schemas.openxmlformats.org/officeDocument/2006/relationships/hyperlink" Target="https://drive.google.com/file/d/126R-7EEq0bttaM8mFe4zULDC9-AeC3Ex/view?usp=sharing" TargetMode="External"/><Relationship Id="rId887" Type="http://schemas.openxmlformats.org/officeDocument/2006/relationships/hyperlink" Target="https://drive.google.com/file/d/1UQOsTGNTXG8HQRi16G2PbeX_Kxdj7gTu/view?usp=sharing" TargetMode="External"/><Relationship Id="rId886" Type="http://schemas.openxmlformats.org/officeDocument/2006/relationships/hyperlink" Target="https://drive.google.com/file/d/17fY7BqXf6SbC9aA1fLUEH3tCG03BVhvi/view?usp=sharing" TargetMode="External"/><Relationship Id="rId885" Type="http://schemas.openxmlformats.org/officeDocument/2006/relationships/hyperlink" Target="https://drive.google.com/file/d/1CxpZJ7yQmPCkGm9YxneaL3c4bewKkzB6/view?usp=sharing" TargetMode="External"/><Relationship Id="rId889" Type="http://schemas.openxmlformats.org/officeDocument/2006/relationships/hyperlink" Target="https://drive.google.com/file/d/1tlvhAPz1OVtJOurp6dG5WV-InLBJ4Ljy/view?usp=sharing" TargetMode="External"/><Relationship Id="rId880" Type="http://schemas.openxmlformats.org/officeDocument/2006/relationships/hyperlink" Target="https://drive.google.com/file/d/1XtWjBmUGclzEZR61tnbNCer807B8vz4L/view?usp=sharing" TargetMode="External"/><Relationship Id="rId884" Type="http://schemas.openxmlformats.org/officeDocument/2006/relationships/hyperlink" Target="https://drive.google.com/file/d/1WOghVjmsmHCpI1V5WpLAORxGteS6J05H/view?usp=sharing" TargetMode="External"/><Relationship Id="rId883" Type="http://schemas.openxmlformats.org/officeDocument/2006/relationships/hyperlink" Target="https://drive.google.com/file/d/1xTkBl0lOzkki6qfh288O30xNeysdfAae/view?usp=sharing" TargetMode="External"/><Relationship Id="rId882" Type="http://schemas.openxmlformats.org/officeDocument/2006/relationships/hyperlink" Target="https://drive.google.com/file/d/1HP5GLze2hBjcd-5R_zbgtoIBep1E_BJZ/view?usp=sharing" TargetMode="External"/><Relationship Id="rId881" Type="http://schemas.openxmlformats.org/officeDocument/2006/relationships/hyperlink" Target="https://drive.google.com/file/d/1Yp3oy7KvT5feqEOZS4ydZZDP_uedUu-w/view?usp=sharing" TargetMode="External"/><Relationship Id="rId877" Type="http://schemas.openxmlformats.org/officeDocument/2006/relationships/hyperlink" Target="https://drive.google.com/file/d/10RCiiogLoErtwWhdqYQlav_UiIzdbS31/view?usp=sharing" TargetMode="External"/><Relationship Id="rId876" Type="http://schemas.openxmlformats.org/officeDocument/2006/relationships/hyperlink" Target="https://drive.google.com/file/d/1KbVNZOOi5y-FoGRBT35caLodB5zWd_7_/view?usp=sharing" TargetMode="External"/><Relationship Id="rId875" Type="http://schemas.openxmlformats.org/officeDocument/2006/relationships/hyperlink" Target="https://drive.google.com/file/d/17A9Y3H-zPWvG-OaRwdDLRxN-A-t1t8-C/view?usp=sharing" TargetMode="External"/><Relationship Id="rId874" Type="http://schemas.openxmlformats.org/officeDocument/2006/relationships/hyperlink" Target="https://drive.google.com/file/d/1JHuCcqk1_kqlJ41l5V5HGNf_50MEmIoz/view?usp=sharing" TargetMode="External"/><Relationship Id="rId879" Type="http://schemas.openxmlformats.org/officeDocument/2006/relationships/hyperlink" Target="https://drive.google.com/file/d/1tTe5nYETvvZ5lDUMXfns3NWgsQskvWMi/view?usp=sharing" TargetMode="External"/><Relationship Id="rId878" Type="http://schemas.openxmlformats.org/officeDocument/2006/relationships/hyperlink" Target="https://drive.google.com/file/d/1MtD6A1pmiWLox69cYcgklVmH_3rrQKAK/view?usp=sharing" TargetMode="External"/><Relationship Id="rId873" Type="http://schemas.openxmlformats.org/officeDocument/2006/relationships/hyperlink" Target="https://drive.google.com/file/d/1uQeo8iV55fRostk6vrt2qV45wNqkgdsL/view?usp=sharing" TargetMode="External"/><Relationship Id="rId872" Type="http://schemas.openxmlformats.org/officeDocument/2006/relationships/hyperlink" Target="https://drive.google.com/file/d/1ldRUaTIcygkhTsFekp3lAPeHBJdvDwx0/view?usp=sharing" TargetMode="External"/><Relationship Id="rId871" Type="http://schemas.openxmlformats.org/officeDocument/2006/relationships/hyperlink" Target="https://drive.google.com/file/d/1Jkine9MpXmCKtVKt-Ua391faW58vSp-P/view?usp=sharing" TargetMode="External"/><Relationship Id="rId870" Type="http://schemas.openxmlformats.org/officeDocument/2006/relationships/hyperlink" Target="https://drive.google.com/file/d/1YkfoU30zFiNnGuDZ0BObm_oSbGvVKXrb/view?usp=sharing" TargetMode="External"/><Relationship Id="rId1653" Type="http://schemas.openxmlformats.org/officeDocument/2006/relationships/hyperlink" Target="https://drive.google.com/file/d/1HxoW6nfSdcd8EHHONSE-HdxcINlPBJjR/view?usp=sharing" TargetMode="External"/><Relationship Id="rId2984" Type="http://schemas.openxmlformats.org/officeDocument/2006/relationships/hyperlink" Target="https://drive.google.com/file/d/1JghUIVEOfU0o6KVWguwpLD6-cY3eQJRM/view?usp=sharing" TargetMode="External"/><Relationship Id="rId1654" Type="http://schemas.openxmlformats.org/officeDocument/2006/relationships/hyperlink" Target="https://drive.google.com/file/d/1tvresOsZ8ZrV2ZTg-kKKJljLLRcEt_pO/view?usp=sharing" TargetMode="External"/><Relationship Id="rId2985" Type="http://schemas.openxmlformats.org/officeDocument/2006/relationships/hyperlink" Target="https://drive.google.com/file/d/1-6Zm955BOd6vmSP8dZg55hc6xsjVLdnD/view?usp=sharing" TargetMode="External"/><Relationship Id="rId1655" Type="http://schemas.openxmlformats.org/officeDocument/2006/relationships/hyperlink" Target="https://drive.google.com/file/d/1oumg-75DKJmnGt1OzyJVwMlTzAIYe8dF/view?usp=sharing" TargetMode="External"/><Relationship Id="rId2986" Type="http://schemas.openxmlformats.org/officeDocument/2006/relationships/hyperlink" Target="https://drive.google.com/file/d/1Q5I95NA4uaUq-r6hay2ogRs79WELjKm6/view?usp=sharing" TargetMode="External"/><Relationship Id="rId1656" Type="http://schemas.openxmlformats.org/officeDocument/2006/relationships/hyperlink" Target="https://drive.google.com/file/d/1VOWpNDlR1LOpHOUepZqnYkCHfGh0cfzT/view?usp=sharing" TargetMode="External"/><Relationship Id="rId2987" Type="http://schemas.openxmlformats.org/officeDocument/2006/relationships/hyperlink" Target="https://drive.google.com/file/d/16VGebknRltHpTUthc5Pvl0eAFWrVhAKy/view?usp=sharing" TargetMode="External"/><Relationship Id="rId1657" Type="http://schemas.openxmlformats.org/officeDocument/2006/relationships/hyperlink" Target="https://drive.google.com/file/d/1rEwftcet03N7qAnmB_qGB5biRc2EIW9Z/view?usp=sharing" TargetMode="External"/><Relationship Id="rId2988" Type="http://schemas.openxmlformats.org/officeDocument/2006/relationships/hyperlink" Target="https://drive.google.com/file/d/1Nfkfgr3pHhHH8ErHYDBEhBgB7aFHQlk5/view?usp=sharing" TargetMode="External"/><Relationship Id="rId1658" Type="http://schemas.openxmlformats.org/officeDocument/2006/relationships/hyperlink" Target="https://drive.google.com/file/d/1Sd8Zy7MzrUrcorHhl9AZLzM0-PPON1Hk/view?usp=sharing" TargetMode="External"/><Relationship Id="rId2989" Type="http://schemas.openxmlformats.org/officeDocument/2006/relationships/hyperlink" Target="https://drive.google.com/file/d/14PdjO8mPDRuDa2r3k6Wh9n3JpfUDhpHT/view?usp=sharing" TargetMode="External"/><Relationship Id="rId1659" Type="http://schemas.openxmlformats.org/officeDocument/2006/relationships/hyperlink" Target="https://drive.google.com/file/d/1gUZ9gr6MHak2OKUqoNJ5j050BaY5HNkp/view?usp=sharing" TargetMode="External"/><Relationship Id="rId829" Type="http://schemas.openxmlformats.org/officeDocument/2006/relationships/hyperlink" Target="https://drive.google.com/file/d/19mn9oUMsBFp2EmLebY1t-8vgu7nLY_4W/view?usp=sharing" TargetMode="External"/><Relationship Id="rId828" Type="http://schemas.openxmlformats.org/officeDocument/2006/relationships/hyperlink" Target="https://drive.google.com/file/d/1I9wobF9ba9_4r3yBEFn1dGoZiJ7F0sX0/view?usp=sharing" TargetMode="External"/><Relationship Id="rId827" Type="http://schemas.openxmlformats.org/officeDocument/2006/relationships/hyperlink" Target="https://drive.google.com/file/d/1c-7LnwD-NaXIw4yiGSHf-rmfladH54Nc/view?usp=sharing" TargetMode="External"/><Relationship Id="rId822" Type="http://schemas.openxmlformats.org/officeDocument/2006/relationships/hyperlink" Target="https://drive.google.com/file/d/1MlbgbF_m1jCmcdeyTqHVWetZ0jgG9fXB/view?usp=sharing" TargetMode="External"/><Relationship Id="rId821" Type="http://schemas.openxmlformats.org/officeDocument/2006/relationships/hyperlink" Target="https://drive.google.com/file/d/1hFS3D4l1-m3cV8xCn-bZvKZAAG-eq31L/view?usp=sharing" TargetMode="External"/><Relationship Id="rId820" Type="http://schemas.openxmlformats.org/officeDocument/2006/relationships/hyperlink" Target="https://drive.google.com/file/d/1O7LfC26ziqTZDGeCUpWXgDea1_Gt8Bng/view?usp=sharing" TargetMode="External"/><Relationship Id="rId826" Type="http://schemas.openxmlformats.org/officeDocument/2006/relationships/hyperlink" Target="https://drive.google.com/file/d/198LraZZbQB49Ij4uBeT0vuLOtrzhzjQd/view?usp=sharing" TargetMode="External"/><Relationship Id="rId825" Type="http://schemas.openxmlformats.org/officeDocument/2006/relationships/hyperlink" Target="https://drive.google.com/file/d/159xZnmNQx3C-LGbgXZg54MYAvcJ-bG-G/view?usp=sharing" TargetMode="External"/><Relationship Id="rId824" Type="http://schemas.openxmlformats.org/officeDocument/2006/relationships/hyperlink" Target="https://drive.google.com/file/d/1zvPjSq4Ay9n0tWhVjPO2rY4gZF9RbwxX/view?usp=sharing" TargetMode="External"/><Relationship Id="rId823" Type="http://schemas.openxmlformats.org/officeDocument/2006/relationships/hyperlink" Target="https://drive.google.com/file/d/1Y06sp6xembXYI0fy-6BQir8ACNGBPX65/view?usp=sharing" TargetMode="External"/><Relationship Id="rId2980" Type="http://schemas.openxmlformats.org/officeDocument/2006/relationships/hyperlink" Target="https://drive.google.com/file/d/1CAOEp4NYsZkHdPommCCxBl_eg8_qEvgz/view?usp=sharing" TargetMode="External"/><Relationship Id="rId1650" Type="http://schemas.openxmlformats.org/officeDocument/2006/relationships/hyperlink" Target="https://drive.google.com/file/d/1ZoeuXZK5Pv6MSfb5F8qF9AZ6d6TNaM-a/view?usp=sharing" TargetMode="External"/><Relationship Id="rId2981" Type="http://schemas.openxmlformats.org/officeDocument/2006/relationships/hyperlink" Target="https://drive.google.com/file/d/1vV4eMbEkcCXYJVOstkPhWCk1792a5nSX/view?usp=sharing" TargetMode="External"/><Relationship Id="rId1651" Type="http://schemas.openxmlformats.org/officeDocument/2006/relationships/hyperlink" Target="https://drive.google.com/file/d/1eqHa_KhKo1mEC6RXC4o4dkO8B3K42VXM/view?usp=sharing" TargetMode="External"/><Relationship Id="rId2982" Type="http://schemas.openxmlformats.org/officeDocument/2006/relationships/hyperlink" Target="https://drive.google.com/file/d/15PNvuYeSIBXF7ERynY_6qjWYuU7MvdZ6/view?usp=sharing" TargetMode="External"/><Relationship Id="rId1652" Type="http://schemas.openxmlformats.org/officeDocument/2006/relationships/hyperlink" Target="https://drive.google.com/file/d/1eagnDRgFf7QYh8Fi_FHVzFGJlDoMm54M/view?usp=sharing" TargetMode="External"/><Relationship Id="rId2983" Type="http://schemas.openxmlformats.org/officeDocument/2006/relationships/hyperlink" Target="https://drive.google.com/file/d/1nzU7epxk2OtpaIjEj7T0H_MfBTPXAOjA/view?usp=sharing" TargetMode="External"/><Relationship Id="rId1642" Type="http://schemas.openxmlformats.org/officeDocument/2006/relationships/hyperlink" Target="https://drive.google.com/file/d/1eMacv1MXnXc4EGVUc-dgUhv_HDT5Ry3y/view?usp=sharing" TargetMode="External"/><Relationship Id="rId2973" Type="http://schemas.openxmlformats.org/officeDocument/2006/relationships/hyperlink" Target="https://drive.google.com/file/d/1d1Io4cubt9dnnBvCv14PFh8h4EeXCMBf/view?usp=sharing" TargetMode="External"/><Relationship Id="rId1643" Type="http://schemas.openxmlformats.org/officeDocument/2006/relationships/hyperlink" Target="https://drive.google.com/file/d/1_0cZLo4nBVVE2395_iDQJfoK-zBH6l42/view?usp=sharing" TargetMode="External"/><Relationship Id="rId2974" Type="http://schemas.openxmlformats.org/officeDocument/2006/relationships/hyperlink" Target="https://drive.google.com/file/d/17phSSIvgR5UaIyfUQaIxr2oUDfXkOsQi/view?usp=sharing" TargetMode="External"/><Relationship Id="rId1644" Type="http://schemas.openxmlformats.org/officeDocument/2006/relationships/hyperlink" Target="https://drive.google.com/file/d/1bD_6Kt1ljmEah05s8-P6OY5cypib17_b/view?usp=sharing" TargetMode="External"/><Relationship Id="rId2975" Type="http://schemas.openxmlformats.org/officeDocument/2006/relationships/hyperlink" Target="https://drive.google.com/file/d/1v2T6O6RjCZ0DU49Ueo-n5OxybJLDKqqU/view?usp=sharing" TargetMode="External"/><Relationship Id="rId1645" Type="http://schemas.openxmlformats.org/officeDocument/2006/relationships/hyperlink" Target="https://drive.google.com/file/d/1hXig3Kek46fY3uOIdYB7hCiYS-8TQIPp/view?usp=sharing" TargetMode="External"/><Relationship Id="rId2976" Type="http://schemas.openxmlformats.org/officeDocument/2006/relationships/hyperlink" Target="https://drive.google.com/file/d/1fB-gID0ju5WW7NmvX-JamOjduGl07nQP/view?usp=sharing" TargetMode="External"/><Relationship Id="rId1646" Type="http://schemas.openxmlformats.org/officeDocument/2006/relationships/hyperlink" Target="https://drive.google.com/file/d/1Z8HLwxEkPHPMwLiO0sGlPfxKXPbUvtqE/view?usp=sharing" TargetMode="External"/><Relationship Id="rId2977" Type="http://schemas.openxmlformats.org/officeDocument/2006/relationships/hyperlink" Target="https://drive.google.com/file/d/1IA9wpZ8rV96SA9W9eMQ8R15v_CeE4h1J/view?usp=sharing" TargetMode="External"/><Relationship Id="rId1647" Type="http://schemas.openxmlformats.org/officeDocument/2006/relationships/hyperlink" Target="https://drive.google.com/file/d/1o6PKOXoUT_9NB8pS-IMpNmam3Mx6sSRF/view?usp=sharing" TargetMode="External"/><Relationship Id="rId2978" Type="http://schemas.openxmlformats.org/officeDocument/2006/relationships/hyperlink" Target="https://drive.google.com/file/d/1HpqKMFqSFnA8ppeUoS49T6nZiQv3qhUn/view?usp=sharing" TargetMode="External"/><Relationship Id="rId1648" Type="http://schemas.openxmlformats.org/officeDocument/2006/relationships/hyperlink" Target="https://drive.google.com/file/d/1GRpH5w8SNBgyNZBCwUtu8bSR_1BwUmON/view?usp=sharing" TargetMode="External"/><Relationship Id="rId2979" Type="http://schemas.openxmlformats.org/officeDocument/2006/relationships/hyperlink" Target="https://drive.google.com/file/d/14CNNNAE1I6XkmHudOlIIwjc4PzpnpF-Q/view?usp=sharing" TargetMode="External"/><Relationship Id="rId1649" Type="http://schemas.openxmlformats.org/officeDocument/2006/relationships/hyperlink" Target="https://drive.google.com/file/d/1eBGA_sswT8W5j0PMaj-rGDRCoOAstZ7Q/view?usp=sharing" TargetMode="External"/><Relationship Id="rId819" Type="http://schemas.openxmlformats.org/officeDocument/2006/relationships/hyperlink" Target="https://drive.google.com/file/d/1m8qTBDScdoCTCrDHGYSuF7HvNrxcpjh5/view?usp=sharing" TargetMode="External"/><Relationship Id="rId818" Type="http://schemas.openxmlformats.org/officeDocument/2006/relationships/hyperlink" Target="https://drive.google.com/file/d/1ZnD2vl2HEukNTQTRC7NKuX29SUEtlvoY/view?usp=sharing" TargetMode="External"/><Relationship Id="rId817" Type="http://schemas.openxmlformats.org/officeDocument/2006/relationships/hyperlink" Target="https://drive.google.com/file/d/1bDpDuLuLM__Q6upgyAy98Pb4zW87omwW/view?usp=sharing" TargetMode="External"/><Relationship Id="rId816" Type="http://schemas.openxmlformats.org/officeDocument/2006/relationships/hyperlink" Target="https://drive.google.com/file/d/1yWXwz5P4ZVRGKkCidefLr5a93rzZlxQb/view?usp=sharing" TargetMode="External"/><Relationship Id="rId811" Type="http://schemas.openxmlformats.org/officeDocument/2006/relationships/hyperlink" Target="https://drive.google.com/file/d/1io9asga5QkXVI9y5-sUKg3z6q7AqLWON/view?usp=sharing" TargetMode="External"/><Relationship Id="rId810" Type="http://schemas.openxmlformats.org/officeDocument/2006/relationships/hyperlink" Target="https://drive.google.com/file/d/1J53JjNactcUrvvnmCAogxSGtY7ZSjOwK/view?usp=sharing" TargetMode="External"/><Relationship Id="rId815" Type="http://schemas.openxmlformats.org/officeDocument/2006/relationships/hyperlink" Target="https://drive.google.com/file/d/1v6j_iKofw2JrEJiiX8DBhIUXwJ4KNAGi/view?usp=sharing" TargetMode="External"/><Relationship Id="rId814" Type="http://schemas.openxmlformats.org/officeDocument/2006/relationships/hyperlink" Target="https://drive.google.com/file/d/1TFVlq8GdqUszwKVZlWCOCHqhSshR_ui0/view?usp=sharing" TargetMode="External"/><Relationship Id="rId813" Type="http://schemas.openxmlformats.org/officeDocument/2006/relationships/hyperlink" Target="https://drive.google.com/file/d/16vyu0p2KkTygLovIXKpvWJpdo03-a7CI/view?usp=sharing" TargetMode="External"/><Relationship Id="rId812" Type="http://schemas.openxmlformats.org/officeDocument/2006/relationships/hyperlink" Target="https://drive.google.com/file/d/1lxaIUsb5nbzW-6evP837XCNEmc9_pmYc/view?usp=sharing" TargetMode="External"/><Relationship Id="rId2970" Type="http://schemas.openxmlformats.org/officeDocument/2006/relationships/hyperlink" Target="https://drive.google.com/file/d/10zKgyMH2gQDvToi8wfaBPKJqg_Cgt1tB/view?usp=sharing" TargetMode="External"/><Relationship Id="rId1640" Type="http://schemas.openxmlformats.org/officeDocument/2006/relationships/hyperlink" Target="https://drive.google.com/file/d/16EUtkMbRXC0NdKZX-y7xRLbL_SA3E6tY/view?usp=sharing" TargetMode="External"/><Relationship Id="rId2971" Type="http://schemas.openxmlformats.org/officeDocument/2006/relationships/hyperlink" Target="https://drive.google.com/file/d/1EV-ajY0j2k9yRAUdAnA5oqtJtSvwQKeO/view?usp=sharing" TargetMode="External"/><Relationship Id="rId1641" Type="http://schemas.openxmlformats.org/officeDocument/2006/relationships/hyperlink" Target="https://drive.google.com/file/d/1azUnpCak2Moc0lup4MZhz_2A4B3mCdaJ/view?usp=sharing" TargetMode="External"/><Relationship Id="rId2972" Type="http://schemas.openxmlformats.org/officeDocument/2006/relationships/hyperlink" Target="https://drive.google.com/file/d/16p4vTnsrGkrQ55B1ZDYgWAeWO4xot29W/view?usp=sharing" TargetMode="External"/><Relationship Id="rId1675" Type="http://schemas.openxmlformats.org/officeDocument/2006/relationships/hyperlink" Target="https://drive.google.com/file/d/1fwLPg7OKoq55-qZ0XpIgEw79BNhqHa1l/view?usp=sharing" TargetMode="External"/><Relationship Id="rId1676" Type="http://schemas.openxmlformats.org/officeDocument/2006/relationships/hyperlink" Target="https://drive.google.com/file/d/1FKtqezTIuG6iRRkcsD5DcRHmhdpIUJtc/view?usp=sharing" TargetMode="External"/><Relationship Id="rId1677" Type="http://schemas.openxmlformats.org/officeDocument/2006/relationships/hyperlink" Target="https://drive.google.com/file/d/1YKINkXFNUrohz7p-eqSFmcDDlPhglbrt/view?usp=sharing" TargetMode="External"/><Relationship Id="rId1678" Type="http://schemas.openxmlformats.org/officeDocument/2006/relationships/hyperlink" Target="https://drive.google.com/file/d/1N-ATP4_BkRoA8_8om2LWAqzpZOgxGJwS/view?usp=sharing" TargetMode="External"/><Relationship Id="rId1679" Type="http://schemas.openxmlformats.org/officeDocument/2006/relationships/hyperlink" Target="https://drive.google.com/file/d/1-PSRvUgWD6LcAH6Ad43H0vKT8pSAhkye/view?usp=sharing" TargetMode="External"/><Relationship Id="rId849" Type="http://schemas.openxmlformats.org/officeDocument/2006/relationships/hyperlink" Target="https://drive.google.com/file/d/1gseawf7RgI031XdYrHkrEj_zDEvfj72t/view?usp=sharing" TargetMode="External"/><Relationship Id="rId844" Type="http://schemas.openxmlformats.org/officeDocument/2006/relationships/hyperlink" Target="https://drive.google.com/file/d/1-1-e2F3e_wSzmRy5wQ7L1sh8DlOap2mr/view?usp=sharing" TargetMode="External"/><Relationship Id="rId843" Type="http://schemas.openxmlformats.org/officeDocument/2006/relationships/hyperlink" Target="https://drive.google.com/file/d/1ndQ2g3eRmvDKps2OvNuy0Zpqf4k1hLkb/view?usp=sharing" TargetMode="External"/><Relationship Id="rId842" Type="http://schemas.openxmlformats.org/officeDocument/2006/relationships/hyperlink" Target="https://drive.google.com/file/d/1YsSWGpiCp4kZzdihGL8A671ZZvom-aYp/view?usp=sharing" TargetMode="External"/><Relationship Id="rId841" Type="http://schemas.openxmlformats.org/officeDocument/2006/relationships/hyperlink" Target="https://drive.google.com/file/d/1t6oy-4MI4uMRDmxHwlzx2csScSxQ9oNG/view?usp=sharing" TargetMode="External"/><Relationship Id="rId848" Type="http://schemas.openxmlformats.org/officeDocument/2006/relationships/hyperlink" Target="https://drive.google.com/file/d/1bXYPf6nvA0JGQlGTwhlrz-zuSpLuLBQk/view?usp=sharing" TargetMode="External"/><Relationship Id="rId847" Type="http://schemas.openxmlformats.org/officeDocument/2006/relationships/hyperlink" Target="https://drive.google.com/file/d/1LyogOxJY52eIDGuS_fsUFigjUZIHJupA/view?usp=sharing" TargetMode="External"/><Relationship Id="rId846" Type="http://schemas.openxmlformats.org/officeDocument/2006/relationships/hyperlink" Target="https://drive.google.com/file/d/1xF9qyOTmV5s_bJrfztxIoQu2FGw4qPnd/view?usp=sharing" TargetMode="External"/><Relationship Id="rId845" Type="http://schemas.openxmlformats.org/officeDocument/2006/relationships/hyperlink" Target="https://drive.google.com/file/d/16DFCyUy84N6M4qMHtHFfVbPrMfQT5f9z/view?usp=sharing" TargetMode="External"/><Relationship Id="rId1670" Type="http://schemas.openxmlformats.org/officeDocument/2006/relationships/hyperlink" Target="https://drive.google.com/file/d/1RLe0-xqtiXtbdNjsFbe4u93Ry8e7yQWI/view?usp=sharing" TargetMode="External"/><Relationship Id="rId840" Type="http://schemas.openxmlformats.org/officeDocument/2006/relationships/hyperlink" Target="https://drive.google.com/file/d/1yIfOflwRcpfKBPxnL-OWfOmjOmk3Wkmi/view?usp=sharing" TargetMode="External"/><Relationship Id="rId1671" Type="http://schemas.openxmlformats.org/officeDocument/2006/relationships/hyperlink" Target="https://drive.google.com/file/d/16tJ-uqkkABDgMZnc2kyzUTwiZ5IFe4L9/view?usp=sharing" TargetMode="External"/><Relationship Id="rId1672" Type="http://schemas.openxmlformats.org/officeDocument/2006/relationships/hyperlink" Target="https://drive.google.com/file/d/1Clbqmr_-RFYAjDMW9JQlBmaM4CGCz7NF/view?usp=sharing" TargetMode="External"/><Relationship Id="rId1673" Type="http://schemas.openxmlformats.org/officeDocument/2006/relationships/hyperlink" Target="https://drive.google.com/file/d/1gtOIYPJsQXt1tY1NfrUZzDML1dlk9UHB/view?usp=sharing" TargetMode="External"/><Relationship Id="rId1674" Type="http://schemas.openxmlformats.org/officeDocument/2006/relationships/hyperlink" Target="https://drive.google.com/file/d/1dex67NlsPgLcPWWQwaWwJ0XyFgEsM-yv/view?usp=sharing" TargetMode="External"/><Relationship Id="rId1664" Type="http://schemas.openxmlformats.org/officeDocument/2006/relationships/hyperlink" Target="https://drive.google.com/file/d/1IKaEwBw8IKUolNo4pfQtA84umZ0o1-9g/view?usp=sharing" TargetMode="External"/><Relationship Id="rId2995" Type="http://schemas.openxmlformats.org/officeDocument/2006/relationships/hyperlink" Target="https://drive.google.com/file/d/1MXAimkLpGIDHlu4sRQZf5dWB6YmnSFG9/view?usp=sharing" TargetMode="External"/><Relationship Id="rId1665" Type="http://schemas.openxmlformats.org/officeDocument/2006/relationships/hyperlink" Target="https://drive.google.com/file/d/1GaftZSEjyG-2RZabaK5ql8UagX_x1wx1/view?usp=sharing" TargetMode="External"/><Relationship Id="rId2996" Type="http://schemas.openxmlformats.org/officeDocument/2006/relationships/hyperlink" Target="https://drive.google.com/file/d/1u0xHzdAywsjne64dIB7e9508K84Pp12H/view?usp=sharing" TargetMode="External"/><Relationship Id="rId1666" Type="http://schemas.openxmlformats.org/officeDocument/2006/relationships/hyperlink" Target="https://drive.google.com/file/d/10m5uiQYFdbP6ZDjB0WyTllKNnh5hbQCI/view?usp=sharing" TargetMode="External"/><Relationship Id="rId2997" Type="http://schemas.openxmlformats.org/officeDocument/2006/relationships/hyperlink" Target="https://drive.google.com/file/d/18tqN8n4yNGlNmJGw0jHQITmddN3XxMQy/view?usp=sharing" TargetMode="External"/><Relationship Id="rId1667" Type="http://schemas.openxmlformats.org/officeDocument/2006/relationships/hyperlink" Target="https://drive.google.com/file/d/1ovOStX6hZDINxC_hLHnUmQF8vmhXzSo4/view?usp=sharing" TargetMode="External"/><Relationship Id="rId2998" Type="http://schemas.openxmlformats.org/officeDocument/2006/relationships/hyperlink" Target="https://drive.google.com/file/d/15ePNuXoutTg1RhqsdEJIRX3J8giTGK5y/view?usp=sharing" TargetMode="External"/><Relationship Id="rId1668" Type="http://schemas.openxmlformats.org/officeDocument/2006/relationships/hyperlink" Target="https://drive.google.com/file/d/1shacKB3xA2LHBWD6_sC6ISnSsDSXAtXw/view?usp=sharing" TargetMode="External"/><Relationship Id="rId2999" Type="http://schemas.openxmlformats.org/officeDocument/2006/relationships/hyperlink" Target="https://drive.google.com/file/d/1UlrEhPFUWBD5aA6RhT69DA11_eDdE-Vu/view?usp=sharing" TargetMode="External"/><Relationship Id="rId1669" Type="http://schemas.openxmlformats.org/officeDocument/2006/relationships/hyperlink" Target="https://drive.google.com/file/d/18t-s2nyVEIRwgKO_84jvwOxRWKpdaGuo/view?usp=sharing" TargetMode="External"/><Relationship Id="rId839" Type="http://schemas.openxmlformats.org/officeDocument/2006/relationships/hyperlink" Target="https://drive.google.com/file/d/1y90EZJgPm3-U6Z2JC02lWAtncDQuYUvk/view?usp=sharing" TargetMode="External"/><Relationship Id="rId838" Type="http://schemas.openxmlformats.org/officeDocument/2006/relationships/hyperlink" Target="https://drive.google.com/file/d/12oiGbSsqaxmzexffNQ3UlVSmPFwIFGzH/view?usp=sharing" TargetMode="External"/><Relationship Id="rId833" Type="http://schemas.openxmlformats.org/officeDocument/2006/relationships/hyperlink" Target="https://drive.google.com/file/d/10TOBAIFPf8HD0V-urdjcQ8iQN5NjgXag/view?usp=sharing" TargetMode="External"/><Relationship Id="rId832" Type="http://schemas.openxmlformats.org/officeDocument/2006/relationships/hyperlink" Target="https://drive.google.com/file/d/1Gq6V6blFTLexTWX_nKT_qo65G5u9p0S4/view?usp=sharing" TargetMode="External"/><Relationship Id="rId831" Type="http://schemas.openxmlformats.org/officeDocument/2006/relationships/hyperlink" Target="https://drive.google.com/file/d/1LXdU4Zy63K3YPj3L_xdyN6Q2ldfh3Kkr/view?usp=sharing" TargetMode="External"/><Relationship Id="rId830" Type="http://schemas.openxmlformats.org/officeDocument/2006/relationships/hyperlink" Target="https://drive.google.com/file/d/1_95B1VXYkqtYTqy6VYi668v0uXujyf7u/view?usp=sharing" TargetMode="External"/><Relationship Id="rId837" Type="http://schemas.openxmlformats.org/officeDocument/2006/relationships/hyperlink" Target="https://drive.google.com/file/d/1TDCX_9_7AvIh9lQT8suXIWmviHH-tdym/view?usp=sharing" TargetMode="External"/><Relationship Id="rId836" Type="http://schemas.openxmlformats.org/officeDocument/2006/relationships/hyperlink" Target="https://drive.google.com/file/d/1ZsuDmJk7OKEqx47ZESUFddRPY_-fgLxi/view?usp=sharing" TargetMode="External"/><Relationship Id="rId835" Type="http://schemas.openxmlformats.org/officeDocument/2006/relationships/hyperlink" Target="https://drive.google.com/file/d/16DQWK_AqsPxNuaAdfJpz25rrAbtlfCWj/view?usp=sharing" TargetMode="External"/><Relationship Id="rId834" Type="http://schemas.openxmlformats.org/officeDocument/2006/relationships/hyperlink" Target="https://drive.google.com/file/d/1SqTmLYh4tS881rET73akjC2lCZYkquMt/view?usp=sharing" TargetMode="External"/><Relationship Id="rId2990" Type="http://schemas.openxmlformats.org/officeDocument/2006/relationships/hyperlink" Target="https://drive.google.com/file/d/1-VpWhHjb1kgJsTgWGEnpXyJXer5IaGe7/view?usp=sharing" TargetMode="External"/><Relationship Id="rId1660" Type="http://schemas.openxmlformats.org/officeDocument/2006/relationships/hyperlink" Target="https://drive.google.com/file/d/1t6bHUZOJZ00apXsJmfpMKNaEgXH3ZxC7/view?usp=sharing" TargetMode="External"/><Relationship Id="rId2991" Type="http://schemas.openxmlformats.org/officeDocument/2006/relationships/hyperlink" Target="https://drive.google.com/file/d/1chDKxclwhGk8hCRU6KEnJXTs0MfLMjek/view?usp=sharing" TargetMode="External"/><Relationship Id="rId1661" Type="http://schemas.openxmlformats.org/officeDocument/2006/relationships/hyperlink" Target="https://drive.google.com/file/d/1NAKTcn80wyezp9KDjK4AmZhiEPUfIBu5/view?usp=sharing" TargetMode="External"/><Relationship Id="rId2992" Type="http://schemas.openxmlformats.org/officeDocument/2006/relationships/hyperlink" Target="https://drive.google.com/file/d/1AAjQKA4Z2EXW7pQyl8RuoHFY8hv52G60/view?usp=sharing" TargetMode="External"/><Relationship Id="rId1662" Type="http://schemas.openxmlformats.org/officeDocument/2006/relationships/hyperlink" Target="https://drive.google.com/file/d/1ChOZ4jsDwb3mTY8y9u6Kt7LfI7cgXzI7/view?usp=sharing" TargetMode="External"/><Relationship Id="rId2993" Type="http://schemas.openxmlformats.org/officeDocument/2006/relationships/hyperlink" Target="https://drive.google.com/file/d/153nl3r1XWZnq7WfydSGZqFs-TAhXPz5I/view?usp=sharing" TargetMode="External"/><Relationship Id="rId1663" Type="http://schemas.openxmlformats.org/officeDocument/2006/relationships/hyperlink" Target="https://drive.google.com/file/d/1AEKSInubfds3sr2JL0LlB4nBczFdPbA8/view?usp=sharing" TargetMode="External"/><Relationship Id="rId2994" Type="http://schemas.openxmlformats.org/officeDocument/2006/relationships/hyperlink" Target="https://drive.google.com/file/d/1mJe1NV9tfyTG3dZLlljCxZyGztP4xFtW/view?usp=sharing" TargetMode="External"/><Relationship Id="rId2148" Type="http://schemas.openxmlformats.org/officeDocument/2006/relationships/hyperlink" Target="https://drive.google.com/file/d/1exlKFSgnUwxn8gw-LfS8S-RVn8L2TYWs/view?usp=sharing" TargetMode="External"/><Relationship Id="rId2149" Type="http://schemas.openxmlformats.org/officeDocument/2006/relationships/hyperlink" Target="https://drive.google.com/file/d/1CM4biZBN8mPoLChBI43_KOjldwOc7crG/view?usp=sharing" TargetMode="External"/><Relationship Id="rId2140" Type="http://schemas.openxmlformats.org/officeDocument/2006/relationships/hyperlink" Target="https://drive.google.com/file/d/1_bSnC3UBkfLiSGxGsA90iXmF8XJhOVmA/view?usp=sharing" TargetMode="External"/><Relationship Id="rId2141" Type="http://schemas.openxmlformats.org/officeDocument/2006/relationships/hyperlink" Target="https://drive.google.com/file/d/1_LlCV10RL_P6HeY2WWsSJqwVdKMl5p8Y/view?usp=sharing" TargetMode="External"/><Relationship Id="rId2142" Type="http://schemas.openxmlformats.org/officeDocument/2006/relationships/hyperlink" Target="https://drive.google.com/file/d/1ublqyl5FHaxjUkVD9f1SdWkSfIT6yhdJ/view?usp=sharing" TargetMode="External"/><Relationship Id="rId2143" Type="http://schemas.openxmlformats.org/officeDocument/2006/relationships/hyperlink" Target="https://drive.google.com/file/d/1ApRG4rIDojIL2zjVml4-tgCcESWOQA9j/view?usp=sharing" TargetMode="External"/><Relationship Id="rId2144" Type="http://schemas.openxmlformats.org/officeDocument/2006/relationships/hyperlink" Target="https://drive.google.com/file/d/1i5wFUPkB1oOU_zOCsCGWnmenp4oJ-vdp/view?usp=sharing" TargetMode="External"/><Relationship Id="rId2145" Type="http://schemas.openxmlformats.org/officeDocument/2006/relationships/hyperlink" Target="https://drive.google.com/file/d/1bFX2Nfje69xbZul_RsvrUPn0sZXMAyke/view?usp=sharing" TargetMode="External"/><Relationship Id="rId2146" Type="http://schemas.openxmlformats.org/officeDocument/2006/relationships/hyperlink" Target="https://drive.google.com/file/d/1u6hA5mw7j9wXE1Entw2_NwdcYJiRLrjt/view?usp=sharing" TargetMode="External"/><Relationship Id="rId2147" Type="http://schemas.openxmlformats.org/officeDocument/2006/relationships/hyperlink" Target="https://drive.google.com/file/d/1JXTaUxYHGjsADVyAroWc8qK_vjDelVvo/view?usp=sharing" TargetMode="External"/><Relationship Id="rId2137" Type="http://schemas.openxmlformats.org/officeDocument/2006/relationships/hyperlink" Target="https://drive.google.com/file/d/1FRph9WGLUayAccTRSD2ATZxkWexg4sRx/view?usp=sharing" TargetMode="External"/><Relationship Id="rId2138" Type="http://schemas.openxmlformats.org/officeDocument/2006/relationships/hyperlink" Target="https://drive.google.com/file/d/1aafQc81ZlbUYu1VPmJ6KehQlK36DQWLc/view?usp=sharing" TargetMode="External"/><Relationship Id="rId2139" Type="http://schemas.openxmlformats.org/officeDocument/2006/relationships/hyperlink" Target="https://drive.google.com/file/d/1zFleRY0xKH-egv6X5jT1Y5RJgVHQIZ_0/view?usp=sharing" TargetMode="External"/><Relationship Id="rId2130" Type="http://schemas.openxmlformats.org/officeDocument/2006/relationships/hyperlink" Target="https://drive.google.com/file/d/18GHg-H130-Img5AKvPllD5QoCJ2JcBPc/view?usp=sharing" TargetMode="External"/><Relationship Id="rId2131" Type="http://schemas.openxmlformats.org/officeDocument/2006/relationships/hyperlink" Target="https://drive.google.com/file/d/1S7fjA9FtuRxxs3m7gQRzoXECsYF0ZG5G/view?usp=sharing" TargetMode="External"/><Relationship Id="rId2132" Type="http://schemas.openxmlformats.org/officeDocument/2006/relationships/hyperlink" Target="https://drive.google.com/file/d/18IxhTXty3AH78ozpi6TIZYNUQWrvxPTE/view?usp=sharing" TargetMode="External"/><Relationship Id="rId2133" Type="http://schemas.openxmlformats.org/officeDocument/2006/relationships/hyperlink" Target="https://drive.google.com/file/d/1RyPWAOx_k4xIXEn3-0_Umk9YOz0E01DI/view?usp=sharing" TargetMode="External"/><Relationship Id="rId2134" Type="http://schemas.openxmlformats.org/officeDocument/2006/relationships/hyperlink" Target="https://drive.google.com/file/d/1Px8r6Tl_dwr4rrCpQlJjXmOguDmGq4D6/view?usp=sharing" TargetMode="External"/><Relationship Id="rId2135" Type="http://schemas.openxmlformats.org/officeDocument/2006/relationships/hyperlink" Target="https://drive.google.com/file/d/1enfBeOANMdF33zWZCcPfQeg8JU0z9Be9/view?usp=sharing" TargetMode="External"/><Relationship Id="rId2136" Type="http://schemas.openxmlformats.org/officeDocument/2006/relationships/hyperlink" Target="https://drive.google.com/file/d/1B9OmeZg3rBLUloulgufB9l6uo6zVCUvr/view?usp=sharing" TargetMode="External"/><Relationship Id="rId2160" Type="http://schemas.openxmlformats.org/officeDocument/2006/relationships/hyperlink" Target="https://drive.google.com/file/d/1HZDV3_ww8z4WmJ-nVUbe7wPhNmCX6TD0/view?usp=sharing" TargetMode="External"/><Relationship Id="rId2161" Type="http://schemas.openxmlformats.org/officeDocument/2006/relationships/hyperlink" Target="https://drive.google.com/file/d/1a3c0_gaQTDbkWkbTcB_W21A5SC20Ot4B/view?usp=sharing" TargetMode="External"/><Relationship Id="rId2162" Type="http://schemas.openxmlformats.org/officeDocument/2006/relationships/hyperlink" Target="https://drive.google.com/file/d/1VeeeQBxWodlY90so3IXS6kdBvkybDQhZ/view?usp=sharing" TargetMode="External"/><Relationship Id="rId2163" Type="http://schemas.openxmlformats.org/officeDocument/2006/relationships/hyperlink" Target="https://drive.google.com/file/d/1qfd-FAjf9WZfv7G5Xs-3Z2u4QrM-zR4k/view?usp=sharing" TargetMode="External"/><Relationship Id="rId2164" Type="http://schemas.openxmlformats.org/officeDocument/2006/relationships/hyperlink" Target="https://drive.google.com/file/d/15i6Vs8cEVXsqjKZvbuZRrdLikey4PfWX/view?usp=sharing" TargetMode="External"/><Relationship Id="rId2165" Type="http://schemas.openxmlformats.org/officeDocument/2006/relationships/hyperlink" Target="https://drive.google.com/file/d/1HZjYAZPtnYNHwyu-UfIAOihTghKzafIV/view?usp=sharing" TargetMode="External"/><Relationship Id="rId2166" Type="http://schemas.openxmlformats.org/officeDocument/2006/relationships/hyperlink" Target="https://drive.google.com/file/d/1E_pXL8PWrsVcMBQVprbx8WvqeX-AxbJi/view?usp=sharing" TargetMode="External"/><Relationship Id="rId2167" Type="http://schemas.openxmlformats.org/officeDocument/2006/relationships/hyperlink" Target="https://drive.google.com/file/d/1g8FRN2_V1kikfZILLOYh5Q9RZAti5PBy/view?usp=sharing" TargetMode="External"/><Relationship Id="rId2168" Type="http://schemas.openxmlformats.org/officeDocument/2006/relationships/hyperlink" Target="https://drive.google.com/file/d/1fe5Q1dlcseXBAUQn2ttUJNa_ErFka26F/view?usp=sharing" TargetMode="External"/><Relationship Id="rId2169" Type="http://schemas.openxmlformats.org/officeDocument/2006/relationships/hyperlink" Target="https://drive.google.com/file/d/1irdr7Z0BQJfIichPb3wblh8AVTk5mWL9/view?usp=sharing" TargetMode="External"/><Relationship Id="rId2159" Type="http://schemas.openxmlformats.org/officeDocument/2006/relationships/hyperlink" Target="https://drive.google.com/file/d/1GhuBgBQWNCY8S6rsodNrPqRQcGpz4b74/view?usp=sharing" TargetMode="External"/><Relationship Id="rId2150" Type="http://schemas.openxmlformats.org/officeDocument/2006/relationships/hyperlink" Target="https://drive.google.com/file/d/1PyLlGhZQwq4L6Bh2vqfAPWISvXt3oBdQ/view?usp=sharing" TargetMode="External"/><Relationship Id="rId2151" Type="http://schemas.openxmlformats.org/officeDocument/2006/relationships/hyperlink" Target="https://drive.google.com/file/d/1hymTQKSnc30P-EffLwGKWoLwDTPKeMob/view?usp=sharing" TargetMode="External"/><Relationship Id="rId2152" Type="http://schemas.openxmlformats.org/officeDocument/2006/relationships/hyperlink" Target="https://drive.google.com/file/d/12W3VYhAyQWZooVBgn2fHjUwFDOEAOyl8/view?usp=sharing" TargetMode="External"/><Relationship Id="rId2153" Type="http://schemas.openxmlformats.org/officeDocument/2006/relationships/hyperlink" Target="https://drive.google.com/file/d/1dto7qiHHYMYzdNqsNb-XFVUSwphb3Hdl/view?usp=sharing" TargetMode="External"/><Relationship Id="rId2154" Type="http://schemas.openxmlformats.org/officeDocument/2006/relationships/hyperlink" Target="https://drive.google.com/file/d/1-cFrfO7lNWlvNuWYJLnZZDA4Rvp5E3BH/view?usp=sharing" TargetMode="External"/><Relationship Id="rId2155" Type="http://schemas.openxmlformats.org/officeDocument/2006/relationships/hyperlink" Target="https://drive.google.com/file/d/1DgRlzJ0xWeK4z7XSS_jYLnIAOGUvA7SS/view?usp=sharing" TargetMode="External"/><Relationship Id="rId2156" Type="http://schemas.openxmlformats.org/officeDocument/2006/relationships/hyperlink" Target="https://drive.google.com/file/d/1qD5HC4lUtCd7_Y8wEPjnlDu-AELMChxy/view?usp=sharing" TargetMode="External"/><Relationship Id="rId2157" Type="http://schemas.openxmlformats.org/officeDocument/2006/relationships/hyperlink" Target="https://drive.google.com/file/d/18PTELt1WcjYphzXavIwC-mhdI-GtwsHt/view?usp=sharing" TargetMode="External"/><Relationship Id="rId2158" Type="http://schemas.openxmlformats.org/officeDocument/2006/relationships/hyperlink" Target="https://drive.google.com/file/d/1VZw3PLoiSbIWxWRD0xz74Hnr5afdciT5/view?usp=sharing" TargetMode="External"/><Relationship Id="rId2104" Type="http://schemas.openxmlformats.org/officeDocument/2006/relationships/hyperlink" Target="https://drive.google.com/file/d/1HN_iBni75KWyxwaWXiMkA_Vq_anJsDES/view?usp=sharing" TargetMode="External"/><Relationship Id="rId2105" Type="http://schemas.openxmlformats.org/officeDocument/2006/relationships/hyperlink" Target="https://drive.google.com/file/d/1Af12skbDVvZNVZe9vswmEB7xirRm_bKP/view?usp=sharing" TargetMode="External"/><Relationship Id="rId2106" Type="http://schemas.openxmlformats.org/officeDocument/2006/relationships/hyperlink" Target="https://drive.google.com/file/d/1cydmez3sYQROg0wc79RCySE_Uk63x-Qc/view?usp=sharing" TargetMode="External"/><Relationship Id="rId2107" Type="http://schemas.openxmlformats.org/officeDocument/2006/relationships/hyperlink" Target="https://drive.google.com/file/d/1elI1RyGNIGhlgsRNAcS42-0iXJ97rNyb/view?usp=sharing" TargetMode="External"/><Relationship Id="rId2108" Type="http://schemas.openxmlformats.org/officeDocument/2006/relationships/hyperlink" Target="https://drive.google.com/file/d/1vZjMc2U8x9E3GAUJ0R75Y2KLIqWyiUNO/view?usp=sharing" TargetMode="External"/><Relationship Id="rId2109" Type="http://schemas.openxmlformats.org/officeDocument/2006/relationships/hyperlink" Target="https://drive.google.com/file/d/1prsnn2GDYgF0RRe8mLBnZKsw5zyNRke0/view?usp=sharing" TargetMode="External"/><Relationship Id="rId2100" Type="http://schemas.openxmlformats.org/officeDocument/2006/relationships/hyperlink" Target="https://drive.google.com/file/d/1wKLsHih_1E_L-dX_Y1huSSjKhUH8mJA0/view?usp=sharing" TargetMode="External"/><Relationship Id="rId2101" Type="http://schemas.openxmlformats.org/officeDocument/2006/relationships/hyperlink" Target="https://drive.google.com/file/d/1SxqFf90UupEfNGa0tZhNDrbKB8qoMBJF/view?usp=sharing" TargetMode="External"/><Relationship Id="rId2102" Type="http://schemas.openxmlformats.org/officeDocument/2006/relationships/hyperlink" Target="https://drive.google.com/file/d/1zIlz-Z3XZ7ye3M-X5wzSzG4tc2k1r1dj/view?usp=sharing" TargetMode="External"/><Relationship Id="rId2103" Type="http://schemas.openxmlformats.org/officeDocument/2006/relationships/hyperlink" Target="https://drive.google.com/file/d/18V0t5zXEsVmpByVmrcKOVHXM_vWEHDqX/view?usp=sharing" TargetMode="External"/><Relationship Id="rId899" Type="http://schemas.openxmlformats.org/officeDocument/2006/relationships/hyperlink" Target="https://drive.google.com/file/d/1OjG1hNpyb8fws3xe1AvOwO0JTOtPA9kl/view?usp=sharing" TargetMode="External"/><Relationship Id="rId898" Type="http://schemas.openxmlformats.org/officeDocument/2006/relationships/hyperlink" Target="https://drive.google.com/file/d/1mA9xbpo7YWDPoeK9N2VgDBgCLNrdrOt4/view?usp=sharing" TargetMode="External"/><Relationship Id="rId897" Type="http://schemas.openxmlformats.org/officeDocument/2006/relationships/hyperlink" Target="https://drive.google.com/file/d/1uDHMxnbPtzbHvJGugzGJarPk74sRI1dM/view?usp=sharing" TargetMode="External"/><Relationship Id="rId896" Type="http://schemas.openxmlformats.org/officeDocument/2006/relationships/hyperlink" Target="https://drive.google.com/file/d/1cV8m3EYK_DtaXVP8_hDeUNLlZspFppka/view?usp=sharing" TargetMode="External"/><Relationship Id="rId891" Type="http://schemas.openxmlformats.org/officeDocument/2006/relationships/hyperlink" Target="https://drive.google.com/file/d/1Ml3q4IHd_W-Vw760SYCLP5cK_J75FzlL/view?usp=sharing" TargetMode="External"/><Relationship Id="rId890" Type="http://schemas.openxmlformats.org/officeDocument/2006/relationships/hyperlink" Target="https://drive.google.com/file/d/1hB2sUIgb-I88ng8byCRaPzv1KfVll4sR/view?usp=sharing" TargetMode="External"/><Relationship Id="rId895" Type="http://schemas.openxmlformats.org/officeDocument/2006/relationships/hyperlink" Target="https://drive.google.com/file/d/1PwvZw2j6Bx1tq7bLyGIVghl42GOe6LRs/view?usp=sharing" TargetMode="External"/><Relationship Id="rId894" Type="http://schemas.openxmlformats.org/officeDocument/2006/relationships/hyperlink" Target="https://drive.google.com/file/d/1wtjfJzFoU8wxvdi1L7rFCneQEmCauR1W/view?usp=sharing" TargetMode="External"/><Relationship Id="rId893" Type="http://schemas.openxmlformats.org/officeDocument/2006/relationships/hyperlink" Target="https://drive.google.com/file/d/1w3OkrxfVHHUUNao__cz8gWB0HwNnPhml/view?usp=sharing" TargetMode="External"/><Relationship Id="rId892" Type="http://schemas.openxmlformats.org/officeDocument/2006/relationships/hyperlink" Target="https://drive.google.com/file/d/1SE2pvwLlj90Eulk-WYD3EwEyPyiGTbOQ/view?usp=sharing" TargetMode="External"/><Relationship Id="rId2126" Type="http://schemas.openxmlformats.org/officeDocument/2006/relationships/hyperlink" Target="https://drive.google.com/file/d/1-MDprF97Zxgc0XjRVWh6nKsm_NR-OwjB/view?usp=sharing" TargetMode="External"/><Relationship Id="rId2127" Type="http://schemas.openxmlformats.org/officeDocument/2006/relationships/hyperlink" Target="https://drive.google.com/file/d/1UhB9yf4O_Hp0Mcrd0dFxtSZ0Kil0Rz07/view?usp=sharing" TargetMode="External"/><Relationship Id="rId2128" Type="http://schemas.openxmlformats.org/officeDocument/2006/relationships/hyperlink" Target="https://drive.google.com/file/d/1ceG6osQUS4cPu-bo3ewqIHFtlcJ0rcAE/view?usp=sharing" TargetMode="External"/><Relationship Id="rId2129" Type="http://schemas.openxmlformats.org/officeDocument/2006/relationships/hyperlink" Target="https://drive.google.com/file/d/1kcrKkYtEyStE6_Sc-i8Ln87quvSsKebZ/view?usp=sharing" TargetMode="External"/><Relationship Id="rId2120" Type="http://schemas.openxmlformats.org/officeDocument/2006/relationships/hyperlink" Target="https://drive.google.com/file/d/1Y9NhT1GHDeSSueILRgwZpy-z8ZJw7WfI/view?usp=sharing" TargetMode="External"/><Relationship Id="rId2121" Type="http://schemas.openxmlformats.org/officeDocument/2006/relationships/hyperlink" Target="https://drive.google.com/file/d/1EmGBwu3cfsoPPLSfk_tHGjUd-fK9dWgy/view?usp=sharing" TargetMode="External"/><Relationship Id="rId2122" Type="http://schemas.openxmlformats.org/officeDocument/2006/relationships/hyperlink" Target="https://drive.google.com/file/d/1tMoKBvly4YuNwCXBl6FJSX4BlNPZL4zX/view?usp=sharing" TargetMode="External"/><Relationship Id="rId2123" Type="http://schemas.openxmlformats.org/officeDocument/2006/relationships/hyperlink" Target="https://drive.google.com/file/d/1dzkYMO1oeM06YgspHX-DZd1NqQyNKnZ4/view?usp=sharing" TargetMode="External"/><Relationship Id="rId2124" Type="http://schemas.openxmlformats.org/officeDocument/2006/relationships/hyperlink" Target="https://drive.google.com/file/d/1Psw_NkYCrwCJP3Khb82M16pZRYTe6Aik/view?usp=sharing" TargetMode="External"/><Relationship Id="rId2125" Type="http://schemas.openxmlformats.org/officeDocument/2006/relationships/hyperlink" Target="https://drive.google.com/file/d/1xVAJ4A4fR624baTa8ECs1gLrE4QTg12h/view?usp=sharing" TargetMode="External"/><Relationship Id="rId2115" Type="http://schemas.openxmlformats.org/officeDocument/2006/relationships/hyperlink" Target="https://drive.google.com/file/d/1uklNtpGWlvS2tAWvybAKpAXJCDNKxxxn/view?usp=sharing" TargetMode="External"/><Relationship Id="rId2116" Type="http://schemas.openxmlformats.org/officeDocument/2006/relationships/hyperlink" Target="https://drive.google.com/file/d/1OX9SA8Rji4jnC9dW1C4rhGF89Dw3VPPy/view?usp=sharing" TargetMode="External"/><Relationship Id="rId2117" Type="http://schemas.openxmlformats.org/officeDocument/2006/relationships/hyperlink" Target="https://drive.google.com/file/d/1a0GFx2jlHII-QEQTpNIbRf_MshKhQpLu/view?usp=sharing" TargetMode="External"/><Relationship Id="rId2118" Type="http://schemas.openxmlformats.org/officeDocument/2006/relationships/hyperlink" Target="https://drive.google.com/file/d/1QIVFbQ1SiMUMz0l8QWr5PuNabtkntAQK/view?usp=sharing" TargetMode="External"/><Relationship Id="rId2119" Type="http://schemas.openxmlformats.org/officeDocument/2006/relationships/hyperlink" Target="https://drive.google.com/file/d/1e1KpvjkUY2sfNnCnlFpRWNGNYh2QN-Rv/view?usp=sharing" TargetMode="External"/><Relationship Id="rId2110" Type="http://schemas.openxmlformats.org/officeDocument/2006/relationships/hyperlink" Target="https://drive.google.com/file/d/1ICHZGZvfnbRogW5CGWTrUhD2qCeYadmy/view?usp=sharing" TargetMode="External"/><Relationship Id="rId2111" Type="http://schemas.openxmlformats.org/officeDocument/2006/relationships/hyperlink" Target="https://drive.google.com/file/d/1mdDegxEJE8Z15yJy0fwje49Ru0MURUN1/view?usp=sharing" TargetMode="External"/><Relationship Id="rId2112" Type="http://schemas.openxmlformats.org/officeDocument/2006/relationships/hyperlink" Target="https://drive.google.com/file/d/1HqgvEiCh6MG3ZcAb0DAtimCP5hx--EKY/view?usp=sharing" TargetMode="External"/><Relationship Id="rId2113" Type="http://schemas.openxmlformats.org/officeDocument/2006/relationships/hyperlink" Target="https://drive.google.com/file/d/11dJu6_b51DJfrlmG3aDj0JYGs87lAs0A/view?usp=sharing" TargetMode="External"/><Relationship Id="rId2114" Type="http://schemas.openxmlformats.org/officeDocument/2006/relationships/hyperlink" Target="https://drive.google.com/file/d/1pAxOkgx6t69_6H25-m1rcE6QpOIyNPRV/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5" max="5" width="26.25"/>
    <col customWidth="1" min="9" max="9" width="15.88"/>
    <col customWidth="1" min="14" max="14" width="17.5"/>
    <col customWidth="1" min="15" max="15" width="16.0"/>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2" t="s">
        <v>14</v>
      </c>
      <c r="P1" s="2" t="s">
        <v>15</v>
      </c>
      <c r="Q1" s="2" t="s">
        <v>16</v>
      </c>
    </row>
    <row r="2" ht="21.0" customHeight="1">
      <c r="A2" s="4">
        <v>1.0</v>
      </c>
      <c r="B2" s="5" t="s">
        <v>17</v>
      </c>
      <c r="C2" s="5" t="s">
        <v>18</v>
      </c>
      <c r="D2" s="5" t="s">
        <v>19</v>
      </c>
      <c r="E2" s="5" t="s">
        <v>20</v>
      </c>
      <c r="F2" s="5" t="s">
        <v>21</v>
      </c>
      <c r="G2" s="5" t="s">
        <v>22</v>
      </c>
      <c r="H2" s="5" t="s">
        <v>23</v>
      </c>
      <c r="I2" s="6" t="s">
        <v>24</v>
      </c>
      <c r="J2" s="4">
        <v>100.0</v>
      </c>
      <c r="K2" s="5" t="s">
        <v>25</v>
      </c>
      <c r="L2" s="5" t="s">
        <v>26</v>
      </c>
      <c r="M2" s="5" t="s">
        <v>27</v>
      </c>
      <c r="N2" s="7" t="s">
        <v>28</v>
      </c>
      <c r="O2" s="8" t="s">
        <v>29</v>
      </c>
      <c r="P2" s="5"/>
      <c r="Q2" s="5" t="s">
        <v>30</v>
      </c>
    </row>
    <row r="3" ht="21.0" customHeight="1">
      <c r="A3" s="4">
        <v>2.0</v>
      </c>
      <c r="B3" s="5" t="s">
        <v>31</v>
      </c>
      <c r="C3" s="5" t="s">
        <v>32</v>
      </c>
      <c r="D3" s="5" t="s">
        <v>19</v>
      </c>
      <c r="E3" s="5" t="s">
        <v>33</v>
      </c>
      <c r="F3" s="5" t="s">
        <v>21</v>
      </c>
      <c r="G3" s="5" t="s">
        <v>34</v>
      </c>
      <c r="H3" s="5" t="s">
        <v>23</v>
      </c>
      <c r="I3" s="6" t="s">
        <v>35</v>
      </c>
      <c r="J3" s="4">
        <v>100.0</v>
      </c>
      <c r="K3" s="5" t="s">
        <v>25</v>
      </c>
      <c r="L3" s="5" t="s">
        <v>36</v>
      </c>
      <c r="M3" s="5" t="s">
        <v>37</v>
      </c>
      <c r="N3" s="7" t="s">
        <v>38</v>
      </c>
      <c r="O3" s="5" t="s">
        <v>30</v>
      </c>
      <c r="P3" s="5" t="s">
        <v>30</v>
      </c>
      <c r="Q3" s="5" t="s">
        <v>30</v>
      </c>
    </row>
    <row r="4" ht="21.0" customHeight="1">
      <c r="A4" s="4">
        <v>3.0</v>
      </c>
      <c r="B4" s="5" t="s">
        <v>39</v>
      </c>
      <c r="C4" s="5" t="s">
        <v>40</v>
      </c>
      <c r="D4" s="5" t="s">
        <v>19</v>
      </c>
      <c r="E4" s="5" t="s">
        <v>41</v>
      </c>
      <c r="F4" s="5" t="s">
        <v>21</v>
      </c>
      <c r="G4" s="5" t="s">
        <v>42</v>
      </c>
      <c r="H4" s="5" t="s">
        <v>23</v>
      </c>
      <c r="I4" s="6" t="s">
        <v>43</v>
      </c>
      <c r="J4" s="4">
        <v>100.0</v>
      </c>
      <c r="K4" s="5" t="s">
        <v>25</v>
      </c>
      <c r="L4" s="5" t="s">
        <v>44</v>
      </c>
      <c r="M4" s="5" t="s">
        <v>45</v>
      </c>
      <c r="N4" s="7" t="s">
        <v>46</v>
      </c>
      <c r="O4" s="5" t="s">
        <v>30</v>
      </c>
      <c r="P4" s="5" t="s">
        <v>30</v>
      </c>
      <c r="Q4" s="5" t="s">
        <v>30</v>
      </c>
    </row>
    <row r="5" ht="21.0" customHeight="1">
      <c r="A5" s="4">
        <v>4.0</v>
      </c>
      <c r="B5" s="5" t="s">
        <v>47</v>
      </c>
      <c r="C5" s="5" t="s">
        <v>18</v>
      </c>
      <c r="D5" s="5" t="s">
        <v>19</v>
      </c>
      <c r="E5" s="5" t="s">
        <v>48</v>
      </c>
      <c r="F5" s="5" t="s">
        <v>21</v>
      </c>
      <c r="G5" s="5" t="s">
        <v>49</v>
      </c>
      <c r="H5" s="5" t="s">
        <v>50</v>
      </c>
      <c r="I5" s="6" t="s">
        <v>51</v>
      </c>
      <c r="J5" s="4">
        <v>100.0</v>
      </c>
      <c r="K5" s="5" t="s">
        <v>52</v>
      </c>
      <c r="L5" s="5" t="s">
        <v>53</v>
      </c>
      <c r="M5" s="5" t="s">
        <v>54</v>
      </c>
      <c r="N5" s="7" t="s">
        <v>55</v>
      </c>
      <c r="O5" s="5" t="s">
        <v>30</v>
      </c>
      <c r="P5" s="5" t="s">
        <v>30</v>
      </c>
      <c r="Q5" s="5" t="s">
        <v>30</v>
      </c>
    </row>
    <row r="6" ht="21.0" customHeight="1">
      <c r="A6" s="4">
        <v>5.0</v>
      </c>
      <c r="B6" s="5" t="s">
        <v>56</v>
      </c>
      <c r="C6" s="5" t="s">
        <v>18</v>
      </c>
      <c r="D6" s="5" t="s">
        <v>19</v>
      </c>
      <c r="E6" s="5" t="s">
        <v>57</v>
      </c>
      <c r="F6" s="5" t="s">
        <v>21</v>
      </c>
      <c r="G6" s="5" t="s">
        <v>58</v>
      </c>
      <c r="H6" s="5" t="s">
        <v>23</v>
      </c>
      <c r="I6" s="6" t="s">
        <v>59</v>
      </c>
      <c r="J6" s="4">
        <v>100.0</v>
      </c>
      <c r="K6" s="5" t="s">
        <v>25</v>
      </c>
      <c r="L6" s="5" t="s">
        <v>60</v>
      </c>
      <c r="M6" s="5" t="s">
        <v>61</v>
      </c>
      <c r="N6" s="7" t="s">
        <v>62</v>
      </c>
      <c r="O6" s="5" t="s">
        <v>30</v>
      </c>
      <c r="P6" s="5" t="s">
        <v>30</v>
      </c>
      <c r="Q6" s="5" t="s">
        <v>30</v>
      </c>
    </row>
    <row r="7" ht="21.0" customHeight="1">
      <c r="A7" s="4">
        <v>6.0</v>
      </c>
      <c r="B7" s="5" t="s">
        <v>63</v>
      </c>
      <c r="C7" s="5" t="s">
        <v>64</v>
      </c>
      <c r="D7" s="5" t="s">
        <v>19</v>
      </c>
      <c r="E7" s="5" t="s">
        <v>65</v>
      </c>
      <c r="F7" s="5" t="s">
        <v>21</v>
      </c>
      <c r="G7" s="5" t="s">
        <v>66</v>
      </c>
      <c r="H7" s="5" t="s">
        <v>23</v>
      </c>
      <c r="I7" s="6" t="s">
        <v>67</v>
      </c>
      <c r="J7" s="4">
        <v>100.0</v>
      </c>
      <c r="K7" s="5" t="s">
        <v>68</v>
      </c>
      <c r="L7" s="5" t="s">
        <v>69</v>
      </c>
      <c r="M7" s="5" t="s">
        <v>70</v>
      </c>
      <c r="N7" s="7" t="s">
        <v>71</v>
      </c>
      <c r="O7" s="5" t="s">
        <v>30</v>
      </c>
      <c r="P7" s="5" t="s">
        <v>30</v>
      </c>
      <c r="Q7" s="5" t="s">
        <v>30</v>
      </c>
    </row>
    <row r="8" ht="21.0" customHeight="1">
      <c r="A8" s="4">
        <v>7.0</v>
      </c>
      <c r="B8" s="5" t="s">
        <v>72</v>
      </c>
      <c r="C8" s="5" t="s">
        <v>73</v>
      </c>
      <c r="D8" s="5" t="s">
        <v>74</v>
      </c>
      <c r="E8" s="5" t="s">
        <v>75</v>
      </c>
      <c r="F8" s="5" t="s">
        <v>21</v>
      </c>
      <c r="G8" s="5" t="s">
        <v>34</v>
      </c>
      <c r="H8" s="5" t="s">
        <v>23</v>
      </c>
      <c r="I8" s="6" t="s">
        <v>76</v>
      </c>
      <c r="J8" s="4">
        <v>100.0</v>
      </c>
      <c r="K8" s="5" t="s">
        <v>25</v>
      </c>
      <c r="L8" s="5" t="s">
        <v>77</v>
      </c>
      <c r="M8" s="5" t="s">
        <v>78</v>
      </c>
      <c r="N8" s="7" t="s">
        <v>79</v>
      </c>
      <c r="O8" s="5" t="s">
        <v>30</v>
      </c>
      <c r="P8" s="5" t="s">
        <v>30</v>
      </c>
      <c r="Q8" s="5" t="s">
        <v>30</v>
      </c>
    </row>
    <row r="9" ht="21.0" customHeight="1">
      <c r="A9" s="4">
        <v>8.0</v>
      </c>
      <c r="B9" s="5" t="s">
        <v>80</v>
      </c>
      <c r="C9" s="5" t="s">
        <v>18</v>
      </c>
      <c r="D9" s="5" t="s">
        <v>19</v>
      </c>
      <c r="E9" s="5" t="s">
        <v>81</v>
      </c>
      <c r="F9" s="5" t="s">
        <v>21</v>
      </c>
      <c r="G9" s="5" t="s">
        <v>82</v>
      </c>
      <c r="H9" s="5" t="s">
        <v>23</v>
      </c>
      <c r="I9" s="6" t="s">
        <v>83</v>
      </c>
      <c r="J9" s="4">
        <v>100.0</v>
      </c>
      <c r="K9" s="5" t="s">
        <v>84</v>
      </c>
      <c r="L9" s="5" t="s">
        <v>85</v>
      </c>
      <c r="M9" s="5" t="s">
        <v>86</v>
      </c>
      <c r="N9" s="7" t="s">
        <v>87</v>
      </c>
      <c r="O9" s="5" t="s">
        <v>30</v>
      </c>
      <c r="P9" s="5" t="s">
        <v>30</v>
      </c>
      <c r="Q9" s="5" t="s">
        <v>30</v>
      </c>
    </row>
    <row r="10" ht="21.0" customHeight="1">
      <c r="A10" s="4">
        <v>9.0</v>
      </c>
      <c r="B10" s="5" t="s">
        <v>88</v>
      </c>
      <c r="C10" s="5" t="s">
        <v>89</v>
      </c>
      <c r="D10" s="5" t="s">
        <v>19</v>
      </c>
      <c r="E10" s="5" t="s">
        <v>90</v>
      </c>
      <c r="F10" s="5" t="s">
        <v>21</v>
      </c>
      <c r="G10" s="5" t="s">
        <v>91</v>
      </c>
      <c r="H10" s="5" t="s">
        <v>23</v>
      </c>
      <c r="I10" s="6" t="s">
        <v>92</v>
      </c>
      <c r="J10" s="4">
        <v>100.0</v>
      </c>
      <c r="K10" s="5" t="s">
        <v>93</v>
      </c>
      <c r="L10" s="5" t="s">
        <v>94</v>
      </c>
      <c r="M10" s="5" t="s">
        <v>95</v>
      </c>
      <c r="N10" s="7" t="s">
        <v>96</v>
      </c>
      <c r="O10" s="5" t="s">
        <v>30</v>
      </c>
      <c r="P10" s="5" t="s">
        <v>30</v>
      </c>
      <c r="Q10" s="5" t="s">
        <v>30</v>
      </c>
    </row>
    <row r="11" ht="21.0" customHeight="1">
      <c r="A11" s="4">
        <v>10.0</v>
      </c>
      <c r="B11" s="5" t="s">
        <v>97</v>
      </c>
      <c r="C11" s="5" t="s">
        <v>98</v>
      </c>
      <c r="D11" s="5" t="s">
        <v>19</v>
      </c>
      <c r="E11" s="5" t="s">
        <v>99</v>
      </c>
      <c r="F11" s="5" t="s">
        <v>21</v>
      </c>
      <c r="G11" s="5" t="s">
        <v>100</v>
      </c>
      <c r="H11" s="5" t="s">
        <v>23</v>
      </c>
      <c r="I11" s="6" t="s">
        <v>101</v>
      </c>
      <c r="J11" s="4">
        <v>100.0</v>
      </c>
      <c r="K11" s="5" t="s">
        <v>68</v>
      </c>
      <c r="L11" s="5" t="s">
        <v>102</v>
      </c>
      <c r="M11" s="5" t="s">
        <v>103</v>
      </c>
      <c r="N11" s="7" t="s">
        <v>104</v>
      </c>
      <c r="O11" s="5" t="s">
        <v>30</v>
      </c>
      <c r="P11" s="5" t="s">
        <v>30</v>
      </c>
      <c r="Q11" s="5" t="s">
        <v>30</v>
      </c>
    </row>
    <row r="12" ht="21.0" customHeight="1">
      <c r="A12" s="4">
        <v>11.0</v>
      </c>
      <c r="B12" s="5" t="s">
        <v>105</v>
      </c>
      <c r="C12" s="5" t="s">
        <v>106</v>
      </c>
      <c r="D12" s="5" t="s">
        <v>19</v>
      </c>
      <c r="E12" s="5" t="s">
        <v>107</v>
      </c>
      <c r="F12" s="5" t="s">
        <v>21</v>
      </c>
      <c r="G12" s="5" t="s">
        <v>108</v>
      </c>
      <c r="H12" s="5" t="s">
        <v>23</v>
      </c>
      <c r="I12" s="6" t="s">
        <v>109</v>
      </c>
      <c r="J12" s="4">
        <v>100.0</v>
      </c>
      <c r="K12" s="5" t="s">
        <v>110</v>
      </c>
      <c r="L12" s="5" t="s">
        <v>111</v>
      </c>
      <c r="M12" s="5" t="s">
        <v>112</v>
      </c>
      <c r="N12" s="7" t="s">
        <v>113</v>
      </c>
      <c r="O12" s="9" t="s">
        <v>30</v>
      </c>
      <c r="P12" s="5" t="s">
        <v>30</v>
      </c>
      <c r="Q12" s="5" t="s">
        <v>30</v>
      </c>
    </row>
    <row r="13" ht="21.0" customHeight="1">
      <c r="A13" s="4">
        <v>12.0</v>
      </c>
      <c r="B13" s="5" t="s">
        <v>114</v>
      </c>
      <c r="C13" s="5" t="s">
        <v>18</v>
      </c>
      <c r="D13" s="5" t="s">
        <v>19</v>
      </c>
      <c r="E13" s="5" t="s">
        <v>115</v>
      </c>
      <c r="F13" s="5" t="s">
        <v>21</v>
      </c>
      <c r="G13" s="5" t="s">
        <v>116</v>
      </c>
      <c r="H13" s="5" t="s">
        <v>23</v>
      </c>
      <c r="I13" s="6" t="s">
        <v>117</v>
      </c>
      <c r="J13" s="4">
        <v>100.0</v>
      </c>
      <c r="K13" s="5" t="s">
        <v>84</v>
      </c>
      <c r="L13" s="5" t="s">
        <v>118</v>
      </c>
      <c r="M13" s="5" t="s">
        <v>119</v>
      </c>
      <c r="N13" s="7" t="s">
        <v>120</v>
      </c>
      <c r="O13" s="5" t="s">
        <v>30</v>
      </c>
      <c r="P13" s="5" t="s">
        <v>30</v>
      </c>
      <c r="Q13" s="5" t="s">
        <v>30</v>
      </c>
    </row>
    <row r="14" ht="21.0" customHeight="1">
      <c r="A14" s="4">
        <v>13.0</v>
      </c>
      <c r="B14" s="5" t="s">
        <v>121</v>
      </c>
      <c r="C14" s="5" t="s">
        <v>18</v>
      </c>
      <c r="D14" s="5" t="s">
        <v>122</v>
      </c>
      <c r="E14" s="5" t="s">
        <v>123</v>
      </c>
      <c r="F14" s="5" t="s">
        <v>21</v>
      </c>
      <c r="G14" s="5" t="s">
        <v>124</v>
      </c>
      <c r="H14" s="5" t="s">
        <v>23</v>
      </c>
      <c r="I14" s="6" t="s">
        <v>125</v>
      </c>
      <c r="J14" s="4">
        <v>100.0</v>
      </c>
      <c r="K14" s="5" t="s">
        <v>25</v>
      </c>
      <c r="L14" s="5" t="s">
        <v>126</v>
      </c>
      <c r="M14" s="5" t="s">
        <v>127</v>
      </c>
      <c r="N14" s="10" t="s">
        <v>128</v>
      </c>
      <c r="O14" s="9" t="s">
        <v>30</v>
      </c>
      <c r="P14" s="5" t="s">
        <v>30</v>
      </c>
      <c r="Q14" s="5" t="s">
        <v>30</v>
      </c>
    </row>
    <row r="15" ht="21.0" customHeight="1">
      <c r="A15" s="4">
        <v>14.0</v>
      </c>
      <c r="B15" s="5" t="s">
        <v>129</v>
      </c>
      <c r="C15" s="5" t="s">
        <v>18</v>
      </c>
      <c r="D15" s="5" t="s">
        <v>130</v>
      </c>
      <c r="E15" s="5" t="s">
        <v>131</v>
      </c>
      <c r="F15" s="5" t="s">
        <v>21</v>
      </c>
      <c r="G15" s="5" t="s">
        <v>132</v>
      </c>
      <c r="H15" s="5" t="s">
        <v>23</v>
      </c>
      <c r="I15" s="6" t="s">
        <v>133</v>
      </c>
      <c r="J15" s="4">
        <v>100.0</v>
      </c>
      <c r="K15" s="5" t="s">
        <v>68</v>
      </c>
      <c r="L15" s="5" t="s">
        <v>134</v>
      </c>
      <c r="M15" s="5" t="s">
        <v>135</v>
      </c>
      <c r="N15" s="7" t="s">
        <v>136</v>
      </c>
      <c r="O15" s="5" t="s">
        <v>30</v>
      </c>
      <c r="P15" s="5" t="s">
        <v>30</v>
      </c>
      <c r="Q15" s="5" t="s">
        <v>30</v>
      </c>
    </row>
    <row r="16" ht="21.0" customHeight="1">
      <c r="A16" s="4">
        <v>15.0</v>
      </c>
      <c r="B16" s="5" t="s">
        <v>137</v>
      </c>
      <c r="C16" s="5" t="s">
        <v>18</v>
      </c>
      <c r="D16" s="5" t="s">
        <v>19</v>
      </c>
      <c r="E16" s="5" t="s">
        <v>138</v>
      </c>
      <c r="F16" s="5" t="s">
        <v>21</v>
      </c>
      <c r="G16" s="5" t="s">
        <v>139</v>
      </c>
      <c r="H16" s="5" t="s">
        <v>23</v>
      </c>
      <c r="I16" s="6" t="s">
        <v>140</v>
      </c>
      <c r="J16" s="4">
        <v>100.0</v>
      </c>
      <c r="K16" s="5" t="s">
        <v>141</v>
      </c>
      <c r="L16" s="5" t="s">
        <v>142</v>
      </c>
      <c r="M16" s="5" t="s">
        <v>143</v>
      </c>
      <c r="N16" s="7" t="s">
        <v>144</v>
      </c>
      <c r="O16" s="5" t="s">
        <v>30</v>
      </c>
      <c r="P16" s="5" t="s">
        <v>30</v>
      </c>
      <c r="Q16" s="5" t="s">
        <v>30</v>
      </c>
    </row>
    <row r="17" ht="21.0" customHeight="1">
      <c r="A17" s="4">
        <v>16.0</v>
      </c>
      <c r="B17" s="5" t="s">
        <v>145</v>
      </c>
      <c r="C17" s="5" t="s">
        <v>18</v>
      </c>
      <c r="D17" s="5" t="s">
        <v>19</v>
      </c>
      <c r="E17" s="5" t="s">
        <v>146</v>
      </c>
      <c r="F17" s="5" t="s">
        <v>21</v>
      </c>
      <c r="G17" s="5" t="s">
        <v>147</v>
      </c>
      <c r="H17" s="5" t="s">
        <v>23</v>
      </c>
      <c r="I17" s="6" t="s">
        <v>148</v>
      </c>
      <c r="J17" s="4">
        <v>100.0</v>
      </c>
      <c r="K17" s="5" t="s">
        <v>84</v>
      </c>
      <c r="L17" s="5" t="s">
        <v>149</v>
      </c>
      <c r="M17" s="5" t="s">
        <v>150</v>
      </c>
      <c r="N17" s="7" t="s">
        <v>151</v>
      </c>
      <c r="O17" s="5" t="s">
        <v>30</v>
      </c>
      <c r="P17" s="5" t="s">
        <v>30</v>
      </c>
      <c r="Q17" s="5" t="s">
        <v>30</v>
      </c>
    </row>
    <row r="18" ht="21.0" customHeight="1">
      <c r="A18" s="4">
        <v>17.0</v>
      </c>
      <c r="B18" s="5" t="s">
        <v>152</v>
      </c>
      <c r="C18" s="5" t="s">
        <v>18</v>
      </c>
      <c r="D18" s="5" t="s">
        <v>19</v>
      </c>
      <c r="E18" s="5" t="s">
        <v>153</v>
      </c>
      <c r="F18" s="5" t="s">
        <v>154</v>
      </c>
      <c r="G18" s="5" t="s">
        <v>155</v>
      </c>
      <c r="H18" s="5" t="s">
        <v>23</v>
      </c>
      <c r="I18" s="6" t="s">
        <v>156</v>
      </c>
      <c r="J18" s="4">
        <v>100.0</v>
      </c>
      <c r="K18" s="5" t="s">
        <v>157</v>
      </c>
      <c r="L18" s="5" t="s">
        <v>158</v>
      </c>
      <c r="M18" s="5" t="s">
        <v>159</v>
      </c>
      <c r="N18" s="7" t="s">
        <v>160</v>
      </c>
      <c r="O18" s="5" t="s">
        <v>30</v>
      </c>
      <c r="P18" s="5" t="s">
        <v>30</v>
      </c>
      <c r="Q18" s="5" t="s">
        <v>30</v>
      </c>
    </row>
    <row r="19" ht="21.0" customHeight="1">
      <c r="A19" s="4">
        <v>18.0</v>
      </c>
      <c r="B19" s="5" t="s">
        <v>161</v>
      </c>
      <c r="C19" s="5" t="s">
        <v>18</v>
      </c>
      <c r="D19" s="5" t="s">
        <v>19</v>
      </c>
      <c r="E19" s="5" t="s">
        <v>162</v>
      </c>
      <c r="F19" s="5" t="s">
        <v>154</v>
      </c>
      <c r="G19" s="5" t="s">
        <v>163</v>
      </c>
      <c r="H19" s="5" t="s">
        <v>23</v>
      </c>
      <c r="I19" s="6" t="s">
        <v>164</v>
      </c>
      <c r="J19" s="4">
        <v>100.0</v>
      </c>
      <c r="K19" s="5" t="s">
        <v>165</v>
      </c>
      <c r="L19" s="5" t="s">
        <v>166</v>
      </c>
      <c r="M19" s="5" t="s">
        <v>167</v>
      </c>
      <c r="N19" s="7" t="s">
        <v>168</v>
      </c>
      <c r="O19" s="5" t="s">
        <v>30</v>
      </c>
      <c r="P19" s="5" t="s">
        <v>30</v>
      </c>
      <c r="Q19" s="5" t="s">
        <v>30</v>
      </c>
    </row>
    <row r="20" ht="21.0" customHeight="1">
      <c r="A20" s="4">
        <v>19.0</v>
      </c>
      <c r="B20" s="5" t="s">
        <v>169</v>
      </c>
      <c r="C20" s="5" t="s">
        <v>18</v>
      </c>
      <c r="D20" s="5" t="s">
        <v>170</v>
      </c>
      <c r="E20" s="5" t="s">
        <v>171</v>
      </c>
      <c r="F20" s="5" t="s">
        <v>154</v>
      </c>
      <c r="G20" s="5" t="s">
        <v>172</v>
      </c>
      <c r="H20" s="5" t="s">
        <v>50</v>
      </c>
      <c r="I20" s="6" t="s">
        <v>173</v>
      </c>
      <c r="J20" s="4">
        <v>100.0</v>
      </c>
      <c r="K20" s="5" t="s">
        <v>157</v>
      </c>
      <c r="L20" s="5" t="s">
        <v>174</v>
      </c>
      <c r="M20" s="5" t="s">
        <v>175</v>
      </c>
      <c r="N20" s="7" t="s">
        <v>176</v>
      </c>
      <c r="O20" s="5" t="s">
        <v>30</v>
      </c>
      <c r="P20" s="5" t="s">
        <v>30</v>
      </c>
      <c r="Q20" s="5" t="s">
        <v>30</v>
      </c>
    </row>
    <row r="21" ht="21.0" customHeight="1">
      <c r="A21" s="4">
        <v>20.0</v>
      </c>
      <c r="B21" s="5" t="s">
        <v>177</v>
      </c>
      <c r="C21" s="5" t="s">
        <v>178</v>
      </c>
      <c r="D21" s="5" t="s">
        <v>19</v>
      </c>
      <c r="E21" s="5" t="s">
        <v>179</v>
      </c>
      <c r="F21" s="5" t="s">
        <v>154</v>
      </c>
      <c r="G21" s="5" t="s">
        <v>180</v>
      </c>
      <c r="H21" s="5" t="s">
        <v>23</v>
      </c>
      <c r="I21" s="6" t="s">
        <v>181</v>
      </c>
      <c r="J21" s="4">
        <v>100.0</v>
      </c>
      <c r="K21" s="5" t="s">
        <v>165</v>
      </c>
      <c r="L21" s="5" t="s">
        <v>182</v>
      </c>
      <c r="M21" s="5" t="s">
        <v>183</v>
      </c>
      <c r="N21" s="7" t="s">
        <v>184</v>
      </c>
      <c r="O21" s="5" t="s">
        <v>30</v>
      </c>
      <c r="P21" s="5" t="s">
        <v>30</v>
      </c>
      <c r="Q21" s="5" t="s">
        <v>30</v>
      </c>
    </row>
    <row r="22" ht="21.0" customHeight="1">
      <c r="A22" s="4">
        <v>21.0</v>
      </c>
      <c r="B22" s="5" t="s">
        <v>185</v>
      </c>
      <c r="C22" s="5" t="s">
        <v>18</v>
      </c>
      <c r="D22" s="5" t="s">
        <v>19</v>
      </c>
      <c r="E22" s="5" t="s">
        <v>186</v>
      </c>
      <c r="F22" s="5" t="s">
        <v>154</v>
      </c>
      <c r="G22" s="5" t="s">
        <v>187</v>
      </c>
      <c r="H22" s="5" t="s">
        <v>23</v>
      </c>
      <c r="I22" s="6" t="s">
        <v>188</v>
      </c>
      <c r="J22" s="4">
        <v>100.0</v>
      </c>
      <c r="K22" s="5" t="s">
        <v>84</v>
      </c>
      <c r="L22" s="5" t="s">
        <v>189</v>
      </c>
      <c r="M22" s="5" t="s">
        <v>190</v>
      </c>
      <c r="N22" s="7" t="s">
        <v>191</v>
      </c>
      <c r="O22" s="5" t="s">
        <v>30</v>
      </c>
      <c r="P22" s="5" t="s">
        <v>30</v>
      </c>
      <c r="Q22" s="5" t="s">
        <v>30</v>
      </c>
    </row>
    <row r="23" ht="21.0" customHeight="1">
      <c r="A23" s="4">
        <v>22.0</v>
      </c>
      <c r="B23" s="5" t="s">
        <v>192</v>
      </c>
      <c r="C23" s="5" t="s">
        <v>18</v>
      </c>
      <c r="D23" s="5" t="s">
        <v>19</v>
      </c>
      <c r="E23" s="5" t="s">
        <v>193</v>
      </c>
      <c r="F23" s="5" t="s">
        <v>154</v>
      </c>
      <c r="G23" s="5" t="s">
        <v>194</v>
      </c>
      <c r="H23" s="5" t="s">
        <v>50</v>
      </c>
      <c r="I23" s="6" t="s">
        <v>195</v>
      </c>
      <c r="J23" s="4">
        <v>100.0</v>
      </c>
      <c r="K23" s="5" t="s">
        <v>84</v>
      </c>
      <c r="L23" s="5" t="s">
        <v>196</v>
      </c>
      <c r="M23" s="5" t="s">
        <v>197</v>
      </c>
      <c r="N23" s="7" t="s">
        <v>198</v>
      </c>
      <c r="O23" s="5" t="s">
        <v>30</v>
      </c>
      <c r="P23" s="5" t="s">
        <v>30</v>
      </c>
      <c r="Q23" s="5" t="s">
        <v>30</v>
      </c>
    </row>
    <row r="24" ht="21.0" customHeight="1">
      <c r="A24" s="4">
        <v>23.0</v>
      </c>
      <c r="B24" s="5" t="s">
        <v>199</v>
      </c>
      <c r="C24" s="5" t="s">
        <v>18</v>
      </c>
      <c r="D24" s="5" t="s">
        <v>19</v>
      </c>
      <c r="E24" s="5" t="s">
        <v>200</v>
      </c>
      <c r="F24" s="5" t="s">
        <v>154</v>
      </c>
      <c r="G24" s="5" t="s">
        <v>201</v>
      </c>
      <c r="H24" s="5" t="s">
        <v>23</v>
      </c>
      <c r="I24" s="6" t="s">
        <v>202</v>
      </c>
      <c r="J24" s="4">
        <v>100.0</v>
      </c>
      <c r="K24" s="5" t="s">
        <v>25</v>
      </c>
      <c r="L24" s="5" t="s">
        <v>203</v>
      </c>
      <c r="M24" s="5" t="s">
        <v>204</v>
      </c>
      <c r="N24" s="7" t="s">
        <v>205</v>
      </c>
      <c r="O24" s="5" t="s">
        <v>30</v>
      </c>
      <c r="P24" s="5" t="s">
        <v>30</v>
      </c>
      <c r="Q24" s="5" t="s">
        <v>30</v>
      </c>
    </row>
    <row r="25" ht="21.0" customHeight="1">
      <c r="A25" s="4">
        <v>24.0</v>
      </c>
      <c r="B25" s="5" t="s">
        <v>206</v>
      </c>
      <c r="C25" s="5" t="s">
        <v>18</v>
      </c>
      <c r="D25" s="5" t="s">
        <v>19</v>
      </c>
      <c r="E25" s="5" t="s">
        <v>207</v>
      </c>
      <c r="F25" s="5" t="s">
        <v>154</v>
      </c>
      <c r="G25" s="5" t="s">
        <v>208</v>
      </c>
      <c r="H25" s="5" t="s">
        <v>23</v>
      </c>
      <c r="I25" s="6" t="s">
        <v>209</v>
      </c>
      <c r="J25" s="4">
        <v>100.0</v>
      </c>
      <c r="K25" s="5" t="s">
        <v>110</v>
      </c>
      <c r="L25" s="5" t="s">
        <v>53</v>
      </c>
      <c r="M25" s="5" t="s">
        <v>210</v>
      </c>
      <c r="N25" s="10" t="s">
        <v>211</v>
      </c>
      <c r="O25" s="5" t="s">
        <v>30</v>
      </c>
      <c r="P25" s="5" t="s">
        <v>30</v>
      </c>
      <c r="Q25" s="5" t="s">
        <v>30</v>
      </c>
    </row>
    <row r="26" ht="21.0" customHeight="1">
      <c r="A26" s="4">
        <v>25.0</v>
      </c>
      <c r="B26" s="5" t="s">
        <v>212</v>
      </c>
      <c r="C26" s="5" t="s">
        <v>18</v>
      </c>
      <c r="D26" s="5" t="s">
        <v>19</v>
      </c>
      <c r="E26" s="5" t="s">
        <v>213</v>
      </c>
      <c r="F26" s="5" t="s">
        <v>154</v>
      </c>
      <c r="G26" s="5" t="s">
        <v>214</v>
      </c>
      <c r="H26" s="5" t="s">
        <v>23</v>
      </c>
      <c r="I26" s="6" t="s">
        <v>215</v>
      </c>
      <c r="J26" s="4">
        <v>100.0</v>
      </c>
      <c r="K26" s="5" t="s">
        <v>216</v>
      </c>
      <c r="L26" s="5" t="s">
        <v>149</v>
      </c>
      <c r="M26" s="5" t="s">
        <v>217</v>
      </c>
      <c r="N26" s="7" t="s">
        <v>218</v>
      </c>
      <c r="O26" s="5" t="s">
        <v>30</v>
      </c>
      <c r="P26" s="5" t="s">
        <v>30</v>
      </c>
      <c r="Q26" s="5" t="s">
        <v>30</v>
      </c>
    </row>
    <row r="27" ht="21.0" customHeight="1">
      <c r="A27" s="4">
        <v>26.0</v>
      </c>
      <c r="B27" s="5" t="s">
        <v>219</v>
      </c>
      <c r="C27" s="5" t="s">
        <v>18</v>
      </c>
      <c r="D27" s="5" t="s">
        <v>19</v>
      </c>
      <c r="E27" s="5" t="s">
        <v>220</v>
      </c>
      <c r="F27" s="5" t="s">
        <v>154</v>
      </c>
      <c r="G27" s="5" t="s">
        <v>221</v>
      </c>
      <c r="H27" s="5" t="s">
        <v>23</v>
      </c>
      <c r="I27" s="6" t="s">
        <v>222</v>
      </c>
      <c r="J27" s="4">
        <v>100.0</v>
      </c>
      <c r="K27" s="5" t="s">
        <v>93</v>
      </c>
      <c r="L27" s="5" t="s">
        <v>223</v>
      </c>
      <c r="M27" s="5" t="s">
        <v>224</v>
      </c>
      <c r="N27" s="7" t="s">
        <v>225</v>
      </c>
      <c r="O27" s="5" t="s">
        <v>30</v>
      </c>
      <c r="P27" s="5" t="s">
        <v>30</v>
      </c>
      <c r="Q27" s="5" t="s">
        <v>30</v>
      </c>
    </row>
    <row r="28" ht="21.0" customHeight="1">
      <c r="A28" s="4">
        <v>27.0</v>
      </c>
      <c r="B28" s="5" t="s">
        <v>226</v>
      </c>
      <c r="C28" s="5" t="s">
        <v>227</v>
      </c>
      <c r="D28" s="5" t="s">
        <v>19</v>
      </c>
      <c r="E28" s="5" t="s">
        <v>228</v>
      </c>
      <c r="F28" s="5" t="s">
        <v>154</v>
      </c>
      <c r="G28" s="5" t="s">
        <v>229</v>
      </c>
      <c r="H28" s="5" t="s">
        <v>23</v>
      </c>
      <c r="I28" s="6" t="s">
        <v>230</v>
      </c>
      <c r="J28" s="4">
        <v>100.0</v>
      </c>
      <c r="K28" s="5" t="s">
        <v>25</v>
      </c>
      <c r="L28" s="5" t="s">
        <v>231</v>
      </c>
      <c r="M28" s="5" t="s">
        <v>232</v>
      </c>
      <c r="N28" s="7" t="s">
        <v>233</v>
      </c>
      <c r="O28" s="5" t="s">
        <v>30</v>
      </c>
      <c r="P28" s="5" t="s">
        <v>30</v>
      </c>
      <c r="Q28" s="5" t="s">
        <v>30</v>
      </c>
    </row>
    <row r="29" ht="21.0" customHeight="1">
      <c r="A29" s="4">
        <v>28.0</v>
      </c>
      <c r="B29" s="5" t="s">
        <v>234</v>
      </c>
      <c r="C29" s="5" t="s">
        <v>18</v>
      </c>
      <c r="D29" s="5" t="s">
        <v>19</v>
      </c>
      <c r="E29" s="5" t="s">
        <v>235</v>
      </c>
      <c r="F29" s="5" t="s">
        <v>154</v>
      </c>
      <c r="G29" s="5" t="s">
        <v>236</v>
      </c>
      <c r="H29" s="5" t="s">
        <v>23</v>
      </c>
      <c r="I29" s="6" t="s">
        <v>237</v>
      </c>
      <c r="J29" s="4">
        <v>100.0</v>
      </c>
      <c r="K29" s="5" t="s">
        <v>84</v>
      </c>
      <c r="L29" s="5" t="s">
        <v>238</v>
      </c>
      <c r="M29" s="5" t="s">
        <v>239</v>
      </c>
      <c r="N29" s="7" t="s">
        <v>240</v>
      </c>
      <c r="O29" s="5" t="s">
        <v>30</v>
      </c>
      <c r="P29" s="5" t="s">
        <v>30</v>
      </c>
      <c r="Q29" s="5" t="s">
        <v>30</v>
      </c>
    </row>
    <row r="30" ht="21.0" customHeight="1">
      <c r="A30" s="4">
        <v>29.0</v>
      </c>
      <c r="B30" s="5" t="s">
        <v>241</v>
      </c>
      <c r="C30" s="5" t="s">
        <v>18</v>
      </c>
      <c r="D30" s="5" t="s">
        <v>19</v>
      </c>
      <c r="E30" s="5" t="s">
        <v>242</v>
      </c>
      <c r="F30" s="5" t="s">
        <v>154</v>
      </c>
      <c r="G30" s="5" t="s">
        <v>243</v>
      </c>
      <c r="H30" s="5" t="s">
        <v>23</v>
      </c>
      <c r="I30" s="6" t="s">
        <v>244</v>
      </c>
      <c r="J30" s="4">
        <v>100.0</v>
      </c>
      <c r="K30" s="5" t="s">
        <v>216</v>
      </c>
      <c r="L30" s="5" t="s">
        <v>245</v>
      </c>
      <c r="M30" s="5" t="s">
        <v>246</v>
      </c>
      <c r="N30" s="7" t="s">
        <v>247</v>
      </c>
      <c r="O30" s="5" t="s">
        <v>30</v>
      </c>
      <c r="P30" s="5" t="s">
        <v>30</v>
      </c>
      <c r="Q30" s="5" t="s">
        <v>30</v>
      </c>
    </row>
    <row r="31" ht="21.0" customHeight="1">
      <c r="A31" s="4">
        <v>30.0</v>
      </c>
      <c r="B31" s="5" t="s">
        <v>248</v>
      </c>
      <c r="C31" s="5" t="s">
        <v>18</v>
      </c>
      <c r="D31" s="5" t="s">
        <v>19</v>
      </c>
      <c r="E31" s="5" t="s">
        <v>249</v>
      </c>
      <c r="F31" s="5" t="s">
        <v>154</v>
      </c>
      <c r="G31" s="5" t="s">
        <v>250</v>
      </c>
      <c r="H31" s="5" t="s">
        <v>50</v>
      </c>
      <c r="I31" s="6" t="s">
        <v>251</v>
      </c>
      <c r="J31" s="4">
        <v>100.0</v>
      </c>
      <c r="K31" s="5" t="s">
        <v>84</v>
      </c>
      <c r="L31" s="5" t="s">
        <v>252</v>
      </c>
      <c r="M31" s="5" t="s">
        <v>253</v>
      </c>
      <c r="N31" s="7" t="s">
        <v>254</v>
      </c>
      <c r="O31" s="5" t="s">
        <v>30</v>
      </c>
      <c r="P31" s="5" t="s">
        <v>30</v>
      </c>
      <c r="Q31" s="5" t="s">
        <v>30</v>
      </c>
    </row>
    <row r="32" ht="21.0" customHeight="1">
      <c r="A32" s="4">
        <v>31.0</v>
      </c>
      <c r="B32" s="5" t="s">
        <v>255</v>
      </c>
      <c r="C32" s="5" t="s">
        <v>256</v>
      </c>
      <c r="D32" s="5" t="s">
        <v>19</v>
      </c>
      <c r="E32" s="5" t="s">
        <v>257</v>
      </c>
      <c r="F32" s="5" t="s">
        <v>154</v>
      </c>
      <c r="G32" s="5" t="s">
        <v>258</v>
      </c>
      <c r="H32" s="5" t="s">
        <v>23</v>
      </c>
      <c r="I32" s="6" t="s">
        <v>259</v>
      </c>
      <c r="J32" s="4">
        <v>100.0</v>
      </c>
      <c r="K32" s="5" t="s">
        <v>84</v>
      </c>
      <c r="L32" s="5" t="s">
        <v>260</v>
      </c>
      <c r="M32" s="5" t="s">
        <v>261</v>
      </c>
      <c r="N32" s="7" t="s">
        <v>262</v>
      </c>
      <c r="O32" s="5" t="s">
        <v>30</v>
      </c>
      <c r="P32" s="5" t="s">
        <v>30</v>
      </c>
      <c r="Q32" s="5" t="s">
        <v>30</v>
      </c>
    </row>
    <row r="33" ht="21.0" customHeight="1">
      <c r="A33" s="4">
        <v>32.0</v>
      </c>
      <c r="B33" s="5" t="s">
        <v>263</v>
      </c>
      <c r="C33" s="5" t="s">
        <v>264</v>
      </c>
      <c r="D33" s="5" t="s">
        <v>19</v>
      </c>
      <c r="E33" s="5" t="s">
        <v>265</v>
      </c>
      <c r="F33" s="5" t="s">
        <v>154</v>
      </c>
      <c r="G33" s="5" t="s">
        <v>266</v>
      </c>
      <c r="H33" s="5" t="s">
        <v>23</v>
      </c>
      <c r="I33" s="6" t="s">
        <v>267</v>
      </c>
      <c r="J33" s="4">
        <v>100.0</v>
      </c>
      <c r="K33" s="5" t="s">
        <v>25</v>
      </c>
      <c r="L33" s="5" t="s">
        <v>268</v>
      </c>
      <c r="M33" s="5" t="s">
        <v>269</v>
      </c>
      <c r="N33" s="7" t="s">
        <v>270</v>
      </c>
      <c r="O33" s="5" t="s">
        <v>30</v>
      </c>
      <c r="P33" s="5" t="s">
        <v>30</v>
      </c>
      <c r="Q33" s="5" t="s">
        <v>30</v>
      </c>
    </row>
    <row r="34" ht="21.0" customHeight="1">
      <c r="A34" s="4">
        <v>33.0</v>
      </c>
      <c r="B34" s="5" t="s">
        <v>271</v>
      </c>
      <c r="C34" s="5" t="s">
        <v>18</v>
      </c>
      <c r="D34" s="5" t="s">
        <v>19</v>
      </c>
      <c r="E34" s="5" t="s">
        <v>272</v>
      </c>
      <c r="F34" s="5" t="s">
        <v>154</v>
      </c>
      <c r="G34" s="5" t="s">
        <v>273</v>
      </c>
      <c r="H34" s="5" t="s">
        <v>23</v>
      </c>
      <c r="I34" s="6" t="s">
        <v>274</v>
      </c>
      <c r="J34" s="4">
        <v>100.0</v>
      </c>
      <c r="K34" s="5" t="s">
        <v>275</v>
      </c>
      <c r="L34" s="5" t="s">
        <v>276</v>
      </c>
      <c r="M34" s="5" t="s">
        <v>277</v>
      </c>
      <c r="N34" s="7" t="s">
        <v>278</v>
      </c>
      <c r="O34" s="5" t="s">
        <v>30</v>
      </c>
      <c r="P34" s="5" t="s">
        <v>30</v>
      </c>
      <c r="Q34" s="5" t="s">
        <v>30</v>
      </c>
    </row>
    <row r="35" ht="21.0" customHeight="1">
      <c r="A35" s="4">
        <v>34.0</v>
      </c>
      <c r="B35" s="5" t="s">
        <v>279</v>
      </c>
      <c r="C35" s="5" t="s">
        <v>280</v>
      </c>
      <c r="D35" s="5" t="s">
        <v>19</v>
      </c>
      <c r="E35" s="5" t="s">
        <v>281</v>
      </c>
      <c r="F35" s="5" t="s">
        <v>154</v>
      </c>
      <c r="G35" s="5" t="s">
        <v>282</v>
      </c>
      <c r="H35" s="5" t="s">
        <v>23</v>
      </c>
      <c r="I35" s="6" t="s">
        <v>283</v>
      </c>
      <c r="J35" s="4">
        <v>100.0</v>
      </c>
      <c r="K35" s="5" t="s">
        <v>284</v>
      </c>
      <c r="L35" s="5" t="s">
        <v>285</v>
      </c>
      <c r="M35" s="5" t="s">
        <v>286</v>
      </c>
      <c r="N35" s="7" t="s">
        <v>287</v>
      </c>
      <c r="O35" s="5" t="s">
        <v>30</v>
      </c>
      <c r="P35" s="5" t="s">
        <v>30</v>
      </c>
      <c r="Q35" s="5" t="s">
        <v>30</v>
      </c>
    </row>
    <row r="36" ht="21.0" customHeight="1">
      <c r="A36" s="4">
        <v>35.0</v>
      </c>
      <c r="B36" s="5" t="s">
        <v>288</v>
      </c>
      <c r="C36" s="5" t="s">
        <v>18</v>
      </c>
      <c r="D36" s="5" t="s">
        <v>19</v>
      </c>
      <c r="E36" s="5" t="s">
        <v>289</v>
      </c>
      <c r="F36" s="5" t="s">
        <v>154</v>
      </c>
      <c r="G36" s="5" t="s">
        <v>290</v>
      </c>
      <c r="H36" s="5" t="s">
        <v>23</v>
      </c>
      <c r="I36" s="6" t="s">
        <v>291</v>
      </c>
      <c r="J36" s="4">
        <v>100.0</v>
      </c>
      <c r="K36" s="5" t="s">
        <v>292</v>
      </c>
      <c r="L36" s="5" t="s">
        <v>293</v>
      </c>
      <c r="M36" s="5" t="s">
        <v>294</v>
      </c>
      <c r="N36" s="7" t="s">
        <v>295</v>
      </c>
      <c r="O36" s="5" t="s">
        <v>30</v>
      </c>
      <c r="P36" s="5" t="s">
        <v>30</v>
      </c>
      <c r="Q36" s="5" t="s">
        <v>30</v>
      </c>
    </row>
    <row r="37" ht="21.0" customHeight="1">
      <c r="A37" s="4">
        <v>36.0</v>
      </c>
      <c r="B37" s="5" t="s">
        <v>296</v>
      </c>
      <c r="C37" s="5" t="s">
        <v>18</v>
      </c>
      <c r="D37" s="5" t="s">
        <v>19</v>
      </c>
      <c r="E37" s="5" t="s">
        <v>297</v>
      </c>
      <c r="F37" s="5" t="s">
        <v>154</v>
      </c>
      <c r="G37" s="5" t="s">
        <v>34</v>
      </c>
      <c r="H37" s="5" t="s">
        <v>23</v>
      </c>
      <c r="I37" s="6" t="s">
        <v>298</v>
      </c>
      <c r="J37" s="4">
        <v>100.0</v>
      </c>
      <c r="K37" s="5" t="s">
        <v>141</v>
      </c>
      <c r="L37" s="5" t="s">
        <v>299</v>
      </c>
      <c r="M37" s="5" t="s">
        <v>300</v>
      </c>
      <c r="N37" s="7" t="s">
        <v>301</v>
      </c>
      <c r="O37" s="5" t="s">
        <v>30</v>
      </c>
      <c r="P37" s="5" t="s">
        <v>30</v>
      </c>
      <c r="Q37" s="5" t="s">
        <v>30</v>
      </c>
    </row>
    <row r="38" ht="21.0" customHeight="1">
      <c r="A38" s="4">
        <v>37.0</v>
      </c>
      <c r="B38" s="5" t="s">
        <v>302</v>
      </c>
      <c r="C38" s="5" t="s">
        <v>303</v>
      </c>
      <c r="D38" s="5" t="s">
        <v>304</v>
      </c>
      <c r="E38" s="5" t="s">
        <v>305</v>
      </c>
      <c r="F38" s="5" t="s">
        <v>154</v>
      </c>
      <c r="G38" s="5" t="s">
        <v>306</v>
      </c>
      <c r="H38" s="5" t="s">
        <v>23</v>
      </c>
      <c r="I38" s="6" t="s">
        <v>307</v>
      </c>
      <c r="J38" s="4">
        <v>100.0</v>
      </c>
      <c r="K38" s="5" t="s">
        <v>216</v>
      </c>
      <c r="L38" s="5" t="s">
        <v>308</v>
      </c>
      <c r="M38" s="5" t="s">
        <v>309</v>
      </c>
      <c r="N38" s="7" t="s">
        <v>310</v>
      </c>
      <c r="O38" s="11" t="s">
        <v>311</v>
      </c>
      <c r="P38" s="5" t="s">
        <v>30</v>
      </c>
      <c r="Q38" s="5" t="s">
        <v>30</v>
      </c>
    </row>
    <row r="39" ht="21.0" customHeight="1">
      <c r="A39" s="4">
        <v>38.0</v>
      </c>
      <c r="B39" s="5" t="s">
        <v>312</v>
      </c>
      <c r="C39" s="5" t="s">
        <v>18</v>
      </c>
      <c r="D39" s="5" t="s">
        <v>19</v>
      </c>
      <c r="E39" s="5" t="s">
        <v>313</v>
      </c>
      <c r="F39" s="5" t="s">
        <v>154</v>
      </c>
      <c r="G39" s="5" t="s">
        <v>314</v>
      </c>
      <c r="H39" s="5" t="s">
        <v>23</v>
      </c>
      <c r="I39" s="6" t="s">
        <v>315</v>
      </c>
      <c r="J39" s="4">
        <v>100.0</v>
      </c>
      <c r="K39" s="5" t="s">
        <v>316</v>
      </c>
      <c r="L39" s="5" t="s">
        <v>317</v>
      </c>
      <c r="M39" s="5" t="s">
        <v>318</v>
      </c>
      <c r="N39" s="7" t="s">
        <v>319</v>
      </c>
      <c r="O39" s="5" t="s">
        <v>30</v>
      </c>
      <c r="P39" s="5" t="s">
        <v>30</v>
      </c>
      <c r="Q39" s="5" t="s">
        <v>30</v>
      </c>
    </row>
    <row r="40" ht="21.0" customHeight="1">
      <c r="A40" s="4">
        <v>39.0</v>
      </c>
      <c r="B40" s="5" t="s">
        <v>320</v>
      </c>
      <c r="C40" s="5" t="s">
        <v>321</v>
      </c>
      <c r="D40" s="5" t="s">
        <v>19</v>
      </c>
      <c r="E40" s="5" t="s">
        <v>322</v>
      </c>
      <c r="F40" s="5" t="s">
        <v>154</v>
      </c>
      <c r="G40" s="5" t="s">
        <v>323</v>
      </c>
      <c r="H40" s="5" t="s">
        <v>23</v>
      </c>
      <c r="I40" s="6" t="s">
        <v>324</v>
      </c>
      <c r="J40" s="4">
        <v>100.0</v>
      </c>
      <c r="K40" s="5" t="s">
        <v>216</v>
      </c>
      <c r="L40" s="12" t="s">
        <v>325</v>
      </c>
      <c r="M40" s="5" t="s">
        <v>326</v>
      </c>
      <c r="N40" s="7" t="s">
        <v>327</v>
      </c>
      <c r="O40" s="5" t="s">
        <v>30</v>
      </c>
      <c r="P40" s="5" t="s">
        <v>30</v>
      </c>
      <c r="Q40" s="5" t="s">
        <v>30</v>
      </c>
    </row>
    <row r="41" ht="21.0" customHeight="1">
      <c r="A41" s="4">
        <v>40.0</v>
      </c>
      <c r="B41" s="5" t="s">
        <v>328</v>
      </c>
      <c r="C41" s="5" t="s">
        <v>18</v>
      </c>
      <c r="D41" s="5" t="s">
        <v>19</v>
      </c>
      <c r="E41" s="5" t="s">
        <v>329</v>
      </c>
      <c r="F41" s="5" t="s">
        <v>154</v>
      </c>
      <c r="G41" s="5" t="s">
        <v>330</v>
      </c>
      <c r="H41" s="5" t="s">
        <v>23</v>
      </c>
      <c r="I41" s="6" t="s">
        <v>331</v>
      </c>
      <c r="J41" s="4">
        <v>100.0</v>
      </c>
      <c r="K41" s="5" t="s">
        <v>25</v>
      </c>
      <c r="L41" s="5" t="s">
        <v>332</v>
      </c>
      <c r="M41" s="5" t="s">
        <v>333</v>
      </c>
      <c r="N41" s="7" t="s">
        <v>334</v>
      </c>
      <c r="O41" s="5" t="s">
        <v>30</v>
      </c>
      <c r="P41" s="5" t="s">
        <v>30</v>
      </c>
      <c r="Q41" s="5" t="s">
        <v>30</v>
      </c>
    </row>
    <row r="42" ht="21.0" customHeight="1">
      <c r="A42" s="4">
        <v>41.0</v>
      </c>
      <c r="B42" s="5" t="s">
        <v>335</v>
      </c>
      <c r="C42" s="5" t="s">
        <v>18</v>
      </c>
      <c r="D42" s="5" t="s">
        <v>19</v>
      </c>
      <c r="E42" s="5" t="s">
        <v>336</v>
      </c>
      <c r="F42" s="5" t="s">
        <v>154</v>
      </c>
      <c r="G42" s="5" t="s">
        <v>337</v>
      </c>
      <c r="H42" s="5" t="s">
        <v>50</v>
      </c>
      <c r="I42" s="6" t="s">
        <v>338</v>
      </c>
      <c r="J42" s="4">
        <v>100.0</v>
      </c>
      <c r="K42" s="5" t="s">
        <v>284</v>
      </c>
      <c r="L42" s="5" t="s">
        <v>339</v>
      </c>
      <c r="M42" s="5" t="s">
        <v>340</v>
      </c>
      <c r="N42" s="7" t="s">
        <v>341</v>
      </c>
      <c r="O42" s="5" t="s">
        <v>30</v>
      </c>
      <c r="P42" s="5" t="s">
        <v>30</v>
      </c>
      <c r="Q42" s="5" t="s">
        <v>30</v>
      </c>
    </row>
    <row r="43" ht="21.0" customHeight="1">
      <c r="A43" s="4">
        <v>42.0</v>
      </c>
      <c r="B43" s="5" t="s">
        <v>342</v>
      </c>
      <c r="C43" s="5" t="s">
        <v>18</v>
      </c>
      <c r="D43" s="5" t="s">
        <v>19</v>
      </c>
      <c r="E43" s="5" t="s">
        <v>343</v>
      </c>
      <c r="F43" s="5" t="s">
        <v>154</v>
      </c>
      <c r="G43" s="5" t="s">
        <v>344</v>
      </c>
      <c r="H43" s="5" t="s">
        <v>50</v>
      </c>
      <c r="I43" s="6" t="s">
        <v>345</v>
      </c>
      <c r="J43" s="4">
        <v>100.0</v>
      </c>
      <c r="K43" s="5" t="s">
        <v>110</v>
      </c>
      <c r="L43" s="12" t="s">
        <v>346</v>
      </c>
      <c r="M43" s="5" t="s">
        <v>347</v>
      </c>
      <c r="N43" s="7" t="s">
        <v>348</v>
      </c>
      <c r="O43" s="5" t="s">
        <v>30</v>
      </c>
      <c r="P43" s="5" t="s">
        <v>30</v>
      </c>
      <c r="Q43" s="5" t="s">
        <v>30</v>
      </c>
    </row>
    <row r="44" ht="21.0" customHeight="1">
      <c r="A44" s="4">
        <v>43.0</v>
      </c>
      <c r="B44" s="5" t="s">
        <v>349</v>
      </c>
      <c r="C44" s="5" t="s">
        <v>18</v>
      </c>
      <c r="D44" s="5" t="s">
        <v>350</v>
      </c>
      <c r="E44" s="5" t="s">
        <v>351</v>
      </c>
      <c r="F44" s="5" t="s">
        <v>154</v>
      </c>
      <c r="G44" s="5" t="s">
        <v>352</v>
      </c>
      <c r="H44" s="5" t="s">
        <v>353</v>
      </c>
      <c r="I44" s="6" t="s">
        <v>354</v>
      </c>
      <c r="J44" s="4">
        <v>100.0</v>
      </c>
      <c r="K44" s="5" t="s">
        <v>216</v>
      </c>
      <c r="L44" s="5" t="s">
        <v>355</v>
      </c>
      <c r="M44" s="5" t="s">
        <v>356</v>
      </c>
      <c r="N44" s="7" t="s">
        <v>357</v>
      </c>
      <c r="O44" s="5" t="s">
        <v>30</v>
      </c>
      <c r="P44" s="5" t="s">
        <v>30</v>
      </c>
      <c r="Q44" s="5" t="s">
        <v>30</v>
      </c>
    </row>
    <row r="45" ht="21.0" customHeight="1">
      <c r="A45" s="4">
        <v>44.0</v>
      </c>
      <c r="B45" s="5" t="s">
        <v>358</v>
      </c>
      <c r="C45" s="5" t="s">
        <v>359</v>
      </c>
      <c r="D45" s="5" t="s">
        <v>19</v>
      </c>
      <c r="E45" s="5" t="s">
        <v>360</v>
      </c>
      <c r="F45" s="5" t="s">
        <v>154</v>
      </c>
      <c r="G45" s="5" t="s">
        <v>361</v>
      </c>
      <c r="H45" s="5" t="s">
        <v>23</v>
      </c>
      <c r="I45" s="6" t="s">
        <v>362</v>
      </c>
      <c r="J45" s="4">
        <v>100.0</v>
      </c>
      <c r="K45" s="5" t="s">
        <v>110</v>
      </c>
      <c r="L45" s="12" t="s">
        <v>363</v>
      </c>
      <c r="M45" s="5" t="s">
        <v>364</v>
      </c>
      <c r="N45" s="7" t="s">
        <v>365</v>
      </c>
      <c r="O45" s="5" t="s">
        <v>30</v>
      </c>
      <c r="P45" s="5" t="s">
        <v>30</v>
      </c>
      <c r="Q45" s="5" t="s">
        <v>30</v>
      </c>
    </row>
    <row r="46" ht="21.0" customHeight="1">
      <c r="A46" s="4">
        <v>45.0</v>
      </c>
      <c r="B46" s="5" t="s">
        <v>366</v>
      </c>
      <c r="C46" s="5" t="s">
        <v>18</v>
      </c>
      <c r="D46" s="5" t="s">
        <v>19</v>
      </c>
      <c r="E46" s="5" t="s">
        <v>367</v>
      </c>
      <c r="F46" s="5" t="s">
        <v>154</v>
      </c>
      <c r="G46" s="5" t="s">
        <v>368</v>
      </c>
      <c r="H46" s="5" t="s">
        <v>23</v>
      </c>
      <c r="I46" s="6" t="s">
        <v>369</v>
      </c>
      <c r="J46" s="4">
        <v>100.0</v>
      </c>
      <c r="K46" s="5" t="s">
        <v>93</v>
      </c>
      <c r="L46" s="5" t="s">
        <v>370</v>
      </c>
      <c r="M46" s="5" t="s">
        <v>371</v>
      </c>
      <c r="N46" s="7" t="s">
        <v>372</v>
      </c>
      <c r="O46" s="5" t="s">
        <v>30</v>
      </c>
      <c r="P46" s="5" t="s">
        <v>30</v>
      </c>
      <c r="Q46" s="5" t="s">
        <v>30</v>
      </c>
    </row>
    <row r="47" ht="21.0" customHeight="1">
      <c r="A47" s="4">
        <v>46.0</v>
      </c>
      <c r="B47" s="5" t="s">
        <v>373</v>
      </c>
      <c r="C47" s="5" t="s">
        <v>374</v>
      </c>
      <c r="D47" s="5" t="s">
        <v>19</v>
      </c>
      <c r="E47" s="5" t="s">
        <v>375</v>
      </c>
      <c r="F47" s="5" t="s">
        <v>154</v>
      </c>
      <c r="G47" s="5" t="s">
        <v>376</v>
      </c>
      <c r="H47" s="5" t="s">
        <v>23</v>
      </c>
      <c r="I47" s="6" t="s">
        <v>377</v>
      </c>
      <c r="J47" s="4">
        <v>100.0</v>
      </c>
      <c r="K47" s="5" t="s">
        <v>165</v>
      </c>
      <c r="L47" s="5" t="s">
        <v>378</v>
      </c>
      <c r="M47" s="5" t="s">
        <v>379</v>
      </c>
      <c r="N47" s="7" t="s">
        <v>380</v>
      </c>
      <c r="O47" s="5" t="s">
        <v>30</v>
      </c>
      <c r="P47" s="5" t="s">
        <v>30</v>
      </c>
      <c r="Q47" s="5" t="s">
        <v>30</v>
      </c>
    </row>
    <row r="48" ht="21.0" customHeight="1">
      <c r="A48" s="4">
        <v>47.0</v>
      </c>
      <c r="B48" s="5" t="s">
        <v>381</v>
      </c>
      <c r="C48" s="5" t="s">
        <v>382</v>
      </c>
      <c r="D48" s="5" t="s">
        <v>19</v>
      </c>
      <c r="E48" s="5" t="s">
        <v>383</v>
      </c>
      <c r="F48" s="5" t="s">
        <v>154</v>
      </c>
      <c r="G48" s="5" t="s">
        <v>384</v>
      </c>
      <c r="H48" s="5" t="s">
        <v>23</v>
      </c>
      <c r="I48" s="6" t="s">
        <v>385</v>
      </c>
      <c r="J48" s="4">
        <v>100.0</v>
      </c>
      <c r="K48" s="5" t="s">
        <v>386</v>
      </c>
      <c r="L48" s="5" t="s">
        <v>387</v>
      </c>
      <c r="M48" s="5" t="s">
        <v>388</v>
      </c>
      <c r="N48" s="7" t="s">
        <v>389</v>
      </c>
      <c r="O48" s="5" t="s">
        <v>30</v>
      </c>
      <c r="P48" s="5" t="s">
        <v>30</v>
      </c>
      <c r="Q48" s="5" t="s">
        <v>30</v>
      </c>
    </row>
    <row r="49" ht="21.0" customHeight="1">
      <c r="A49" s="4">
        <v>48.0</v>
      </c>
      <c r="B49" s="5" t="s">
        <v>390</v>
      </c>
      <c r="C49" s="5" t="s">
        <v>18</v>
      </c>
      <c r="D49" s="5" t="s">
        <v>19</v>
      </c>
      <c r="E49" s="5" t="s">
        <v>391</v>
      </c>
      <c r="F49" s="5" t="s">
        <v>154</v>
      </c>
      <c r="G49" s="5" t="s">
        <v>392</v>
      </c>
      <c r="H49" s="5" t="s">
        <v>23</v>
      </c>
      <c r="I49" s="6" t="s">
        <v>393</v>
      </c>
      <c r="J49" s="4">
        <v>100.0</v>
      </c>
      <c r="K49" s="5" t="s">
        <v>25</v>
      </c>
      <c r="L49" s="12" t="s">
        <v>394</v>
      </c>
      <c r="M49" s="5" t="s">
        <v>395</v>
      </c>
      <c r="N49" s="7" t="s">
        <v>396</v>
      </c>
      <c r="O49" s="9" t="s">
        <v>397</v>
      </c>
      <c r="P49" s="5" t="s">
        <v>30</v>
      </c>
      <c r="Q49" s="5" t="s">
        <v>30</v>
      </c>
    </row>
    <row r="50" ht="21.0" customHeight="1">
      <c r="A50" s="4">
        <v>49.0</v>
      </c>
      <c r="B50" s="5" t="s">
        <v>398</v>
      </c>
      <c r="C50" s="5" t="s">
        <v>399</v>
      </c>
      <c r="D50" s="5" t="s">
        <v>19</v>
      </c>
      <c r="E50" s="5" t="s">
        <v>400</v>
      </c>
      <c r="F50" s="5" t="s">
        <v>154</v>
      </c>
      <c r="G50" s="5" t="s">
        <v>401</v>
      </c>
      <c r="H50" s="5" t="s">
        <v>23</v>
      </c>
      <c r="I50" s="6" t="s">
        <v>402</v>
      </c>
      <c r="J50" s="4">
        <v>100.0</v>
      </c>
      <c r="K50" s="5" t="s">
        <v>284</v>
      </c>
      <c r="L50" s="5" t="s">
        <v>403</v>
      </c>
      <c r="M50" s="5" t="s">
        <v>404</v>
      </c>
      <c r="N50" s="7" t="s">
        <v>405</v>
      </c>
      <c r="O50" s="9" t="s">
        <v>406</v>
      </c>
      <c r="P50" s="5" t="s">
        <v>30</v>
      </c>
      <c r="Q50" s="5" t="s">
        <v>30</v>
      </c>
    </row>
    <row r="51" ht="21.0" customHeight="1">
      <c r="A51" s="4">
        <v>50.0</v>
      </c>
      <c r="B51" s="5" t="s">
        <v>407</v>
      </c>
      <c r="C51" s="5" t="s">
        <v>18</v>
      </c>
      <c r="D51" s="5" t="s">
        <v>19</v>
      </c>
      <c r="E51" s="5" t="s">
        <v>408</v>
      </c>
      <c r="F51" s="5" t="s">
        <v>154</v>
      </c>
      <c r="G51" s="5" t="s">
        <v>409</v>
      </c>
      <c r="H51" s="5" t="s">
        <v>50</v>
      </c>
      <c r="I51" s="6" t="s">
        <v>410</v>
      </c>
      <c r="J51" s="4">
        <v>100.0</v>
      </c>
      <c r="K51" s="5" t="s">
        <v>84</v>
      </c>
      <c r="L51" s="5" t="s">
        <v>411</v>
      </c>
      <c r="M51" s="5" t="s">
        <v>412</v>
      </c>
      <c r="N51" s="7" t="s">
        <v>413</v>
      </c>
      <c r="O51" s="5" t="s">
        <v>30</v>
      </c>
      <c r="P51" s="5" t="s">
        <v>30</v>
      </c>
      <c r="Q51" s="5" t="s">
        <v>30</v>
      </c>
    </row>
    <row r="52" ht="21.0" customHeight="1">
      <c r="A52" s="4">
        <v>51.0</v>
      </c>
      <c r="B52" s="5" t="s">
        <v>414</v>
      </c>
      <c r="C52" s="5" t="s">
        <v>18</v>
      </c>
      <c r="D52" s="5" t="s">
        <v>19</v>
      </c>
      <c r="E52" s="5" t="s">
        <v>415</v>
      </c>
      <c r="F52" s="5" t="s">
        <v>154</v>
      </c>
      <c r="G52" s="5" t="s">
        <v>416</v>
      </c>
      <c r="H52" s="5" t="s">
        <v>23</v>
      </c>
      <c r="I52" s="6" t="s">
        <v>417</v>
      </c>
      <c r="J52" s="4">
        <v>100.0</v>
      </c>
      <c r="K52" s="5" t="s">
        <v>292</v>
      </c>
      <c r="L52" s="5" t="s">
        <v>418</v>
      </c>
      <c r="M52" s="5" t="s">
        <v>419</v>
      </c>
      <c r="N52" s="7" t="s">
        <v>420</v>
      </c>
      <c r="O52" s="5" t="s">
        <v>30</v>
      </c>
      <c r="P52" s="5" t="s">
        <v>30</v>
      </c>
      <c r="Q52" s="5" t="s">
        <v>30</v>
      </c>
    </row>
    <row r="53" ht="21.0" customHeight="1">
      <c r="A53" s="4">
        <v>52.0</v>
      </c>
      <c r="B53" s="5" t="s">
        <v>421</v>
      </c>
      <c r="C53" s="5" t="s">
        <v>18</v>
      </c>
      <c r="D53" s="5" t="s">
        <v>422</v>
      </c>
      <c r="E53" s="5" t="s">
        <v>423</v>
      </c>
      <c r="F53" s="5" t="s">
        <v>154</v>
      </c>
      <c r="G53" s="5" t="s">
        <v>424</v>
      </c>
      <c r="H53" s="5" t="s">
        <v>50</v>
      </c>
      <c r="I53" s="6" t="s">
        <v>425</v>
      </c>
      <c r="J53" s="4">
        <v>100.0</v>
      </c>
      <c r="K53" s="5" t="s">
        <v>275</v>
      </c>
      <c r="L53" s="5" t="s">
        <v>426</v>
      </c>
      <c r="M53" s="5" t="s">
        <v>427</v>
      </c>
      <c r="N53" s="7" t="s">
        <v>428</v>
      </c>
      <c r="O53" s="5" t="s">
        <v>30</v>
      </c>
      <c r="P53" s="5" t="s">
        <v>30</v>
      </c>
      <c r="Q53" s="5" t="s">
        <v>30</v>
      </c>
    </row>
    <row r="54" ht="21.0" customHeight="1">
      <c r="A54" s="4">
        <v>53.0</v>
      </c>
      <c r="B54" s="5" t="s">
        <v>429</v>
      </c>
      <c r="C54" s="5" t="s">
        <v>18</v>
      </c>
      <c r="D54" s="5" t="s">
        <v>430</v>
      </c>
      <c r="E54" s="5" t="s">
        <v>431</v>
      </c>
      <c r="F54" s="5" t="s">
        <v>154</v>
      </c>
      <c r="G54" s="5" t="s">
        <v>432</v>
      </c>
      <c r="H54" s="5" t="s">
        <v>23</v>
      </c>
      <c r="I54" s="6" t="s">
        <v>433</v>
      </c>
      <c r="J54" s="4">
        <v>100.0</v>
      </c>
      <c r="K54" s="5" t="s">
        <v>25</v>
      </c>
      <c r="L54" s="5" t="s">
        <v>434</v>
      </c>
      <c r="M54" s="5" t="s">
        <v>435</v>
      </c>
      <c r="N54" s="7" t="s">
        <v>436</v>
      </c>
      <c r="O54" s="5" t="s">
        <v>30</v>
      </c>
      <c r="P54" s="5" t="s">
        <v>30</v>
      </c>
      <c r="Q54" s="5" t="s">
        <v>30</v>
      </c>
    </row>
    <row r="55" ht="21.0" customHeight="1">
      <c r="A55" s="4">
        <v>54.0</v>
      </c>
      <c r="B55" s="5" t="s">
        <v>437</v>
      </c>
      <c r="C55" s="5" t="s">
        <v>18</v>
      </c>
      <c r="D55" s="5" t="s">
        <v>19</v>
      </c>
      <c r="E55" s="5" t="s">
        <v>438</v>
      </c>
      <c r="F55" s="5" t="s">
        <v>154</v>
      </c>
      <c r="G55" s="5" t="s">
        <v>439</v>
      </c>
      <c r="H55" s="5" t="s">
        <v>23</v>
      </c>
      <c r="I55" s="6" t="s">
        <v>440</v>
      </c>
      <c r="J55" s="4">
        <v>100.0</v>
      </c>
      <c r="K55" s="5" t="s">
        <v>25</v>
      </c>
      <c r="L55" s="5" t="s">
        <v>441</v>
      </c>
      <c r="M55" s="5" t="s">
        <v>442</v>
      </c>
      <c r="N55" s="7" t="s">
        <v>443</v>
      </c>
      <c r="O55" s="5" t="s">
        <v>30</v>
      </c>
      <c r="P55" s="5" t="s">
        <v>30</v>
      </c>
      <c r="Q55" s="5" t="s">
        <v>30</v>
      </c>
    </row>
    <row r="56" ht="21.0" customHeight="1">
      <c r="A56" s="4">
        <v>55.0</v>
      </c>
      <c r="B56" s="5" t="s">
        <v>444</v>
      </c>
      <c r="C56" s="5" t="s">
        <v>445</v>
      </c>
      <c r="D56" s="5" t="s">
        <v>446</v>
      </c>
      <c r="E56" s="5" t="s">
        <v>447</v>
      </c>
      <c r="F56" s="5" t="s">
        <v>154</v>
      </c>
      <c r="G56" s="5" t="s">
        <v>448</v>
      </c>
      <c r="H56" s="5" t="s">
        <v>23</v>
      </c>
      <c r="I56" s="6" t="s">
        <v>449</v>
      </c>
      <c r="J56" s="4">
        <v>100.0</v>
      </c>
      <c r="K56" s="5" t="s">
        <v>25</v>
      </c>
      <c r="L56" s="5" t="s">
        <v>450</v>
      </c>
      <c r="M56" s="5" t="s">
        <v>451</v>
      </c>
      <c r="N56" s="7" t="s">
        <v>452</v>
      </c>
      <c r="O56" s="5" t="s">
        <v>30</v>
      </c>
      <c r="P56" s="5" t="s">
        <v>30</v>
      </c>
      <c r="Q56" s="5" t="s">
        <v>30</v>
      </c>
    </row>
    <row r="57" ht="21.0" customHeight="1">
      <c r="A57" s="4">
        <v>56.0</v>
      </c>
      <c r="B57" s="5" t="s">
        <v>453</v>
      </c>
      <c r="C57" s="5" t="s">
        <v>454</v>
      </c>
      <c r="D57" s="5" t="s">
        <v>19</v>
      </c>
      <c r="E57" s="5" t="s">
        <v>455</v>
      </c>
      <c r="F57" s="5" t="s">
        <v>154</v>
      </c>
      <c r="G57" s="5" t="s">
        <v>456</v>
      </c>
      <c r="H57" s="5" t="s">
        <v>23</v>
      </c>
      <c r="I57" s="6" t="s">
        <v>457</v>
      </c>
      <c r="J57" s="4">
        <v>100.0</v>
      </c>
      <c r="K57" s="5" t="s">
        <v>316</v>
      </c>
      <c r="L57" s="5" t="s">
        <v>458</v>
      </c>
      <c r="M57" s="5" t="s">
        <v>459</v>
      </c>
      <c r="N57" s="7" t="s">
        <v>460</v>
      </c>
      <c r="O57" s="5" t="s">
        <v>30</v>
      </c>
      <c r="P57" s="5" t="s">
        <v>30</v>
      </c>
      <c r="Q57" s="5" t="s">
        <v>30</v>
      </c>
    </row>
    <row r="58" ht="21.0" customHeight="1">
      <c r="A58" s="4">
        <v>57.0</v>
      </c>
      <c r="B58" s="5" t="s">
        <v>461</v>
      </c>
      <c r="C58" s="5" t="s">
        <v>462</v>
      </c>
      <c r="D58" s="5" t="s">
        <v>19</v>
      </c>
      <c r="E58" s="5" t="s">
        <v>463</v>
      </c>
      <c r="F58" s="5" t="s">
        <v>154</v>
      </c>
      <c r="G58" s="5" t="s">
        <v>464</v>
      </c>
      <c r="H58" s="5" t="s">
        <v>23</v>
      </c>
      <c r="I58" s="6" t="s">
        <v>465</v>
      </c>
      <c r="J58" s="4">
        <v>100.0</v>
      </c>
      <c r="K58" s="5" t="s">
        <v>84</v>
      </c>
      <c r="L58" s="5" t="s">
        <v>466</v>
      </c>
      <c r="M58" s="5" t="s">
        <v>467</v>
      </c>
      <c r="N58" s="7" t="s">
        <v>468</v>
      </c>
      <c r="O58" s="5" t="s">
        <v>30</v>
      </c>
      <c r="P58" s="5" t="s">
        <v>30</v>
      </c>
      <c r="Q58" s="5" t="s">
        <v>30</v>
      </c>
    </row>
    <row r="59" ht="21.0" customHeight="1">
      <c r="A59" s="4">
        <v>58.0</v>
      </c>
      <c r="B59" s="5" t="s">
        <v>469</v>
      </c>
      <c r="C59" s="5" t="s">
        <v>18</v>
      </c>
      <c r="D59" s="5" t="s">
        <v>19</v>
      </c>
      <c r="E59" s="5" t="s">
        <v>470</v>
      </c>
      <c r="F59" s="5" t="s">
        <v>154</v>
      </c>
      <c r="G59" s="5" t="s">
        <v>471</v>
      </c>
      <c r="H59" s="5" t="s">
        <v>50</v>
      </c>
      <c r="I59" s="6" t="s">
        <v>472</v>
      </c>
      <c r="J59" s="4">
        <v>100.0</v>
      </c>
      <c r="K59" s="5" t="s">
        <v>84</v>
      </c>
      <c r="L59" s="5" t="s">
        <v>473</v>
      </c>
      <c r="M59" s="5" t="s">
        <v>474</v>
      </c>
      <c r="N59" s="7" t="s">
        <v>475</v>
      </c>
      <c r="O59" s="5" t="s">
        <v>30</v>
      </c>
      <c r="P59" s="5" t="s">
        <v>30</v>
      </c>
      <c r="Q59" s="5" t="s">
        <v>30</v>
      </c>
    </row>
    <row r="60" ht="21.0" customHeight="1">
      <c r="A60" s="4">
        <v>59.0</v>
      </c>
      <c r="B60" s="5" t="s">
        <v>476</v>
      </c>
      <c r="C60" s="5" t="s">
        <v>477</v>
      </c>
      <c r="D60" s="5" t="s">
        <v>19</v>
      </c>
      <c r="E60" s="5" t="s">
        <v>478</v>
      </c>
      <c r="F60" s="5" t="s">
        <v>154</v>
      </c>
      <c r="G60" s="5" t="s">
        <v>479</v>
      </c>
      <c r="H60" s="5" t="s">
        <v>50</v>
      </c>
      <c r="I60" s="6" t="s">
        <v>480</v>
      </c>
      <c r="J60" s="4">
        <v>100.0</v>
      </c>
      <c r="K60" s="5" t="s">
        <v>25</v>
      </c>
      <c r="L60" s="5" t="s">
        <v>481</v>
      </c>
      <c r="M60" s="5" t="s">
        <v>482</v>
      </c>
      <c r="N60" s="7" t="s">
        <v>483</v>
      </c>
      <c r="O60" s="9" t="s">
        <v>30</v>
      </c>
      <c r="P60" s="5" t="s">
        <v>30</v>
      </c>
      <c r="Q60" s="5" t="s">
        <v>30</v>
      </c>
    </row>
    <row r="61" ht="21.0" customHeight="1">
      <c r="A61" s="4">
        <v>60.0</v>
      </c>
      <c r="B61" s="5" t="s">
        <v>484</v>
      </c>
      <c r="C61" s="5" t="s">
        <v>18</v>
      </c>
      <c r="D61" s="5" t="s">
        <v>19</v>
      </c>
      <c r="E61" s="5" t="s">
        <v>485</v>
      </c>
      <c r="F61" s="5" t="s">
        <v>154</v>
      </c>
      <c r="G61" s="5" t="s">
        <v>486</v>
      </c>
      <c r="H61" s="5" t="s">
        <v>50</v>
      </c>
      <c r="I61" s="6" t="s">
        <v>487</v>
      </c>
      <c r="J61" s="4">
        <v>100.0</v>
      </c>
      <c r="K61" s="5" t="s">
        <v>93</v>
      </c>
      <c r="L61" s="5" t="s">
        <v>488</v>
      </c>
      <c r="M61" s="5" t="s">
        <v>489</v>
      </c>
      <c r="N61" s="7" t="s">
        <v>490</v>
      </c>
      <c r="O61" s="5" t="s">
        <v>30</v>
      </c>
      <c r="P61" s="5" t="s">
        <v>30</v>
      </c>
      <c r="Q61" s="5" t="s">
        <v>30</v>
      </c>
    </row>
    <row r="62" ht="21.0" customHeight="1">
      <c r="A62" s="4">
        <v>61.0</v>
      </c>
      <c r="B62" s="5" t="s">
        <v>491</v>
      </c>
      <c r="C62" s="5" t="s">
        <v>18</v>
      </c>
      <c r="D62" s="5" t="s">
        <v>19</v>
      </c>
      <c r="E62" s="5" t="s">
        <v>492</v>
      </c>
      <c r="F62" s="5" t="s">
        <v>154</v>
      </c>
      <c r="G62" s="5" t="s">
        <v>493</v>
      </c>
      <c r="H62" s="5" t="s">
        <v>23</v>
      </c>
      <c r="I62" s="6" t="s">
        <v>494</v>
      </c>
      <c r="J62" s="4">
        <v>100.0</v>
      </c>
      <c r="K62" s="5" t="s">
        <v>284</v>
      </c>
      <c r="L62" s="5" t="s">
        <v>495</v>
      </c>
      <c r="M62" s="5" t="s">
        <v>496</v>
      </c>
      <c r="N62" s="7" t="s">
        <v>497</v>
      </c>
      <c r="O62" s="5" t="s">
        <v>30</v>
      </c>
      <c r="P62" s="5" t="s">
        <v>30</v>
      </c>
      <c r="Q62" s="5" t="s">
        <v>30</v>
      </c>
    </row>
    <row r="63" ht="21.0" customHeight="1">
      <c r="A63" s="4">
        <v>62.0</v>
      </c>
      <c r="B63" s="5" t="s">
        <v>498</v>
      </c>
      <c r="C63" s="5" t="s">
        <v>18</v>
      </c>
      <c r="D63" s="5" t="s">
        <v>19</v>
      </c>
      <c r="E63" s="5" t="s">
        <v>499</v>
      </c>
      <c r="F63" s="5" t="s">
        <v>154</v>
      </c>
      <c r="G63" s="5" t="s">
        <v>500</v>
      </c>
      <c r="H63" s="5" t="s">
        <v>50</v>
      </c>
      <c r="I63" s="6" t="s">
        <v>501</v>
      </c>
      <c r="J63" s="4">
        <v>100.0</v>
      </c>
      <c r="K63" s="5" t="s">
        <v>284</v>
      </c>
      <c r="L63" s="5" t="s">
        <v>502</v>
      </c>
      <c r="M63" s="5" t="s">
        <v>503</v>
      </c>
      <c r="N63" s="7" t="s">
        <v>504</v>
      </c>
      <c r="O63" s="5" t="s">
        <v>30</v>
      </c>
      <c r="P63" s="5" t="s">
        <v>30</v>
      </c>
      <c r="Q63" s="5" t="s">
        <v>30</v>
      </c>
    </row>
    <row r="64" ht="21.0" customHeight="1">
      <c r="A64" s="4">
        <v>63.0</v>
      </c>
      <c r="B64" s="5" t="s">
        <v>505</v>
      </c>
      <c r="C64" s="5" t="s">
        <v>506</v>
      </c>
      <c r="D64" s="5" t="s">
        <v>19</v>
      </c>
      <c r="E64" s="5" t="s">
        <v>507</v>
      </c>
      <c r="F64" s="5" t="s">
        <v>154</v>
      </c>
      <c r="G64" s="5" t="s">
        <v>508</v>
      </c>
      <c r="H64" s="5" t="s">
        <v>23</v>
      </c>
      <c r="I64" s="6" t="s">
        <v>509</v>
      </c>
      <c r="J64" s="4">
        <v>100.0</v>
      </c>
      <c r="K64" s="5" t="s">
        <v>25</v>
      </c>
      <c r="L64" s="5" t="s">
        <v>510</v>
      </c>
      <c r="M64" s="5" t="s">
        <v>511</v>
      </c>
      <c r="N64" s="7" t="s">
        <v>512</v>
      </c>
      <c r="O64" s="5" t="s">
        <v>30</v>
      </c>
      <c r="P64" s="5" t="s">
        <v>30</v>
      </c>
      <c r="Q64" s="5" t="s">
        <v>30</v>
      </c>
    </row>
    <row r="65" ht="21.0" customHeight="1">
      <c r="A65" s="4">
        <v>64.0</v>
      </c>
      <c r="B65" s="5" t="s">
        <v>513</v>
      </c>
      <c r="C65" s="5" t="s">
        <v>18</v>
      </c>
      <c r="D65" s="5" t="s">
        <v>19</v>
      </c>
      <c r="E65" s="5" t="s">
        <v>514</v>
      </c>
      <c r="F65" s="5" t="s">
        <v>154</v>
      </c>
      <c r="G65" s="5" t="s">
        <v>515</v>
      </c>
      <c r="H65" s="5" t="s">
        <v>23</v>
      </c>
      <c r="I65" s="6" t="s">
        <v>516</v>
      </c>
      <c r="J65" s="4">
        <v>100.0</v>
      </c>
      <c r="K65" s="5" t="s">
        <v>517</v>
      </c>
      <c r="L65" s="5" t="s">
        <v>518</v>
      </c>
      <c r="M65" s="5" t="s">
        <v>519</v>
      </c>
      <c r="N65" s="7" t="s">
        <v>520</v>
      </c>
      <c r="O65" s="5" t="s">
        <v>30</v>
      </c>
      <c r="P65" s="5" t="s">
        <v>30</v>
      </c>
      <c r="Q65" s="5" t="s">
        <v>30</v>
      </c>
    </row>
    <row r="66" ht="21.0" customHeight="1">
      <c r="A66" s="4">
        <v>65.0</v>
      </c>
      <c r="B66" s="5" t="s">
        <v>521</v>
      </c>
      <c r="C66" s="5" t="s">
        <v>522</v>
      </c>
      <c r="D66" s="5" t="s">
        <v>19</v>
      </c>
      <c r="E66" s="5" t="s">
        <v>523</v>
      </c>
      <c r="F66" s="5" t="s">
        <v>154</v>
      </c>
      <c r="G66" s="5" t="s">
        <v>524</v>
      </c>
      <c r="H66" s="5" t="s">
        <v>23</v>
      </c>
      <c r="I66" s="6" t="s">
        <v>525</v>
      </c>
      <c r="J66" s="4">
        <v>100.0</v>
      </c>
      <c r="K66" s="5" t="s">
        <v>110</v>
      </c>
      <c r="L66" s="5" t="s">
        <v>526</v>
      </c>
      <c r="M66" s="5" t="s">
        <v>527</v>
      </c>
      <c r="N66" s="7" t="s">
        <v>528</v>
      </c>
      <c r="O66" s="5" t="s">
        <v>30</v>
      </c>
      <c r="P66" s="5" t="s">
        <v>30</v>
      </c>
      <c r="Q66" s="5" t="s">
        <v>30</v>
      </c>
    </row>
    <row r="67" ht="21.0" customHeight="1">
      <c r="A67" s="13">
        <v>66.0</v>
      </c>
      <c r="B67" s="14" t="s">
        <v>529</v>
      </c>
      <c r="C67" s="14" t="s">
        <v>530</v>
      </c>
      <c r="D67" s="14" t="s">
        <v>19</v>
      </c>
      <c r="E67" s="14" t="s">
        <v>531</v>
      </c>
      <c r="F67" s="14" t="s">
        <v>532</v>
      </c>
      <c r="G67" s="14" t="s">
        <v>533</v>
      </c>
      <c r="H67" s="14" t="s">
        <v>23</v>
      </c>
      <c r="I67" s="15" t="s">
        <v>534</v>
      </c>
      <c r="J67" s="13">
        <v>100.0</v>
      </c>
      <c r="K67" s="14" t="s">
        <v>275</v>
      </c>
      <c r="L67" s="14" t="s">
        <v>535</v>
      </c>
      <c r="M67" s="14" t="s">
        <v>536</v>
      </c>
      <c r="N67" s="16" t="s">
        <v>537</v>
      </c>
      <c r="O67" s="17" t="s">
        <v>538</v>
      </c>
      <c r="P67" s="14" t="s">
        <v>30</v>
      </c>
      <c r="Q67" s="14" t="s">
        <v>30</v>
      </c>
      <c r="R67" s="18"/>
      <c r="S67" s="18"/>
      <c r="T67" s="18"/>
      <c r="U67" s="18"/>
      <c r="V67" s="18"/>
      <c r="W67" s="18"/>
      <c r="X67" s="18"/>
      <c r="Y67" s="18"/>
      <c r="Z67" s="18"/>
    </row>
    <row r="68" ht="21.0" customHeight="1">
      <c r="A68" s="4">
        <v>67.0</v>
      </c>
      <c r="B68" s="5" t="s">
        <v>539</v>
      </c>
      <c r="C68" s="5" t="s">
        <v>18</v>
      </c>
      <c r="D68" s="5" t="s">
        <v>19</v>
      </c>
      <c r="E68" s="5" t="s">
        <v>540</v>
      </c>
      <c r="F68" s="5" t="s">
        <v>532</v>
      </c>
      <c r="G68" s="5" t="s">
        <v>515</v>
      </c>
      <c r="H68" s="5" t="s">
        <v>23</v>
      </c>
      <c r="I68" s="6" t="s">
        <v>541</v>
      </c>
      <c r="J68" s="4">
        <v>100.0</v>
      </c>
      <c r="K68" s="5" t="s">
        <v>216</v>
      </c>
      <c r="L68" s="5" t="s">
        <v>542</v>
      </c>
      <c r="M68" s="5" t="s">
        <v>543</v>
      </c>
      <c r="N68" s="7" t="s">
        <v>544</v>
      </c>
      <c r="O68" s="5" t="s">
        <v>30</v>
      </c>
      <c r="P68" s="5" t="s">
        <v>30</v>
      </c>
      <c r="Q68" s="5" t="s">
        <v>30</v>
      </c>
    </row>
    <row r="69" ht="21.0" customHeight="1">
      <c r="A69" s="4">
        <v>68.0</v>
      </c>
      <c r="B69" s="5" t="s">
        <v>545</v>
      </c>
      <c r="C69" s="5" t="s">
        <v>18</v>
      </c>
      <c r="D69" s="5" t="s">
        <v>19</v>
      </c>
      <c r="E69" s="5" t="s">
        <v>546</v>
      </c>
      <c r="F69" s="5" t="s">
        <v>532</v>
      </c>
      <c r="G69" s="5" t="s">
        <v>547</v>
      </c>
      <c r="H69" s="5" t="s">
        <v>23</v>
      </c>
      <c r="I69" s="6" t="s">
        <v>548</v>
      </c>
      <c r="J69" s="4">
        <v>100.0</v>
      </c>
      <c r="K69" s="5" t="s">
        <v>93</v>
      </c>
      <c r="L69" s="5" t="s">
        <v>549</v>
      </c>
      <c r="M69" s="5" t="s">
        <v>550</v>
      </c>
      <c r="N69" s="7" t="s">
        <v>551</v>
      </c>
      <c r="O69" s="5" t="s">
        <v>30</v>
      </c>
      <c r="P69" s="5" t="s">
        <v>30</v>
      </c>
      <c r="Q69" s="5" t="s">
        <v>30</v>
      </c>
    </row>
    <row r="70" ht="21.0" customHeight="1">
      <c r="A70" s="4">
        <v>69.0</v>
      </c>
      <c r="B70" s="5" t="s">
        <v>552</v>
      </c>
      <c r="C70" s="5" t="s">
        <v>18</v>
      </c>
      <c r="D70" s="5" t="s">
        <v>553</v>
      </c>
      <c r="E70" s="5" t="s">
        <v>554</v>
      </c>
      <c r="F70" s="5" t="s">
        <v>532</v>
      </c>
      <c r="G70" s="5" t="s">
        <v>555</v>
      </c>
      <c r="H70" s="5" t="s">
        <v>23</v>
      </c>
      <c r="I70" s="6" t="s">
        <v>556</v>
      </c>
      <c r="J70" s="4">
        <v>100.0</v>
      </c>
      <c r="K70" s="5" t="s">
        <v>557</v>
      </c>
      <c r="L70" s="5" t="s">
        <v>558</v>
      </c>
      <c r="M70" s="5" t="s">
        <v>559</v>
      </c>
      <c r="N70" s="7" t="s">
        <v>560</v>
      </c>
      <c r="O70" s="19" t="s">
        <v>561</v>
      </c>
      <c r="P70" s="5" t="s">
        <v>30</v>
      </c>
      <c r="Q70" s="5" t="s">
        <v>30</v>
      </c>
    </row>
    <row r="71" ht="21.0" customHeight="1">
      <c r="A71" s="4">
        <v>70.0</v>
      </c>
      <c r="B71" s="5" t="s">
        <v>562</v>
      </c>
      <c r="C71" s="5" t="s">
        <v>18</v>
      </c>
      <c r="D71" s="5" t="s">
        <v>19</v>
      </c>
      <c r="E71" s="5" t="s">
        <v>563</v>
      </c>
      <c r="F71" s="5" t="s">
        <v>532</v>
      </c>
      <c r="G71" s="5" t="s">
        <v>564</v>
      </c>
      <c r="H71" s="5" t="s">
        <v>23</v>
      </c>
      <c r="I71" s="6" t="s">
        <v>565</v>
      </c>
      <c r="J71" s="4">
        <v>100.0</v>
      </c>
      <c r="K71" s="5" t="s">
        <v>216</v>
      </c>
      <c r="L71" s="5" t="s">
        <v>566</v>
      </c>
      <c r="M71" s="5" t="s">
        <v>567</v>
      </c>
      <c r="N71" s="7" t="s">
        <v>568</v>
      </c>
      <c r="O71" s="5" t="s">
        <v>30</v>
      </c>
      <c r="P71" s="5" t="s">
        <v>30</v>
      </c>
      <c r="Q71" s="5" t="s">
        <v>30</v>
      </c>
    </row>
    <row r="72" ht="21.0" customHeight="1">
      <c r="A72" s="4">
        <v>71.0</v>
      </c>
      <c r="B72" s="5" t="s">
        <v>569</v>
      </c>
      <c r="C72" s="5" t="s">
        <v>570</v>
      </c>
      <c r="D72" s="5" t="s">
        <v>19</v>
      </c>
      <c r="E72" s="5" t="s">
        <v>571</v>
      </c>
      <c r="F72" s="5" t="s">
        <v>532</v>
      </c>
      <c r="G72" s="5" t="s">
        <v>572</v>
      </c>
      <c r="H72" s="5" t="s">
        <v>23</v>
      </c>
      <c r="I72" s="6" t="s">
        <v>573</v>
      </c>
      <c r="J72" s="4">
        <v>100.0</v>
      </c>
      <c r="K72" s="5" t="s">
        <v>165</v>
      </c>
      <c r="L72" s="5" t="s">
        <v>574</v>
      </c>
      <c r="M72" s="5" t="s">
        <v>575</v>
      </c>
      <c r="N72" s="10" t="s">
        <v>576</v>
      </c>
      <c r="O72" s="5" t="s">
        <v>30</v>
      </c>
      <c r="P72" s="5" t="s">
        <v>30</v>
      </c>
      <c r="Q72" s="5" t="s">
        <v>30</v>
      </c>
    </row>
    <row r="73" ht="21.0" customHeight="1">
      <c r="A73" s="4">
        <v>72.0</v>
      </c>
      <c r="B73" s="5" t="s">
        <v>577</v>
      </c>
      <c r="C73" s="5" t="s">
        <v>18</v>
      </c>
      <c r="D73" s="5" t="s">
        <v>19</v>
      </c>
      <c r="E73" s="5" t="s">
        <v>578</v>
      </c>
      <c r="F73" s="5" t="s">
        <v>532</v>
      </c>
      <c r="G73" s="5" t="s">
        <v>579</v>
      </c>
      <c r="H73" s="5" t="s">
        <v>23</v>
      </c>
      <c r="I73" s="6" t="s">
        <v>580</v>
      </c>
      <c r="J73" s="4">
        <v>100.0</v>
      </c>
      <c r="K73" s="5" t="s">
        <v>157</v>
      </c>
      <c r="L73" s="12" t="s">
        <v>581</v>
      </c>
      <c r="M73" s="5" t="s">
        <v>582</v>
      </c>
      <c r="N73" s="7" t="s">
        <v>583</v>
      </c>
      <c r="O73" s="5" t="s">
        <v>30</v>
      </c>
      <c r="P73" s="5" t="s">
        <v>30</v>
      </c>
      <c r="Q73" s="5" t="s">
        <v>30</v>
      </c>
    </row>
    <row r="74" ht="21.0" customHeight="1">
      <c r="A74" s="4">
        <v>73.0</v>
      </c>
      <c r="B74" s="5" t="s">
        <v>584</v>
      </c>
      <c r="C74" s="5" t="s">
        <v>18</v>
      </c>
      <c r="D74" s="5" t="s">
        <v>19</v>
      </c>
      <c r="E74" s="5" t="s">
        <v>585</v>
      </c>
      <c r="F74" s="5" t="s">
        <v>532</v>
      </c>
      <c r="G74" s="5" t="s">
        <v>586</v>
      </c>
      <c r="H74" s="5" t="s">
        <v>23</v>
      </c>
      <c r="I74" s="6" t="s">
        <v>587</v>
      </c>
      <c r="J74" s="4">
        <v>100.0</v>
      </c>
      <c r="K74" s="5" t="s">
        <v>292</v>
      </c>
      <c r="L74" s="5" t="s">
        <v>588</v>
      </c>
      <c r="M74" s="5" t="s">
        <v>589</v>
      </c>
      <c r="N74" s="7" t="s">
        <v>590</v>
      </c>
      <c r="O74" s="5" t="s">
        <v>30</v>
      </c>
      <c r="P74" s="5" t="s">
        <v>30</v>
      </c>
      <c r="Q74" s="5" t="s">
        <v>30</v>
      </c>
    </row>
    <row r="75" ht="21.0" customHeight="1">
      <c r="A75" s="4">
        <v>74.0</v>
      </c>
      <c r="B75" s="5" t="s">
        <v>591</v>
      </c>
      <c r="C75" s="5" t="s">
        <v>18</v>
      </c>
      <c r="D75" s="5" t="s">
        <v>592</v>
      </c>
      <c r="E75" s="5" t="s">
        <v>593</v>
      </c>
      <c r="F75" s="5" t="s">
        <v>532</v>
      </c>
      <c r="G75" s="5" t="s">
        <v>594</v>
      </c>
      <c r="H75" s="5" t="s">
        <v>23</v>
      </c>
      <c r="I75" s="6" t="s">
        <v>595</v>
      </c>
      <c r="J75" s="4">
        <v>100.0</v>
      </c>
      <c r="K75" s="5" t="s">
        <v>275</v>
      </c>
      <c r="L75" s="5" t="s">
        <v>596</v>
      </c>
      <c r="M75" s="5" t="s">
        <v>597</v>
      </c>
      <c r="N75" s="7" t="s">
        <v>598</v>
      </c>
      <c r="O75" s="9" t="s">
        <v>599</v>
      </c>
      <c r="P75" s="5" t="s">
        <v>30</v>
      </c>
      <c r="Q75" s="5" t="s">
        <v>30</v>
      </c>
    </row>
    <row r="76" ht="21.0" customHeight="1">
      <c r="A76" s="4">
        <v>75.0</v>
      </c>
      <c r="B76" s="5" t="s">
        <v>600</v>
      </c>
      <c r="C76" s="5" t="s">
        <v>601</v>
      </c>
      <c r="D76" s="5" t="s">
        <v>19</v>
      </c>
      <c r="E76" s="5" t="s">
        <v>602</v>
      </c>
      <c r="F76" s="5" t="s">
        <v>532</v>
      </c>
      <c r="G76" s="5" t="s">
        <v>603</v>
      </c>
      <c r="H76" s="5" t="s">
        <v>23</v>
      </c>
      <c r="I76" s="6" t="s">
        <v>604</v>
      </c>
      <c r="J76" s="4">
        <v>100.0</v>
      </c>
      <c r="K76" s="5" t="s">
        <v>68</v>
      </c>
      <c r="L76" s="5" t="s">
        <v>605</v>
      </c>
      <c r="M76" s="5" t="s">
        <v>606</v>
      </c>
      <c r="N76" s="7" t="s">
        <v>607</v>
      </c>
      <c r="O76" s="5" t="s">
        <v>30</v>
      </c>
      <c r="P76" s="5" t="s">
        <v>30</v>
      </c>
      <c r="Q76" s="5" t="s">
        <v>30</v>
      </c>
    </row>
    <row r="77" ht="21.0" customHeight="1">
      <c r="A77" s="4">
        <v>76.0</v>
      </c>
      <c r="B77" s="5" t="s">
        <v>608</v>
      </c>
      <c r="C77" s="5" t="s">
        <v>18</v>
      </c>
      <c r="D77" s="5" t="s">
        <v>609</v>
      </c>
      <c r="E77" s="5" t="s">
        <v>610</v>
      </c>
      <c r="F77" s="5" t="s">
        <v>532</v>
      </c>
      <c r="G77" s="5" t="s">
        <v>611</v>
      </c>
      <c r="H77" s="5" t="s">
        <v>23</v>
      </c>
      <c r="I77" s="6" t="s">
        <v>612</v>
      </c>
      <c r="J77" s="4">
        <v>100.0</v>
      </c>
      <c r="K77" s="5" t="s">
        <v>165</v>
      </c>
      <c r="L77" s="12" t="s">
        <v>613</v>
      </c>
      <c r="M77" s="5" t="s">
        <v>614</v>
      </c>
      <c r="N77" s="7" t="s">
        <v>615</v>
      </c>
      <c r="O77" s="5" t="s">
        <v>30</v>
      </c>
      <c r="P77" s="5" t="s">
        <v>30</v>
      </c>
      <c r="Q77" s="5" t="s">
        <v>30</v>
      </c>
    </row>
    <row r="78" ht="21.0" customHeight="1">
      <c r="A78" s="4">
        <v>77.0</v>
      </c>
      <c r="B78" s="5" t="s">
        <v>616</v>
      </c>
      <c r="C78" s="5" t="s">
        <v>18</v>
      </c>
      <c r="D78" s="5" t="s">
        <v>19</v>
      </c>
      <c r="E78" s="5" t="s">
        <v>617</v>
      </c>
      <c r="F78" s="5" t="s">
        <v>532</v>
      </c>
      <c r="G78" s="5" t="s">
        <v>618</v>
      </c>
      <c r="H78" s="5" t="s">
        <v>23</v>
      </c>
      <c r="I78" s="6" t="s">
        <v>619</v>
      </c>
      <c r="J78" s="4">
        <v>100.0</v>
      </c>
      <c r="K78" s="5" t="s">
        <v>292</v>
      </c>
      <c r="L78" s="5" t="s">
        <v>620</v>
      </c>
      <c r="M78" s="5" t="s">
        <v>621</v>
      </c>
      <c r="N78" s="7" t="s">
        <v>622</v>
      </c>
      <c r="O78" s="5" t="s">
        <v>30</v>
      </c>
      <c r="P78" s="5" t="s">
        <v>30</v>
      </c>
      <c r="Q78" s="5" t="s">
        <v>30</v>
      </c>
    </row>
    <row r="79" ht="21.0" customHeight="1">
      <c r="A79" s="4">
        <v>78.0</v>
      </c>
      <c r="B79" s="5" t="s">
        <v>623</v>
      </c>
      <c r="C79" s="5" t="s">
        <v>18</v>
      </c>
      <c r="D79" s="5" t="s">
        <v>19</v>
      </c>
      <c r="E79" s="5" t="s">
        <v>624</v>
      </c>
      <c r="F79" s="5" t="s">
        <v>532</v>
      </c>
      <c r="G79" s="5" t="s">
        <v>625</v>
      </c>
      <c r="H79" s="5" t="s">
        <v>23</v>
      </c>
      <c r="I79" s="6" t="s">
        <v>626</v>
      </c>
      <c r="J79" s="4">
        <v>100.0</v>
      </c>
      <c r="K79" s="5" t="s">
        <v>517</v>
      </c>
      <c r="L79" s="5" t="s">
        <v>627</v>
      </c>
      <c r="M79" s="5" t="s">
        <v>628</v>
      </c>
      <c r="N79" s="7" t="s">
        <v>629</v>
      </c>
      <c r="O79" s="5" t="s">
        <v>30</v>
      </c>
      <c r="P79" s="5" t="s">
        <v>30</v>
      </c>
      <c r="Q79" s="5" t="s">
        <v>30</v>
      </c>
    </row>
    <row r="80" ht="21.0" customHeight="1">
      <c r="A80" s="4">
        <v>79.0</v>
      </c>
      <c r="B80" s="5" t="s">
        <v>630</v>
      </c>
      <c r="C80" s="5" t="s">
        <v>631</v>
      </c>
      <c r="D80" s="5" t="s">
        <v>19</v>
      </c>
      <c r="E80" s="5" t="s">
        <v>632</v>
      </c>
      <c r="F80" s="5" t="s">
        <v>532</v>
      </c>
      <c r="G80" s="5" t="s">
        <v>633</v>
      </c>
      <c r="H80" s="5" t="s">
        <v>23</v>
      </c>
      <c r="I80" s="6" t="s">
        <v>634</v>
      </c>
      <c r="J80" s="4">
        <v>100.0</v>
      </c>
      <c r="K80" s="5" t="s">
        <v>110</v>
      </c>
      <c r="L80" s="5" t="s">
        <v>635</v>
      </c>
      <c r="M80" s="5" t="s">
        <v>636</v>
      </c>
      <c r="N80" s="7" t="s">
        <v>637</v>
      </c>
      <c r="O80" s="5" t="s">
        <v>30</v>
      </c>
      <c r="P80" s="5" t="s">
        <v>30</v>
      </c>
      <c r="Q80" s="5" t="s">
        <v>30</v>
      </c>
    </row>
    <row r="81" ht="21.0" customHeight="1">
      <c r="A81" s="4">
        <v>80.0</v>
      </c>
      <c r="B81" s="5" t="s">
        <v>638</v>
      </c>
      <c r="C81" s="5" t="s">
        <v>18</v>
      </c>
      <c r="D81" s="5" t="s">
        <v>639</v>
      </c>
      <c r="E81" s="5" t="s">
        <v>640</v>
      </c>
      <c r="F81" s="5" t="s">
        <v>532</v>
      </c>
      <c r="G81" s="5" t="s">
        <v>641</v>
      </c>
      <c r="H81" s="5" t="s">
        <v>23</v>
      </c>
      <c r="I81" s="6" t="s">
        <v>642</v>
      </c>
      <c r="J81" s="4">
        <v>100.0</v>
      </c>
      <c r="K81" s="5" t="s">
        <v>316</v>
      </c>
      <c r="L81" s="5" t="s">
        <v>643</v>
      </c>
      <c r="M81" s="5" t="s">
        <v>644</v>
      </c>
      <c r="N81" s="7" t="s">
        <v>645</v>
      </c>
      <c r="O81" s="9" t="s">
        <v>646</v>
      </c>
      <c r="P81" s="5" t="s">
        <v>30</v>
      </c>
      <c r="Q81" s="5" t="s">
        <v>30</v>
      </c>
    </row>
    <row r="82" ht="21.0" customHeight="1">
      <c r="A82" s="4">
        <v>81.0</v>
      </c>
      <c r="B82" s="5" t="s">
        <v>647</v>
      </c>
      <c r="C82" s="5" t="s">
        <v>18</v>
      </c>
      <c r="D82" s="5" t="s">
        <v>19</v>
      </c>
      <c r="E82" s="5" t="s">
        <v>648</v>
      </c>
      <c r="F82" s="5" t="s">
        <v>532</v>
      </c>
      <c r="G82" s="5" t="s">
        <v>649</v>
      </c>
      <c r="H82" s="5" t="s">
        <v>23</v>
      </c>
      <c r="I82" s="6" t="s">
        <v>650</v>
      </c>
      <c r="J82" s="4">
        <v>100.0</v>
      </c>
      <c r="K82" s="5" t="s">
        <v>25</v>
      </c>
      <c r="L82" s="5" t="s">
        <v>651</v>
      </c>
      <c r="M82" s="5" t="s">
        <v>652</v>
      </c>
      <c r="N82" s="7" t="s">
        <v>653</v>
      </c>
      <c r="O82" s="5" t="s">
        <v>30</v>
      </c>
      <c r="P82" s="5" t="s">
        <v>30</v>
      </c>
      <c r="Q82" s="5" t="s">
        <v>30</v>
      </c>
    </row>
    <row r="83" ht="21.0" customHeight="1">
      <c r="A83" s="4">
        <v>82.0</v>
      </c>
      <c r="B83" s="5" t="s">
        <v>654</v>
      </c>
      <c r="C83" s="5" t="s">
        <v>18</v>
      </c>
      <c r="D83" s="5" t="s">
        <v>19</v>
      </c>
      <c r="E83" s="5" t="s">
        <v>655</v>
      </c>
      <c r="F83" s="5" t="s">
        <v>532</v>
      </c>
      <c r="G83" s="5" t="s">
        <v>656</v>
      </c>
      <c r="H83" s="5" t="s">
        <v>23</v>
      </c>
      <c r="I83" s="6" t="s">
        <v>657</v>
      </c>
      <c r="J83" s="4">
        <v>100.0</v>
      </c>
      <c r="K83" s="5" t="s">
        <v>84</v>
      </c>
      <c r="L83" s="5" t="s">
        <v>658</v>
      </c>
      <c r="M83" s="5" t="s">
        <v>659</v>
      </c>
      <c r="N83" s="7" t="s">
        <v>660</v>
      </c>
      <c r="O83" s="5" t="s">
        <v>30</v>
      </c>
      <c r="P83" s="5" t="s">
        <v>30</v>
      </c>
      <c r="Q83" s="5" t="s">
        <v>30</v>
      </c>
    </row>
    <row r="84" ht="21.0" customHeight="1">
      <c r="A84" s="4">
        <v>83.0</v>
      </c>
      <c r="B84" s="5" t="s">
        <v>661</v>
      </c>
      <c r="C84" s="5" t="s">
        <v>18</v>
      </c>
      <c r="D84" s="5" t="s">
        <v>19</v>
      </c>
      <c r="E84" s="5" t="s">
        <v>662</v>
      </c>
      <c r="F84" s="5" t="s">
        <v>532</v>
      </c>
      <c r="G84" s="5" t="s">
        <v>663</v>
      </c>
      <c r="H84" s="5" t="s">
        <v>23</v>
      </c>
      <c r="I84" s="6" t="s">
        <v>664</v>
      </c>
      <c r="J84" s="4">
        <v>100.0</v>
      </c>
      <c r="K84" s="5" t="s">
        <v>292</v>
      </c>
      <c r="L84" s="5" t="s">
        <v>665</v>
      </c>
      <c r="M84" s="5" t="s">
        <v>666</v>
      </c>
      <c r="N84" s="7" t="s">
        <v>667</v>
      </c>
      <c r="O84" s="9" t="s">
        <v>668</v>
      </c>
      <c r="P84" s="5" t="s">
        <v>30</v>
      </c>
      <c r="Q84" s="5" t="s">
        <v>30</v>
      </c>
    </row>
    <row r="85" ht="21.0" customHeight="1">
      <c r="A85" s="4">
        <v>84.0</v>
      </c>
      <c r="B85" s="5" t="s">
        <v>669</v>
      </c>
      <c r="C85" s="5" t="s">
        <v>670</v>
      </c>
      <c r="D85" s="5" t="s">
        <v>19</v>
      </c>
      <c r="E85" s="5" t="s">
        <v>671</v>
      </c>
      <c r="F85" s="5" t="s">
        <v>532</v>
      </c>
      <c r="G85" s="5" t="s">
        <v>672</v>
      </c>
      <c r="H85" s="5" t="s">
        <v>23</v>
      </c>
      <c r="I85" s="6" t="s">
        <v>673</v>
      </c>
      <c r="J85" s="4">
        <v>100.0</v>
      </c>
      <c r="K85" s="5" t="s">
        <v>165</v>
      </c>
      <c r="L85" s="5" t="s">
        <v>674</v>
      </c>
      <c r="M85" s="5" t="s">
        <v>675</v>
      </c>
      <c r="N85" s="7" t="s">
        <v>676</v>
      </c>
      <c r="O85" s="5" t="s">
        <v>30</v>
      </c>
      <c r="P85" s="5" t="s">
        <v>30</v>
      </c>
      <c r="Q85" s="5" t="s">
        <v>30</v>
      </c>
    </row>
    <row r="86" ht="21.0" customHeight="1">
      <c r="A86" s="4">
        <v>85.0</v>
      </c>
      <c r="B86" s="5" t="s">
        <v>677</v>
      </c>
      <c r="C86" s="5" t="s">
        <v>18</v>
      </c>
      <c r="D86" s="5" t="s">
        <v>19</v>
      </c>
      <c r="E86" s="5" t="s">
        <v>678</v>
      </c>
      <c r="F86" s="5" t="s">
        <v>532</v>
      </c>
      <c r="G86" s="5" t="s">
        <v>679</v>
      </c>
      <c r="H86" s="5" t="s">
        <v>23</v>
      </c>
      <c r="I86" s="6" t="s">
        <v>680</v>
      </c>
      <c r="J86" s="4">
        <v>100.0</v>
      </c>
      <c r="K86" s="5" t="s">
        <v>316</v>
      </c>
      <c r="L86" s="5" t="s">
        <v>681</v>
      </c>
      <c r="M86" s="5" t="s">
        <v>682</v>
      </c>
      <c r="N86" s="7" t="s">
        <v>683</v>
      </c>
      <c r="O86" s="5" t="s">
        <v>30</v>
      </c>
      <c r="P86" s="5" t="s">
        <v>30</v>
      </c>
      <c r="Q86" s="5" t="s">
        <v>30</v>
      </c>
    </row>
    <row r="87" ht="21.0" customHeight="1">
      <c r="A87" s="4">
        <v>86.0</v>
      </c>
      <c r="B87" s="5" t="s">
        <v>684</v>
      </c>
      <c r="C87" s="5" t="s">
        <v>18</v>
      </c>
      <c r="D87" s="5" t="s">
        <v>685</v>
      </c>
      <c r="E87" s="5" t="s">
        <v>686</v>
      </c>
      <c r="F87" s="5" t="s">
        <v>532</v>
      </c>
      <c r="G87" s="5" t="s">
        <v>687</v>
      </c>
      <c r="H87" s="5" t="s">
        <v>23</v>
      </c>
      <c r="I87" s="6" t="s">
        <v>688</v>
      </c>
      <c r="J87" s="4">
        <v>100.0</v>
      </c>
      <c r="K87" s="5" t="s">
        <v>141</v>
      </c>
      <c r="L87" s="5" t="s">
        <v>689</v>
      </c>
      <c r="M87" s="5" t="s">
        <v>690</v>
      </c>
      <c r="N87" s="7" t="s">
        <v>691</v>
      </c>
      <c r="O87" s="9" t="s">
        <v>692</v>
      </c>
      <c r="P87" s="5" t="s">
        <v>30</v>
      </c>
      <c r="Q87" s="5" t="s">
        <v>30</v>
      </c>
    </row>
    <row r="88" ht="21.0" customHeight="1">
      <c r="A88" s="4">
        <v>87.0</v>
      </c>
      <c r="B88" s="5" t="s">
        <v>693</v>
      </c>
      <c r="C88" s="5" t="s">
        <v>694</v>
      </c>
      <c r="D88" s="5" t="s">
        <v>19</v>
      </c>
      <c r="E88" s="5" t="s">
        <v>695</v>
      </c>
      <c r="F88" s="5" t="s">
        <v>532</v>
      </c>
      <c r="G88" s="5" t="s">
        <v>696</v>
      </c>
      <c r="H88" s="5" t="s">
        <v>23</v>
      </c>
      <c r="I88" s="6" t="s">
        <v>697</v>
      </c>
      <c r="J88" s="4">
        <v>100.0</v>
      </c>
      <c r="K88" s="5" t="s">
        <v>25</v>
      </c>
      <c r="L88" s="5" t="s">
        <v>698</v>
      </c>
      <c r="M88" s="5" t="s">
        <v>699</v>
      </c>
      <c r="N88" s="7" t="s">
        <v>700</v>
      </c>
      <c r="O88" s="5" t="s">
        <v>30</v>
      </c>
      <c r="P88" s="5" t="s">
        <v>30</v>
      </c>
      <c r="Q88" s="5" t="s">
        <v>30</v>
      </c>
    </row>
    <row r="89" ht="21.0" customHeight="1">
      <c r="A89" s="4">
        <v>88.0</v>
      </c>
      <c r="B89" s="5" t="s">
        <v>701</v>
      </c>
      <c r="C89" s="5" t="s">
        <v>18</v>
      </c>
      <c r="D89" s="5" t="s">
        <v>19</v>
      </c>
      <c r="E89" s="5" t="s">
        <v>702</v>
      </c>
      <c r="F89" s="5" t="s">
        <v>532</v>
      </c>
      <c r="G89" s="5" t="s">
        <v>703</v>
      </c>
      <c r="H89" s="5" t="s">
        <v>23</v>
      </c>
      <c r="I89" s="6" t="s">
        <v>704</v>
      </c>
      <c r="J89" s="4">
        <v>100.0</v>
      </c>
      <c r="K89" s="5" t="s">
        <v>84</v>
      </c>
      <c r="L89" s="5" t="s">
        <v>705</v>
      </c>
      <c r="M89" s="5" t="s">
        <v>706</v>
      </c>
      <c r="N89" s="7" t="s">
        <v>707</v>
      </c>
      <c r="O89" s="5" t="s">
        <v>30</v>
      </c>
      <c r="P89" s="5" t="s">
        <v>30</v>
      </c>
      <c r="Q89" s="5" t="s">
        <v>30</v>
      </c>
    </row>
    <row r="90" ht="21.0" customHeight="1">
      <c r="A90" s="4">
        <v>89.0</v>
      </c>
      <c r="B90" s="5" t="s">
        <v>708</v>
      </c>
      <c r="C90" s="5" t="s">
        <v>18</v>
      </c>
      <c r="D90" s="5" t="s">
        <v>19</v>
      </c>
      <c r="E90" s="5" t="s">
        <v>709</v>
      </c>
      <c r="F90" s="5" t="s">
        <v>532</v>
      </c>
      <c r="G90" s="5" t="s">
        <v>710</v>
      </c>
      <c r="H90" s="5" t="s">
        <v>23</v>
      </c>
      <c r="I90" s="6" t="s">
        <v>711</v>
      </c>
      <c r="J90" s="4">
        <v>100.0</v>
      </c>
      <c r="K90" s="5" t="s">
        <v>84</v>
      </c>
      <c r="L90" s="5" t="s">
        <v>712</v>
      </c>
      <c r="M90" s="5" t="s">
        <v>713</v>
      </c>
      <c r="N90" s="7" t="s">
        <v>714</v>
      </c>
      <c r="O90" s="5" t="s">
        <v>30</v>
      </c>
      <c r="P90" s="5" t="s">
        <v>30</v>
      </c>
      <c r="Q90" s="5" t="s">
        <v>30</v>
      </c>
    </row>
    <row r="91" ht="21.0" customHeight="1">
      <c r="A91" s="4">
        <v>90.0</v>
      </c>
      <c r="B91" s="5" t="s">
        <v>715</v>
      </c>
      <c r="C91" s="5" t="s">
        <v>18</v>
      </c>
      <c r="D91" s="5" t="s">
        <v>716</v>
      </c>
      <c r="E91" s="5" t="s">
        <v>717</v>
      </c>
      <c r="F91" s="5" t="s">
        <v>718</v>
      </c>
      <c r="G91" s="5" t="s">
        <v>719</v>
      </c>
      <c r="H91" s="5" t="s">
        <v>23</v>
      </c>
      <c r="I91" s="6" t="s">
        <v>720</v>
      </c>
      <c r="J91" s="4">
        <v>100.0</v>
      </c>
      <c r="K91" s="5" t="s">
        <v>110</v>
      </c>
      <c r="L91" s="5" t="s">
        <v>721</v>
      </c>
      <c r="M91" s="5" t="s">
        <v>722</v>
      </c>
      <c r="N91" s="7" t="s">
        <v>723</v>
      </c>
      <c r="O91" s="9" t="s">
        <v>724</v>
      </c>
      <c r="P91" s="5" t="s">
        <v>30</v>
      </c>
      <c r="Q91" s="5" t="s">
        <v>30</v>
      </c>
    </row>
    <row r="92" ht="21.0" customHeight="1">
      <c r="A92" s="4">
        <v>91.0</v>
      </c>
      <c r="B92" s="5" t="s">
        <v>725</v>
      </c>
      <c r="C92" s="5" t="s">
        <v>18</v>
      </c>
      <c r="D92" s="5" t="s">
        <v>19</v>
      </c>
      <c r="E92" s="5" t="s">
        <v>726</v>
      </c>
      <c r="F92" s="5" t="s">
        <v>718</v>
      </c>
      <c r="G92" s="5" t="s">
        <v>34</v>
      </c>
      <c r="H92" s="5" t="s">
        <v>23</v>
      </c>
      <c r="I92" s="6" t="s">
        <v>727</v>
      </c>
      <c r="J92" s="4">
        <v>100.0</v>
      </c>
      <c r="K92" s="5" t="s">
        <v>292</v>
      </c>
      <c r="L92" s="5" t="s">
        <v>728</v>
      </c>
      <c r="M92" s="5" t="s">
        <v>729</v>
      </c>
      <c r="N92" s="20" t="s">
        <v>730</v>
      </c>
      <c r="O92" s="5" t="s">
        <v>30</v>
      </c>
      <c r="P92" s="5" t="s">
        <v>30</v>
      </c>
      <c r="Q92" s="5" t="s">
        <v>30</v>
      </c>
    </row>
    <row r="93" ht="21.0" customHeight="1">
      <c r="A93" s="4">
        <v>92.0</v>
      </c>
      <c r="B93" s="5" t="s">
        <v>731</v>
      </c>
      <c r="C93" s="5" t="s">
        <v>18</v>
      </c>
      <c r="D93" s="5" t="s">
        <v>170</v>
      </c>
      <c r="E93" s="5" t="s">
        <v>732</v>
      </c>
      <c r="F93" s="5" t="s">
        <v>718</v>
      </c>
      <c r="G93" s="5" t="s">
        <v>733</v>
      </c>
      <c r="H93" s="5" t="s">
        <v>23</v>
      </c>
      <c r="I93" s="6" t="s">
        <v>734</v>
      </c>
      <c r="J93" s="4">
        <v>100.0</v>
      </c>
      <c r="K93" s="5" t="s">
        <v>157</v>
      </c>
      <c r="L93" s="5" t="s">
        <v>735</v>
      </c>
      <c r="M93" s="5" t="s">
        <v>736</v>
      </c>
      <c r="N93" s="7" t="s">
        <v>737</v>
      </c>
      <c r="O93" s="5" t="s">
        <v>30</v>
      </c>
      <c r="P93" s="5" t="s">
        <v>30</v>
      </c>
      <c r="Q93" s="5" t="s">
        <v>30</v>
      </c>
    </row>
    <row r="94" ht="21.0" customHeight="1">
      <c r="A94" s="4">
        <v>93.0</v>
      </c>
      <c r="B94" s="5" t="s">
        <v>738</v>
      </c>
      <c r="C94" s="5" t="s">
        <v>18</v>
      </c>
      <c r="D94" s="5" t="s">
        <v>19</v>
      </c>
      <c r="E94" s="5" t="s">
        <v>739</v>
      </c>
      <c r="F94" s="5" t="s">
        <v>718</v>
      </c>
      <c r="G94" s="5" t="s">
        <v>740</v>
      </c>
      <c r="H94" s="5" t="s">
        <v>23</v>
      </c>
      <c r="I94" s="6" t="s">
        <v>741</v>
      </c>
      <c r="J94" s="4">
        <v>100.0</v>
      </c>
      <c r="K94" s="5" t="s">
        <v>25</v>
      </c>
      <c r="L94" s="5" t="s">
        <v>742</v>
      </c>
      <c r="M94" s="5" t="s">
        <v>743</v>
      </c>
      <c r="N94" s="7" t="s">
        <v>744</v>
      </c>
      <c r="O94" s="5" t="s">
        <v>30</v>
      </c>
      <c r="P94" s="5" t="s">
        <v>30</v>
      </c>
      <c r="Q94" s="5" t="s">
        <v>30</v>
      </c>
    </row>
    <row r="95" ht="21.0" customHeight="1">
      <c r="A95" s="4">
        <v>94.0</v>
      </c>
      <c r="B95" s="5" t="s">
        <v>745</v>
      </c>
      <c r="C95" s="5" t="s">
        <v>746</v>
      </c>
      <c r="D95" s="5" t="s">
        <v>19</v>
      </c>
      <c r="E95" s="5" t="s">
        <v>747</v>
      </c>
      <c r="F95" s="5" t="s">
        <v>718</v>
      </c>
      <c r="G95" s="5" t="s">
        <v>748</v>
      </c>
      <c r="H95" s="5" t="s">
        <v>23</v>
      </c>
      <c r="I95" s="6" t="s">
        <v>749</v>
      </c>
      <c r="J95" s="4">
        <v>100.0</v>
      </c>
      <c r="K95" s="5" t="s">
        <v>110</v>
      </c>
      <c r="L95" s="5" t="s">
        <v>750</v>
      </c>
      <c r="M95" s="5" t="s">
        <v>751</v>
      </c>
      <c r="N95" s="7" t="s">
        <v>752</v>
      </c>
      <c r="O95" s="5" t="s">
        <v>30</v>
      </c>
      <c r="P95" s="5" t="s">
        <v>30</v>
      </c>
      <c r="Q95" s="5" t="s">
        <v>30</v>
      </c>
    </row>
    <row r="96" ht="21.0" customHeight="1">
      <c r="A96" s="4">
        <v>95.0</v>
      </c>
      <c r="B96" s="5" t="s">
        <v>753</v>
      </c>
      <c r="C96" s="5" t="s">
        <v>18</v>
      </c>
      <c r="D96" s="5" t="s">
        <v>754</v>
      </c>
      <c r="E96" s="5" t="s">
        <v>755</v>
      </c>
      <c r="F96" s="5" t="s">
        <v>718</v>
      </c>
      <c r="G96" s="5" t="s">
        <v>756</v>
      </c>
      <c r="H96" s="5" t="s">
        <v>23</v>
      </c>
      <c r="I96" s="6" t="s">
        <v>757</v>
      </c>
      <c r="J96" s="4">
        <v>100.0</v>
      </c>
      <c r="K96" s="5" t="s">
        <v>216</v>
      </c>
      <c r="L96" s="5" t="s">
        <v>758</v>
      </c>
      <c r="M96" s="5" t="s">
        <v>759</v>
      </c>
      <c r="N96" s="7" t="s">
        <v>760</v>
      </c>
      <c r="O96" s="5" t="s">
        <v>30</v>
      </c>
      <c r="P96" s="5" t="s">
        <v>30</v>
      </c>
      <c r="Q96" s="5" t="s">
        <v>30</v>
      </c>
    </row>
    <row r="97" ht="21.0" customHeight="1">
      <c r="A97" s="4">
        <v>96.0</v>
      </c>
      <c r="B97" s="5" t="s">
        <v>761</v>
      </c>
      <c r="C97" s="5" t="s">
        <v>18</v>
      </c>
      <c r="D97" s="5" t="s">
        <v>19</v>
      </c>
      <c r="E97" s="5" t="s">
        <v>762</v>
      </c>
      <c r="F97" s="5" t="s">
        <v>718</v>
      </c>
      <c r="G97" s="5" t="s">
        <v>763</v>
      </c>
      <c r="H97" s="5" t="s">
        <v>23</v>
      </c>
      <c r="I97" s="6" t="s">
        <v>764</v>
      </c>
      <c r="J97" s="4">
        <v>100.0</v>
      </c>
      <c r="K97" s="5" t="s">
        <v>110</v>
      </c>
      <c r="L97" s="5" t="s">
        <v>765</v>
      </c>
      <c r="M97" s="5" t="s">
        <v>766</v>
      </c>
      <c r="N97" s="7" t="s">
        <v>767</v>
      </c>
      <c r="O97" s="5" t="s">
        <v>30</v>
      </c>
      <c r="P97" s="5" t="s">
        <v>30</v>
      </c>
      <c r="Q97" s="5" t="s">
        <v>30</v>
      </c>
    </row>
    <row r="98" ht="21.0" customHeight="1">
      <c r="A98" s="4">
        <v>97.0</v>
      </c>
      <c r="B98" s="5" t="s">
        <v>768</v>
      </c>
      <c r="C98" s="5" t="s">
        <v>18</v>
      </c>
      <c r="D98" s="5" t="s">
        <v>19</v>
      </c>
      <c r="E98" s="5" t="s">
        <v>769</v>
      </c>
      <c r="F98" s="5" t="s">
        <v>718</v>
      </c>
      <c r="G98" s="5" t="s">
        <v>770</v>
      </c>
      <c r="H98" s="5" t="s">
        <v>23</v>
      </c>
      <c r="I98" s="6" t="s">
        <v>771</v>
      </c>
      <c r="J98" s="4">
        <v>100.0</v>
      </c>
      <c r="K98" s="5" t="s">
        <v>25</v>
      </c>
      <c r="L98" s="5" t="s">
        <v>772</v>
      </c>
      <c r="M98" s="5" t="s">
        <v>773</v>
      </c>
      <c r="N98" s="7" t="s">
        <v>774</v>
      </c>
      <c r="O98" s="5" t="s">
        <v>30</v>
      </c>
      <c r="P98" s="5" t="s">
        <v>30</v>
      </c>
      <c r="Q98" s="5" t="s">
        <v>30</v>
      </c>
    </row>
    <row r="99" ht="21.0" customHeight="1">
      <c r="A99" s="4">
        <v>98.0</v>
      </c>
      <c r="B99" s="5" t="s">
        <v>775</v>
      </c>
      <c r="C99" s="5" t="s">
        <v>776</v>
      </c>
      <c r="D99" s="5" t="s">
        <v>777</v>
      </c>
      <c r="E99" s="5" t="s">
        <v>778</v>
      </c>
      <c r="F99" s="5" t="s">
        <v>718</v>
      </c>
      <c r="G99" s="5" t="s">
        <v>779</v>
      </c>
      <c r="H99" s="5" t="s">
        <v>23</v>
      </c>
      <c r="I99" s="6" t="s">
        <v>780</v>
      </c>
      <c r="J99" s="4">
        <v>100.0</v>
      </c>
      <c r="K99" s="5" t="s">
        <v>110</v>
      </c>
      <c r="L99" s="5" t="s">
        <v>781</v>
      </c>
      <c r="M99" s="5" t="s">
        <v>782</v>
      </c>
      <c r="N99" s="7" t="s">
        <v>783</v>
      </c>
      <c r="O99" s="5" t="s">
        <v>30</v>
      </c>
      <c r="P99" s="5" t="s">
        <v>30</v>
      </c>
      <c r="Q99" s="5" t="s">
        <v>30</v>
      </c>
    </row>
    <row r="100" ht="21.0" customHeight="1">
      <c r="A100" s="4">
        <v>99.0</v>
      </c>
      <c r="B100" s="5" t="s">
        <v>784</v>
      </c>
      <c r="C100" s="5" t="s">
        <v>18</v>
      </c>
      <c r="D100" s="5" t="s">
        <v>19</v>
      </c>
      <c r="E100" s="5" t="s">
        <v>785</v>
      </c>
      <c r="F100" s="5" t="s">
        <v>718</v>
      </c>
      <c r="G100" s="5" t="s">
        <v>786</v>
      </c>
      <c r="H100" s="5" t="s">
        <v>23</v>
      </c>
      <c r="I100" s="6" t="s">
        <v>787</v>
      </c>
      <c r="J100" s="4">
        <v>100.0</v>
      </c>
      <c r="K100" s="5" t="s">
        <v>93</v>
      </c>
      <c r="L100" s="5" t="s">
        <v>788</v>
      </c>
      <c r="M100" s="5" t="s">
        <v>789</v>
      </c>
      <c r="N100" s="7" t="s">
        <v>790</v>
      </c>
      <c r="O100" s="19" t="s">
        <v>791</v>
      </c>
      <c r="P100" s="5" t="s">
        <v>792</v>
      </c>
      <c r="Q100" s="5" t="s">
        <v>30</v>
      </c>
    </row>
    <row r="101" ht="21.0" customHeight="1">
      <c r="A101" s="4">
        <v>100.0</v>
      </c>
      <c r="B101" s="5" t="s">
        <v>793</v>
      </c>
      <c r="C101" s="5" t="s">
        <v>18</v>
      </c>
      <c r="D101" s="5" t="s">
        <v>19</v>
      </c>
      <c r="E101" s="5" t="s">
        <v>794</v>
      </c>
      <c r="F101" s="5" t="s">
        <v>718</v>
      </c>
      <c r="G101" s="5" t="s">
        <v>795</v>
      </c>
      <c r="H101" s="5" t="s">
        <v>23</v>
      </c>
      <c r="I101" s="6" t="s">
        <v>796</v>
      </c>
      <c r="J101" s="4">
        <v>100.0</v>
      </c>
      <c r="K101" s="5" t="s">
        <v>292</v>
      </c>
      <c r="L101" s="5" t="s">
        <v>797</v>
      </c>
      <c r="M101" s="5" t="s">
        <v>798</v>
      </c>
      <c r="N101" s="7" t="s">
        <v>799</v>
      </c>
      <c r="O101" s="5" t="s">
        <v>30</v>
      </c>
      <c r="P101" s="5" t="s">
        <v>30</v>
      </c>
      <c r="Q101" s="5" t="s">
        <v>30</v>
      </c>
    </row>
    <row r="102" ht="21.0" customHeight="1">
      <c r="A102" s="4">
        <v>101.0</v>
      </c>
      <c r="B102" s="5" t="s">
        <v>800</v>
      </c>
      <c r="C102" s="5" t="s">
        <v>18</v>
      </c>
      <c r="D102" s="5" t="s">
        <v>19</v>
      </c>
      <c r="E102" s="5" t="s">
        <v>801</v>
      </c>
      <c r="F102" s="5" t="s">
        <v>718</v>
      </c>
      <c r="G102" s="5" t="s">
        <v>802</v>
      </c>
      <c r="H102" s="5" t="s">
        <v>23</v>
      </c>
      <c r="I102" s="6" t="s">
        <v>803</v>
      </c>
      <c r="J102" s="4">
        <v>100.0</v>
      </c>
      <c r="K102" s="5" t="s">
        <v>141</v>
      </c>
      <c r="L102" s="5" t="s">
        <v>804</v>
      </c>
      <c r="M102" s="5" t="s">
        <v>805</v>
      </c>
      <c r="N102" s="7" t="s">
        <v>806</v>
      </c>
      <c r="O102" s="5" t="s">
        <v>30</v>
      </c>
      <c r="P102" s="5" t="s">
        <v>30</v>
      </c>
      <c r="Q102" s="5" t="s">
        <v>30</v>
      </c>
    </row>
    <row r="103" ht="21.0" customHeight="1">
      <c r="A103" s="4">
        <v>102.0</v>
      </c>
      <c r="B103" s="5" t="s">
        <v>807</v>
      </c>
      <c r="C103" s="5" t="s">
        <v>18</v>
      </c>
      <c r="D103" s="5" t="s">
        <v>19</v>
      </c>
      <c r="E103" s="5" t="s">
        <v>808</v>
      </c>
      <c r="F103" s="5" t="s">
        <v>718</v>
      </c>
      <c r="G103" s="5" t="s">
        <v>809</v>
      </c>
      <c r="H103" s="5" t="s">
        <v>23</v>
      </c>
      <c r="I103" s="6" t="s">
        <v>810</v>
      </c>
      <c r="J103" s="4">
        <v>100.0</v>
      </c>
      <c r="K103" s="5" t="s">
        <v>110</v>
      </c>
      <c r="L103" s="5" t="s">
        <v>811</v>
      </c>
      <c r="M103" s="5" t="s">
        <v>812</v>
      </c>
      <c r="N103" s="7" t="s">
        <v>813</v>
      </c>
      <c r="O103" s="9" t="s">
        <v>814</v>
      </c>
      <c r="P103" s="5" t="s">
        <v>30</v>
      </c>
      <c r="Q103" s="5" t="s">
        <v>30</v>
      </c>
    </row>
    <row r="104" ht="21.0" customHeight="1">
      <c r="A104" s="4">
        <v>103.0</v>
      </c>
      <c r="B104" s="5" t="s">
        <v>815</v>
      </c>
      <c r="C104" s="5" t="s">
        <v>816</v>
      </c>
      <c r="D104" s="5" t="s">
        <v>19</v>
      </c>
      <c r="E104" s="5" t="s">
        <v>817</v>
      </c>
      <c r="F104" s="5" t="s">
        <v>718</v>
      </c>
      <c r="G104" s="5" t="s">
        <v>818</v>
      </c>
      <c r="H104" s="5" t="s">
        <v>23</v>
      </c>
      <c r="I104" s="6" t="s">
        <v>819</v>
      </c>
      <c r="J104" s="4">
        <v>100.0</v>
      </c>
      <c r="K104" s="5" t="s">
        <v>165</v>
      </c>
      <c r="L104" s="5" t="s">
        <v>820</v>
      </c>
      <c r="M104" s="5" t="s">
        <v>821</v>
      </c>
      <c r="N104" s="7" t="s">
        <v>822</v>
      </c>
      <c r="O104" s="9" t="s">
        <v>823</v>
      </c>
      <c r="P104" s="5" t="s">
        <v>30</v>
      </c>
      <c r="Q104" s="5" t="s">
        <v>30</v>
      </c>
    </row>
    <row r="105" ht="21.0" customHeight="1">
      <c r="A105" s="4">
        <v>104.0</v>
      </c>
      <c r="B105" s="5" t="s">
        <v>824</v>
      </c>
      <c r="C105" s="5" t="s">
        <v>18</v>
      </c>
      <c r="D105" s="5" t="s">
        <v>19</v>
      </c>
      <c r="E105" s="5" t="s">
        <v>825</v>
      </c>
      <c r="F105" s="5" t="s">
        <v>718</v>
      </c>
      <c r="G105" s="5" t="s">
        <v>826</v>
      </c>
      <c r="H105" s="5" t="s">
        <v>353</v>
      </c>
      <c r="I105" s="6" t="s">
        <v>827</v>
      </c>
      <c r="J105" s="4">
        <v>100.0</v>
      </c>
      <c r="K105" s="5" t="s">
        <v>68</v>
      </c>
      <c r="L105" s="5" t="s">
        <v>828</v>
      </c>
      <c r="M105" s="5" t="s">
        <v>829</v>
      </c>
      <c r="N105" s="7" t="s">
        <v>830</v>
      </c>
      <c r="O105" s="5" t="s">
        <v>30</v>
      </c>
      <c r="P105" s="5" t="s">
        <v>30</v>
      </c>
      <c r="Q105" s="5" t="s">
        <v>30</v>
      </c>
    </row>
    <row r="106" ht="21.0" customHeight="1">
      <c r="A106" s="4">
        <v>105.0</v>
      </c>
      <c r="B106" s="5" t="s">
        <v>831</v>
      </c>
      <c r="C106" s="5" t="s">
        <v>832</v>
      </c>
      <c r="D106" s="5" t="s">
        <v>19</v>
      </c>
      <c r="E106" s="5" t="s">
        <v>833</v>
      </c>
      <c r="F106" s="5" t="s">
        <v>718</v>
      </c>
      <c r="G106" s="5" t="s">
        <v>834</v>
      </c>
      <c r="H106" s="5" t="s">
        <v>23</v>
      </c>
      <c r="I106" s="6" t="s">
        <v>835</v>
      </c>
      <c r="J106" s="4">
        <v>100.0</v>
      </c>
      <c r="K106" s="5" t="s">
        <v>157</v>
      </c>
      <c r="L106" s="5" t="s">
        <v>836</v>
      </c>
      <c r="M106" s="5" t="s">
        <v>837</v>
      </c>
      <c r="N106" s="7" t="s">
        <v>838</v>
      </c>
      <c r="O106" s="5" t="s">
        <v>30</v>
      </c>
      <c r="P106" s="5" t="s">
        <v>30</v>
      </c>
      <c r="Q106" s="5" t="s">
        <v>30</v>
      </c>
    </row>
    <row r="107" ht="21.0" customHeight="1">
      <c r="A107" s="4">
        <v>106.0</v>
      </c>
      <c r="B107" s="5" t="s">
        <v>839</v>
      </c>
      <c r="C107" s="5" t="s">
        <v>840</v>
      </c>
      <c r="D107" s="5" t="s">
        <v>19</v>
      </c>
      <c r="E107" s="5" t="s">
        <v>841</v>
      </c>
      <c r="F107" s="5" t="s">
        <v>718</v>
      </c>
      <c r="G107" s="5" t="s">
        <v>842</v>
      </c>
      <c r="H107" s="5" t="s">
        <v>23</v>
      </c>
      <c r="I107" s="6" t="s">
        <v>843</v>
      </c>
      <c r="J107" s="4">
        <v>100.0</v>
      </c>
      <c r="K107" s="5" t="s">
        <v>165</v>
      </c>
      <c r="L107" s="5" t="s">
        <v>844</v>
      </c>
      <c r="M107" s="5" t="s">
        <v>845</v>
      </c>
      <c r="N107" s="7" t="s">
        <v>846</v>
      </c>
      <c r="O107" s="5" t="s">
        <v>30</v>
      </c>
      <c r="P107" s="5" t="s">
        <v>30</v>
      </c>
      <c r="Q107" s="5" t="s">
        <v>30</v>
      </c>
    </row>
    <row r="108" ht="21.0" customHeight="1">
      <c r="A108" s="4">
        <v>107.0</v>
      </c>
      <c r="B108" s="5" t="s">
        <v>847</v>
      </c>
      <c r="C108" s="5" t="s">
        <v>848</v>
      </c>
      <c r="D108" s="5" t="s">
        <v>19</v>
      </c>
      <c r="E108" s="5" t="s">
        <v>849</v>
      </c>
      <c r="F108" s="5" t="s">
        <v>718</v>
      </c>
      <c r="G108" s="5" t="s">
        <v>850</v>
      </c>
      <c r="H108" s="5" t="s">
        <v>23</v>
      </c>
      <c r="I108" s="6" t="s">
        <v>851</v>
      </c>
      <c r="J108" s="4">
        <v>100.0</v>
      </c>
      <c r="K108" s="5" t="s">
        <v>316</v>
      </c>
      <c r="L108" s="5" t="s">
        <v>852</v>
      </c>
      <c r="M108" s="5" t="s">
        <v>853</v>
      </c>
      <c r="N108" s="7" t="s">
        <v>854</v>
      </c>
      <c r="O108" s="5" t="s">
        <v>30</v>
      </c>
      <c r="P108" s="5" t="s">
        <v>30</v>
      </c>
      <c r="Q108" s="5" t="s">
        <v>30</v>
      </c>
    </row>
    <row r="109" ht="21.0" customHeight="1">
      <c r="A109" s="4">
        <v>108.0</v>
      </c>
      <c r="B109" s="5" t="s">
        <v>855</v>
      </c>
      <c r="C109" s="5" t="s">
        <v>856</v>
      </c>
      <c r="D109" s="5" t="s">
        <v>19</v>
      </c>
      <c r="E109" s="5" t="s">
        <v>857</v>
      </c>
      <c r="F109" s="5" t="s">
        <v>718</v>
      </c>
      <c r="G109" s="5" t="s">
        <v>858</v>
      </c>
      <c r="H109" s="5" t="s">
        <v>23</v>
      </c>
      <c r="I109" s="6" t="s">
        <v>859</v>
      </c>
      <c r="J109" s="4">
        <v>100.0</v>
      </c>
      <c r="K109" s="5" t="s">
        <v>25</v>
      </c>
      <c r="L109" s="5" t="s">
        <v>860</v>
      </c>
      <c r="M109" s="5" t="s">
        <v>861</v>
      </c>
      <c r="N109" s="7" t="s">
        <v>862</v>
      </c>
      <c r="O109" s="5" t="s">
        <v>30</v>
      </c>
      <c r="P109" s="5" t="s">
        <v>30</v>
      </c>
      <c r="Q109" s="5" t="s">
        <v>30</v>
      </c>
    </row>
    <row r="110" ht="21.0" customHeight="1">
      <c r="A110" s="4">
        <v>109.0</v>
      </c>
      <c r="B110" s="5" t="s">
        <v>863</v>
      </c>
      <c r="C110" s="5" t="s">
        <v>864</v>
      </c>
      <c r="D110" s="5" t="s">
        <v>19</v>
      </c>
      <c r="E110" s="5" t="s">
        <v>865</v>
      </c>
      <c r="F110" s="5" t="s">
        <v>718</v>
      </c>
      <c r="G110" s="5" t="s">
        <v>866</v>
      </c>
      <c r="H110" s="5" t="s">
        <v>23</v>
      </c>
      <c r="I110" s="6" t="s">
        <v>867</v>
      </c>
      <c r="J110" s="4">
        <v>100.0</v>
      </c>
      <c r="K110" s="5" t="s">
        <v>275</v>
      </c>
      <c r="L110" s="5" t="s">
        <v>868</v>
      </c>
      <c r="M110" s="5" t="s">
        <v>869</v>
      </c>
      <c r="N110" s="7" t="s">
        <v>870</v>
      </c>
      <c r="O110" s="5" t="s">
        <v>30</v>
      </c>
      <c r="P110" s="5" t="s">
        <v>30</v>
      </c>
      <c r="Q110" s="5" t="s">
        <v>30</v>
      </c>
    </row>
    <row r="111" ht="21.0" customHeight="1">
      <c r="A111" s="4">
        <v>110.0</v>
      </c>
      <c r="B111" s="5" t="s">
        <v>871</v>
      </c>
      <c r="C111" s="5" t="s">
        <v>18</v>
      </c>
      <c r="D111" s="5" t="s">
        <v>872</v>
      </c>
      <c r="E111" s="5" t="s">
        <v>873</v>
      </c>
      <c r="F111" s="5" t="s">
        <v>718</v>
      </c>
      <c r="G111" s="5" t="s">
        <v>874</v>
      </c>
      <c r="H111" s="5" t="s">
        <v>23</v>
      </c>
      <c r="I111" s="6" t="s">
        <v>875</v>
      </c>
      <c r="J111" s="4">
        <v>100.0</v>
      </c>
      <c r="K111" s="5" t="s">
        <v>165</v>
      </c>
      <c r="L111" s="5" t="s">
        <v>876</v>
      </c>
      <c r="M111" s="5" t="s">
        <v>877</v>
      </c>
      <c r="N111" s="7" t="s">
        <v>878</v>
      </c>
      <c r="O111" s="9" t="s">
        <v>879</v>
      </c>
      <c r="P111" s="5" t="s">
        <v>30</v>
      </c>
      <c r="Q111" s="5" t="s">
        <v>30</v>
      </c>
    </row>
    <row r="112" ht="21.0" customHeight="1">
      <c r="A112" s="4">
        <v>111.0</v>
      </c>
      <c r="B112" s="5" t="s">
        <v>880</v>
      </c>
      <c r="C112" s="5" t="s">
        <v>881</v>
      </c>
      <c r="D112" s="5" t="s">
        <v>19</v>
      </c>
      <c r="E112" s="5" t="s">
        <v>882</v>
      </c>
      <c r="F112" s="5" t="s">
        <v>718</v>
      </c>
      <c r="G112" s="5" t="s">
        <v>883</v>
      </c>
      <c r="H112" s="5" t="s">
        <v>23</v>
      </c>
      <c r="I112" s="6" t="s">
        <v>884</v>
      </c>
      <c r="J112" s="4">
        <v>100.0</v>
      </c>
      <c r="K112" s="5" t="s">
        <v>52</v>
      </c>
      <c r="L112" s="5" t="s">
        <v>885</v>
      </c>
      <c r="M112" s="5" t="s">
        <v>886</v>
      </c>
      <c r="N112" s="7" t="s">
        <v>887</v>
      </c>
      <c r="O112" s="5" t="s">
        <v>30</v>
      </c>
      <c r="P112" s="5" t="s">
        <v>30</v>
      </c>
      <c r="Q112" s="5" t="s">
        <v>30</v>
      </c>
    </row>
    <row r="113" ht="21.0" customHeight="1">
      <c r="A113" s="4">
        <v>112.0</v>
      </c>
      <c r="B113" s="5" t="s">
        <v>888</v>
      </c>
      <c r="C113" s="5" t="s">
        <v>889</v>
      </c>
      <c r="D113" s="5" t="s">
        <v>19</v>
      </c>
      <c r="E113" s="5" t="s">
        <v>890</v>
      </c>
      <c r="F113" s="5" t="s">
        <v>718</v>
      </c>
      <c r="G113" s="5" t="s">
        <v>891</v>
      </c>
      <c r="H113" s="5" t="s">
        <v>23</v>
      </c>
      <c r="I113" s="6" t="s">
        <v>892</v>
      </c>
      <c r="J113" s="4">
        <v>100.0</v>
      </c>
      <c r="K113" s="5" t="s">
        <v>165</v>
      </c>
      <c r="L113" s="5" t="s">
        <v>893</v>
      </c>
      <c r="M113" s="5" t="s">
        <v>894</v>
      </c>
      <c r="N113" s="7" t="s">
        <v>895</v>
      </c>
      <c r="O113" s="5" t="s">
        <v>30</v>
      </c>
      <c r="P113" s="5" t="s">
        <v>30</v>
      </c>
      <c r="Q113" s="5" t="s">
        <v>30</v>
      </c>
    </row>
    <row r="114" ht="21.0" customHeight="1">
      <c r="A114" s="4">
        <v>113.0</v>
      </c>
      <c r="B114" s="5" t="s">
        <v>896</v>
      </c>
      <c r="C114" s="5" t="s">
        <v>18</v>
      </c>
      <c r="D114" s="5" t="s">
        <v>19</v>
      </c>
      <c r="E114" s="5" t="s">
        <v>897</v>
      </c>
      <c r="F114" s="5" t="s">
        <v>718</v>
      </c>
      <c r="G114" s="5" t="s">
        <v>898</v>
      </c>
      <c r="H114" s="5" t="s">
        <v>23</v>
      </c>
      <c r="I114" s="6" t="s">
        <v>899</v>
      </c>
      <c r="J114" s="4">
        <v>100.0</v>
      </c>
      <c r="K114" s="5" t="s">
        <v>165</v>
      </c>
      <c r="L114" s="5" t="s">
        <v>900</v>
      </c>
      <c r="M114" s="5" t="s">
        <v>901</v>
      </c>
      <c r="N114" s="7" t="s">
        <v>902</v>
      </c>
      <c r="O114" s="5" t="s">
        <v>30</v>
      </c>
      <c r="P114" s="5" t="s">
        <v>30</v>
      </c>
      <c r="Q114" s="5" t="s">
        <v>30</v>
      </c>
    </row>
    <row r="115" ht="21.0" customHeight="1">
      <c r="A115" s="4">
        <v>114.0</v>
      </c>
      <c r="B115" s="5" t="s">
        <v>903</v>
      </c>
      <c r="C115" s="5" t="s">
        <v>904</v>
      </c>
      <c r="D115" s="5" t="s">
        <v>19</v>
      </c>
      <c r="E115" s="5" t="s">
        <v>905</v>
      </c>
      <c r="F115" s="5" t="s">
        <v>718</v>
      </c>
      <c r="G115" s="5" t="s">
        <v>906</v>
      </c>
      <c r="H115" s="5" t="s">
        <v>23</v>
      </c>
      <c r="I115" s="6" t="s">
        <v>907</v>
      </c>
      <c r="J115" s="4">
        <v>100.0</v>
      </c>
      <c r="K115" s="5" t="s">
        <v>93</v>
      </c>
      <c r="L115" s="5" t="s">
        <v>908</v>
      </c>
      <c r="M115" s="5" t="s">
        <v>909</v>
      </c>
      <c r="N115" s="7" t="s">
        <v>910</v>
      </c>
      <c r="O115" s="5" t="s">
        <v>30</v>
      </c>
      <c r="P115" s="5" t="s">
        <v>30</v>
      </c>
      <c r="Q115" s="5" t="s">
        <v>30</v>
      </c>
    </row>
    <row r="116" ht="21.0" customHeight="1">
      <c r="A116" s="4">
        <v>115.0</v>
      </c>
      <c r="B116" s="5" t="s">
        <v>911</v>
      </c>
      <c r="C116" s="5" t="s">
        <v>18</v>
      </c>
      <c r="D116" s="5" t="s">
        <v>19</v>
      </c>
      <c r="E116" s="5" t="s">
        <v>912</v>
      </c>
      <c r="F116" s="5" t="s">
        <v>718</v>
      </c>
      <c r="G116" s="5" t="s">
        <v>913</v>
      </c>
      <c r="H116" s="5" t="s">
        <v>23</v>
      </c>
      <c r="I116" s="6" t="s">
        <v>914</v>
      </c>
      <c r="J116" s="4">
        <v>100.0</v>
      </c>
      <c r="K116" s="5" t="s">
        <v>84</v>
      </c>
      <c r="L116" s="5" t="s">
        <v>915</v>
      </c>
      <c r="M116" s="5" t="s">
        <v>916</v>
      </c>
      <c r="N116" s="7" t="s">
        <v>917</v>
      </c>
      <c r="O116" s="5" t="s">
        <v>30</v>
      </c>
      <c r="P116" s="5" t="s">
        <v>30</v>
      </c>
      <c r="Q116" s="5" t="s">
        <v>30</v>
      </c>
    </row>
    <row r="117" ht="21.0" customHeight="1">
      <c r="A117" s="4">
        <v>116.0</v>
      </c>
      <c r="B117" s="5" t="s">
        <v>918</v>
      </c>
      <c r="C117" s="5" t="s">
        <v>919</v>
      </c>
      <c r="D117" s="5" t="s">
        <v>19</v>
      </c>
      <c r="E117" s="5" t="s">
        <v>920</v>
      </c>
      <c r="F117" s="5" t="s">
        <v>718</v>
      </c>
      <c r="G117" s="5" t="s">
        <v>921</v>
      </c>
      <c r="H117" s="5" t="s">
        <v>23</v>
      </c>
      <c r="I117" s="6" t="s">
        <v>922</v>
      </c>
      <c r="J117" s="4">
        <v>100.0</v>
      </c>
      <c r="K117" s="5" t="s">
        <v>25</v>
      </c>
      <c r="L117" s="5" t="s">
        <v>923</v>
      </c>
      <c r="M117" s="5" t="s">
        <v>924</v>
      </c>
      <c r="N117" s="7" t="s">
        <v>925</v>
      </c>
      <c r="O117" s="9" t="s">
        <v>30</v>
      </c>
      <c r="P117" s="5" t="s">
        <v>30</v>
      </c>
      <c r="Q117" s="5" t="s">
        <v>30</v>
      </c>
    </row>
    <row r="118" ht="21.0" customHeight="1">
      <c r="A118" s="4">
        <v>117.0</v>
      </c>
      <c r="B118" s="5" t="s">
        <v>926</v>
      </c>
      <c r="C118" s="5" t="s">
        <v>18</v>
      </c>
      <c r="D118" s="5" t="s">
        <v>927</v>
      </c>
      <c r="E118" s="5" t="s">
        <v>928</v>
      </c>
      <c r="F118" s="5" t="s">
        <v>718</v>
      </c>
      <c r="G118" s="5" t="s">
        <v>929</v>
      </c>
      <c r="H118" s="5" t="s">
        <v>23</v>
      </c>
      <c r="I118" s="6" t="s">
        <v>930</v>
      </c>
      <c r="J118" s="4">
        <v>100.0</v>
      </c>
      <c r="K118" s="5" t="s">
        <v>93</v>
      </c>
      <c r="L118" s="5" t="s">
        <v>931</v>
      </c>
      <c r="M118" s="5" t="s">
        <v>932</v>
      </c>
      <c r="N118" s="7" t="s">
        <v>933</v>
      </c>
      <c r="O118" s="5" t="s">
        <v>30</v>
      </c>
      <c r="P118" s="5" t="s">
        <v>30</v>
      </c>
      <c r="Q118" s="5" t="s">
        <v>30</v>
      </c>
    </row>
    <row r="119" ht="21.0" customHeight="1">
      <c r="A119" s="4">
        <v>118.0</v>
      </c>
      <c r="B119" s="5" t="s">
        <v>934</v>
      </c>
      <c r="C119" s="5" t="s">
        <v>935</v>
      </c>
      <c r="D119" s="5" t="s">
        <v>19</v>
      </c>
      <c r="E119" s="5" t="s">
        <v>936</v>
      </c>
      <c r="F119" s="5" t="s">
        <v>718</v>
      </c>
      <c r="G119" s="5" t="s">
        <v>937</v>
      </c>
      <c r="H119" s="5" t="s">
        <v>23</v>
      </c>
      <c r="I119" s="6" t="s">
        <v>938</v>
      </c>
      <c r="J119" s="4">
        <v>100.0</v>
      </c>
      <c r="K119" s="5" t="s">
        <v>110</v>
      </c>
      <c r="L119" s="5" t="s">
        <v>939</v>
      </c>
      <c r="M119" s="5" t="s">
        <v>940</v>
      </c>
      <c r="N119" s="7" t="s">
        <v>941</v>
      </c>
      <c r="O119" s="5" t="s">
        <v>30</v>
      </c>
      <c r="P119" s="5" t="s">
        <v>30</v>
      </c>
      <c r="Q119" s="5" t="s">
        <v>30</v>
      </c>
    </row>
    <row r="120" ht="21.0" customHeight="1">
      <c r="A120" s="4">
        <v>119.0</v>
      </c>
      <c r="B120" s="5" t="s">
        <v>942</v>
      </c>
      <c r="C120" s="5" t="s">
        <v>943</v>
      </c>
      <c r="D120" s="5" t="s">
        <v>19</v>
      </c>
      <c r="E120" s="5" t="s">
        <v>944</v>
      </c>
      <c r="F120" s="5" t="s">
        <v>718</v>
      </c>
      <c r="G120" s="5" t="s">
        <v>945</v>
      </c>
      <c r="H120" s="5" t="s">
        <v>23</v>
      </c>
      <c r="I120" s="6" t="s">
        <v>946</v>
      </c>
      <c r="J120" s="4">
        <v>100.0</v>
      </c>
      <c r="K120" s="5" t="s">
        <v>93</v>
      </c>
      <c r="L120" s="5" t="s">
        <v>947</v>
      </c>
      <c r="M120" s="5" t="s">
        <v>948</v>
      </c>
      <c r="N120" s="7" t="s">
        <v>949</v>
      </c>
      <c r="O120" s="5" t="s">
        <v>30</v>
      </c>
      <c r="P120" s="5" t="s">
        <v>30</v>
      </c>
      <c r="Q120" s="5" t="s">
        <v>30</v>
      </c>
    </row>
    <row r="121" ht="21.0" customHeight="1">
      <c r="A121" s="4">
        <v>120.0</v>
      </c>
      <c r="B121" s="5" t="s">
        <v>950</v>
      </c>
      <c r="C121" s="5" t="s">
        <v>18</v>
      </c>
      <c r="D121" s="5" t="s">
        <v>19</v>
      </c>
      <c r="E121" s="5" t="s">
        <v>951</v>
      </c>
      <c r="F121" s="5" t="s">
        <v>718</v>
      </c>
      <c r="G121" s="5" t="s">
        <v>952</v>
      </c>
      <c r="H121" s="5" t="s">
        <v>23</v>
      </c>
      <c r="I121" s="6" t="s">
        <v>953</v>
      </c>
      <c r="J121" s="4">
        <v>100.0</v>
      </c>
      <c r="K121" s="5" t="s">
        <v>216</v>
      </c>
      <c r="L121" s="5" t="s">
        <v>954</v>
      </c>
      <c r="M121" s="5" t="s">
        <v>955</v>
      </c>
      <c r="N121" s="7" t="s">
        <v>956</v>
      </c>
      <c r="O121" s="5" t="s">
        <v>30</v>
      </c>
      <c r="P121" s="5" t="s">
        <v>30</v>
      </c>
      <c r="Q121" s="5" t="s">
        <v>30</v>
      </c>
    </row>
    <row r="122" ht="21.0" customHeight="1">
      <c r="A122" s="13">
        <v>121.0</v>
      </c>
      <c r="B122" s="14" t="s">
        <v>957</v>
      </c>
      <c r="C122" s="14" t="s">
        <v>18</v>
      </c>
      <c r="D122" s="14" t="s">
        <v>19</v>
      </c>
      <c r="E122" s="14" t="s">
        <v>958</v>
      </c>
      <c r="F122" s="14" t="s">
        <v>959</v>
      </c>
      <c r="G122" s="14" t="s">
        <v>960</v>
      </c>
      <c r="H122" s="14" t="s">
        <v>23</v>
      </c>
      <c r="I122" s="15" t="s">
        <v>961</v>
      </c>
      <c r="J122" s="13">
        <v>100.0</v>
      </c>
      <c r="K122" s="14" t="s">
        <v>84</v>
      </c>
      <c r="L122" s="14" t="s">
        <v>962</v>
      </c>
      <c r="M122" s="14" t="s">
        <v>963</v>
      </c>
      <c r="N122" s="16" t="s">
        <v>964</v>
      </c>
      <c r="O122" s="14" t="s">
        <v>30</v>
      </c>
      <c r="P122" s="14" t="s">
        <v>30</v>
      </c>
      <c r="Q122" s="14" t="s">
        <v>30</v>
      </c>
      <c r="R122" s="18"/>
      <c r="S122" s="18"/>
      <c r="T122" s="18"/>
      <c r="U122" s="18"/>
      <c r="V122" s="18"/>
      <c r="W122" s="18"/>
      <c r="X122" s="18"/>
      <c r="Y122" s="18"/>
      <c r="Z122" s="18"/>
    </row>
    <row r="123" ht="21.0" customHeight="1">
      <c r="A123" s="4">
        <v>122.0</v>
      </c>
      <c r="B123" s="5" t="s">
        <v>965</v>
      </c>
      <c r="C123" s="5" t="s">
        <v>18</v>
      </c>
      <c r="D123" s="5" t="s">
        <v>966</v>
      </c>
      <c r="E123" s="5" t="s">
        <v>967</v>
      </c>
      <c r="F123" s="5" t="s">
        <v>959</v>
      </c>
      <c r="G123" s="5" t="s">
        <v>968</v>
      </c>
      <c r="H123" s="5" t="s">
        <v>23</v>
      </c>
      <c r="I123" s="6" t="s">
        <v>969</v>
      </c>
      <c r="J123" s="4">
        <v>100.0</v>
      </c>
      <c r="K123" s="5" t="s">
        <v>316</v>
      </c>
      <c r="L123" s="5" t="s">
        <v>970</v>
      </c>
      <c r="M123" s="5" t="s">
        <v>971</v>
      </c>
      <c r="N123" s="10" t="s">
        <v>972</v>
      </c>
      <c r="O123" s="5" t="s">
        <v>30</v>
      </c>
      <c r="P123" s="5" t="s">
        <v>30</v>
      </c>
      <c r="Q123" s="5" t="s">
        <v>30</v>
      </c>
    </row>
    <row r="124" ht="21.0" customHeight="1">
      <c r="A124" s="4">
        <v>123.0</v>
      </c>
      <c r="B124" s="5" t="s">
        <v>973</v>
      </c>
      <c r="C124" s="5" t="s">
        <v>18</v>
      </c>
      <c r="D124" s="5" t="s">
        <v>19</v>
      </c>
      <c r="E124" s="5" t="s">
        <v>974</v>
      </c>
      <c r="F124" s="5" t="s">
        <v>959</v>
      </c>
      <c r="G124" s="5" t="s">
        <v>975</v>
      </c>
      <c r="H124" s="5" t="s">
        <v>23</v>
      </c>
      <c r="I124" s="6" t="s">
        <v>976</v>
      </c>
      <c r="J124" s="4">
        <v>100.0</v>
      </c>
      <c r="K124" s="5" t="s">
        <v>25</v>
      </c>
      <c r="L124" s="5" t="s">
        <v>977</v>
      </c>
      <c r="M124" s="5" t="s">
        <v>978</v>
      </c>
      <c r="N124" s="7" t="s">
        <v>979</v>
      </c>
      <c r="O124" s="5" t="s">
        <v>30</v>
      </c>
      <c r="P124" s="5" t="s">
        <v>30</v>
      </c>
      <c r="Q124" s="5" t="s">
        <v>30</v>
      </c>
    </row>
    <row r="125" ht="21.0" customHeight="1">
      <c r="A125" s="4">
        <v>124.0</v>
      </c>
      <c r="B125" s="5" t="s">
        <v>980</v>
      </c>
      <c r="C125" s="5" t="s">
        <v>18</v>
      </c>
      <c r="D125" s="5" t="s">
        <v>981</v>
      </c>
      <c r="E125" s="5" t="s">
        <v>982</v>
      </c>
      <c r="F125" s="5" t="s">
        <v>959</v>
      </c>
      <c r="G125" s="5" t="s">
        <v>983</v>
      </c>
      <c r="H125" s="5" t="s">
        <v>23</v>
      </c>
      <c r="I125" s="6" t="s">
        <v>984</v>
      </c>
      <c r="J125" s="4">
        <v>100.0</v>
      </c>
      <c r="K125" s="5" t="s">
        <v>68</v>
      </c>
      <c r="L125" s="5" t="s">
        <v>985</v>
      </c>
      <c r="M125" s="5" t="s">
        <v>986</v>
      </c>
      <c r="N125" s="7" t="s">
        <v>987</v>
      </c>
      <c r="O125" s="5" t="s">
        <v>30</v>
      </c>
      <c r="P125" s="5" t="s">
        <v>30</v>
      </c>
      <c r="Q125" s="5" t="s">
        <v>30</v>
      </c>
    </row>
    <row r="126" ht="21.0" customHeight="1">
      <c r="A126" s="4">
        <v>125.0</v>
      </c>
      <c r="B126" s="5" t="s">
        <v>988</v>
      </c>
      <c r="C126" s="5" t="s">
        <v>989</v>
      </c>
      <c r="D126" s="5" t="s">
        <v>19</v>
      </c>
      <c r="E126" s="5" t="s">
        <v>990</v>
      </c>
      <c r="F126" s="5" t="s">
        <v>959</v>
      </c>
      <c r="G126" s="5" t="s">
        <v>991</v>
      </c>
      <c r="H126" s="5" t="s">
        <v>23</v>
      </c>
      <c r="I126" s="6" t="s">
        <v>992</v>
      </c>
      <c r="J126" s="4">
        <v>100.0</v>
      </c>
      <c r="K126" s="5" t="s">
        <v>165</v>
      </c>
      <c r="L126" s="5" t="s">
        <v>993</v>
      </c>
      <c r="M126" s="5" t="s">
        <v>994</v>
      </c>
      <c r="N126" s="7" t="s">
        <v>995</v>
      </c>
      <c r="O126" s="5" t="s">
        <v>30</v>
      </c>
      <c r="P126" s="5" t="s">
        <v>30</v>
      </c>
      <c r="Q126" s="5" t="s">
        <v>30</v>
      </c>
    </row>
    <row r="127" ht="21.0" customHeight="1">
      <c r="A127" s="4">
        <v>126.0</v>
      </c>
      <c r="B127" s="5" t="s">
        <v>996</v>
      </c>
      <c r="C127" s="5" t="s">
        <v>18</v>
      </c>
      <c r="D127" s="5" t="s">
        <v>19</v>
      </c>
      <c r="E127" s="5" t="s">
        <v>997</v>
      </c>
      <c r="F127" s="5" t="s">
        <v>959</v>
      </c>
      <c r="G127" s="5" t="s">
        <v>998</v>
      </c>
      <c r="H127" s="5" t="s">
        <v>23</v>
      </c>
      <c r="I127" s="6" t="s">
        <v>999</v>
      </c>
      <c r="J127" s="4">
        <v>100.0</v>
      </c>
      <c r="K127" s="5" t="s">
        <v>165</v>
      </c>
      <c r="L127" s="5" t="s">
        <v>1000</v>
      </c>
      <c r="M127" s="5" t="s">
        <v>1001</v>
      </c>
      <c r="N127" s="7" t="s">
        <v>1002</v>
      </c>
      <c r="O127" s="5" t="s">
        <v>30</v>
      </c>
      <c r="P127" s="5" t="s">
        <v>30</v>
      </c>
      <c r="Q127" s="5" t="s">
        <v>30</v>
      </c>
    </row>
    <row r="128" ht="21.0" customHeight="1">
      <c r="A128" s="4">
        <v>127.0</v>
      </c>
      <c r="B128" s="5" t="s">
        <v>1003</v>
      </c>
      <c r="C128" s="5" t="s">
        <v>18</v>
      </c>
      <c r="D128" s="5" t="s">
        <v>19</v>
      </c>
      <c r="E128" s="5" t="s">
        <v>1004</v>
      </c>
      <c r="F128" s="5" t="s">
        <v>959</v>
      </c>
      <c r="G128" s="5" t="s">
        <v>1005</v>
      </c>
      <c r="H128" s="5" t="s">
        <v>23</v>
      </c>
      <c r="I128" s="6" t="s">
        <v>1006</v>
      </c>
      <c r="J128" s="4">
        <v>100.0</v>
      </c>
      <c r="K128" s="5" t="s">
        <v>52</v>
      </c>
      <c r="L128" s="5" t="s">
        <v>1007</v>
      </c>
      <c r="M128" s="5" t="s">
        <v>1008</v>
      </c>
      <c r="N128" s="7" t="s">
        <v>1009</v>
      </c>
      <c r="O128" s="5" t="s">
        <v>30</v>
      </c>
      <c r="P128" s="5" t="s">
        <v>30</v>
      </c>
      <c r="Q128" s="5" t="s">
        <v>30</v>
      </c>
    </row>
    <row r="129" ht="21.0" customHeight="1">
      <c r="A129" s="4">
        <v>128.0</v>
      </c>
      <c r="B129" s="5" t="s">
        <v>1010</v>
      </c>
      <c r="C129" s="5" t="s">
        <v>18</v>
      </c>
      <c r="D129" s="5" t="s">
        <v>1011</v>
      </c>
      <c r="E129" s="5" t="s">
        <v>1012</v>
      </c>
      <c r="F129" s="5" t="s">
        <v>959</v>
      </c>
      <c r="G129" s="5" t="s">
        <v>1013</v>
      </c>
      <c r="H129" s="5" t="s">
        <v>353</v>
      </c>
      <c r="I129" s="6" t="s">
        <v>1014</v>
      </c>
      <c r="J129" s="4">
        <v>100.0</v>
      </c>
      <c r="K129" s="5" t="s">
        <v>110</v>
      </c>
      <c r="L129" s="5" t="s">
        <v>1015</v>
      </c>
      <c r="M129" s="5" t="s">
        <v>1016</v>
      </c>
      <c r="N129" s="7" t="s">
        <v>1017</v>
      </c>
      <c r="O129" s="5" t="s">
        <v>30</v>
      </c>
      <c r="P129" s="5" t="s">
        <v>30</v>
      </c>
      <c r="Q129" s="5" t="s">
        <v>30</v>
      </c>
    </row>
    <row r="130" ht="21.0" customHeight="1">
      <c r="A130" s="4">
        <v>129.0</v>
      </c>
      <c r="B130" s="5" t="s">
        <v>1018</v>
      </c>
      <c r="C130" s="5" t="s">
        <v>18</v>
      </c>
      <c r="D130" s="5" t="s">
        <v>1019</v>
      </c>
      <c r="E130" s="5" t="s">
        <v>1020</v>
      </c>
      <c r="F130" s="5" t="s">
        <v>959</v>
      </c>
      <c r="G130" s="5" t="s">
        <v>1021</v>
      </c>
      <c r="H130" s="5" t="s">
        <v>23</v>
      </c>
      <c r="I130" s="6" t="s">
        <v>1022</v>
      </c>
      <c r="J130" s="4">
        <v>100.0</v>
      </c>
      <c r="K130" s="5" t="s">
        <v>68</v>
      </c>
      <c r="L130" s="5" t="s">
        <v>1023</v>
      </c>
      <c r="M130" s="5" t="s">
        <v>1024</v>
      </c>
      <c r="N130" s="7" t="s">
        <v>1025</v>
      </c>
      <c r="O130" s="5" t="s">
        <v>30</v>
      </c>
      <c r="P130" s="5" t="s">
        <v>30</v>
      </c>
      <c r="Q130" s="5" t="s">
        <v>30</v>
      </c>
    </row>
    <row r="131" ht="21.0" customHeight="1">
      <c r="A131" s="4">
        <v>130.0</v>
      </c>
      <c r="B131" s="5" t="s">
        <v>1026</v>
      </c>
      <c r="C131" s="5" t="s">
        <v>18</v>
      </c>
      <c r="D131" s="5" t="s">
        <v>19</v>
      </c>
      <c r="E131" s="5" t="s">
        <v>1027</v>
      </c>
      <c r="F131" s="5" t="s">
        <v>959</v>
      </c>
      <c r="G131" s="5" t="s">
        <v>1028</v>
      </c>
      <c r="H131" s="5" t="s">
        <v>23</v>
      </c>
      <c r="I131" s="6" t="s">
        <v>1029</v>
      </c>
      <c r="J131" s="4">
        <v>100.0</v>
      </c>
      <c r="K131" s="5" t="s">
        <v>517</v>
      </c>
      <c r="L131" s="5" t="s">
        <v>1030</v>
      </c>
      <c r="M131" s="5" t="s">
        <v>1031</v>
      </c>
      <c r="N131" s="7" t="s">
        <v>1032</v>
      </c>
      <c r="O131" s="5" t="s">
        <v>30</v>
      </c>
      <c r="P131" s="5" t="s">
        <v>30</v>
      </c>
      <c r="Q131" s="5" t="s">
        <v>30</v>
      </c>
    </row>
    <row r="132" ht="21.0" customHeight="1">
      <c r="A132" s="4">
        <v>131.0</v>
      </c>
      <c r="B132" s="5" t="s">
        <v>1033</v>
      </c>
      <c r="C132" s="5" t="s">
        <v>18</v>
      </c>
      <c r="D132" s="5" t="s">
        <v>19</v>
      </c>
      <c r="E132" s="5" t="s">
        <v>1034</v>
      </c>
      <c r="F132" s="5" t="s">
        <v>959</v>
      </c>
      <c r="G132" s="5" t="s">
        <v>1035</v>
      </c>
      <c r="H132" s="5" t="s">
        <v>23</v>
      </c>
      <c r="I132" s="6" t="s">
        <v>1036</v>
      </c>
      <c r="J132" s="4">
        <v>100.0</v>
      </c>
      <c r="K132" s="5" t="s">
        <v>517</v>
      </c>
      <c r="L132" s="5" t="s">
        <v>1037</v>
      </c>
      <c r="M132" s="5" t="s">
        <v>1038</v>
      </c>
      <c r="N132" s="7" t="s">
        <v>1039</v>
      </c>
      <c r="O132" s="9" t="s">
        <v>1040</v>
      </c>
      <c r="P132" s="5" t="s">
        <v>30</v>
      </c>
      <c r="Q132" s="5" t="s">
        <v>30</v>
      </c>
    </row>
    <row r="133" ht="21.0" customHeight="1">
      <c r="A133" s="4">
        <v>132.0</v>
      </c>
      <c r="B133" s="5" t="s">
        <v>1041</v>
      </c>
      <c r="C133" s="5" t="s">
        <v>18</v>
      </c>
      <c r="D133" s="5" t="s">
        <v>1042</v>
      </c>
      <c r="E133" s="5" t="s">
        <v>1043</v>
      </c>
      <c r="F133" s="5" t="s">
        <v>959</v>
      </c>
      <c r="G133" s="5" t="s">
        <v>1044</v>
      </c>
      <c r="H133" s="5" t="s">
        <v>23</v>
      </c>
      <c r="I133" s="6" t="s">
        <v>1045</v>
      </c>
      <c r="J133" s="4">
        <v>100.0</v>
      </c>
      <c r="K133" s="5" t="s">
        <v>110</v>
      </c>
      <c r="L133" s="5" t="s">
        <v>1046</v>
      </c>
      <c r="M133" s="5" t="s">
        <v>1047</v>
      </c>
      <c r="N133" s="7" t="s">
        <v>1048</v>
      </c>
      <c r="O133" s="5" t="s">
        <v>30</v>
      </c>
      <c r="P133" s="5" t="s">
        <v>30</v>
      </c>
      <c r="Q133" s="5" t="s">
        <v>30</v>
      </c>
    </row>
    <row r="134" ht="21.0" customHeight="1">
      <c r="A134" s="4">
        <v>133.0</v>
      </c>
      <c r="B134" s="5" t="s">
        <v>1049</v>
      </c>
      <c r="C134" s="5" t="s">
        <v>18</v>
      </c>
      <c r="D134" s="5" t="s">
        <v>1050</v>
      </c>
      <c r="E134" s="5" t="s">
        <v>1051</v>
      </c>
      <c r="F134" s="5" t="s">
        <v>959</v>
      </c>
      <c r="G134" s="5" t="s">
        <v>1052</v>
      </c>
      <c r="H134" s="5" t="s">
        <v>23</v>
      </c>
      <c r="I134" s="6" t="s">
        <v>1053</v>
      </c>
      <c r="J134" s="4">
        <v>100.0</v>
      </c>
      <c r="K134" s="5" t="s">
        <v>216</v>
      </c>
      <c r="L134" s="5" t="s">
        <v>1054</v>
      </c>
      <c r="M134" s="5" t="s">
        <v>1055</v>
      </c>
      <c r="N134" s="7" t="s">
        <v>1056</v>
      </c>
      <c r="O134" s="5" t="s">
        <v>30</v>
      </c>
      <c r="P134" s="5" t="s">
        <v>30</v>
      </c>
      <c r="Q134" s="5" t="s">
        <v>30</v>
      </c>
    </row>
    <row r="135" ht="21.0" customHeight="1">
      <c r="A135" s="4">
        <v>134.0</v>
      </c>
      <c r="B135" s="5" t="s">
        <v>1057</v>
      </c>
      <c r="C135" s="5" t="s">
        <v>18</v>
      </c>
      <c r="D135" s="5" t="s">
        <v>1058</v>
      </c>
      <c r="E135" s="5" t="s">
        <v>1059</v>
      </c>
      <c r="F135" s="5" t="s">
        <v>959</v>
      </c>
      <c r="G135" s="5" t="s">
        <v>1060</v>
      </c>
      <c r="H135" s="5" t="s">
        <v>353</v>
      </c>
      <c r="I135" s="6" t="s">
        <v>1061</v>
      </c>
      <c r="J135" s="4">
        <v>100.0</v>
      </c>
      <c r="K135" s="5" t="s">
        <v>292</v>
      </c>
      <c r="L135" s="5" t="s">
        <v>1062</v>
      </c>
      <c r="M135" s="5" t="s">
        <v>1063</v>
      </c>
      <c r="N135" s="7" t="s">
        <v>1064</v>
      </c>
      <c r="O135" s="9" t="s">
        <v>1065</v>
      </c>
      <c r="P135" s="5" t="s">
        <v>30</v>
      </c>
      <c r="Q135" s="5" t="s">
        <v>30</v>
      </c>
    </row>
    <row r="136" ht="21.0" customHeight="1">
      <c r="A136" s="4">
        <v>135.0</v>
      </c>
      <c r="B136" s="5" t="s">
        <v>1066</v>
      </c>
      <c r="C136" s="5" t="s">
        <v>18</v>
      </c>
      <c r="D136" s="5" t="s">
        <v>19</v>
      </c>
      <c r="E136" s="5" t="s">
        <v>1067</v>
      </c>
      <c r="F136" s="5" t="s">
        <v>959</v>
      </c>
      <c r="G136" s="5" t="s">
        <v>1068</v>
      </c>
      <c r="H136" s="5" t="s">
        <v>23</v>
      </c>
      <c r="I136" s="6" t="s">
        <v>1069</v>
      </c>
      <c r="J136" s="4">
        <v>100.0</v>
      </c>
      <c r="K136" s="5" t="s">
        <v>1070</v>
      </c>
      <c r="L136" s="5" t="s">
        <v>1071</v>
      </c>
      <c r="M136" s="5" t="s">
        <v>1072</v>
      </c>
      <c r="N136" s="7" t="s">
        <v>1073</v>
      </c>
      <c r="O136" s="9" t="s">
        <v>1074</v>
      </c>
      <c r="P136" s="5" t="s">
        <v>30</v>
      </c>
      <c r="Q136" s="5" t="s">
        <v>30</v>
      </c>
    </row>
    <row r="137" ht="21.0" customHeight="1">
      <c r="A137" s="4">
        <v>136.0</v>
      </c>
      <c r="B137" s="5" t="s">
        <v>1075</v>
      </c>
      <c r="C137" s="5" t="s">
        <v>18</v>
      </c>
      <c r="D137" s="5" t="s">
        <v>1076</v>
      </c>
      <c r="E137" s="5" t="s">
        <v>1077</v>
      </c>
      <c r="F137" s="5" t="s">
        <v>959</v>
      </c>
      <c r="G137" s="5" t="s">
        <v>1078</v>
      </c>
      <c r="H137" s="5" t="s">
        <v>50</v>
      </c>
      <c r="I137" s="6" t="s">
        <v>1079</v>
      </c>
      <c r="J137" s="4">
        <v>100.0</v>
      </c>
      <c r="K137" s="5" t="s">
        <v>275</v>
      </c>
      <c r="L137" s="5" t="s">
        <v>1080</v>
      </c>
      <c r="M137" s="5" t="s">
        <v>1081</v>
      </c>
      <c r="N137" s="7" t="s">
        <v>1082</v>
      </c>
      <c r="O137" s="9" t="s">
        <v>1083</v>
      </c>
      <c r="P137" s="5" t="s">
        <v>30</v>
      </c>
      <c r="Q137" s="5" t="s">
        <v>30</v>
      </c>
    </row>
    <row r="138" ht="21.0" customHeight="1">
      <c r="A138" s="4">
        <v>137.0</v>
      </c>
      <c r="B138" s="5" t="s">
        <v>1084</v>
      </c>
      <c r="C138" s="5" t="s">
        <v>18</v>
      </c>
      <c r="D138" s="5" t="s">
        <v>19</v>
      </c>
      <c r="E138" s="5" t="s">
        <v>1085</v>
      </c>
      <c r="F138" s="5" t="s">
        <v>959</v>
      </c>
      <c r="G138" s="5" t="s">
        <v>1086</v>
      </c>
      <c r="H138" s="5" t="s">
        <v>23</v>
      </c>
      <c r="I138" s="6" t="s">
        <v>1087</v>
      </c>
      <c r="J138" s="4">
        <v>100.0</v>
      </c>
      <c r="K138" s="5" t="s">
        <v>25</v>
      </c>
      <c r="L138" s="5" t="s">
        <v>1088</v>
      </c>
      <c r="M138" s="5" t="s">
        <v>1089</v>
      </c>
      <c r="N138" s="7" t="s">
        <v>1090</v>
      </c>
      <c r="O138" s="9" t="s">
        <v>1091</v>
      </c>
      <c r="P138" s="5" t="s">
        <v>30</v>
      </c>
      <c r="Q138" s="5" t="s">
        <v>30</v>
      </c>
    </row>
    <row r="139" ht="21.0" customHeight="1">
      <c r="A139" s="4">
        <v>138.0</v>
      </c>
      <c r="B139" s="5" t="s">
        <v>1092</v>
      </c>
      <c r="C139" s="5" t="s">
        <v>18</v>
      </c>
      <c r="D139" s="5" t="s">
        <v>19</v>
      </c>
      <c r="E139" s="5" t="s">
        <v>1093</v>
      </c>
      <c r="F139" s="5" t="s">
        <v>959</v>
      </c>
      <c r="G139" s="5" t="s">
        <v>1094</v>
      </c>
      <c r="H139" s="5" t="s">
        <v>50</v>
      </c>
      <c r="I139" s="6" t="s">
        <v>1095</v>
      </c>
      <c r="J139" s="4">
        <v>100.0</v>
      </c>
      <c r="K139" s="5" t="s">
        <v>110</v>
      </c>
      <c r="L139" s="5" t="s">
        <v>1096</v>
      </c>
      <c r="M139" s="5" t="s">
        <v>1097</v>
      </c>
      <c r="N139" s="7" t="s">
        <v>1098</v>
      </c>
      <c r="O139" s="9" t="s">
        <v>1099</v>
      </c>
      <c r="P139" s="5" t="s">
        <v>30</v>
      </c>
      <c r="Q139" s="5" t="s">
        <v>30</v>
      </c>
    </row>
    <row r="140" ht="21.0" customHeight="1">
      <c r="A140" s="4">
        <v>139.0</v>
      </c>
      <c r="B140" s="5" t="s">
        <v>1100</v>
      </c>
      <c r="C140" s="5" t="s">
        <v>1101</v>
      </c>
      <c r="D140" s="5" t="s">
        <v>1102</v>
      </c>
      <c r="E140" s="5" t="s">
        <v>1103</v>
      </c>
      <c r="F140" s="5" t="s">
        <v>959</v>
      </c>
      <c r="G140" s="5" t="s">
        <v>1104</v>
      </c>
      <c r="H140" s="5" t="s">
        <v>23</v>
      </c>
      <c r="I140" s="6" t="s">
        <v>1105</v>
      </c>
      <c r="J140" s="4">
        <v>100.0</v>
      </c>
      <c r="K140" s="5" t="s">
        <v>93</v>
      </c>
      <c r="L140" s="5" t="s">
        <v>1106</v>
      </c>
      <c r="M140" s="5" t="s">
        <v>1107</v>
      </c>
      <c r="N140" s="7" t="s">
        <v>1108</v>
      </c>
      <c r="O140" s="9" t="s">
        <v>1109</v>
      </c>
      <c r="P140" s="5" t="s">
        <v>30</v>
      </c>
      <c r="Q140" s="5" t="s">
        <v>30</v>
      </c>
    </row>
    <row r="141" ht="21.0" customHeight="1">
      <c r="A141" s="4">
        <v>140.0</v>
      </c>
      <c r="B141" s="5" t="s">
        <v>1110</v>
      </c>
      <c r="C141" s="5" t="s">
        <v>1111</v>
      </c>
      <c r="D141" s="5" t="s">
        <v>1112</v>
      </c>
      <c r="E141" s="5" t="s">
        <v>1113</v>
      </c>
      <c r="F141" s="5" t="s">
        <v>959</v>
      </c>
      <c r="G141" s="5" t="s">
        <v>1114</v>
      </c>
      <c r="H141" s="5" t="s">
        <v>23</v>
      </c>
      <c r="I141" s="6" t="s">
        <v>1115</v>
      </c>
      <c r="J141" s="4">
        <v>100.0</v>
      </c>
      <c r="K141" s="5" t="s">
        <v>216</v>
      </c>
      <c r="L141" s="5" t="s">
        <v>1116</v>
      </c>
      <c r="M141" s="5" t="s">
        <v>1117</v>
      </c>
      <c r="N141" s="7" t="s">
        <v>1118</v>
      </c>
      <c r="O141" s="9" t="s">
        <v>1119</v>
      </c>
      <c r="P141" s="5" t="s">
        <v>30</v>
      </c>
      <c r="Q141" s="5" t="s">
        <v>30</v>
      </c>
    </row>
    <row r="142" ht="21.0" customHeight="1">
      <c r="A142" s="4">
        <v>141.0</v>
      </c>
      <c r="B142" s="5" t="s">
        <v>1120</v>
      </c>
      <c r="C142" s="5" t="s">
        <v>18</v>
      </c>
      <c r="D142" s="5" t="s">
        <v>1121</v>
      </c>
      <c r="E142" s="5" t="s">
        <v>1122</v>
      </c>
      <c r="F142" s="5" t="s">
        <v>1123</v>
      </c>
      <c r="G142" s="5" t="s">
        <v>1124</v>
      </c>
      <c r="H142" s="5" t="s">
        <v>23</v>
      </c>
      <c r="I142" s="6" t="s">
        <v>1125</v>
      </c>
      <c r="J142" s="4">
        <v>100.0</v>
      </c>
      <c r="K142" s="5" t="s">
        <v>517</v>
      </c>
      <c r="L142" s="5" t="s">
        <v>1126</v>
      </c>
      <c r="M142" s="5" t="s">
        <v>1127</v>
      </c>
      <c r="N142" s="7" t="s">
        <v>1128</v>
      </c>
      <c r="O142" s="9" t="s">
        <v>1129</v>
      </c>
      <c r="P142" s="5" t="s">
        <v>30</v>
      </c>
      <c r="Q142" s="5" t="s">
        <v>30</v>
      </c>
    </row>
    <row r="143" ht="21.0" customHeight="1">
      <c r="A143" s="4">
        <v>142.0</v>
      </c>
      <c r="B143" s="5" t="s">
        <v>1130</v>
      </c>
      <c r="C143" s="5" t="s">
        <v>18</v>
      </c>
      <c r="D143" s="5" t="s">
        <v>1131</v>
      </c>
      <c r="E143" s="5" t="s">
        <v>1132</v>
      </c>
      <c r="F143" s="5" t="s">
        <v>1123</v>
      </c>
      <c r="G143" s="5" t="s">
        <v>1133</v>
      </c>
      <c r="H143" s="5" t="s">
        <v>23</v>
      </c>
      <c r="I143" s="6" t="s">
        <v>1134</v>
      </c>
      <c r="J143" s="4">
        <v>100.0</v>
      </c>
      <c r="K143" s="5" t="s">
        <v>84</v>
      </c>
      <c r="L143" s="5" t="s">
        <v>1135</v>
      </c>
      <c r="M143" s="5" t="s">
        <v>1136</v>
      </c>
      <c r="N143" s="7" t="s">
        <v>1137</v>
      </c>
      <c r="O143" s="9" t="s">
        <v>1138</v>
      </c>
      <c r="P143" s="5" t="s">
        <v>30</v>
      </c>
      <c r="Q143" s="5" t="s">
        <v>30</v>
      </c>
    </row>
    <row r="144" ht="21.0" customHeight="1">
      <c r="A144" s="4">
        <v>143.0</v>
      </c>
      <c r="B144" s="5" t="s">
        <v>1139</v>
      </c>
      <c r="C144" s="5" t="s">
        <v>18</v>
      </c>
      <c r="D144" s="5" t="s">
        <v>19</v>
      </c>
      <c r="E144" s="5" t="s">
        <v>1140</v>
      </c>
      <c r="F144" s="5" t="s">
        <v>1123</v>
      </c>
      <c r="G144" s="5" t="s">
        <v>1141</v>
      </c>
      <c r="H144" s="5" t="s">
        <v>23</v>
      </c>
      <c r="I144" s="6" t="s">
        <v>1142</v>
      </c>
      <c r="J144" s="4">
        <v>100.0</v>
      </c>
      <c r="K144" s="5" t="s">
        <v>84</v>
      </c>
      <c r="L144" s="5" t="s">
        <v>1143</v>
      </c>
      <c r="M144" s="5" t="s">
        <v>1144</v>
      </c>
      <c r="N144" s="7" t="s">
        <v>1145</v>
      </c>
      <c r="O144" s="9" t="s">
        <v>1146</v>
      </c>
      <c r="P144" s="5" t="s">
        <v>30</v>
      </c>
      <c r="Q144" s="5" t="s">
        <v>30</v>
      </c>
    </row>
    <row r="145" ht="21.0" customHeight="1">
      <c r="A145" s="4">
        <v>144.0</v>
      </c>
      <c r="B145" s="5" t="s">
        <v>1147</v>
      </c>
      <c r="C145" s="5" t="s">
        <v>1148</v>
      </c>
      <c r="D145" s="5" t="s">
        <v>1149</v>
      </c>
      <c r="E145" s="5" t="s">
        <v>1150</v>
      </c>
      <c r="F145" s="5" t="s">
        <v>1123</v>
      </c>
      <c r="G145" s="5" t="s">
        <v>1151</v>
      </c>
      <c r="H145" s="5" t="s">
        <v>23</v>
      </c>
      <c r="I145" s="6" t="s">
        <v>1152</v>
      </c>
      <c r="J145" s="4">
        <v>100.0</v>
      </c>
      <c r="K145" s="5" t="s">
        <v>157</v>
      </c>
      <c r="L145" s="5" t="s">
        <v>1153</v>
      </c>
      <c r="M145" s="5" t="s">
        <v>1154</v>
      </c>
      <c r="N145" s="7" t="s">
        <v>1155</v>
      </c>
      <c r="O145" s="9" t="s">
        <v>1156</v>
      </c>
      <c r="P145" s="5" t="s">
        <v>30</v>
      </c>
      <c r="Q145" s="5" t="s">
        <v>30</v>
      </c>
    </row>
    <row r="146" ht="21.0" customHeight="1">
      <c r="A146" s="4">
        <v>145.0</v>
      </c>
      <c r="B146" s="5" t="s">
        <v>1157</v>
      </c>
      <c r="C146" s="5" t="s">
        <v>1158</v>
      </c>
      <c r="D146" s="5" t="s">
        <v>1159</v>
      </c>
      <c r="E146" s="5" t="s">
        <v>1160</v>
      </c>
      <c r="F146" s="5" t="s">
        <v>1123</v>
      </c>
      <c r="G146" s="5" t="s">
        <v>1161</v>
      </c>
      <c r="H146" s="5" t="s">
        <v>23</v>
      </c>
      <c r="I146" s="6" t="s">
        <v>1162</v>
      </c>
      <c r="J146" s="4">
        <v>100.0</v>
      </c>
      <c r="K146" s="5" t="s">
        <v>165</v>
      </c>
      <c r="L146" s="5" t="s">
        <v>1163</v>
      </c>
      <c r="M146" s="5" t="s">
        <v>1164</v>
      </c>
      <c r="N146" s="7" t="s">
        <v>1165</v>
      </c>
      <c r="O146" s="9" t="s">
        <v>1166</v>
      </c>
      <c r="P146" s="5" t="s">
        <v>30</v>
      </c>
      <c r="Q146" s="5" t="s">
        <v>30</v>
      </c>
    </row>
    <row r="147" ht="21.0" customHeight="1">
      <c r="A147" s="4">
        <v>146.0</v>
      </c>
      <c r="B147" s="5" t="s">
        <v>1167</v>
      </c>
      <c r="C147" s="5" t="s">
        <v>18</v>
      </c>
      <c r="D147" s="5" t="s">
        <v>1168</v>
      </c>
      <c r="E147" s="5" t="s">
        <v>1169</v>
      </c>
      <c r="F147" s="5" t="s">
        <v>1123</v>
      </c>
      <c r="G147" s="5" t="s">
        <v>1170</v>
      </c>
      <c r="H147" s="5" t="s">
        <v>23</v>
      </c>
      <c r="I147" s="6" t="s">
        <v>1171</v>
      </c>
      <c r="J147" s="4">
        <v>100.0</v>
      </c>
      <c r="K147" s="5" t="s">
        <v>25</v>
      </c>
      <c r="L147" s="5" t="s">
        <v>1172</v>
      </c>
      <c r="M147" s="5" t="s">
        <v>1173</v>
      </c>
      <c r="N147" s="7" t="s">
        <v>1174</v>
      </c>
      <c r="O147" s="9" t="s">
        <v>1175</v>
      </c>
      <c r="P147" s="5" t="s">
        <v>30</v>
      </c>
      <c r="Q147" s="5" t="s">
        <v>30</v>
      </c>
    </row>
    <row r="148" ht="21.0" customHeight="1">
      <c r="A148" s="4">
        <v>147.0</v>
      </c>
      <c r="B148" s="5" t="s">
        <v>1176</v>
      </c>
      <c r="C148" s="5" t="s">
        <v>18</v>
      </c>
      <c r="D148" s="5" t="s">
        <v>19</v>
      </c>
      <c r="E148" s="5" t="s">
        <v>1177</v>
      </c>
      <c r="F148" s="5" t="s">
        <v>1123</v>
      </c>
      <c r="G148" s="5" t="s">
        <v>1178</v>
      </c>
      <c r="H148" s="5" t="s">
        <v>23</v>
      </c>
      <c r="I148" s="6" t="s">
        <v>1179</v>
      </c>
      <c r="J148" s="4">
        <v>100.0</v>
      </c>
      <c r="K148" s="5" t="s">
        <v>52</v>
      </c>
      <c r="L148" s="5" t="s">
        <v>1180</v>
      </c>
      <c r="M148" s="5" t="s">
        <v>1181</v>
      </c>
      <c r="N148" s="7" t="s">
        <v>1182</v>
      </c>
      <c r="O148" s="9" t="s">
        <v>1183</v>
      </c>
      <c r="P148" s="5" t="s">
        <v>30</v>
      </c>
      <c r="Q148" s="5" t="s">
        <v>30</v>
      </c>
    </row>
    <row r="149" ht="21.0" customHeight="1">
      <c r="A149" s="4">
        <v>148.0</v>
      </c>
      <c r="B149" s="5" t="s">
        <v>1184</v>
      </c>
      <c r="C149" s="5" t="s">
        <v>18</v>
      </c>
      <c r="D149" s="5" t="s">
        <v>19</v>
      </c>
      <c r="E149" s="5" t="s">
        <v>1185</v>
      </c>
      <c r="F149" s="5" t="s">
        <v>1123</v>
      </c>
      <c r="G149" s="5" t="s">
        <v>34</v>
      </c>
      <c r="H149" s="5" t="s">
        <v>23</v>
      </c>
      <c r="I149" s="6" t="s">
        <v>1186</v>
      </c>
      <c r="J149" s="4">
        <v>100.0</v>
      </c>
      <c r="K149" s="5" t="s">
        <v>292</v>
      </c>
      <c r="L149" s="5" t="s">
        <v>1187</v>
      </c>
      <c r="M149" s="5" t="s">
        <v>1188</v>
      </c>
      <c r="N149" s="7" t="s">
        <v>1189</v>
      </c>
      <c r="O149" s="9" t="s">
        <v>1190</v>
      </c>
      <c r="P149" s="5" t="s">
        <v>30</v>
      </c>
      <c r="Q149" s="5" t="s">
        <v>30</v>
      </c>
    </row>
    <row r="150" ht="21.0" customHeight="1">
      <c r="A150" s="4">
        <v>149.0</v>
      </c>
      <c r="B150" s="5" t="s">
        <v>1191</v>
      </c>
      <c r="C150" s="5" t="s">
        <v>1192</v>
      </c>
      <c r="D150" s="5" t="s">
        <v>19</v>
      </c>
      <c r="E150" s="5" t="s">
        <v>1193</v>
      </c>
      <c r="F150" s="5" t="s">
        <v>1123</v>
      </c>
      <c r="G150" s="5" t="s">
        <v>34</v>
      </c>
      <c r="H150" s="5" t="s">
        <v>23</v>
      </c>
      <c r="I150" s="6" t="s">
        <v>1194</v>
      </c>
      <c r="J150" s="4">
        <v>100.0</v>
      </c>
      <c r="K150" s="5" t="s">
        <v>25</v>
      </c>
      <c r="L150" s="5" t="s">
        <v>1195</v>
      </c>
      <c r="M150" s="5" t="s">
        <v>1196</v>
      </c>
      <c r="N150" s="7" t="s">
        <v>1197</v>
      </c>
      <c r="O150" s="9" t="s">
        <v>1198</v>
      </c>
      <c r="P150" s="5" t="s">
        <v>30</v>
      </c>
      <c r="Q150" s="5" t="s">
        <v>30</v>
      </c>
    </row>
    <row r="151" ht="21.0" customHeight="1">
      <c r="A151" s="4">
        <v>150.0</v>
      </c>
      <c r="B151" s="5" t="s">
        <v>1199</v>
      </c>
      <c r="C151" s="5" t="s">
        <v>18</v>
      </c>
      <c r="D151" s="5" t="s">
        <v>446</v>
      </c>
      <c r="E151" s="5" t="s">
        <v>1200</v>
      </c>
      <c r="F151" s="5" t="s">
        <v>1123</v>
      </c>
      <c r="G151" s="5" t="s">
        <v>1201</v>
      </c>
      <c r="H151" s="5" t="s">
        <v>23</v>
      </c>
      <c r="I151" s="6" t="s">
        <v>1202</v>
      </c>
      <c r="J151" s="4">
        <v>100.0</v>
      </c>
      <c r="K151" s="5" t="s">
        <v>110</v>
      </c>
      <c r="L151" s="5" t="s">
        <v>1203</v>
      </c>
      <c r="M151" s="5" t="s">
        <v>1204</v>
      </c>
      <c r="N151" s="7" t="s">
        <v>1205</v>
      </c>
      <c r="O151" s="9" t="s">
        <v>1206</v>
      </c>
      <c r="P151" s="5" t="s">
        <v>30</v>
      </c>
      <c r="Q151" s="5" t="s">
        <v>30</v>
      </c>
    </row>
    <row r="152" ht="21.0" customHeight="1">
      <c r="A152" s="4">
        <v>151.0</v>
      </c>
      <c r="B152" s="5" t="s">
        <v>1207</v>
      </c>
      <c r="C152" s="5" t="s">
        <v>18</v>
      </c>
      <c r="D152" s="5" t="s">
        <v>1208</v>
      </c>
      <c r="E152" s="5" t="s">
        <v>1209</v>
      </c>
      <c r="F152" s="5" t="s">
        <v>1123</v>
      </c>
      <c r="G152" s="5" t="s">
        <v>1210</v>
      </c>
      <c r="H152" s="5" t="s">
        <v>23</v>
      </c>
      <c r="I152" s="6" t="s">
        <v>1211</v>
      </c>
      <c r="J152" s="4">
        <v>100.0</v>
      </c>
      <c r="K152" s="5" t="s">
        <v>52</v>
      </c>
      <c r="L152" s="5" t="s">
        <v>1212</v>
      </c>
      <c r="M152" s="5" t="s">
        <v>1213</v>
      </c>
      <c r="N152" s="7" t="s">
        <v>1214</v>
      </c>
      <c r="O152" s="9" t="s">
        <v>1215</v>
      </c>
      <c r="P152" s="5" t="s">
        <v>30</v>
      </c>
      <c r="Q152" s="5" t="s">
        <v>30</v>
      </c>
    </row>
    <row r="153" ht="21.0" customHeight="1">
      <c r="A153" s="4">
        <v>152.0</v>
      </c>
      <c r="B153" s="5" t="s">
        <v>1216</v>
      </c>
      <c r="C153" s="5" t="s">
        <v>1217</v>
      </c>
      <c r="D153" s="5" t="s">
        <v>19</v>
      </c>
      <c r="E153" s="5" t="s">
        <v>1218</v>
      </c>
      <c r="F153" s="5" t="s">
        <v>1123</v>
      </c>
      <c r="G153" s="5" t="s">
        <v>1219</v>
      </c>
      <c r="H153" s="5" t="s">
        <v>23</v>
      </c>
      <c r="I153" s="6" t="s">
        <v>1220</v>
      </c>
      <c r="J153" s="4">
        <v>100.0</v>
      </c>
      <c r="K153" s="5" t="s">
        <v>25</v>
      </c>
      <c r="L153" s="5" t="s">
        <v>1221</v>
      </c>
      <c r="M153" s="5" t="s">
        <v>1222</v>
      </c>
      <c r="N153" s="7" t="s">
        <v>1223</v>
      </c>
      <c r="O153" s="9" t="s">
        <v>1224</v>
      </c>
      <c r="P153" s="5" t="s">
        <v>30</v>
      </c>
      <c r="Q153" s="5" t="s">
        <v>30</v>
      </c>
    </row>
    <row r="154" ht="21.0" customHeight="1">
      <c r="A154" s="4">
        <v>153.0</v>
      </c>
      <c r="B154" s="5" t="s">
        <v>1217</v>
      </c>
      <c r="C154" s="5" t="s">
        <v>1225</v>
      </c>
      <c r="D154" s="5" t="s">
        <v>1226</v>
      </c>
      <c r="E154" s="5" t="s">
        <v>1218</v>
      </c>
      <c r="F154" s="5" t="s">
        <v>1123</v>
      </c>
      <c r="G154" s="5" t="s">
        <v>1227</v>
      </c>
      <c r="H154" s="5" t="s">
        <v>23</v>
      </c>
      <c r="I154" s="6" t="s">
        <v>1228</v>
      </c>
      <c r="J154" s="4">
        <v>100.0</v>
      </c>
      <c r="K154" s="5" t="s">
        <v>25</v>
      </c>
      <c r="L154" s="5" t="s">
        <v>1229</v>
      </c>
      <c r="M154" s="5" t="s">
        <v>1230</v>
      </c>
      <c r="N154" s="7" t="s">
        <v>1231</v>
      </c>
      <c r="O154" s="9" t="s">
        <v>1232</v>
      </c>
      <c r="P154" s="5" t="s">
        <v>30</v>
      </c>
      <c r="Q154" s="5" t="s">
        <v>30</v>
      </c>
    </row>
    <row r="155" ht="21.0" customHeight="1">
      <c r="A155" s="4">
        <v>154.0</v>
      </c>
      <c r="B155" s="5" t="s">
        <v>1233</v>
      </c>
      <c r="C155" s="5" t="s">
        <v>18</v>
      </c>
      <c r="D155" s="5" t="s">
        <v>19</v>
      </c>
      <c r="E155" s="5" t="s">
        <v>1234</v>
      </c>
      <c r="F155" s="5" t="s">
        <v>1123</v>
      </c>
      <c r="G155" s="5" t="s">
        <v>1235</v>
      </c>
      <c r="H155" s="5" t="s">
        <v>23</v>
      </c>
      <c r="I155" s="6" t="s">
        <v>1236</v>
      </c>
      <c r="J155" s="4">
        <v>100.0</v>
      </c>
      <c r="K155" s="5" t="s">
        <v>25</v>
      </c>
      <c r="L155" s="5" t="s">
        <v>1237</v>
      </c>
      <c r="M155" s="5" t="s">
        <v>1238</v>
      </c>
      <c r="N155" s="7" t="s">
        <v>1239</v>
      </c>
      <c r="O155" s="9" t="s">
        <v>1240</v>
      </c>
      <c r="P155" s="5" t="s">
        <v>30</v>
      </c>
      <c r="Q155" s="5" t="s">
        <v>30</v>
      </c>
    </row>
    <row r="156" ht="21.0" customHeight="1">
      <c r="A156" s="4">
        <v>155.0</v>
      </c>
      <c r="B156" s="5" t="s">
        <v>1241</v>
      </c>
      <c r="C156" s="5" t="s">
        <v>18</v>
      </c>
      <c r="D156" s="5" t="s">
        <v>1242</v>
      </c>
      <c r="E156" s="5" t="s">
        <v>1243</v>
      </c>
      <c r="F156" s="5" t="s">
        <v>1123</v>
      </c>
      <c r="G156" s="5" t="s">
        <v>1244</v>
      </c>
      <c r="H156" s="5" t="s">
        <v>23</v>
      </c>
      <c r="I156" s="6" t="s">
        <v>1245</v>
      </c>
      <c r="J156" s="4">
        <v>100.0</v>
      </c>
      <c r="K156" s="5" t="s">
        <v>52</v>
      </c>
      <c r="L156" s="5" t="s">
        <v>1246</v>
      </c>
      <c r="M156" s="5" t="s">
        <v>1247</v>
      </c>
      <c r="N156" s="7" t="s">
        <v>1248</v>
      </c>
      <c r="O156" s="9" t="s">
        <v>1249</v>
      </c>
      <c r="P156" s="5" t="s">
        <v>30</v>
      </c>
      <c r="Q156" s="5" t="s">
        <v>30</v>
      </c>
    </row>
    <row r="157" ht="21.0" customHeight="1">
      <c r="A157" s="4">
        <v>156.0</v>
      </c>
      <c r="B157" s="5" t="s">
        <v>1250</v>
      </c>
      <c r="C157" s="5" t="s">
        <v>1251</v>
      </c>
      <c r="D157" s="5" t="s">
        <v>1252</v>
      </c>
      <c r="E157" s="5" t="s">
        <v>1253</v>
      </c>
      <c r="F157" s="5" t="s">
        <v>1123</v>
      </c>
      <c r="G157" s="5" t="s">
        <v>1254</v>
      </c>
      <c r="H157" s="5" t="s">
        <v>23</v>
      </c>
      <c r="I157" s="6" t="s">
        <v>1255</v>
      </c>
      <c r="J157" s="4">
        <v>100.0</v>
      </c>
      <c r="K157" s="5" t="s">
        <v>284</v>
      </c>
      <c r="L157" s="5" t="s">
        <v>1256</v>
      </c>
      <c r="M157" s="5" t="s">
        <v>1257</v>
      </c>
      <c r="N157" s="7" t="s">
        <v>1258</v>
      </c>
      <c r="O157" s="9" t="s">
        <v>1259</v>
      </c>
      <c r="P157" s="5" t="s">
        <v>30</v>
      </c>
      <c r="Q157" s="5" t="s">
        <v>30</v>
      </c>
    </row>
    <row r="158" ht="21.0" customHeight="1">
      <c r="A158" s="4">
        <v>157.0</v>
      </c>
      <c r="B158" s="5" t="s">
        <v>1260</v>
      </c>
      <c r="C158" s="5" t="s">
        <v>18</v>
      </c>
      <c r="D158" s="5" t="s">
        <v>19</v>
      </c>
      <c r="E158" s="5" t="s">
        <v>1261</v>
      </c>
      <c r="F158" s="5" t="s">
        <v>1123</v>
      </c>
      <c r="G158" s="5" t="s">
        <v>1262</v>
      </c>
      <c r="H158" s="5" t="s">
        <v>23</v>
      </c>
      <c r="I158" s="6" t="s">
        <v>1263</v>
      </c>
      <c r="J158" s="4">
        <v>100.0</v>
      </c>
      <c r="K158" s="5" t="s">
        <v>165</v>
      </c>
      <c r="L158" s="5" t="s">
        <v>1264</v>
      </c>
      <c r="M158" s="5" t="s">
        <v>1265</v>
      </c>
      <c r="N158" s="7" t="s">
        <v>1266</v>
      </c>
      <c r="O158" s="9" t="s">
        <v>1267</v>
      </c>
      <c r="P158" s="5" t="s">
        <v>30</v>
      </c>
      <c r="Q158" s="5" t="s">
        <v>30</v>
      </c>
    </row>
    <row r="159" ht="21.0" customHeight="1">
      <c r="A159" s="4">
        <v>158.0</v>
      </c>
      <c r="B159" s="5" t="s">
        <v>1268</v>
      </c>
      <c r="C159" s="5" t="s">
        <v>18</v>
      </c>
      <c r="D159" s="5" t="s">
        <v>19</v>
      </c>
      <c r="E159" s="5" t="s">
        <v>1269</v>
      </c>
      <c r="F159" s="5" t="s">
        <v>1123</v>
      </c>
      <c r="G159" s="5" t="s">
        <v>1270</v>
      </c>
      <c r="H159" s="5" t="s">
        <v>23</v>
      </c>
      <c r="I159" s="6" t="s">
        <v>1271</v>
      </c>
      <c r="J159" s="4">
        <v>100.0</v>
      </c>
      <c r="K159" s="5" t="s">
        <v>84</v>
      </c>
      <c r="L159" s="5" t="s">
        <v>1272</v>
      </c>
      <c r="M159" s="5" t="s">
        <v>1273</v>
      </c>
      <c r="N159" s="7" t="s">
        <v>1274</v>
      </c>
      <c r="O159" s="9" t="s">
        <v>1275</v>
      </c>
      <c r="P159" s="5" t="s">
        <v>30</v>
      </c>
      <c r="Q159" s="5" t="s">
        <v>30</v>
      </c>
    </row>
    <row r="160" ht="21.0" customHeight="1">
      <c r="A160" s="4">
        <v>159.0</v>
      </c>
      <c r="B160" s="5" t="s">
        <v>1276</v>
      </c>
      <c r="C160" s="5" t="s">
        <v>18</v>
      </c>
      <c r="D160" s="5" t="s">
        <v>1277</v>
      </c>
      <c r="E160" s="5" t="s">
        <v>1278</v>
      </c>
      <c r="F160" s="5" t="s">
        <v>1123</v>
      </c>
      <c r="G160" s="5" t="s">
        <v>34</v>
      </c>
      <c r="H160" s="5" t="s">
        <v>23</v>
      </c>
      <c r="I160" s="6" t="s">
        <v>1279</v>
      </c>
      <c r="J160" s="4">
        <v>100.0</v>
      </c>
      <c r="K160" s="5" t="s">
        <v>93</v>
      </c>
      <c r="L160" s="5" t="s">
        <v>1280</v>
      </c>
      <c r="M160" s="5" t="s">
        <v>1281</v>
      </c>
      <c r="N160" s="7" t="s">
        <v>1282</v>
      </c>
      <c r="O160" s="9" t="s">
        <v>1283</v>
      </c>
      <c r="P160" s="5" t="s">
        <v>30</v>
      </c>
      <c r="Q160" s="5" t="s">
        <v>30</v>
      </c>
    </row>
    <row r="161" ht="21.0" customHeight="1">
      <c r="A161" s="4">
        <v>160.0</v>
      </c>
      <c r="B161" s="5" t="s">
        <v>1284</v>
      </c>
      <c r="C161" s="5" t="s">
        <v>18</v>
      </c>
      <c r="D161" s="5" t="s">
        <v>19</v>
      </c>
      <c r="E161" s="5" t="s">
        <v>1285</v>
      </c>
      <c r="F161" s="5" t="s">
        <v>1123</v>
      </c>
      <c r="G161" s="5" t="s">
        <v>1286</v>
      </c>
      <c r="H161" s="5" t="s">
        <v>23</v>
      </c>
      <c r="I161" s="6" t="s">
        <v>1287</v>
      </c>
      <c r="J161" s="4">
        <v>100.0</v>
      </c>
      <c r="K161" s="5" t="s">
        <v>84</v>
      </c>
      <c r="L161" s="5" t="s">
        <v>1288</v>
      </c>
      <c r="M161" s="5" t="s">
        <v>1289</v>
      </c>
      <c r="N161" s="7" t="s">
        <v>1290</v>
      </c>
      <c r="O161" s="9" t="s">
        <v>1291</v>
      </c>
      <c r="P161" s="5" t="s">
        <v>30</v>
      </c>
      <c r="Q161" s="5" t="s">
        <v>30</v>
      </c>
    </row>
    <row r="162" ht="21.0" customHeight="1">
      <c r="A162" s="4">
        <v>161.0</v>
      </c>
      <c r="B162" s="5" t="s">
        <v>1292</v>
      </c>
      <c r="C162" s="5" t="s">
        <v>18</v>
      </c>
      <c r="D162" s="5" t="s">
        <v>1293</v>
      </c>
      <c r="E162" s="5" t="s">
        <v>1294</v>
      </c>
      <c r="F162" s="5" t="s">
        <v>1123</v>
      </c>
      <c r="G162" s="5" t="s">
        <v>1295</v>
      </c>
      <c r="H162" s="5" t="s">
        <v>23</v>
      </c>
      <c r="I162" s="6" t="s">
        <v>1296</v>
      </c>
      <c r="J162" s="4">
        <v>100.0</v>
      </c>
      <c r="K162" s="5" t="s">
        <v>165</v>
      </c>
      <c r="L162" s="5" t="s">
        <v>1297</v>
      </c>
      <c r="M162" s="5" t="s">
        <v>1298</v>
      </c>
      <c r="N162" s="7" t="s">
        <v>1299</v>
      </c>
      <c r="O162" s="9" t="s">
        <v>1300</v>
      </c>
      <c r="P162" s="5" t="s">
        <v>30</v>
      </c>
      <c r="Q162" s="5" t="s">
        <v>30</v>
      </c>
    </row>
    <row r="163" ht="21.0" customHeight="1">
      <c r="A163" s="4">
        <v>162.0</v>
      </c>
      <c r="B163" s="5" t="s">
        <v>1301</v>
      </c>
      <c r="C163" s="5" t="s">
        <v>18</v>
      </c>
      <c r="D163" s="5" t="s">
        <v>19</v>
      </c>
      <c r="E163" s="5" t="s">
        <v>1302</v>
      </c>
      <c r="F163" s="5" t="s">
        <v>1123</v>
      </c>
      <c r="G163" s="5" t="s">
        <v>1303</v>
      </c>
      <c r="H163" s="5" t="s">
        <v>23</v>
      </c>
      <c r="I163" s="6" t="s">
        <v>1304</v>
      </c>
      <c r="J163" s="4">
        <v>100.0</v>
      </c>
      <c r="K163" s="5" t="s">
        <v>68</v>
      </c>
      <c r="L163" s="5" t="s">
        <v>1305</v>
      </c>
      <c r="M163" s="5" t="s">
        <v>1306</v>
      </c>
      <c r="N163" s="7" t="s">
        <v>1307</v>
      </c>
      <c r="O163" s="9" t="s">
        <v>1308</v>
      </c>
      <c r="P163" s="5" t="s">
        <v>30</v>
      </c>
      <c r="Q163" s="5" t="s">
        <v>30</v>
      </c>
    </row>
    <row r="164" ht="21.0" customHeight="1">
      <c r="A164" s="4">
        <v>163.0</v>
      </c>
      <c r="B164" s="5" t="s">
        <v>1309</v>
      </c>
      <c r="C164" s="5" t="s">
        <v>1310</v>
      </c>
      <c r="D164" s="5" t="s">
        <v>19</v>
      </c>
      <c r="E164" s="5" t="s">
        <v>1311</v>
      </c>
      <c r="F164" s="5" t="s">
        <v>1123</v>
      </c>
      <c r="G164" s="5" t="s">
        <v>1312</v>
      </c>
      <c r="H164" s="5" t="s">
        <v>23</v>
      </c>
      <c r="I164" s="6" t="s">
        <v>1313</v>
      </c>
      <c r="J164" s="4">
        <v>100.0</v>
      </c>
      <c r="K164" s="5" t="s">
        <v>93</v>
      </c>
      <c r="L164" s="5" t="s">
        <v>1314</v>
      </c>
      <c r="M164" s="5" t="s">
        <v>1315</v>
      </c>
      <c r="N164" s="7" t="s">
        <v>1316</v>
      </c>
      <c r="O164" s="9" t="s">
        <v>1317</v>
      </c>
      <c r="P164" s="5" t="s">
        <v>30</v>
      </c>
      <c r="Q164" s="5" t="s">
        <v>30</v>
      </c>
    </row>
    <row r="165" ht="21.0" customHeight="1">
      <c r="A165" s="4">
        <v>164.0</v>
      </c>
      <c r="B165" s="5" t="s">
        <v>1318</v>
      </c>
      <c r="C165" s="5" t="s">
        <v>1319</v>
      </c>
      <c r="D165" s="5" t="s">
        <v>1320</v>
      </c>
      <c r="E165" s="5" t="s">
        <v>1321</v>
      </c>
      <c r="F165" s="5" t="s">
        <v>1123</v>
      </c>
      <c r="G165" s="5" t="s">
        <v>1322</v>
      </c>
      <c r="H165" s="5" t="s">
        <v>23</v>
      </c>
      <c r="I165" s="6" t="s">
        <v>1323</v>
      </c>
      <c r="J165" s="4">
        <v>100.0</v>
      </c>
      <c r="K165" s="5" t="s">
        <v>517</v>
      </c>
      <c r="L165" s="5" t="s">
        <v>1324</v>
      </c>
      <c r="M165" s="5" t="s">
        <v>1325</v>
      </c>
      <c r="N165" s="7" t="s">
        <v>1326</v>
      </c>
      <c r="O165" s="21" t="s">
        <v>1327</v>
      </c>
      <c r="P165" s="5" t="s">
        <v>30</v>
      </c>
      <c r="Q165" s="5" t="s">
        <v>30</v>
      </c>
    </row>
    <row r="166" ht="21.0" customHeight="1">
      <c r="A166" s="4">
        <v>165.0</v>
      </c>
      <c r="B166" s="5" t="s">
        <v>1328</v>
      </c>
      <c r="C166" s="5" t="s">
        <v>1329</v>
      </c>
      <c r="D166" s="5" t="s">
        <v>19</v>
      </c>
      <c r="E166" s="5" t="s">
        <v>1330</v>
      </c>
      <c r="F166" s="5" t="s">
        <v>1123</v>
      </c>
      <c r="G166" s="5" t="s">
        <v>1331</v>
      </c>
      <c r="H166" s="5" t="s">
        <v>23</v>
      </c>
      <c r="I166" s="6" t="s">
        <v>1332</v>
      </c>
      <c r="J166" s="4">
        <v>100.0</v>
      </c>
      <c r="K166" s="5" t="s">
        <v>25</v>
      </c>
      <c r="L166" s="5" t="s">
        <v>1333</v>
      </c>
      <c r="M166" s="5" t="s">
        <v>1334</v>
      </c>
      <c r="N166" s="7" t="s">
        <v>1335</v>
      </c>
      <c r="O166" s="9" t="s">
        <v>1336</v>
      </c>
      <c r="P166" s="5" t="s">
        <v>30</v>
      </c>
      <c r="Q166" s="5" t="s">
        <v>30</v>
      </c>
    </row>
    <row r="167" ht="21.0" customHeight="1">
      <c r="A167" s="4">
        <v>166.0</v>
      </c>
      <c r="B167" s="5" t="s">
        <v>1337</v>
      </c>
      <c r="C167" s="5" t="s">
        <v>1338</v>
      </c>
      <c r="D167" s="5" t="s">
        <v>19</v>
      </c>
      <c r="E167" s="5" t="s">
        <v>1339</v>
      </c>
      <c r="F167" s="5" t="s">
        <v>1123</v>
      </c>
      <c r="G167" s="5" t="s">
        <v>1340</v>
      </c>
      <c r="H167" s="5" t="s">
        <v>23</v>
      </c>
      <c r="I167" s="6" t="s">
        <v>1341</v>
      </c>
      <c r="J167" s="4">
        <v>100.0</v>
      </c>
      <c r="K167" s="5" t="s">
        <v>386</v>
      </c>
      <c r="L167" s="5" t="s">
        <v>1342</v>
      </c>
      <c r="M167" s="5" t="s">
        <v>1343</v>
      </c>
      <c r="N167" s="7" t="s">
        <v>1344</v>
      </c>
      <c r="O167" s="9" t="s">
        <v>1345</v>
      </c>
      <c r="P167" s="5" t="s">
        <v>30</v>
      </c>
      <c r="Q167" s="5" t="s">
        <v>30</v>
      </c>
    </row>
    <row r="168" ht="21.0" customHeight="1">
      <c r="A168" s="4">
        <v>167.0</v>
      </c>
      <c r="B168" s="5" t="s">
        <v>1346</v>
      </c>
      <c r="C168" s="5" t="s">
        <v>18</v>
      </c>
      <c r="D168" s="5" t="s">
        <v>1347</v>
      </c>
      <c r="E168" s="5" t="s">
        <v>1348</v>
      </c>
      <c r="F168" s="5" t="s">
        <v>1123</v>
      </c>
      <c r="G168" s="5" t="s">
        <v>1349</v>
      </c>
      <c r="H168" s="5" t="s">
        <v>23</v>
      </c>
      <c r="I168" s="6" t="s">
        <v>1350</v>
      </c>
      <c r="J168" s="4">
        <v>100.0</v>
      </c>
      <c r="K168" s="5" t="s">
        <v>110</v>
      </c>
      <c r="L168" s="5" t="s">
        <v>1351</v>
      </c>
      <c r="M168" s="5" t="s">
        <v>1352</v>
      </c>
      <c r="N168" s="7" t="s">
        <v>1353</v>
      </c>
      <c r="O168" s="9" t="s">
        <v>1354</v>
      </c>
      <c r="P168" s="5" t="s">
        <v>30</v>
      </c>
      <c r="Q168" s="5" t="s">
        <v>30</v>
      </c>
    </row>
    <row r="169" ht="21.0" customHeight="1">
      <c r="A169" s="4">
        <v>168.0</v>
      </c>
      <c r="B169" s="5" t="s">
        <v>1355</v>
      </c>
      <c r="C169" s="5" t="s">
        <v>18</v>
      </c>
      <c r="D169" s="5" t="s">
        <v>19</v>
      </c>
      <c r="E169" s="5" t="s">
        <v>1356</v>
      </c>
      <c r="F169" s="5" t="s">
        <v>1123</v>
      </c>
      <c r="G169" s="5" t="s">
        <v>1357</v>
      </c>
      <c r="H169" s="5" t="s">
        <v>23</v>
      </c>
      <c r="I169" s="6" t="s">
        <v>1358</v>
      </c>
      <c r="J169" s="4">
        <v>100.0</v>
      </c>
      <c r="K169" s="5" t="s">
        <v>93</v>
      </c>
      <c r="L169" s="5" t="s">
        <v>1359</v>
      </c>
      <c r="M169" s="5" t="s">
        <v>1360</v>
      </c>
      <c r="N169" s="7" t="s">
        <v>1361</v>
      </c>
      <c r="O169" s="9" t="s">
        <v>1362</v>
      </c>
      <c r="P169" s="5" t="s">
        <v>30</v>
      </c>
      <c r="Q169" s="5" t="s">
        <v>30</v>
      </c>
    </row>
    <row r="170" ht="21.0" customHeight="1">
      <c r="A170" s="22">
        <v>169.0</v>
      </c>
      <c r="B170" s="23" t="s">
        <v>1363</v>
      </c>
      <c r="C170" s="23" t="s">
        <v>18</v>
      </c>
      <c r="D170" s="23" t="s">
        <v>19</v>
      </c>
      <c r="E170" s="23" t="s">
        <v>1364</v>
      </c>
      <c r="F170" s="23" t="s">
        <v>1123</v>
      </c>
      <c r="G170" s="23" t="s">
        <v>1365</v>
      </c>
      <c r="H170" s="23" t="s">
        <v>23</v>
      </c>
      <c r="I170" s="6" t="s">
        <v>1366</v>
      </c>
      <c r="J170" s="4">
        <v>100.0</v>
      </c>
      <c r="K170" s="23" t="s">
        <v>68</v>
      </c>
      <c r="L170" s="23" t="s">
        <v>1367</v>
      </c>
      <c r="M170" s="23" t="s">
        <v>1368</v>
      </c>
      <c r="N170" s="24" t="s">
        <v>1369</v>
      </c>
      <c r="O170" s="25" t="s">
        <v>1370</v>
      </c>
      <c r="P170" s="5" t="s">
        <v>30</v>
      </c>
      <c r="Q170" s="5" t="s">
        <v>30</v>
      </c>
    </row>
    <row r="171" ht="21.0" customHeight="1">
      <c r="A171" s="4">
        <v>170.0</v>
      </c>
      <c r="B171" s="5" t="s">
        <v>1371</v>
      </c>
      <c r="C171" s="5" t="s">
        <v>18</v>
      </c>
      <c r="D171" s="5" t="s">
        <v>19</v>
      </c>
      <c r="E171" s="5" t="s">
        <v>1372</v>
      </c>
      <c r="F171" s="5" t="s">
        <v>1123</v>
      </c>
      <c r="G171" s="5" t="s">
        <v>1373</v>
      </c>
      <c r="H171" s="5" t="s">
        <v>23</v>
      </c>
      <c r="I171" s="6" t="s">
        <v>1374</v>
      </c>
      <c r="J171" s="4">
        <v>100.0</v>
      </c>
      <c r="K171" s="5" t="s">
        <v>165</v>
      </c>
      <c r="L171" s="5" t="s">
        <v>1375</v>
      </c>
      <c r="M171" s="5" t="s">
        <v>1376</v>
      </c>
      <c r="N171" s="7" t="s">
        <v>1377</v>
      </c>
      <c r="O171" s="9" t="s">
        <v>1378</v>
      </c>
      <c r="P171" s="5" t="s">
        <v>30</v>
      </c>
      <c r="Q171" s="5" t="s">
        <v>30</v>
      </c>
    </row>
    <row r="172" ht="21.0" customHeight="1">
      <c r="A172" s="4">
        <v>171.0</v>
      </c>
      <c r="B172" s="5" t="s">
        <v>1379</v>
      </c>
      <c r="C172" s="5" t="s">
        <v>1380</v>
      </c>
      <c r="D172" s="5" t="s">
        <v>19</v>
      </c>
      <c r="E172" s="5" t="s">
        <v>1381</v>
      </c>
      <c r="F172" s="5" t="s">
        <v>1123</v>
      </c>
      <c r="G172" s="5" t="s">
        <v>1382</v>
      </c>
      <c r="H172" s="5" t="s">
        <v>23</v>
      </c>
      <c r="I172" s="6" t="s">
        <v>1383</v>
      </c>
      <c r="J172" s="4">
        <v>100.0</v>
      </c>
      <c r="K172" s="5" t="s">
        <v>165</v>
      </c>
      <c r="L172" s="5" t="s">
        <v>1384</v>
      </c>
      <c r="M172" s="5" t="s">
        <v>1385</v>
      </c>
      <c r="N172" s="7" t="s">
        <v>1386</v>
      </c>
      <c r="O172" s="9" t="s">
        <v>1387</v>
      </c>
      <c r="P172" s="5" t="s">
        <v>30</v>
      </c>
      <c r="Q172" s="5" t="s">
        <v>30</v>
      </c>
    </row>
    <row r="173" ht="21.0" customHeight="1">
      <c r="A173" s="4">
        <v>172.0</v>
      </c>
      <c r="B173" s="5" t="s">
        <v>1388</v>
      </c>
      <c r="C173" s="5" t="s">
        <v>18</v>
      </c>
      <c r="D173" s="5" t="s">
        <v>19</v>
      </c>
      <c r="E173" s="5" t="s">
        <v>1389</v>
      </c>
      <c r="F173" s="5" t="s">
        <v>1123</v>
      </c>
      <c r="G173" s="5" t="s">
        <v>1390</v>
      </c>
      <c r="H173" s="5" t="s">
        <v>23</v>
      </c>
      <c r="I173" s="6" t="s">
        <v>1391</v>
      </c>
      <c r="J173" s="4">
        <v>100.0</v>
      </c>
      <c r="K173" s="5" t="s">
        <v>316</v>
      </c>
      <c r="L173" s="5" t="s">
        <v>1392</v>
      </c>
      <c r="M173" s="5" t="s">
        <v>1393</v>
      </c>
      <c r="N173" s="7" t="s">
        <v>1394</v>
      </c>
      <c r="O173" s="9" t="s">
        <v>1395</v>
      </c>
      <c r="P173" s="5" t="s">
        <v>30</v>
      </c>
      <c r="Q173" s="5" t="s">
        <v>30</v>
      </c>
    </row>
    <row r="174" ht="21.0" customHeight="1">
      <c r="A174" s="4">
        <v>173.0</v>
      </c>
      <c r="B174" s="5" t="s">
        <v>1396</v>
      </c>
      <c r="C174" s="5" t="s">
        <v>1397</v>
      </c>
      <c r="D174" s="5" t="s">
        <v>19</v>
      </c>
      <c r="E174" s="5" t="s">
        <v>1398</v>
      </c>
      <c r="F174" s="5" t="s">
        <v>1123</v>
      </c>
      <c r="G174" s="5" t="s">
        <v>1399</v>
      </c>
      <c r="H174" s="5" t="s">
        <v>23</v>
      </c>
      <c r="I174" s="6" t="s">
        <v>1400</v>
      </c>
      <c r="J174" s="4">
        <v>100.0</v>
      </c>
      <c r="K174" s="5" t="s">
        <v>165</v>
      </c>
      <c r="L174" s="5" t="s">
        <v>1401</v>
      </c>
      <c r="M174" s="5" t="s">
        <v>1402</v>
      </c>
      <c r="N174" s="7" t="s">
        <v>1403</v>
      </c>
      <c r="O174" s="9" t="s">
        <v>1404</v>
      </c>
      <c r="P174" s="5" t="s">
        <v>30</v>
      </c>
      <c r="Q174" s="5" t="s">
        <v>30</v>
      </c>
    </row>
    <row r="175" ht="21.0" customHeight="1">
      <c r="A175" s="4">
        <v>174.0</v>
      </c>
      <c r="B175" s="5" t="s">
        <v>1405</v>
      </c>
      <c r="C175" s="5" t="s">
        <v>18</v>
      </c>
      <c r="D175" s="5" t="s">
        <v>1406</v>
      </c>
      <c r="E175" s="5" t="s">
        <v>1407</v>
      </c>
      <c r="F175" s="5" t="s">
        <v>1123</v>
      </c>
      <c r="G175" s="5" t="s">
        <v>1408</v>
      </c>
      <c r="H175" s="5" t="s">
        <v>23</v>
      </c>
      <c r="I175" s="6" t="s">
        <v>1409</v>
      </c>
      <c r="J175" s="4">
        <v>100.0</v>
      </c>
      <c r="K175" s="5" t="s">
        <v>1410</v>
      </c>
      <c r="L175" s="5" t="s">
        <v>1411</v>
      </c>
      <c r="M175" s="5" t="s">
        <v>1412</v>
      </c>
      <c r="N175" s="7" t="s">
        <v>1413</v>
      </c>
      <c r="O175" s="9" t="s">
        <v>1414</v>
      </c>
      <c r="P175" s="5" t="s">
        <v>30</v>
      </c>
      <c r="Q175" s="5" t="s">
        <v>30</v>
      </c>
    </row>
    <row r="176" ht="21.0" customHeight="1">
      <c r="A176" s="4">
        <v>175.0</v>
      </c>
      <c r="B176" s="5" t="s">
        <v>1415</v>
      </c>
      <c r="C176" s="5" t="s">
        <v>18</v>
      </c>
      <c r="D176" s="5" t="s">
        <v>19</v>
      </c>
      <c r="E176" s="5" t="s">
        <v>1416</v>
      </c>
      <c r="F176" s="5" t="s">
        <v>1123</v>
      </c>
      <c r="G176" s="5" t="s">
        <v>1417</v>
      </c>
      <c r="H176" s="5" t="s">
        <v>23</v>
      </c>
      <c r="I176" s="6" t="s">
        <v>1418</v>
      </c>
      <c r="J176" s="4">
        <v>100.0</v>
      </c>
      <c r="K176" s="5" t="s">
        <v>93</v>
      </c>
      <c r="L176" s="5" t="s">
        <v>1419</v>
      </c>
      <c r="M176" s="5" t="s">
        <v>1420</v>
      </c>
      <c r="N176" s="7" t="s">
        <v>1421</v>
      </c>
      <c r="O176" s="9" t="s">
        <v>1422</v>
      </c>
      <c r="P176" s="5" t="s">
        <v>30</v>
      </c>
      <c r="Q176" s="5" t="s">
        <v>30</v>
      </c>
    </row>
    <row r="177" ht="21.0" customHeight="1">
      <c r="A177" s="4">
        <v>176.0</v>
      </c>
      <c r="B177" s="5" t="s">
        <v>1423</v>
      </c>
      <c r="C177" s="5" t="s">
        <v>1424</v>
      </c>
      <c r="D177" s="5" t="s">
        <v>1425</v>
      </c>
      <c r="E177" s="5" t="s">
        <v>1426</v>
      </c>
      <c r="F177" s="5" t="s">
        <v>1123</v>
      </c>
      <c r="G177" s="5" t="s">
        <v>1427</v>
      </c>
      <c r="H177" s="5" t="s">
        <v>23</v>
      </c>
      <c r="I177" s="6" t="s">
        <v>1428</v>
      </c>
      <c r="J177" s="4">
        <v>100.0</v>
      </c>
      <c r="K177" s="5" t="s">
        <v>157</v>
      </c>
      <c r="L177" s="5" t="s">
        <v>1429</v>
      </c>
      <c r="M177" s="5" t="s">
        <v>1430</v>
      </c>
      <c r="N177" s="7" t="s">
        <v>1431</v>
      </c>
      <c r="O177" s="9" t="s">
        <v>1432</v>
      </c>
      <c r="P177" s="5" t="s">
        <v>30</v>
      </c>
      <c r="Q177" s="5" t="s">
        <v>30</v>
      </c>
    </row>
    <row r="178" ht="21.0" customHeight="1">
      <c r="A178" s="4">
        <v>177.0</v>
      </c>
      <c r="B178" s="5" t="s">
        <v>1433</v>
      </c>
      <c r="C178" s="5" t="s">
        <v>1434</v>
      </c>
      <c r="D178" s="5" t="s">
        <v>1435</v>
      </c>
      <c r="E178" s="5" t="s">
        <v>1436</v>
      </c>
      <c r="F178" s="5" t="s">
        <v>1123</v>
      </c>
      <c r="G178" s="5" t="s">
        <v>1437</v>
      </c>
      <c r="H178" s="5" t="s">
        <v>23</v>
      </c>
      <c r="I178" s="6" t="s">
        <v>1438</v>
      </c>
      <c r="J178" s="4">
        <v>100.0</v>
      </c>
      <c r="K178" s="5" t="s">
        <v>165</v>
      </c>
      <c r="L178" s="5" t="s">
        <v>1439</v>
      </c>
      <c r="M178" s="5" t="s">
        <v>1440</v>
      </c>
      <c r="N178" s="7" t="s">
        <v>1441</v>
      </c>
      <c r="O178" s="9" t="s">
        <v>1442</v>
      </c>
      <c r="P178" s="5" t="s">
        <v>30</v>
      </c>
      <c r="Q178" s="5" t="s">
        <v>30</v>
      </c>
    </row>
    <row r="179" ht="21.0" customHeight="1">
      <c r="A179" s="4">
        <v>178.0</v>
      </c>
      <c r="B179" s="5" t="s">
        <v>1443</v>
      </c>
      <c r="C179" s="5" t="s">
        <v>18</v>
      </c>
      <c r="D179" s="5" t="s">
        <v>19</v>
      </c>
      <c r="E179" s="5" t="s">
        <v>1444</v>
      </c>
      <c r="F179" s="5" t="s">
        <v>1123</v>
      </c>
      <c r="G179" s="5" t="s">
        <v>1445</v>
      </c>
      <c r="H179" s="5" t="s">
        <v>23</v>
      </c>
      <c r="I179" s="6" t="s">
        <v>1446</v>
      </c>
      <c r="J179" s="4">
        <v>100.0</v>
      </c>
      <c r="K179" s="5" t="s">
        <v>25</v>
      </c>
      <c r="L179" s="5" t="s">
        <v>1447</v>
      </c>
      <c r="M179" s="5" t="s">
        <v>1448</v>
      </c>
      <c r="N179" s="7" t="s">
        <v>1449</v>
      </c>
      <c r="O179" s="9" t="s">
        <v>1450</v>
      </c>
      <c r="P179" s="5" t="s">
        <v>30</v>
      </c>
      <c r="Q179" s="5" t="s">
        <v>30</v>
      </c>
    </row>
    <row r="180" ht="21.0" customHeight="1">
      <c r="A180" s="4">
        <v>179.0</v>
      </c>
      <c r="B180" s="5" t="s">
        <v>1451</v>
      </c>
      <c r="C180" s="5" t="s">
        <v>1452</v>
      </c>
      <c r="D180" s="5" t="s">
        <v>19</v>
      </c>
      <c r="E180" s="5" t="s">
        <v>1453</v>
      </c>
      <c r="F180" s="5" t="s">
        <v>1123</v>
      </c>
      <c r="G180" s="5" t="s">
        <v>1454</v>
      </c>
      <c r="H180" s="5" t="s">
        <v>23</v>
      </c>
      <c r="I180" s="6" t="s">
        <v>1455</v>
      </c>
      <c r="J180" s="4">
        <v>100.0</v>
      </c>
      <c r="K180" s="5" t="s">
        <v>110</v>
      </c>
      <c r="L180" s="5" t="s">
        <v>1456</v>
      </c>
      <c r="M180" s="5" t="s">
        <v>1457</v>
      </c>
      <c r="N180" s="7" t="s">
        <v>1458</v>
      </c>
      <c r="O180" s="9" t="s">
        <v>1459</v>
      </c>
      <c r="P180" s="5" t="s">
        <v>30</v>
      </c>
      <c r="Q180" s="5" t="s">
        <v>30</v>
      </c>
    </row>
    <row r="181" ht="21.0" customHeight="1">
      <c r="A181" s="4">
        <v>180.0</v>
      </c>
      <c r="B181" s="5" t="s">
        <v>1452</v>
      </c>
      <c r="C181" s="5" t="s">
        <v>18</v>
      </c>
      <c r="D181" s="5" t="s">
        <v>1460</v>
      </c>
      <c r="E181" s="5" t="s">
        <v>1461</v>
      </c>
      <c r="F181" s="5" t="s">
        <v>1123</v>
      </c>
      <c r="G181" s="5" t="s">
        <v>1462</v>
      </c>
      <c r="H181" s="5" t="s">
        <v>23</v>
      </c>
      <c r="I181" s="6" t="s">
        <v>1463</v>
      </c>
      <c r="J181" s="4">
        <v>100.0</v>
      </c>
      <c r="K181" s="5" t="s">
        <v>84</v>
      </c>
      <c r="L181" s="5" t="s">
        <v>1464</v>
      </c>
      <c r="M181" s="5" t="s">
        <v>1465</v>
      </c>
      <c r="N181" s="7" t="s">
        <v>1466</v>
      </c>
      <c r="O181" s="9" t="s">
        <v>1467</v>
      </c>
      <c r="P181" s="5" t="s">
        <v>30</v>
      </c>
      <c r="Q181" s="5" t="s">
        <v>30</v>
      </c>
    </row>
    <row r="182" ht="21.0" customHeight="1">
      <c r="A182" s="13">
        <v>181.0</v>
      </c>
      <c r="B182" s="14" t="s">
        <v>1468</v>
      </c>
      <c r="C182" s="14" t="s">
        <v>1468</v>
      </c>
      <c r="D182" s="14" t="s">
        <v>170</v>
      </c>
      <c r="E182" s="14" t="s">
        <v>1469</v>
      </c>
      <c r="F182" s="14" t="s">
        <v>1470</v>
      </c>
      <c r="G182" s="14" t="s">
        <v>1471</v>
      </c>
      <c r="H182" s="14" t="s">
        <v>23</v>
      </c>
      <c r="I182" s="15" t="s">
        <v>1472</v>
      </c>
      <c r="J182" s="13">
        <v>100.0</v>
      </c>
      <c r="K182" s="14" t="s">
        <v>25</v>
      </c>
      <c r="L182" s="14" t="s">
        <v>1473</v>
      </c>
      <c r="M182" s="14" t="s">
        <v>1474</v>
      </c>
      <c r="N182" s="16" t="s">
        <v>1475</v>
      </c>
      <c r="O182" s="17" t="s">
        <v>1476</v>
      </c>
      <c r="P182" s="14" t="s">
        <v>30</v>
      </c>
      <c r="Q182" s="14" t="s">
        <v>30</v>
      </c>
      <c r="R182" s="18"/>
      <c r="S182" s="18"/>
      <c r="T182" s="18"/>
      <c r="U182" s="18"/>
      <c r="V182" s="18"/>
      <c r="W182" s="18"/>
      <c r="X182" s="18"/>
      <c r="Y182" s="18"/>
      <c r="Z182" s="18"/>
    </row>
    <row r="183" ht="21.0" customHeight="1">
      <c r="A183" s="4">
        <v>182.0</v>
      </c>
      <c r="B183" s="5" t="s">
        <v>1477</v>
      </c>
      <c r="C183" s="5" t="s">
        <v>18</v>
      </c>
      <c r="D183" s="5" t="s">
        <v>19</v>
      </c>
      <c r="E183" s="5" t="s">
        <v>1478</v>
      </c>
      <c r="F183" s="5" t="s">
        <v>1470</v>
      </c>
      <c r="G183" s="5" t="s">
        <v>1479</v>
      </c>
      <c r="H183" s="5" t="s">
        <v>23</v>
      </c>
      <c r="I183" s="6" t="s">
        <v>1480</v>
      </c>
      <c r="J183" s="4">
        <v>100.0</v>
      </c>
      <c r="K183" s="5" t="s">
        <v>93</v>
      </c>
      <c r="L183" s="5" t="s">
        <v>1481</v>
      </c>
      <c r="M183" s="5" t="s">
        <v>1482</v>
      </c>
      <c r="N183" s="7" t="s">
        <v>1483</v>
      </c>
      <c r="O183" s="9" t="s">
        <v>1484</v>
      </c>
      <c r="P183" s="5" t="s">
        <v>30</v>
      </c>
      <c r="Q183" s="5" t="s">
        <v>30</v>
      </c>
    </row>
    <row r="184" ht="21.0" customHeight="1">
      <c r="A184" s="4">
        <v>183.0</v>
      </c>
      <c r="B184" s="5" t="s">
        <v>1485</v>
      </c>
      <c r="C184" s="5" t="s">
        <v>1486</v>
      </c>
      <c r="D184" s="5" t="s">
        <v>19</v>
      </c>
      <c r="E184" s="5" t="s">
        <v>1487</v>
      </c>
      <c r="F184" s="5" t="s">
        <v>1470</v>
      </c>
      <c r="G184" s="5" t="s">
        <v>1488</v>
      </c>
      <c r="H184" s="5" t="s">
        <v>23</v>
      </c>
      <c r="I184" s="6" t="s">
        <v>1489</v>
      </c>
      <c r="J184" s="4">
        <v>100.0</v>
      </c>
      <c r="K184" s="5" t="s">
        <v>84</v>
      </c>
      <c r="L184" s="5" t="s">
        <v>1490</v>
      </c>
      <c r="M184" s="5" t="s">
        <v>1491</v>
      </c>
      <c r="N184" s="7" t="s">
        <v>1492</v>
      </c>
      <c r="O184" s="7" t="s">
        <v>1493</v>
      </c>
      <c r="P184" s="5" t="s">
        <v>30</v>
      </c>
      <c r="Q184" s="5" t="s">
        <v>30</v>
      </c>
    </row>
    <row r="185" ht="21.0" customHeight="1">
      <c r="A185" s="4">
        <v>184.0</v>
      </c>
      <c r="B185" s="5" t="s">
        <v>1494</v>
      </c>
      <c r="C185" s="5" t="s">
        <v>18</v>
      </c>
      <c r="D185" s="5" t="s">
        <v>1495</v>
      </c>
      <c r="E185" s="5" t="s">
        <v>1496</v>
      </c>
      <c r="F185" s="5" t="s">
        <v>1470</v>
      </c>
      <c r="G185" s="5" t="s">
        <v>1497</v>
      </c>
      <c r="H185" s="5" t="s">
        <v>23</v>
      </c>
      <c r="I185" s="6" t="s">
        <v>1498</v>
      </c>
      <c r="J185" s="4">
        <v>100.0</v>
      </c>
      <c r="K185" s="5" t="s">
        <v>25</v>
      </c>
      <c r="L185" s="5" t="s">
        <v>1499</v>
      </c>
      <c r="M185" s="5" t="s">
        <v>1500</v>
      </c>
      <c r="N185" s="7" t="s">
        <v>1501</v>
      </c>
      <c r="O185" s="9" t="s">
        <v>1502</v>
      </c>
      <c r="P185" s="5" t="s">
        <v>30</v>
      </c>
      <c r="Q185" s="5" t="s">
        <v>30</v>
      </c>
    </row>
    <row r="186" ht="21.0" customHeight="1">
      <c r="A186" s="4">
        <v>185.0</v>
      </c>
      <c r="B186" s="5" t="s">
        <v>1503</v>
      </c>
      <c r="C186" s="5" t="s">
        <v>18</v>
      </c>
      <c r="D186" s="5" t="s">
        <v>19</v>
      </c>
      <c r="E186" s="5" t="s">
        <v>1504</v>
      </c>
      <c r="F186" s="5" t="s">
        <v>1470</v>
      </c>
      <c r="G186" s="5" t="s">
        <v>1505</v>
      </c>
      <c r="H186" s="5" t="s">
        <v>23</v>
      </c>
      <c r="I186" s="6" t="s">
        <v>1506</v>
      </c>
      <c r="J186" s="4">
        <v>100.0</v>
      </c>
      <c r="K186" s="5" t="s">
        <v>216</v>
      </c>
      <c r="L186" s="5" t="s">
        <v>1507</v>
      </c>
      <c r="M186" s="5" t="s">
        <v>1508</v>
      </c>
      <c r="N186" s="7" t="s">
        <v>1509</v>
      </c>
      <c r="O186" s="9" t="s">
        <v>1510</v>
      </c>
      <c r="P186" s="5" t="s">
        <v>30</v>
      </c>
      <c r="Q186" s="5" t="s">
        <v>30</v>
      </c>
    </row>
    <row r="187" ht="21.0" customHeight="1">
      <c r="A187" s="4">
        <v>186.0</v>
      </c>
      <c r="B187" s="5" t="s">
        <v>1511</v>
      </c>
      <c r="C187" s="5" t="s">
        <v>18</v>
      </c>
      <c r="D187" s="5" t="s">
        <v>19</v>
      </c>
      <c r="E187" s="5" t="s">
        <v>1512</v>
      </c>
      <c r="F187" s="5" t="s">
        <v>1470</v>
      </c>
      <c r="G187" s="5" t="s">
        <v>1513</v>
      </c>
      <c r="H187" s="5" t="s">
        <v>23</v>
      </c>
      <c r="I187" s="6" t="s">
        <v>1514</v>
      </c>
      <c r="J187" s="4">
        <v>100.0</v>
      </c>
      <c r="K187" s="5" t="s">
        <v>93</v>
      </c>
      <c r="L187" s="5" t="s">
        <v>1515</v>
      </c>
      <c r="M187" s="5" t="s">
        <v>1516</v>
      </c>
      <c r="N187" s="7" t="s">
        <v>1517</v>
      </c>
      <c r="O187" s="9" t="s">
        <v>1518</v>
      </c>
      <c r="P187" s="5" t="s">
        <v>30</v>
      </c>
      <c r="Q187" s="5" t="s">
        <v>30</v>
      </c>
    </row>
    <row r="188" ht="21.0" customHeight="1">
      <c r="A188" s="4">
        <v>187.0</v>
      </c>
      <c r="B188" s="5" t="s">
        <v>1519</v>
      </c>
      <c r="C188" s="5" t="s">
        <v>18</v>
      </c>
      <c r="D188" s="5" t="s">
        <v>19</v>
      </c>
      <c r="E188" s="5" t="s">
        <v>1520</v>
      </c>
      <c r="F188" s="5" t="s">
        <v>1470</v>
      </c>
      <c r="G188" s="5" t="s">
        <v>1521</v>
      </c>
      <c r="H188" s="5" t="s">
        <v>23</v>
      </c>
      <c r="I188" s="6" t="s">
        <v>1522</v>
      </c>
      <c r="J188" s="4">
        <v>100.0</v>
      </c>
      <c r="K188" s="5" t="s">
        <v>275</v>
      </c>
      <c r="L188" s="5" t="s">
        <v>1523</v>
      </c>
      <c r="M188" s="5" t="s">
        <v>1524</v>
      </c>
      <c r="N188" s="7" t="s">
        <v>1525</v>
      </c>
      <c r="O188" s="9" t="s">
        <v>1526</v>
      </c>
      <c r="P188" s="5" t="s">
        <v>30</v>
      </c>
      <c r="Q188" s="5" t="s">
        <v>30</v>
      </c>
    </row>
    <row r="189" ht="21.0" customHeight="1">
      <c r="A189" s="4">
        <v>188.0</v>
      </c>
      <c r="B189" s="5" t="s">
        <v>1527</v>
      </c>
      <c r="C189" s="5" t="s">
        <v>18</v>
      </c>
      <c r="D189" s="5" t="s">
        <v>19</v>
      </c>
      <c r="E189" s="5" t="s">
        <v>1528</v>
      </c>
      <c r="F189" s="5" t="s">
        <v>1470</v>
      </c>
      <c r="G189" s="5" t="s">
        <v>1529</v>
      </c>
      <c r="H189" s="5" t="s">
        <v>23</v>
      </c>
      <c r="I189" s="6" t="s">
        <v>1530</v>
      </c>
      <c r="J189" s="4">
        <v>100.0</v>
      </c>
      <c r="K189" s="5" t="s">
        <v>1070</v>
      </c>
      <c r="L189" s="5" t="s">
        <v>1531</v>
      </c>
      <c r="M189" s="5" t="s">
        <v>1532</v>
      </c>
      <c r="N189" s="7" t="s">
        <v>1533</v>
      </c>
      <c r="O189" s="9" t="s">
        <v>1534</v>
      </c>
      <c r="P189" s="5" t="s">
        <v>30</v>
      </c>
      <c r="Q189" s="5" t="s">
        <v>30</v>
      </c>
    </row>
    <row r="190" ht="21.0" customHeight="1">
      <c r="A190" s="4">
        <v>189.0</v>
      </c>
      <c r="B190" s="5" t="s">
        <v>1535</v>
      </c>
      <c r="C190" s="5" t="s">
        <v>18</v>
      </c>
      <c r="D190" s="5" t="s">
        <v>1536</v>
      </c>
      <c r="E190" s="5" t="s">
        <v>1537</v>
      </c>
      <c r="F190" s="5" t="s">
        <v>1470</v>
      </c>
      <c r="G190" s="5" t="s">
        <v>1538</v>
      </c>
      <c r="H190" s="5" t="s">
        <v>50</v>
      </c>
      <c r="I190" s="6" t="s">
        <v>1539</v>
      </c>
      <c r="J190" s="4">
        <v>100.0</v>
      </c>
      <c r="K190" s="5" t="s">
        <v>52</v>
      </c>
      <c r="L190" s="5" t="s">
        <v>1540</v>
      </c>
      <c r="M190" s="5" t="s">
        <v>1541</v>
      </c>
      <c r="N190" s="7" t="s">
        <v>1542</v>
      </c>
      <c r="O190" s="9" t="s">
        <v>1543</v>
      </c>
      <c r="P190" s="5" t="s">
        <v>30</v>
      </c>
      <c r="Q190" s="5" t="s">
        <v>30</v>
      </c>
    </row>
    <row r="191" ht="21.0" customHeight="1">
      <c r="A191" s="4">
        <v>190.0</v>
      </c>
      <c r="B191" s="5" t="s">
        <v>1544</v>
      </c>
      <c r="C191" s="5" t="s">
        <v>18</v>
      </c>
      <c r="D191" s="5" t="s">
        <v>19</v>
      </c>
      <c r="E191" s="5" t="s">
        <v>1545</v>
      </c>
      <c r="F191" s="5" t="s">
        <v>1470</v>
      </c>
      <c r="G191" s="5" t="s">
        <v>1546</v>
      </c>
      <c r="H191" s="5" t="s">
        <v>23</v>
      </c>
      <c r="I191" s="6" t="s">
        <v>1547</v>
      </c>
      <c r="J191" s="4">
        <v>100.0</v>
      </c>
      <c r="K191" s="5" t="s">
        <v>68</v>
      </c>
      <c r="L191" s="5" t="s">
        <v>1548</v>
      </c>
      <c r="M191" s="5" t="s">
        <v>1549</v>
      </c>
      <c r="N191" s="7" t="s">
        <v>1550</v>
      </c>
      <c r="O191" s="9" t="s">
        <v>1551</v>
      </c>
      <c r="P191" s="5" t="s">
        <v>30</v>
      </c>
      <c r="Q191" s="5" t="s">
        <v>30</v>
      </c>
    </row>
    <row r="192" ht="21.0" customHeight="1">
      <c r="A192" s="4">
        <v>191.0</v>
      </c>
      <c r="B192" s="5" t="s">
        <v>1552</v>
      </c>
      <c r="C192" s="5" t="s">
        <v>18</v>
      </c>
      <c r="D192" s="5" t="s">
        <v>19</v>
      </c>
      <c r="E192" s="5" t="s">
        <v>1553</v>
      </c>
      <c r="F192" s="5" t="s">
        <v>1470</v>
      </c>
      <c r="G192" s="5" t="s">
        <v>1554</v>
      </c>
      <c r="H192" s="5" t="s">
        <v>23</v>
      </c>
      <c r="I192" s="6" t="s">
        <v>1555</v>
      </c>
      <c r="J192" s="4">
        <v>100.0</v>
      </c>
      <c r="K192" s="5" t="s">
        <v>1070</v>
      </c>
      <c r="L192" s="5" t="s">
        <v>1556</v>
      </c>
      <c r="M192" s="5" t="s">
        <v>1557</v>
      </c>
      <c r="N192" s="7" t="s">
        <v>1558</v>
      </c>
      <c r="O192" s="9" t="s">
        <v>1559</v>
      </c>
      <c r="P192" s="5" t="s">
        <v>30</v>
      </c>
      <c r="Q192" s="5" t="s">
        <v>30</v>
      </c>
    </row>
    <row r="193" ht="21.0" customHeight="1">
      <c r="A193" s="4">
        <v>192.0</v>
      </c>
      <c r="B193" s="5" t="s">
        <v>1560</v>
      </c>
      <c r="C193" s="5" t="s">
        <v>18</v>
      </c>
      <c r="D193" s="5" t="s">
        <v>19</v>
      </c>
      <c r="E193" s="5" t="s">
        <v>1561</v>
      </c>
      <c r="F193" s="5" t="s">
        <v>1470</v>
      </c>
      <c r="G193" s="5" t="s">
        <v>1562</v>
      </c>
      <c r="H193" s="5" t="s">
        <v>23</v>
      </c>
      <c r="I193" s="6" t="s">
        <v>1563</v>
      </c>
      <c r="J193" s="4">
        <v>100.0</v>
      </c>
      <c r="K193" s="5" t="s">
        <v>25</v>
      </c>
      <c r="L193" s="5" t="s">
        <v>1564</v>
      </c>
      <c r="M193" s="5" t="s">
        <v>1565</v>
      </c>
      <c r="N193" s="7" t="s">
        <v>1566</v>
      </c>
      <c r="O193" s="9" t="s">
        <v>1567</v>
      </c>
      <c r="P193" s="5" t="s">
        <v>30</v>
      </c>
      <c r="Q193" s="5" t="s">
        <v>30</v>
      </c>
    </row>
    <row r="194" ht="21.0" customHeight="1">
      <c r="A194" s="13">
        <v>193.0</v>
      </c>
      <c r="B194" s="14" t="s">
        <v>1568</v>
      </c>
      <c r="C194" s="14" t="s">
        <v>1569</v>
      </c>
      <c r="D194" s="14" t="s">
        <v>1570</v>
      </c>
      <c r="E194" s="14" t="s">
        <v>1571</v>
      </c>
      <c r="F194" s="14" t="s">
        <v>1470</v>
      </c>
      <c r="G194" s="14" t="s">
        <v>1572</v>
      </c>
      <c r="H194" s="14" t="s">
        <v>23</v>
      </c>
      <c r="I194" s="15" t="s">
        <v>1573</v>
      </c>
      <c r="J194" s="13">
        <v>100.0</v>
      </c>
      <c r="K194" s="14" t="s">
        <v>93</v>
      </c>
      <c r="L194" s="14" t="s">
        <v>1574</v>
      </c>
      <c r="M194" s="14" t="s">
        <v>1575</v>
      </c>
      <c r="N194" s="16" t="s">
        <v>1576</v>
      </c>
      <c r="O194" s="17" t="s">
        <v>1577</v>
      </c>
      <c r="P194" s="26" t="s">
        <v>1578</v>
      </c>
      <c r="Q194" s="5" t="s">
        <v>30</v>
      </c>
      <c r="R194" s="18"/>
      <c r="S194" s="18"/>
      <c r="T194" s="18"/>
      <c r="U194" s="18"/>
      <c r="V194" s="18"/>
      <c r="W194" s="18"/>
      <c r="X194" s="18"/>
      <c r="Y194" s="18"/>
      <c r="Z194" s="18"/>
    </row>
    <row r="195" ht="21.0" customHeight="1">
      <c r="A195" s="4">
        <v>194.0</v>
      </c>
      <c r="B195" s="5" t="s">
        <v>1579</v>
      </c>
      <c r="C195" s="5" t="s">
        <v>18</v>
      </c>
      <c r="D195" s="5" t="s">
        <v>1580</v>
      </c>
      <c r="E195" s="5" t="s">
        <v>1581</v>
      </c>
      <c r="F195" s="5" t="s">
        <v>1470</v>
      </c>
      <c r="G195" s="5" t="s">
        <v>1582</v>
      </c>
      <c r="H195" s="5" t="s">
        <v>23</v>
      </c>
      <c r="I195" s="6" t="s">
        <v>1583</v>
      </c>
      <c r="J195" s="4">
        <v>100.0</v>
      </c>
      <c r="K195" s="5" t="s">
        <v>110</v>
      </c>
      <c r="L195" s="5" t="s">
        <v>1584</v>
      </c>
      <c r="M195" s="5" t="s">
        <v>1585</v>
      </c>
      <c r="N195" s="7" t="s">
        <v>1586</v>
      </c>
      <c r="O195" s="9" t="s">
        <v>1587</v>
      </c>
      <c r="P195" s="27" t="s">
        <v>1588</v>
      </c>
      <c r="Q195" s="5" t="s">
        <v>30</v>
      </c>
    </row>
    <row r="196" ht="21.0" customHeight="1">
      <c r="A196" s="4">
        <v>195.0</v>
      </c>
      <c r="B196" s="5" t="s">
        <v>1589</v>
      </c>
      <c r="C196" s="5" t="s">
        <v>18</v>
      </c>
      <c r="D196" s="5" t="s">
        <v>1590</v>
      </c>
      <c r="E196" s="5" t="s">
        <v>1591</v>
      </c>
      <c r="F196" s="5" t="s">
        <v>1470</v>
      </c>
      <c r="G196" s="5" t="s">
        <v>1592</v>
      </c>
      <c r="H196" s="5" t="s">
        <v>23</v>
      </c>
      <c r="I196" s="6" t="s">
        <v>1593</v>
      </c>
      <c r="J196" s="4">
        <v>100.0</v>
      </c>
      <c r="K196" s="5" t="s">
        <v>292</v>
      </c>
      <c r="L196" s="5" t="s">
        <v>1594</v>
      </c>
      <c r="M196" s="5" t="s">
        <v>1595</v>
      </c>
      <c r="N196" s="7" t="s">
        <v>1596</v>
      </c>
      <c r="O196" s="9" t="s">
        <v>1597</v>
      </c>
      <c r="P196" s="19" t="s">
        <v>1598</v>
      </c>
      <c r="Q196" s="5" t="s">
        <v>30</v>
      </c>
    </row>
    <row r="197" ht="21.0" customHeight="1">
      <c r="A197" s="4">
        <v>196.0</v>
      </c>
      <c r="B197" s="5" t="s">
        <v>1599</v>
      </c>
      <c r="C197" s="5" t="s">
        <v>18</v>
      </c>
      <c r="D197" s="5" t="s">
        <v>19</v>
      </c>
      <c r="E197" s="5" t="s">
        <v>1600</v>
      </c>
      <c r="F197" s="5" t="s">
        <v>1470</v>
      </c>
      <c r="G197" s="5" t="s">
        <v>1601</v>
      </c>
      <c r="H197" s="5" t="s">
        <v>23</v>
      </c>
      <c r="I197" s="6" t="s">
        <v>1602</v>
      </c>
      <c r="J197" s="4">
        <v>100.0</v>
      </c>
      <c r="K197" s="5" t="s">
        <v>316</v>
      </c>
      <c r="L197" s="5" t="s">
        <v>1603</v>
      </c>
      <c r="M197" s="5" t="s">
        <v>1604</v>
      </c>
      <c r="N197" s="10" t="s">
        <v>1605</v>
      </c>
      <c r="O197" s="9" t="s">
        <v>1606</v>
      </c>
      <c r="P197" s="19" t="s">
        <v>1607</v>
      </c>
      <c r="Q197" s="5" t="s">
        <v>30</v>
      </c>
    </row>
    <row r="198" ht="21.0" customHeight="1">
      <c r="A198" s="4">
        <v>197.0</v>
      </c>
      <c r="B198" s="5" t="s">
        <v>1608</v>
      </c>
      <c r="C198" s="5" t="s">
        <v>18</v>
      </c>
      <c r="D198" s="5" t="s">
        <v>19</v>
      </c>
      <c r="E198" s="5" t="s">
        <v>1609</v>
      </c>
      <c r="F198" s="5" t="s">
        <v>1470</v>
      </c>
      <c r="G198" s="5" t="s">
        <v>1610</v>
      </c>
      <c r="H198" s="5" t="s">
        <v>23</v>
      </c>
      <c r="I198" s="6" t="s">
        <v>1611</v>
      </c>
      <c r="J198" s="4">
        <v>100.0</v>
      </c>
      <c r="K198" s="5" t="s">
        <v>25</v>
      </c>
      <c r="L198" s="5" t="s">
        <v>1564</v>
      </c>
      <c r="M198" s="5" t="s">
        <v>1612</v>
      </c>
      <c r="N198" s="7" t="s">
        <v>1613</v>
      </c>
      <c r="O198" s="9" t="s">
        <v>792</v>
      </c>
      <c r="P198" s="5" t="s">
        <v>30</v>
      </c>
      <c r="Q198" s="5" t="s">
        <v>30</v>
      </c>
    </row>
    <row r="199" ht="21.0" customHeight="1">
      <c r="A199" s="4">
        <v>198.0</v>
      </c>
      <c r="B199" s="5" t="s">
        <v>1614</v>
      </c>
      <c r="C199" s="5" t="s">
        <v>18</v>
      </c>
      <c r="D199" s="5" t="s">
        <v>1615</v>
      </c>
      <c r="E199" s="5" t="s">
        <v>1616</v>
      </c>
      <c r="F199" s="5" t="s">
        <v>1470</v>
      </c>
      <c r="G199" s="5" t="s">
        <v>1617</v>
      </c>
      <c r="H199" s="5" t="s">
        <v>23</v>
      </c>
      <c r="I199" s="6" t="s">
        <v>1618</v>
      </c>
      <c r="J199" s="4">
        <v>100.0</v>
      </c>
      <c r="K199" s="5" t="s">
        <v>316</v>
      </c>
      <c r="L199" s="5" t="s">
        <v>1619</v>
      </c>
      <c r="M199" s="5" t="s">
        <v>1620</v>
      </c>
      <c r="N199" s="7" t="s">
        <v>1621</v>
      </c>
      <c r="O199" s="9" t="s">
        <v>1622</v>
      </c>
      <c r="P199" s="19" t="s">
        <v>1623</v>
      </c>
      <c r="Q199" s="5" t="s">
        <v>30</v>
      </c>
    </row>
    <row r="200" ht="21.0" customHeight="1">
      <c r="A200" s="4">
        <v>199.0</v>
      </c>
      <c r="B200" s="5" t="s">
        <v>1624</v>
      </c>
      <c r="C200" s="5" t="s">
        <v>18</v>
      </c>
      <c r="D200" s="5" t="s">
        <v>1625</v>
      </c>
      <c r="E200" s="5" t="s">
        <v>1626</v>
      </c>
      <c r="F200" s="5" t="s">
        <v>1470</v>
      </c>
      <c r="G200" s="5" t="s">
        <v>1627</v>
      </c>
      <c r="H200" s="5" t="s">
        <v>23</v>
      </c>
      <c r="I200" s="6" t="s">
        <v>1628</v>
      </c>
      <c r="J200" s="4">
        <v>100.0</v>
      </c>
      <c r="K200" s="5" t="s">
        <v>165</v>
      </c>
      <c r="L200" s="5" t="s">
        <v>1629</v>
      </c>
      <c r="M200" s="5" t="s">
        <v>1630</v>
      </c>
      <c r="N200" s="7" t="s">
        <v>1631</v>
      </c>
      <c r="O200" s="9" t="s">
        <v>1632</v>
      </c>
      <c r="P200" s="19" t="s">
        <v>1633</v>
      </c>
      <c r="Q200" s="5" t="s">
        <v>30</v>
      </c>
    </row>
    <row r="201" ht="21.0" customHeight="1">
      <c r="A201" s="4">
        <v>200.0</v>
      </c>
      <c r="B201" s="5" t="s">
        <v>1634</v>
      </c>
      <c r="C201" s="5" t="s">
        <v>18</v>
      </c>
      <c r="D201" s="5" t="s">
        <v>19</v>
      </c>
      <c r="E201" s="5" t="s">
        <v>1635</v>
      </c>
      <c r="F201" s="5" t="s">
        <v>1470</v>
      </c>
      <c r="G201" s="5" t="s">
        <v>1636</v>
      </c>
      <c r="H201" s="5" t="s">
        <v>23</v>
      </c>
      <c r="I201" s="6" t="s">
        <v>1637</v>
      </c>
      <c r="J201" s="4">
        <v>100.0</v>
      </c>
      <c r="K201" s="5" t="s">
        <v>275</v>
      </c>
      <c r="L201" s="5" t="s">
        <v>1638</v>
      </c>
      <c r="M201" s="5" t="s">
        <v>1639</v>
      </c>
      <c r="N201" s="7" t="s">
        <v>1640</v>
      </c>
      <c r="O201" s="9" t="s">
        <v>1641</v>
      </c>
      <c r="P201" s="19" t="s">
        <v>1642</v>
      </c>
      <c r="Q201" s="5" t="s">
        <v>30</v>
      </c>
    </row>
    <row r="202" ht="21.0" customHeight="1">
      <c r="A202" s="4">
        <v>201.0</v>
      </c>
      <c r="B202" s="5" t="s">
        <v>1643</v>
      </c>
      <c r="C202" s="5" t="s">
        <v>18</v>
      </c>
      <c r="D202" s="5" t="s">
        <v>19</v>
      </c>
      <c r="E202" s="5" t="s">
        <v>1644</v>
      </c>
      <c r="F202" s="5" t="s">
        <v>1470</v>
      </c>
      <c r="G202" s="5" t="s">
        <v>1645</v>
      </c>
      <c r="H202" s="5" t="s">
        <v>23</v>
      </c>
      <c r="I202" s="6" t="s">
        <v>1646</v>
      </c>
      <c r="J202" s="4">
        <v>100.0</v>
      </c>
      <c r="K202" s="5" t="s">
        <v>316</v>
      </c>
      <c r="L202" s="5" t="s">
        <v>1647</v>
      </c>
      <c r="M202" s="5" t="s">
        <v>1648</v>
      </c>
      <c r="N202" s="7" t="s">
        <v>1649</v>
      </c>
      <c r="O202" s="28" t="s">
        <v>1650</v>
      </c>
      <c r="P202" s="19" t="s">
        <v>1651</v>
      </c>
      <c r="Q202" s="5" t="s">
        <v>30</v>
      </c>
    </row>
    <row r="203" ht="21.0" customHeight="1">
      <c r="A203" s="4">
        <v>202.0</v>
      </c>
      <c r="B203" s="5" t="s">
        <v>1652</v>
      </c>
      <c r="C203" s="5" t="s">
        <v>1653</v>
      </c>
      <c r="D203" s="5" t="s">
        <v>1653</v>
      </c>
      <c r="E203" s="5" t="s">
        <v>1654</v>
      </c>
      <c r="F203" s="5" t="s">
        <v>1470</v>
      </c>
      <c r="G203" s="5" t="s">
        <v>1655</v>
      </c>
      <c r="H203" s="5" t="s">
        <v>23</v>
      </c>
      <c r="I203" s="6" t="s">
        <v>1656</v>
      </c>
      <c r="J203" s="4">
        <v>100.0</v>
      </c>
      <c r="K203" s="5" t="s">
        <v>216</v>
      </c>
      <c r="L203" s="5" t="s">
        <v>1657</v>
      </c>
      <c r="M203" s="5" t="s">
        <v>1658</v>
      </c>
      <c r="N203" s="7" t="s">
        <v>1659</v>
      </c>
      <c r="O203" s="9" t="s">
        <v>1660</v>
      </c>
      <c r="P203" s="19" t="s">
        <v>1661</v>
      </c>
      <c r="Q203" s="5" t="s">
        <v>30</v>
      </c>
    </row>
    <row r="204" ht="21.0" customHeight="1">
      <c r="A204" s="4">
        <v>203.0</v>
      </c>
      <c r="B204" s="5" t="s">
        <v>1662</v>
      </c>
      <c r="C204" s="5" t="s">
        <v>1663</v>
      </c>
      <c r="D204" s="5" t="s">
        <v>19</v>
      </c>
      <c r="E204" s="5" t="s">
        <v>1664</v>
      </c>
      <c r="F204" s="5" t="s">
        <v>1470</v>
      </c>
      <c r="G204" s="5" t="s">
        <v>1665</v>
      </c>
      <c r="H204" s="5" t="s">
        <v>23</v>
      </c>
      <c r="I204" s="6" t="s">
        <v>1666</v>
      </c>
      <c r="J204" s="4">
        <v>100.0</v>
      </c>
      <c r="K204" s="5" t="s">
        <v>25</v>
      </c>
      <c r="L204" s="5" t="s">
        <v>1667</v>
      </c>
      <c r="M204" s="5" t="s">
        <v>1668</v>
      </c>
      <c r="N204" s="7" t="s">
        <v>1669</v>
      </c>
      <c r="O204" s="9" t="s">
        <v>1670</v>
      </c>
      <c r="P204" s="19" t="s">
        <v>1671</v>
      </c>
      <c r="Q204" s="5" t="s">
        <v>30</v>
      </c>
    </row>
    <row r="205" ht="21.0" customHeight="1">
      <c r="A205" s="4">
        <v>204.0</v>
      </c>
      <c r="B205" s="5" t="s">
        <v>1672</v>
      </c>
      <c r="C205" s="5" t="s">
        <v>18</v>
      </c>
      <c r="D205" s="5" t="s">
        <v>19</v>
      </c>
      <c r="E205" s="5" t="s">
        <v>1673</v>
      </c>
      <c r="F205" s="5" t="s">
        <v>1470</v>
      </c>
      <c r="G205" s="5" t="s">
        <v>1674</v>
      </c>
      <c r="H205" s="5" t="s">
        <v>23</v>
      </c>
      <c r="I205" s="6" t="s">
        <v>1675</v>
      </c>
      <c r="J205" s="4">
        <v>100.0</v>
      </c>
      <c r="K205" s="5" t="s">
        <v>557</v>
      </c>
      <c r="L205" s="5" t="s">
        <v>1676</v>
      </c>
      <c r="M205" s="5" t="s">
        <v>1677</v>
      </c>
      <c r="N205" s="7" t="s">
        <v>1678</v>
      </c>
      <c r="O205" s="9" t="s">
        <v>1679</v>
      </c>
      <c r="P205" s="19" t="s">
        <v>1680</v>
      </c>
      <c r="Q205" s="5" t="s">
        <v>30</v>
      </c>
    </row>
    <row r="206" ht="21.0" customHeight="1">
      <c r="A206" s="4">
        <v>205.0</v>
      </c>
      <c r="B206" s="5" t="s">
        <v>1681</v>
      </c>
      <c r="C206" s="5" t="s">
        <v>18</v>
      </c>
      <c r="D206" s="5" t="s">
        <v>1682</v>
      </c>
      <c r="E206" s="5" t="s">
        <v>1683</v>
      </c>
      <c r="F206" s="5" t="s">
        <v>1684</v>
      </c>
      <c r="G206" s="5" t="s">
        <v>1685</v>
      </c>
      <c r="H206" s="5" t="s">
        <v>23</v>
      </c>
      <c r="I206" s="6" t="s">
        <v>1686</v>
      </c>
      <c r="J206" s="4">
        <v>100.0</v>
      </c>
      <c r="K206" s="5" t="s">
        <v>84</v>
      </c>
      <c r="L206" s="5" t="s">
        <v>1687</v>
      </c>
      <c r="M206" s="5" t="s">
        <v>1688</v>
      </c>
      <c r="N206" s="7" t="s">
        <v>1689</v>
      </c>
      <c r="O206" s="9" t="s">
        <v>1690</v>
      </c>
      <c r="P206" s="5" t="s">
        <v>30</v>
      </c>
      <c r="Q206" s="5" t="s">
        <v>30</v>
      </c>
    </row>
    <row r="207" ht="21.0" customHeight="1">
      <c r="A207" s="4">
        <v>206.0</v>
      </c>
      <c r="B207" s="5" t="s">
        <v>1691</v>
      </c>
      <c r="C207" s="5" t="s">
        <v>1692</v>
      </c>
      <c r="D207" s="5" t="s">
        <v>19</v>
      </c>
      <c r="E207" s="5" t="s">
        <v>1693</v>
      </c>
      <c r="F207" s="5" t="s">
        <v>1684</v>
      </c>
      <c r="G207" s="5" t="s">
        <v>1694</v>
      </c>
      <c r="H207" s="5" t="s">
        <v>23</v>
      </c>
      <c r="I207" s="6" t="s">
        <v>1695</v>
      </c>
      <c r="J207" s="4">
        <v>100.0</v>
      </c>
      <c r="K207" s="5" t="s">
        <v>25</v>
      </c>
      <c r="L207" s="5" t="s">
        <v>1696</v>
      </c>
      <c r="M207" s="5" t="s">
        <v>1697</v>
      </c>
      <c r="N207" s="7" t="s">
        <v>1698</v>
      </c>
      <c r="O207" s="9" t="s">
        <v>1699</v>
      </c>
      <c r="P207" s="19" t="s">
        <v>1700</v>
      </c>
      <c r="Q207" s="5" t="s">
        <v>30</v>
      </c>
    </row>
    <row r="208" ht="21.0" customHeight="1">
      <c r="A208" s="4">
        <v>207.0</v>
      </c>
      <c r="B208" s="5" t="s">
        <v>1701</v>
      </c>
      <c r="C208" s="5" t="s">
        <v>1702</v>
      </c>
      <c r="D208" s="5" t="s">
        <v>19</v>
      </c>
      <c r="E208" s="5" t="s">
        <v>1703</v>
      </c>
      <c r="F208" s="5" t="s">
        <v>1684</v>
      </c>
      <c r="G208" s="5" t="s">
        <v>1704</v>
      </c>
      <c r="H208" s="5" t="s">
        <v>23</v>
      </c>
      <c r="I208" s="6" t="s">
        <v>1705</v>
      </c>
      <c r="J208" s="4">
        <v>100.0</v>
      </c>
      <c r="K208" s="5" t="s">
        <v>25</v>
      </c>
      <c r="L208" s="5" t="s">
        <v>1706</v>
      </c>
      <c r="M208" s="5" t="s">
        <v>1707</v>
      </c>
      <c r="N208" s="7" t="s">
        <v>1708</v>
      </c>
      <c r="O208" s="9" t="s">
        <v>1709</v>
      </c>
      <c r="P208" s="29" t="s">
        <v>1710</v>
      </c>
      <c r="Q208" s="5" t="s">
        <v>30</v>
      </c>
    </row>
    <row r="209" ht="21.0" customHeight="1">
      <c r="A209" s="4">
        <v>208.0</v>
      </c>
      <c r="B209" s="5" t="s">
        <v>1711</v>
      </c>
      <c r="C209" s="5" t="s">
        <v>18</v>
      </c>
      <c r="D209" s="5" t="s">
        <v>1050</v>
      </c>
      <c r="E209" s="5" t="s">
        <v>1712</v>
      </c>
      <c r="F209" s="5" t="s">
        <v>1684</v>
      </c>
      <c r="G209" s="5" t="s">
        <v>1713</v>
      </c>
      <c r="H209" s="5" t="s">
        <v>23</v>
      </c>
      <c r="I209" s="6" t="s">
        <v>1714</v>
      </c>
      <c r="J209" s="4">
        <v>100.0</v>
      </c>
      <c r="K209" s="5" t="s">
        <v>84</v>
      </c>
      <c r="L209" s="5" t="s">
        <v>1715</v>
      </c>
      <c r="M209" s="5" t="s">
        <v>1716</v>
      </c>
      <c r="N209" s="7" t="s">
        <v>1717</v>
      </c>
      <c r="O209" s="9" t="s">
        <v>1718</v>
      </c>
      <c r="P209" s="19" t="s">
        <v>1719</v>
      </c>
      <c r="Q209" s="5" t="s">
        <v>30</v>
      </c>
    </row>
    <row r="210" ht="21.0" customHeight="1">
      <c r="A210" s="4">
        <v>209.0</v>
      </c>
      <c r="B210" s="5" t="s">
        <v>1720</v>
      </c>
      <c r="C210" s="5" t="s">
        <v>1721</v>
      </c>
      <c r="D210" s="5" t="s">
        <v>1722</v>
      </c>
      <c r="E210" s="5" t="s">
        <v>1723</v>
      </c>
      <c r="F210" s="5" t="s">
        <v>1684</v>
      </c>
      <c r="G210" s="5" t="s">
        <v>1724</v>
      </c>
      <c r="H210" s="5" t="s">
        <v>23</v>
      </c>
      <c r="I210" s="6" t="s">
        <v>1725</v>
      </c>
      <c r="J210" s="4">
        <v>100.0</v>
      </c>
      <c r="K210" s="5" t="s">
        <v>284</v>
      </c>
      <c r="L210" s="5" t="s">
        <v>1726</v>
      </c>
      <c r="M210" s="5" t="s">
        <v>1727</v>
      </c>
      <c r="N210" s="7" t="s">
        <v>1728</v>
      </c>
      <c r="O210" s="9" t="s">
        <v>1729</v>
      </c>
      <c r="P210" s="5" t="s">
        <v>30</v>
      </c>
      <c r="Q210" s="5" t="s">
        <v>30</v>
      </c>
    </row>
    <row r="211" ht="21.0" customHeight="1">
      <c r="A211" s="4">
        <v>210.0</v>
      </c>
      <c r="B211" s="5" t="s">
        <v>1730</v>
      </c>
      <c r="C211" s="5" t="s">
        <v>18</v>
      </c>
      <c r="D211" s="5" t="s">
        <v>19</v>
      </c>
      <c r="E211" s="5" t="s">
        <v>1731</v>
      </c>
      <c r="F211" s="5" t="s">
        <v>1684</v>
      </c>
      <c r="G211" s="5" t="s">
        <v>1732</v>
      </c>
      <c r="H211" s="5" t="s">
        <v>23</v>
      </c>
      <c r="I211" s="6" t="s">
        <v>1733</v>
      </c>
      <c r="J211" s="4">
        <v>100.0</v>
      </c>
      <c r="K211" s="5" t="s">
        <v>275</v>
      </c>
      <c r="L211" s="5" t="s">
        <v>1734</v>
      </c>
      <c r="M211" s="5" t="s">
        <v>1735</v>
      </c>
      <c r="N211" s="7" t="s">
        <v>1736</v>
      </c>
      <c r="O211" s="9" t="s">
        <v>1737</v>
      </c>
      <c r="P211" s="19" t="s">
        <v>1738</v>
      </c>
      <c r="Q211" s="5" t="s">
        <v>30</v>
      </c>
    </row>
    <row r="212" ht="21.0" customHeight="1">
      <c r="A212" s="4">
        <v>211.0</v>
      </c>
      <c r="B212" s="5" t="s">
        <v>1739</v>
      </c>
      <c r="C212" s="5" t="s">
        <v>18</v>
      </c>
      <c r="D212" s="5" t="s">
        <v>1740</v>
      </c>
      <c r="E212" s="5" t="s">
        <v>1741</v>
      </c>
      <c r="F212" s="5" t="s">
        <v>1684</v>
      </c>
      <c r="G212" s="5" t="s">
        <v>1742</v>
      </c>
      <c r="H212" s="5" t="s">
        <v>23</v>
      </c>
      <c r="I212" s="6" t="s">
        <v>1743</v>
      </c>
      <c r="J212" s="4">
        <v>100.0</v>
      </c>
      <c r="K212" s="5" t="s">
        <v>110</v>
      </c>
      <c r="L212" s="5" t="s">
        <v>1744</v>
      </c>
      <c r="M212" s="5" t="s">
        <v>1745</v>
      </c>
      <c r="N212" s="7" t="s">
        <v>1746</v>
      </c>
      <c r="O212" s="9" t="s">
        <v>1747</v>
      </c>
      <c r="P212" s="19" t="s">
        <v>1748</v>
      </c>
      <c r="Q212" s="5" t="s">
        <v>30</v>
      </c>
    </row>
    <row r="213" ht="21.0" customHeight="1">
      <c r="A213" s="4">
        <v>212.0</v>
      </c>
      <c r="B213" s="5" t="s">
        <v>1749</v>
      </c>
      <c r="C213" s="5" t="s">
        <v>1750</v>
      </c>
      <c r="D213" s="5" t="s">
        <v>1751</v>
      </c>
      <c r="E213" s="5" t="s">
        <v>1752</v>
      </c>
      <c r="F213" s="5" t="s">
        <v>1684</v>
      </c>
      <c r="G213" s="5" t="s">
        <v>1753</v>
      </c>
      <c r="H213" s="5" t="s">
        <v>23</v>
      </c>
      <c r="I213" s="6" t="s">
        <v>1754</v>
      </c>
      <c r="J213" s="4">
        <v>100.0</v>
      </c>
      <c r="K213" s="5" t="s">
        <v>275</v>
      </c>
      <c r="L213" s="5" t="s">
        <v>1755</v>
      </c>
      <c r="M213" s="5" t="s">
        <v>1756</v>
      </c>
      <c r="N213" s="7" t="s">
        <v>1757</v>
      </c>
      <c r="O213" s="9" t="s">
        <v>1758</v>
      </c>
      <c r="P213" s="19" t="s">
        <v>1759</v>
      </c>
      <c r="Q213" s="5" t="s">
        <v>30</v>
      </c>
    </row>
    <row r="214" ht="21.0" customHeight="1">
      <c r="A214" s="4">
        <v>213.0</v>
      </c>
      <c r="B214" s="5" t="s">
        <v>1760</v>
      </c>
      <c r="C214" s="5" t="s">
        <v>1761</v>
      </c>
      <c r="D214" s="5" t="s">
        <v>1762</v>
      </c>
      <c r="E214" s="5" t="s">
        <v>1763</v>
      </c>
      <c r="F214" s="5" t="s">
        <v>1684</v>
      </c>
      <c r="G214" s="5" t="s">
        <v>1764</v>
      </c>
      <c r="H214" s="5" t="s">
        <v>23</v>
      </c>
      <c r="I214" s="6" t="s">
        <v>1765</v>
      </c>
      <c r="J214" s="4">
        <v>100.0</v>
      </c>
      <c r="K214" s="5" t="s">
        <v>25</v>
      </c>
      <c r="L214" s="5" t="s">
        <v>1766</v>
      </c>
      <c r="M214" s="5" t="s">
        <v>1767</v>
      </c>
      <c r="N214" s="7" t="s">
        <v>1768</v>
      </c>
      <c r="O214" s="9" t="s">
        <v>1769</v>
      </c>
      <c r="P214" s="19" t="s">
        <v>1770</v>
      </c>
      <c r="Q214" s="5" t="s">
        <v>30</v>
      </c>
    </row>
    <row r="215" ht="21.0" customHeight="1">
      <c r="A215" s="4">
        <v>214.0</v>
      </c>
      <c r="B215" s="5" t="s">
        <v>1771</v>
      </c>
      <c r="C215" s="5" t="s">
        <v>18</v>
      </c>
      <c r="D215" s="5" t="s">
        <v>1772</v>
      </c>
      <c r="E215" s="5" t="s">
        <v>1773</v>
      </c>
      <c r="F215" s="5" t="s">
        <v>1684</v>
      </c>
      <c r="G215" s="5" t="s">
        <v>1774</v>
      </c>
      <c r="H215" s="5" t="s">
        <v>23</v>
      </c>
      <c r="I215" s="6" t="s">
        <v>1775</v>
      </c>
      <c r="J215" s="4">
        <v>100.0</v>
      </c>
      <c r="K215" s="5" t="s">
        <v>284</v>
      </c>
      <c r="L215" s="5" t="s">
        <v>1776</v>
      </c>
      <c r="M215" s="5" t="s">
        <v>1777</v>
      </c>
      <c r="N215" s="7" t="s">
        <v>1778</v>
      </c>
      <c r="O215" s="9" t="s">
        <v>1779</v>
      </c>
      <c r="P215" s="19" t="s">
        <v>1780</v>
      </c>
      <c r="Q215" s="5" t="s">
        <v>30</v>
      </c>
    </row>
    <row r="216" ht="21.0" customHeight="1">
      <c r="A216" s="4">
        <v>215.0</v>
      </c>
      <c r="B216" s="5" t="s">
        <v>1781</v>
      </c>
      <c r="C216" s="5" t="s">
        <v>18</v>
      </c>
      <c r="D216" s="5" t="s">
        <v>19</v>
      </c>
      <c r="E216" s="5" t="s">
        <v>1782</v>
      </c>
      <c r="F216" s="5" t="s">
        <v>1684</v>
      </c>
      <c r="G216" s="5" t="s">
        <v>1783</v>
      </c>
      <c r="H216" s="5" t="s">
        <v>23</v>
      </c>
      <c r="I216" s="6" t="s">
        <v>1784</v>
      </c>
      <c r="J216" s="4">
        <v>100.0</v>
      </c>
      <c r="K216" s="5" t="s">
        <v>216</v>
      </c>
      <c r="L216" s="5" t="s">
        <v>1785</v>
      </c>
      <c r="M216" s="5" t="s">
        <v>1786</v>
      </c>
      <c r="N216" s="7" t="s">
        <v>1787</v>
      </c>
      <c r="O216" s="9" t="s">
        <v>1788</v>
      </c>
      <c r="P216" s="5" t="s">
        <v>30</v>
      </c>
      <c r="Q216" s="5" t="s">
        <v>30</v>
      </c>
    </row>
    <row r="217" ht="21.0" customHeight="1">
      <c r="A217" s="4">
        <v>216.0</v>
      </c>
      <c r="B217" s="5" t="s">
        <v>1789</v>
      </c>
      <c r="C217" s="5" t="s">
        <v>18</v>
      </c>
      <c r="D217" s="5" t="s">
        <v>1790</v>
      </c>
      <c r="E217" s="5" t="s">
        <v>1791</v>
      </c>
      <c r="F217" s="5" t="s">
        <v>1684</v>
      </c>
      <c r="G217" s="5" t="s">
        <v>1792</v>
      </c>
      <c r="H217" s="5" t="s">
        <v>23</v>
      </c>
      <c r="I217" s="6" t="s">
        <v>1793</v>
      </c>
      <c r="J217" s="4">
        <v>100.0</v>
      </c>
      <c r="K217" s="5" t="s">
        <v>292</v>
      </c>
      <c r="L217" s="5" t="s">
        <v>1794</v>
      </c>
      <c r="M217" s="5" t="s">
        <v>1795</v>
      </c>
      <c r="N217" s="7" t="s">
        <v>1796</v>
      </c>
      <c r="O217" s="9" t="s">
        <v>1797</v>
      </c>
      <c r="P217" s="19" t="s">
        <v>1798</v>
      </c>
      <c r="Q217" s="5" t="s">
        <v>30</v>
      </c>
    </row>
    <row r="218" ht="21.0" customHeight="1">
      <c r="A218" s="4">
        <v>217.0</v>
      </c>
      <c r="B218" s="5" t="s">
        <v>1799</v>
      </c>
      <c r="C218" s="5" t="s">
        <v>18</v>
      </c>
      <c r="D218" s="5" t="s">
        <v>19</v>
      </c>
      <c r="E218" s="5" t="s">
        <v>1800</v>
      </c>
      <c r="F218" s="5" t="s">
        <v>1684</v>
      </c>
      <c r="G218" s="5" t="s">
        <v>1801</v>
      </c>
      <c r="H218" s="5" t="s">
        <v>23</v>
      </c>
      <c r="I218" s="6" t="s">
        <v>1802</v>
      </c>
      <c r="J218" s="4">
        <v>100.0</v>
      </c>
      <c r="K218" s="5" t="s">
        <v>110</v>
      </c>
      <c r="L218" s="5" t="s">
        <v>1803</v>
      </c>
      <c r="M218" s="5" t="s">
        <v>1804</v>
      </c>
      <c r="N218" s="7" t="s">
        <v>1805</v>
      </c>
      <c r="O218" s="9" t="s">
        <v>1806</v>
      </c>
      <c r="P218" s="19" t="s">
        <v>1807</v>
      </c>
      <c r="Q218" s="5" t="s">
        <v>30</v>
      </c>
    </row>
    <row r="219" ht="21.0" customHeight="1">
      <c r="A219" s="4">
        <v>218.0</v>
      </c>
      <c r="B219" s="5" t="s">
        <v>1808</v>
      </c>
      <c r="C219" s="5" t="s">
        <v>18</v>
      </c>
      <c r="D219" s="5" t="s">
        <v>1809</v>
      </c>
      <c r="E219" s="5" t="s">
        <v>1810</v>
      </c>
      <c r="F219" s="5" t="s">
        <v>1684</v>
      </c>
      <c r="G219" s="5" t="s">
        <v>1811</v>
      </c>
      <c r="H219" s="5" t="s">
        <v>23</v>
      </c>
      <c r="I219" s="6" t="s">
        <v>1812</v>
      </c>
      <c r="J219" s="4">
        <v>100.0</v>
      </c>
      <c r="K219" s="5" t="s">
        <v>1410</v>
      </c>
      <c r="L219" s="5" t="s">
        <v>1813</v>
      </c>
      <c r="M219" s="5" t="s">
        <v>1814</v>
      </c>
      <c r="N219" s="7" t="s">
        <v>1815</v>
      </c>
      <c r="O219" s="9" t="s">
        <v>1816</v>
      </c>
      <c r="P219" s="19" t="s">
        <v>1817</v>
      </c>
      <c r="Q219" s="5" t="s">
        <v>30</v>
      </c>
    </row>
    <row r="220" ht="21.0" customHeight="1">
      <c r="A220" s="4">
        <v>219.0</v>
      </c>
      <c r="B220" s="5" t="s">
        <v>1818</v>
      </c>
      <c r="C220" s="5" t="s">
        <v>18</v>
      </c>
      <c r="D220" s="5" t="s">
        <v>19</v>
      </c>
      <c r="E220" s="5" t="s">
        <v>1819</v>
      </c>
      <c r="F220" s="5" t="s">
        <v>1684</v>
      </c>
      <c r="G220" s="5" t="s">
        <v>1820</v>
      </c>
      <c r="H220" s="5" t="s">
        <v>23</v>
      </c>
      <c r="I220" s="6" t="s">
        <v>1821</v>
      </c>
      <c r="J220" s="4">
        <v>100.0</v>
      </c>
      <c r="K220" s="5" t="s">
        <v>84</v>
      </c>
      <c r="L220" s="5" t="s">
        <v>1822</v>
      </c>
      <c r="M220" s="5" t="s">
        <v>1823</v>
      </c>
      <c r="N220" s="7" t="s">
        <v>1824</v>
      </c>
      <c r="O220" s="9" t="s">
        <v>1825</v>
      </c>
      <c r="P220" s="19" t="s">
        <v>1826</v>
      </c>
      <c r="Q220" s="5" t="s">
        <v>30</v>
      </c>
    </row>
    <row r="221" ht="21.0" customHeight="1">
      <c r="A221" s="4">
        <v>220.0</v>
      </c>
      <c r="B221" s="5" t="s">
        <v>1827</v>
      </c>
      <c r="C221" s="5" t="s">
        <v>1828</v>
      </c>
      <c r="D221" s="5" t="s">
        <v>19</v>
      </c>
      <c r="E221" s="5" t="s">
        <v>1829</v>
      </c>
      <c r="F221" s="5" t="s">
        <v>1684</v>
      </c>
      <c r="G221" s="5" t="s">
        <v>1830</v>
      </c>
      <c r="H221" s="5" t="s">
        <v>23</v>
      </c>
      <c r="I221" s="6" t="s">
        <v>1831</v>
      </c>
      <c r="J221" s="4">
        <v>100.0</v>
      </c>
      <c r="K221" s="5" t="s">
        <v>93</v>
      </c>
      <c r="L221" s="5" t="s">
        <v>1832</v>
      </c>
      <c r="M221" s="5" t="s">
        <v>1833</v>
      </c>
      <c r="N221" s="7" t="s">
        <v>1834</v>
      </c>
      <c r="O221" s="9" t="s">
        <v>1835</v>
      </c>
      <c r="P221" s="19" t="s">
        <v>1836</v>
      </c>
      <c r="Q221" s="5" t="s">
        <v>30</v>
      </c>
    </row>
    <row r="222" ht="21.0" customHeight="1">
      <c r="A222" s="4">
        <v>221.0</v>
      </c>
      <c r="B222" s="5" t="s">
        <v>1837</v>
      </c>
      <c r="C222" s="5" t="s">
        <v>18</v>
      </c>
      <c r="D222" s="5" t="s">
        <v>1838</v>
      </c>
      <c r="E222" s="5" t="s">
        <v>1839</v>
      </c>
      <c r="F222" s="5" t="s">
        <v>1684</v>
      </c>
      <c r="G222" s="5" t="s">
        <v>1840</v>
      </c>
      <c r="H222" s="5" t="s">
        <v>23</v>
      </c>
      <c r="I222" s="6" t="s">
        <v>1841</v>
      </c>
      <c r="J222" s="4">
        <v>100.0</v>
      </c>
      <c r="K222" s="5" t="s">
        <v>517</v>
      </c>
      <c r="L222" s="5" t="s">
        <v>1842</v>
      </c>
      <c r="M222" s="5" t="s">
        <v>1843</v>
      </c>
      <c r="N222" s="7" t="s">
        <v>1844</v>
      </c>
      <c r="O222" s="9" t="s">
        <v>1845</v>
      </c>
      <c r="P222" s="5" t="s">
        <v>30</v>
      </c>
      <c r="Q222" s="5" t="s">
        <v>30</v>
      </c>
    </row>
    <row r="223" ht="21.0" customHeight="1">
      <c r="A223" s="4">
        <v>222.0</v>
      </c>
      <c r="B223" s="5" t="s">
        <v>1846</v>
      </c>
      <c r="C223" s="5" t="s">
        <v>18</v>
      </c>
      <c r="D223" s="5" t="s">
        <v>19</v>
      </c>
      <c r="E223" s="5" t="s">
        <v>1847</v>
      </c>
      <c r="F223" s="5" t="s">
        <v>1684</v>
      </c>
      <c r="G223" s="5" t="s">
        <v>1848</v>
      </c>
      <c r="H223" s="5" t="s">
        <v>23</v>
      </c>
      <c r="I223" s="6" t="s">
        <v>1849</v>
      </c>
      <c r="J223" s="4">
        <v>100.0</v>
      </c>
      <c r="K223" s="5" t="s">
        <v>216</v>
      </c>
      <c r="L223" s="5" t="s">
        <v>1850</v>
      </c>
      <c r="M223" s="5" t="s">
        <v>1851</v>
      </c>
      <c r="N223" s="7" t="s">
        <v>1852</v>
      </c>
      <c r="O223" s="9" t="s">
        <v>1853</v>
      </c>
      <c r="P223" s="19" t="s">
        <v>1854</v>
      </c>
      <c r="Q223" s="5" t="s">
        <v>30</v>
      </c>
    </row>
    <row r="224" ht="21.0" customHeight="1">
      <c r="A224" s="4">
        <v>223.0</v>
      </c>
      <c r="B224" s="5" t="s">
        <v>1855</v>
      </c>
      <c r="C224" s="5" t="s">
        <v>1856</v>
      </c>
      <c r="D224" s="5" t="s">
        <v>19</v>
      </c>
      <c r="E224" s="5" t="s">
        <v>1857</v>
      </c>
      <c r="F224" s="5" t="s">
        <v>1684</v>
      </c>
      <c r="G224" s="5" t="s">
        <v>1858</v>
      </c>
      <c r="H224" s="5" t="s">
        <v>23</v>
      </c>
      <c r="I224" s="6" t="s">
        <v>1859</v>
      </c>
      <c r="J224" s="4">
        <v>100.0</v>
      </c>
      <c r="K224" s="5" t="s">
        <v>25</v>
      </c>
      <c r="L224" s="5" t="s">
        <v>1860</v>
      </c>
      <c r="M224" s="5" t="s">
        <v>1861</v>
      </c>
      <c r="N224" s="7" t="s">
        <v>1862</v>
      </c>
      <c r="O224" s="9" t="s">
        <v>1863</v>
      </c>
      <c r="P224" s="19" t="s">
        <v>1864</v>
      </c>
      <c r="Q224" s="5" t="s">
        <v>30</v>
      </c>
    </row>
    <row r="225" ht="21.0" customHeight="1">
      <c r="A225" s="4">
        <v>224.0</v>
      </c>
      <c r="B225" s="5" t="s">
        <v>1865</v>
      </c>
      <c r="C225" s="5" t="s">
        <v>1866</v>
      </c>
      <c r="D225" s="5" t="s">
        <v>1867</v>
      </c>
      <c r="E225" s="5" t="s">
        <v>1868</v>
      </c>
      <c r="F225" s="5" t="s">
        <v>1684</v>
      </c>
      <c r="G225" s="5" t="s">
        <v>34</v>
      </c>
      <c r="H225" s="5" t="s">
        <v>23</v>
      </c>
      <c r="I225" s="6" t="s">
        <v>1869</v>
      </c>
      <c r="J225" s="4">
        <v>100.0</v>
      </c>
      <c r="K225" s="5" t="s">
        <v>165</v>
      </c>
      <c r="L225" s="5" t="s">
        <v>1870</v>
      </c>
      <c r="M225" s="5" t="s">
        <v>1871</v>
      </c>
      <c r="N225" s="7" t="s">
        <v>1872</v>
      </c>
      <c r="O225" s="9" t="s">
        <v>1873</v>
      </c>
      <c r="P225" s="19" t="s">
        <v>1874</v>
      </c>
      <c r="Q225" s="5" t="s">
        <v>30</v>
      </c>
    </row>
    <row r="226" ht="21.0" customHeight="1">
      <c r="A226" s="4">
        <v>225.0</v>
      </c>
      <c r="B226" s="5" t="s">
        <v>1875</v>
      </c>
      <c r="C226" s="5" t="s">
        <v>1876</v>
      </c>
      <c r="D226" s="5" t="s">
        <v>1877</v>
      </c>
      <c r="E226" s="5" t="s">
        <v>1878</v>
      </c>
      <c r="F226" s="5" t="s">
        <v>1684</v>
      </c>
      <c r="G226" s="5" t="s">
        <v>1879</v>
      </c>
      <c r="H226" s="5" t="s">
        <v>23</v>
      </c>
      <c r="I226" s="6" t="s">
        <v>1880</v>
      </c>
      <c r="J226" s="4">
        <v>100.0</v>
      </c>
      <c r="K226" s="5" t="s">
        <v>157</v>
      </c>
      <c r="L226" s="5" t="s">
        <v>1881</v>
      </c>
      <c r="M226" s="5" t="s">
        <v>1882</v>
      </c>
      <c r="N226" s="7" t="s">
        <v>1883</v>
      </c>
      <c r="O226" s="9" t="s">
        <v>1884</v>
      </c>
      <c r="P226" s="19" t="s">
        <v>1885</v>
      </c>
      <c r="Q226" s="5" t="s">
        <v>30</v>
      </c>
    </row>
    <row r="227" ht="21.0" customHeight="1">
      <c r="A227" s="4">
        <v>226.0</v>
      </c>
      <c r="B227" s="5" t="s">
        <v>1886</v>
      </c>
      <c r="C227" s="5" t="s">
        <v>18</v>
      </c>
      <c r="D227" s="5" t="s">
        <v>19</v>
      </c>
      <c r="E227" s="5" t="s">
        <v>1887</v>
      </c>
      <c r="F227" s="5" t="s">
        <v>1684</v>
      </c>
      <c r="G227" s="5" t="s">
        <v>1888</v>
      </c>
      <c r="H227" s="5" t="s">
        <v>23</v>
      </c>
      <c r="I227" s="6" t="s">
        <v>1889</v>
      </c>
      <c r="J227" s="4">
        <v>100.0</v>
      </c>
      <c r="K227" s="5" t="s">
        <v>93</v>
      </c>
      <c r="L227" s="5" t="s">
        <v>1890</v>
      </c>
      <c r="M227" s="5" t="s">
        <v>1891</v>
      </c>
      <c r="N227" s="7" t="s">
        <v>1892</v>
      </c>
      <c r="O227" s="9" t="s">
        <v>1893</v>
      </c>
      <c r="P227" s="19" t="s">
        <v>1894</v>
      </c>
      <c r="Q227" s="5" t="s">
        <v>30</v>
      </c>
    </row>
    <row r="228" ht="21.0" customHeight="1">
      <c r="A228" s="4">
        <v>227.0</v>
      </c>
      <c r="B228" s="5" t="s">
        <v>1895</v>
      </c>
      <c r="C228" s="5" t="s">
        <v>18</v>
      </c>
      <c r="D228" s="5" t="s">
        <v>19</v>
      </c>
      <c r="E228" s="5" t="s">
        <v>1896</v>
      </c>
      <c r="F228" s="5" t="s">
        <v>1684</v>
      </c>
      <c r="G228" s="5" t="s">
        <v>1897</v>
      </c>
      <c r="H228" s="5" t="s">
        <v>23</v>
      </c>
      <c r="I228" s="6" t="s">
        <v>1898</v>
      </c>
      <c r="J228" s="4">
        <v>100.0</v>
      </c>
      <c r="K228" s="5" t="s">
        <v>84</v>
      </c>
      <c r="L228" s="5" t="s">
        <v>1899</v>
      </c>
      <c r="M228" s="5" t="s">
        <v>1900</v>
      </c>
      <c r="N228" s="7" t="s">
        <v>1901</v>
      </c>
      <c r="O228" s="9" t="s">
        <v>1902</v>
      </c>
      <c r="P228" s="19" t="s">
        <v>1903</v>
      </c>
      <c r="Q228" s="5" t="s">
        <v>30</v>
      </c>
    </row>
    <row r="229" ht="21.0" customHeight="1">
      <c r="A229" s="4">
        <v>228.0</v>
      </c>
      <c r="B229" s="5" t="s">
        <v>1904</v>
      </c>
      <c r="C229" s="5" t="s">
        <v>18</v>
      </c>
      <c r="D229" s="5" t="s">
        <v>1905</v>
      </c>
      <c r="E229" s="5" t="s">
        <v>1906</v>
      </c>
      <c r="F229" s="5" t="s">
        <v>1684</v>
      </c>
      <c r="G229" s="5" t="s">
        <v>1907</v>
      </c>
      <c r="H229" s="5" t="s">
        <v>23</v>
      </c>
      <c r="I229" s="6" t="s">
        <v>1908</v>
      </c>
      <c r="J229" s="4">
        <v>100.0</v>
      </c>
      <c r="K229" s="5" t="s">
        <v>157</v>
      </c>
      <c r="L229" s="5" t="s">
        <v>1909</v>
      </c>
      <c r="M229" s="5" t="s">
        <v>1910</v>
      </c>
      <c r="N229" s="7" t="s">
        <v>1911</v>
      </c>
      <c r="O229" s="9" t="s">
        <v>1912</v>
      </c>
      <c r="P229" s="5" t="s">
        <v>30</v>
      </c>
      <c r="Q229" s="5" t="s">
        <v>30</v>
      </c>
    </row>
    <row r="230" ht="21.0" customHeight="1">
      <c r="A230" s="4">
        <v>229.0</v>
      </c>
      <c r="B230" s="5" t="s">
        <v>1913</v>
      </c>
      <c r="C230" s="5" t="s">
        <v>1914</v>
      </c>
      <c r="D230" s="5" t="s">
        <v>1915</v>
      </c>
      <c r="E230" s="5" t="s">
        <v>1916</v>
      </c>
      <c r="F230" s="5" t="s">
        <v>1684</v>
      </c>
      <c r="G230" s="5" t="s">
        <v>1917</v>
      </c>
      <c r="H230" s="5" t="s">
        <v>23</v>
      </c>
      <c r="I230" s="6" t="s">
        <v>1918</v>
      </c>
      <c r="J230" s="4">
        <v>100.0</v>
      </c>
      <c r="K230" s="5" t="s">
        <v>316</v>
      </c>
      <c r="L230" s="5" t="s">
        <v>1919</v>
      </c>
      <c r="M230" s="5" t="s">
        <v>1920</v>
      </c>
      <c r="N230" s="7" t="s">
        <v>1921</v>
      </c>
      <c r="O230" s="9" t="s">
        <v>1922</v>
      </c>
      <c r="P230" s="19" t="s">
        <v>1923</v>
      </c>
      <c r="Q230" s="5" t="s">
        <v>30</v>
      </c>
    </row>
    <row r="231" ht="21.0" customHeight="1">
      <c r="A231" s="4">
        <v>230.0</v>
      </c>
      <c r="B231" s="5" t="s">
        <v>1924</v>
      </c>
      <c r="C231" s="5" t="s">
        <v>1925</v>
      </c>
      <c r="D231" s="5" t="s">
        <v>1926</v>
      </c>
      <c r="E231" s="5" t="s">
        <v>1927</v>
      </c>
      <c r="F231" s="5" t="s">
        <v>1684</v>
      </c>
      <c r="G231" s="5" t="s">
        <v>1928</v>
      </c>
      <c r="H231" s="5" t="s">
        <v>23</v>
      </c>
      <c r="I231" s="6" t="s">
        <v>1929</v>
      </c>
      <c r="J231" s="4">
        <v>100.0</v>
      </c>
      <c r="K231" s="5" t="s">
        <v>110</v>
      </c>
      <c r="L231" s="5" t="s">
        <v>1930</v>
      </c>
      <c r="M231" s="5" t="s">
        <v>1931</v>
      </c>
      <c r="N231" s="7" t="s">
        <v>1932</v>
      </c>
      <c r="O231" s="9" t="s">
        <v>1933</v>
      </c>
      <c r="P231" s="5" t="s">
        <v>30</v>
      </c>
      <c r="Q231" s="5" t="s">
        <v>30</v>
      </c>
    </row>
    <row r="232" ht="21.0" customHeight="1">
      <c r="A232" s="4">
        <v>231.0</v>
      </c>
      <c r="B232" s="5" t="s">
        <v>1934</v>
      </c>
      <c r="C232" s="5" t="s">
        <v>18</v>
      </c>
      <c r="D232" s="5" t="s">
        <v>1935</v>
      </c>
      <c r="E232" s="5" t="s">
        <v>1936</v>
      </c>
      <c r="F232" s="5" t="s">
        <v>1684</v>
      </c>
      <c r="G232" s="5" t="s">
        <v>1937</v>
      </c>
      <c r="H232" s="5" t="s">
        <v>23</v>
      </c>
      <c r="I232" s="6" t="s">
        <v>1938</v>
      </c>
      <c r="J232" s="4">
        <v>100.0</v>
      </c>
      <c r="K232" s="5" t="s">
        <v>165</v>
      </c>
      <c r="L232" s="5" t="s">
        <v>1939</v>
      </c>
      <c r="M232" s="5" t="s">
        <v>1940</v>
      </c>
      <c r="N232" s="7" t="s">
        <v>1941</v>
      </c>
      <c r="O232" s="9" t="s">
        <v>1942</v>
      </c>
      <c r="P232" s="19" t="s">
        <v>1943</v>
      </c>
      <c r="Q232" s="5" t="s">
        <v>30</v>
      </c>
    </row>
    <row r="233" ht="21.0" customHeight="1">
      <c r="A233" s="4">
        <v>232.0</v>
      </c>
      <c r="B233" s="5" t="s">
        <v>1944</v>
      </c>
      <c r="C233" s="5" t="s">
        <v>18</v>
      </c>
      <c r="D233" s="5" t="s">
        <v>19</v>
      </c>
      <c r="E233" s="5" t="s">
        <v>1945</v>
      </c>
      <c r="F233" s="5" t="s">
        <v>1684</v>
      </c>
      <c r="G233" s="5" t="s">
        <v>1946</v>
      </c>
      <c r="H233" s="5" t="s">
        <v>23</v>
      </c>
      <c r="I233" s="6" t="s">
        <v>1947</v>
      </c>
      <c r="J233" s="4">
        <v>100.0</v>
      </c>
      <c r="K233" s="5" t="s">
        <v>110</v>
      </c>
      <c r="L233" s="5" t="s">
        <v>1948</v>
      </c>
      <c r="M233" s="5" t="s">
        <v>1949</v>
      </c>
      <c r="N233" s="7" t="s">
        <v>1950</v>
      </c>
      <c r="O233" s="9" t="s">
        <v>1951</v>
      </c>
      <c r="P233" s="19" t="s">
        <v>1952</v>
      </c>
      <c r="Q233" s="5" t="s">
        <v>30</v>
      </c>
    </row>
    <row r="234" ht="21.0" customHeight="1">
      <c r="A234" s="4">
        <v>233.0</v>
      </c>
      <c r="B234" s="5" t="s">
        <v>1953</v>
      </c>
      <c r="C234" s="5" t="s">
        <v>18</v>
      </c>
      <c r="D234" s="5" t="s">
        <v>1954</v>
      </c>
      <c r="E234" s="5" t="s">
        <v>1955</v>
      </c>
      <c r="F234" s="5" t="s">
        <v>1684</v>
      </c>
      <c r="G234" s="5" t="s">
        <v>1956</v>
      </c>
      <c r="H234" s="5" t="s">
        <v>23</v>
      </c>
      <c r="I234" s="6" t="s">
        <v>1957</v>
      </c>
      <c r="J234" s="4">
        <v>100.0</v>
      </c>
      <c r="K234" s="5" t="s">
        <v>84</v>
      </c>
      <c r="L234" s="5" t="s">
        <v>1958</v>
      </c>
      <c r="M234" s="5" t="s">
        <v>1959</v>
      </c>
      <c r="N234" s="7" t="s">
        <v>1960</v>
      </c>
      <c r="O234" s="9" t="s">
        <v>1961</v>
      </c>
      <c r="P234" s="19" t="s">
        <v>1962</v>
      </c>
      <c r="Q234" s="5" t="s">
        <v>30</v>
      </c>
    </row>
    <row r="235" ht="21.0" customHeight="1">
      <c r="A235" s="4">
        <v>234.0</v>
      </c>
      <c r="B235" s="5" t="s">
        <v>1963</v>
      </c>
      <c r="C235" s="5" t="s">
        <v>18</v>
      </c>
      <c r="D235" s="5" t="s">
        <v>1964</v>
      </c>
      <c r="E235" s="5" t="s">
        <v>1965</v>
      </c>
      <c r="F235" s="5" t="s">
        <v>1684</v>
      </c>
      <c r="G235" s="5" t="s">
        <v>1966</v>
      </c>
      <c r="H235" s="5" t="s">
        <v>23</v>
      </c>
      <c r="I235" s="6" t="s">
        <v>1967</v>
      </c>
      <c r="J235" s="4">
        <v>100.0</v>
      </c>
      <c r="K235" s="5" t="s">
        <v>110</v>
      </c>
      <c r="L235" s="5" t="s">
        <v>1968</v>
      </c>
      <c r="M235" s="5" t="s">
        <v>1969</v>
      </c>
      <c r="N235" s="7" t="s">
        <v>1970</v>
      </c>
      <c r="O235" s="9" t="s">
        <v>1971</v>
      </c>
      <c r="P235" s="19" t="s">
        <v>1972</v>
      </c>
      <c r="Q235" s="5" t="s">
        <v>30</v>
      </c>
    </row>
    <row r="236" ht="21.0" customHeight="1">
      <c r="A236" s="4">
        <v>235.0</v>
      </c>
      <c r="B236" s="5" t="s">
        <v>1973</v>
      </c>
      <c r="C236" s="5" t="s">
        <v>18</v>
      </c>
      <c r="D236" s="5" t="s">
        <v>1121</v>
      </c>
      <c r="E236" s="5" t="s">
        <v>1974</v>
      </c>
      <c r="F236" s="5" t="s">
        <v>1684</v>
      </c>
      <c r="G236" s="5" t="s">
        <v>1975</v>
      </c>
      <c r="H236" s="5" t="s">
        <v>23</v>
      </c>
      <c r="I236" s="6" t="s">
        <v>1976</v>
      </c>
      <c r="J236" s="4">
        <v>100.0</v>
      </c>
      <c r="K236" s="5" t="s">
        <v>25</v>
      </c>
      <c r="L236" s="5" t="s">
        <v>1977</v>
      </c>
      <c r="M236" s="5" t="s">
        <v>1978</v>
      </c>
      <c r="N236" s="7" t="s">
        <v>1979</v>
      </c>
      <c r="O236" s="9" t="s">
        <v>1980</v>
      </c>
      <c r="P236" s="19" t="s">
        <v>1981</v>
      </c>
      <c r="Q236" s="5" t="s">
        <v>30</v>
      </c>
    </row>
    <row r="237" ht="21.0" customHeight="1">
      <c r="A237" s="4">
        <v>236.0</v>
      </c>
      <c r="B237" s="5" t="s">
        <v>1982</v>
      </c>
      <c r="C237" s="5" t="s">
        <v>18</v>
      </c>
      <c r="D237" s="5" t="s">
        <v>19</v>
      </c>
      <c r="E237" s="5" t="s">
        <v>1983</v>
      </c>
      <c r="F237" s="5" t="s">
        <v>1684</v>
      </c>
      <c r="G237" s="5" t="s">
        <v>1984</v>
      </c>
      <c r="H237" s="5" t="s">
        <v>23</v>
      </c>
      <c r="I237" s="6" t="s">
        <v>1985</v>
      </c>
      <c r="J237" s="4">
        <v>100.0</v>
      </c>
      <c r="K237" s="5" t="s">
        <v>386</v>
      </c>
      <c r="L237" s="5" t="s">
        <v>1986</v>
      </c>
      <c r="M237" s="5" t="s">
        <v>1987</v>
      </c>
      <c r="N237" s="7" t="s">
        <v>1988</v>
      </c>
      <c r="O237" s="9" t="s">
        <v>1989</v>
      </c>
      <c r="P237" s="19" t="s">
        <v>1990</v>
      </c>
      <c r="Q237" s="5" t="s">
        <v>30</v>
      </c>
    </row>
    <row r="238" ht="21.0" customHeight="1">
      <c r="A238" s="4">
        <v>237.0</v>
      </c>
      <c r="B238" s="5" t="s">
        <v>1991</v>
      </c>
      <c r="C238" s="5" t="s">
        <v>18</v>
      </c>
      <c r="D238" s="5" t="s">
        <v>19</v>
      </c>
      <c r="E238" s="5" t="s">
        <v>1992</v>
      </c>
      <c r="F238" s="5" t="s">
        <v>1684</v>
      </c>
      <c r="G238" s="5" t="s">
        <v>1993</v>
      </c>
      <c r="H238" s="5" t="s">
        <v>23</v>
      </c>
      <c r="I238" s="6" t="s">
        <v>1994</v>
      </c>
      <c r="J238" s="4">
        <v>100.0</v>
      </c>
      <c r="K238" s="5" t="s">
        <v>157</v>
      </c>
      <c r="L238" s="5" t="s">
        <v>1995</v>
      </c>
      <c r="M238" s="5" t="s">
        <v>1996</v>
      </c>
      <c r="N238" s="7" t="s">
        <v>1997</v>
      </c>
      <c r="O238" s="9" t="s">
        <v>1998</v>
      </c>
      <c r="P238" s="19" t="s">
        <v>1999</v>
      </c>
      <c r="Q238" s="5" t="s">
        <v>30</v>
      </c>
    </row>
    <row r="239" ht="21.0" customHeight="1">
      <c r="A239" s="4">
        <v>238.0</v>
      </c>
      <c r="B239" s="5" t="s">
        <v>2000</v>
      </c>
      <c r="C239" s="5" t="s">
        <v>2001</v>
      </c>
      <c r="D239" s="5" t="s">
        <v>19</v>
      </c>
      <c r="E239" s="5" t="s">
        <v>2002</v>
      </c>
      <c r="F239" s="5" t="s">
        <v>1684</v>
      </c>
      <c r="G239" s="5" t="s">
        <v>2003</v>
      </c>
      <c r="H239" s="5" t="s">
        <v>23</v>
      </c>
      <c r="I239" s="6" t="s">
        <v>2004</v>
      </c>
      <c r="J239" s="4">
        <v>100.0</v>
      </c>
      <c r="K239" s="5" t="s">
        <v>25</v>
      </c>
      <c r="L239" s="5" t="s">
        <v>2005</v>
      </c>
      <c r="M239" s="5" t="s">
        <v>2006</v>
      </c>
      <c r="N239" s="7" t="s">
        <v>2007</v>
      </c>
      <c r="O239" s="9" t="s">
        <v>2008</v>
      </c>
      <c r="P239" s="19" t="s">
        <v>2009</v>
      </c>
      <c r="Q239" s="5" t="s">
        <v>30</v>
      </c>
    </row>
    <row r="240" ht="21.0" customHeight="1">
      <c r="A240" s="4">
        <v>239.0</v>
      </c>
      <c r="B240" s="5" t="s">
        <v>2010</v>
      </c>
      <c r="C240" s="5" t="s">
        <v>18</v>
      </c>
      <c r="D240" s="5" t="s">
        <v>2011</v>
      </c>
      <c r="E240" s="5" t="s">
        <v>2012</v>
      </c>
      <c r="F240" s="5" t="s">
        <v>1684</v>
      </c>
      <c r="G240" s="5" t="s">
        <v>2013</v>
      </c>
      <c r="H240" s="5" t="s">
        <v>23</v>
      </c>
      <c r="I240" s="6" t="s">
        <v>2014</v>
      </c>
      <c r="J240" s="4">
        <v>100.0</v>
      </c>
      <c r="K240" s="5" t="s">
        <v>1070</v>
      </c>
      <c r="L240" s="5" t="s">
        <v>2015</v>
      </c>
      <c r="M240" s="5" t="s">
        <v>2016</v>
      </c>
      <c r="N240" s="7" t="s">
        <v>2017</v>
      </c>
      <c r="O240" s="9" t="s">
        <v>2018</v>
      </c>
      <c r="P240" s="19" t="s">
        <v>2019</v>
      </c>
      <c r="Q240" s="5" t="s">
        <v>30</v>
      </c>
    </row>
    <row r="241" ht="21.0" customHeight="1">
      <c r="A241" s="4">
        <v>240.0</v>
      </c>
      <c r="B241" s="5" t="s">
        <v>2020</v>
      </c>
      <c r="C241" s="5" t="s">
        <v>18</v>
      </c>
      <c r="D241" s="5" t="s">
        <v>2021</v>
      </c>
      <c r="E241" s="5" t="s">
        <v>2022</v>
      </c>
      <c r="F241" s="5" t="s">
        <v>1684</v>
      </c>
      <c r="G241" s="5" t="s">
        <v>2023</v>
      </c>
      <c r="H241" s="5" t="s">
        <v>23</v>
      </c>
      <c r="I241" s="6" t="s">
        <v>2024</v>
      </c>
      <c r="J241" s="4">
        <v>100.0</v>
      </c>
      <c r="K241" s="5" t="s">
        <v>157</v>
      </c>
      <c r="L241" s="5" t="s">
        <v>2025</v>
      </c>
      <c r="M241" s="5" t="s">
        <v>2026</v>
      </c>
      <c r="N241" s="7" t="s">
        <v>2027</v>
      </c>
      <c r="O241" s="9" t="s">
        <v>2028</v>
      </c>
      <c r="P241" s="19" t="s">
        <v>2029</v>
      </c>
      <c r="Q241" s="5" t="s">
        <v>30</v>
      </c>
    </row>
    <row r="242" ht="21.0" customHeight="1">
      <c r="A242" s="4">
        <v>241.0</v>
      </c>
      <c r="B242" s="5" t="s">
        <v>2030</v>
      </c>
      <c r="C242" s="5" t="s">
        <v>18</v>
      </c>
      <c r="D242" s="5" t="s">
        <v>2031</v>
      </c>
      <c r="E242" s="5" t="s">
        <v>2032</v>
      </c>
      <c r="F242" s="5" t="s">
        <v>1684</v>
      </c>
      <c r="G242" s="5" t="s">
        <v>2033</v>
      </c>
      <c r="H242" s="5" t="s">
        <v>23</v>
      </c>
      <c r="I242" s="6" t="s">
        <v>2034</v>
      </c>
      <c r="J242" s="4">
        <v>100.0</v>
      </c>
      <c r="K242" s="5" t="s">
        <v>386</v>
      </c>
      <c r="L242" s="5" t="s">
        <v>2035</v>
      </c>
      <c r="M242" s="5" t="s">
        <v>2036</v>
      </c>
      <c r="N242" s="7" t="s">
        <v>2037</v>
      </c>
      <c r="O242" s="9" t="s">
        <v>2038</v>
      </c>
      <c r="P242" s="19" t="s">
        <v>2039</v>
      </c>
      <c r="Q242" s="5" t="s">
        <v>30</v>
      </c>
    </row>
    <row r="243" ht="21.0" customHeight="1">
      <c r="A243" s="4">
        <v>242.0</v>
      </c>
      <c r="B243" s="5" t="s">
        <v>2040</v>
      </c>
      <c r="C243" s="5" t="s">
        <v>2041</v>
      </c>
      <c r="D243" s="5" t="s">
        <v>19</v>
      </c>
      <c r="E243" s="5" t="s">
        <v>2042</v>
      </c>
      <c r="F243" s="5" t="s">
        <v>1684</v>
      </c>
      <c r="G243" s="5" t="s">
        <v>2043</v>
      </c>
      <c r="H243" s="5" t="s">
        <v>23</v>
      </c>
      <c r="I243" s="6" t="s">
        <v>2044</v>
      </c>
      <c r="J243" s="4">
        <v>100.0</v>
      </c>
      <c r="K243" s="5" t="s">
        <v>84</v>
      </c>
      <c r="L243" s="5" t="s">
        <v>2045</v>
      </c>
      <c r="M243" s="5" t="s">
        <v>2046</v>
      </c>
      <c r="N243" s="7" t="s">
        <v>2047</v>
      </c>
      <c r="O243" s="9" t="s">
        <v>2048</v>
      </c>
      <c r="P243" s="19" t="s">
        <v>2049</v>
      </c>
      <c r="Q243" s="5" t="s">
        <v>30</v>
      </c>
    </row>
    <row r="244" ht="21.0" customHeight="1">
      <c r="A244" s="13">
        <v>243.0</v>
      </c>
      <c r="B244" s="14" t="s">
        <v>2050</v>
      </c>
      <c r="C244" s="14" t="s">
        <v>18</v>
      </c>
      <c r="D244" s="14" t="s">
        <v>2051</v>
      </c>
      <c r="E244" s="14" t="s">
        <v>2052</v>
      </c>
      <c r="F244" s="14" t="s">
        <v>2053</v>
      </c>
      <c r="G244" s="14" t="s">
        <v>2054</v>
      </c>
      <c r="H244" s="14" t="s">
        <v>23</v>
      </c>
      <c r="I244" s="15" t="s">
        <v>2055</v>
      </c>
      <c r="J244" s="13">
        <v>100.0</v>
      </c>
      <c r="K244" s="14" t="s">
        <v>165</v>
      </c>
      <c r="L244" s="14" t="s">
        <v>2056</v>
      </c>
      <c r="M244" s="14" t="s">
        <v>2057</v>
      </c>
      <c r="N244" s="16" t="s">
        <v>2058</v>
      </c>
      <c r="O244" s="17" t="s">
        <v>2059</v>
      </c>
      <c r="P244" s="26" t="s">
        <v>2060</v>
      </c>
      <c r="Q244" s="5" t="s">
        <v>30</v>
      </c>
      <c r="R244" s="18"/>
      <c r="S244" s="18"/>
      <c r="T244" s="18"/>
      <c r="U244" s="18"/>
      <c r="V244" s="18"/>
      <c r="W244" s="18"/>
      <c r="X244" s="18"/>
      <c r="Y244" s="18"/>
      <c r="Z244" s="18"/>
    </row>
    <row r="245" ht="21.0" customHeight="1">
      <c r="A245" s="4">
        <v>244.0</v>
      </c>
      <c r="B245" s="5" t="s">
        <v>2061</v>
      </c>
      <c r="C245" s="5" t="s">
        <v>18</v>
      </c>
      <c r="D245" s="5" t="s">
        <v>19</v>
      </c>
      <c r="E245" s="5" t="s">
        <v>2062</v>
      </c>
      <c r="F245" s="5" t="s">
        <v>2053</v>
      </c>
      <c r="G245" s="5" t="s">
        <v>2063</v>
      </c>
      <c r="H245" s="5" t="s">
        <v>23</v>
      </c>
      <c r="I245" s="6" t="s">
        <v>2064</v>
      </c>
      <c r="J245" s="4">
        <v>100.0</v>
      </c>
      <c r="K245" s="5" t="s">
        <v>93</v>
      </c>
      <c r="L245" s="5" t="s">
        <v>2065</v>
      </c>
      <c r="M245" s="5" t="s">
        <v>2066</v>
      </c>
      <c r="N245" s="7" t="s">
        <v>2067</v>
      </c>
      <c r="O245" s="9"/>
      <c r="P245" s="19" t="s">
        <v>2068</v>
      </c>
      <c r="Q245" s="5" t="s">
        <v>30</v>
      </c>
    </row>
    <row r="246" ht="21.0" customHeight="1">
      <c r="A246" s="4">
        <v>245.0</v>
      </c>
      <c r="B246" s="5" t="s">
        <v>2069</v>
      </c>
      <c r="C246" s="5" t="s">
        <v>18</v>
      </c>
      <c r="D246" s="5" t="s">
        <v>2070</v>
      </c>
      <c r="E246" s="5" t="s">
        <v>2071</v>
      </c>
      <c r="F246" s="5" t="s">
        <v>2053</v>
      </c>
      <c r="G246" s="5" t="s">
        <v>2072</v>
      </c>
      <c r="H246" s="5" t="s">
        <v>23</v>
      </c>
      <c r="I246" s="6" t="s">
        <v>2073</v>
      </c>
      <c r="J246" s="4">
        <v>100.0</v>
      </c>
      <c r="K246" s="5" t="s">
        <v>84</v>
      </c>
      <c r="L246" s="5" t="s">
        <v>2074</v>
      </c>
      <c r="M246" s="5" t="s">
        <v>2075</v>
      </c>
      <c r="N246" s="7" t="s">
        <v>2076</v>
      </c>
      <c r="O246" s="9" t="s">
        <v>2077</v>
      </c>
      <c r="P246" s="19" t="s">
        <v>2078</v>
      </c>
      <c r="Q246" s="5" t="s">
        <v>30</v>
      </c>
    </row>
    <row r="247" ht="21.0" customHeight="1">
      <c r="A247" s="4">
        <v>246.0</v>
      </c>
      <c r="B247" s="5" t="s">
        <v>2079</v>
      </c>
      <c r="C247" s="5" t="s">
        <v>2080</v>
      </c>
      <c r="D247" s="5" t="s">
        <v>19</v>
      </c>
      <c r="E247" s="5" t="s">
        <v>2081</v>
      </c>
      <c r="F247" s="5" t="s">
        <v>2053</v>
      </c>
      <c r="G247" s="5" t="s">
        <v>2082</v>
      </c>
      <c r="H247" s="5" t="s">
        <v>23</v>
      </c>
      <c r="I247" s="6" t="s">
        <v>2083</v>
      </c>
      <c r="J247" s="4">
        <v>100.0</v>
      </c>
      <c r="K247" s="5" t="s">
        <v>165</v>
      </c>
      <c r="L247" s="5" t="s">
        <v>2084</v>
      </c>
      <c r="M247" s="5" t="s">
        <v>2085</v>
      </c>
      <c r="N247" s="7" t="s">
        <v>2086</v>
      </c>
      <c r="O247" s="9" t="s">
        <v>2087</v>
      </c>
      <c r="P247" s="19" t="s">
        <v>2088</v>
      </c>
      <c r="Q247" s="5" t="s">
        <v>30</v>
      </c>
    </row>
    <row r="248" ht="21.0" customHeight="1">
      <c r="A248" s="4">
        <v>247.0</v>
      </c>
      <c r="B248" s="5" t="s">
        <v>2089</v>
      </c>
      <c r="C248" s="5" t="s">
        <v>18</v>
      </c>
      <c r="D248" s="5" t="s">
        <v>19</v>
      </c>
      <c r="E248" s="5" t="s">
        <v>2090</v>
      </c>
      <c r="F248" s="5" t="s">
        <v>2053</v>
      </c>
      <c r="G248" s="5" t="s">
        <v>2091</v>
      </c>
      <c r="H248" s="5" t="s">
        <v>23</v>
      </c>
      <c r="I248" s="6" t="s">
        <v>2092</v>
      </c>
      <c r="J248" s="4">
        <v>100.0</v>
      </c>
      <c r="K248" s="5" t="s">
        <v>25</v>
      </c>
      <c r="L248" s="5" t="s">
        <v>2093</v>
      </c>
      <c r="M248" s="5" t="s">
        <v>2094</v>
      </c>
      <c r="N248" s="7" t="s">
        <v>2095</v>
      </c>
      <c r="O248" s="9" t="s">
        <v>2096</v>
      </c>
      <c r="P248" s="19" t="s">
        <v>2097</v>
      </c>
      <c r="Q248" s="5" t="s">
        <v>30</v>
      </c>
    </row>
    <row r="249" ht="21.0" customHeight="1">
      <c r="A249" s="4">
        <v>248.0</v>
      </c>
      <c r="B249" s="5" t="s">
        <v>2098</v>
      </c>
      <c r="C249" s="5" t="s">
        <v>18</v>
      </c>
      <c r="D249" s="5" t="s">
        <v>2099</v>
      </c>
      <c r="E249" s="5" t="s">
        <v>2100</v>
      </c>
      <c r="F249" s="5" t="s">
        <v>2053</v>
      </c>
      <c r="G249" s="5" t="s">
        <v>2101</v>
      </c>
      <c r="H249" s="5" t="s">
        <v>23</v>
      </c>
      <c r="I249" s="6" t="s">
        <v>2102</v>
      </c>
      <c r="J249" s="4">
        <v>100.0</v>
      </c>
      <c r="K249" s="5" t="s">
        <v>165</v>
      </c>
      <c r="L249" s="5" t="s">
        <v>2103</v>
      </c>
      <c r="M249" s="5" t="s">
        <v>2104</v>
      </c>
      <c r="N249" s="7" t="s">
        <v>2105</v>
      </c>
      <c r="O249" s="9" t="s">
        <v>2106</v>
      </c>
      <c r="P249" s="19" t="s">
        <v>2107</v>
      </c>
      <c r="Q249" s="5" t="s">
        <v>30</v>
      </c>
    </row>
    <row r="250" ht="21.0" customHeight="1">
      <c r="A250" s="4">
        <v>249.0</v>
      </c>
      <c r="B250" s="5" t="s">
        <v>2108</v>
      </c>
      <c r="C250" s="5" t="s">
        <v>18</v>
      </c>
      <c r="D250" s="5" t="s">
        <v>2109</v>
      </c>
      <c r="E250" s="5" t="s">
        <v>2110</v>
      </c>
      <c r="F250" s="5" t="s">
        <v>2053</v>
      </c>
      <c r="G250" s="5" t="s">
        <v>2111</v>
      </c>
      <c r="H250" s="5" t="s">
        <v>23</v>
      </c>
      <c r="I250" s="6" t="s">
        <v>2112</v>
      </c>
      <c r="J250" s="4">
        <v>100.0</v>
      </c>
      <c r="K250" s="5" t="s">
        <v>1070</v>
      </c>
      <c r="L250" s="5" t="s">
        <v>2113</v>
      </c>
      <c r="M250" s="5" t="s">
        <v>2114</v>
      </c>
      <c r="N250" s="7" t="s">
        <v>2115</v>
      </c>
      <c r="O250" s="9" t="s">
        <v>2116</v>
      </c>
      <c r="P250" s="5" t="s">
        <v>30</v>
      </c>
      <c r="Q250" s="5" t="s">
        <v>30</v>
      </c>
    </row>
    <row r="251" ht="21.0" customHeight="1">
      <c r="A251" s="4">
        <v>250.0</v>
      </c>
      <c r="B251" s="5" t="s">
        <v>2117</v>
      </c>
      <c r="C251" s="5" t="s">
        <v>18</v>
      </c>
      <c r="D251" s="5" t="s">
        <v>19</v>
      </c>
      <c r="E251" s="5" t="s">
        <v>2118</v>
      </c>
      <c r="F251" s="5" t="s">
        <v>2053</v>
      </c>
      <c r="G251" s="5" t="s">
        <v>2119</v>
      </c>
      <c r="H251" s="5" t="s">
        <v>23</v>
      </c>
      <c r="I251" s="6" t="s">
        <v>2120</v>
      </c>
      <c r="J251" s="4">
        <v>100.0</v>
      </c>
      <c r="K251" s="5" t="s">
        <v>157</v>
      </c>
      <c r="L251" s="5" t="s">
        <v>2121</v>
      </c>
      <c r="M251" s="5" t="s">
        <v>2122</v>
      </c>
      <c r="N251" s="7" t="s">
        <v>2123</v>
      </c>
      <c r="O251" s="9" t="s">
        <v>2124</v>
      </c>
      <c r="P251" s="19" t="s">
        <v>2125</v>
      </c>
      <c r="Q251" s="5" t="s">
        <v>30</v>
      </c>
    </row>
    <row r="252" ht="21.0" customHeight="1">
      <c r="A252" s="4">
        <v>251.0</v>
      </c>
      <c r="B252" s="5" t="s">
        <v>2126</v>
      </c>
      <c r="C252" s="5" t="s">
        <v>18</v>
      </c>
      <c r="D252" s="5" t="s">
        <v>19</v>
      </c>
      <c r="E252" s="5" t="s">
        <v>2127</v>
      </c>
      <c r="F252" s="5" t="s">
        <v>2053</v>
      </c>
      <c r="G252" s="5" t="s">
        <v>2128</v>
      </c>
      <c r="H252" s="5" t="s">
        <v>23</v>
      </c>
      <c r="I252" s="6" t="s">
        <v>2129</v>
      </c>
      <c r="J252" s="4">
        <v>100.0</v>
      </c>
      <c r="K252" s="5" t="s">
        <v>68</v>
      </c>
      <c r="L252" s="5" t="s">
        <v>2130</v>
      </c>
      <c r="M252" s="5" t="s">
        <v>2131</v>
      </c>
      <c r="N252" s="7" t="s">
        <v>2132</v>
      </c>
      <c r="O252" s="9" t="s">
        <v>2133</v>
      </c>
      <c r="P252" s="19" t="s">
        <v>2134</v>
      </c>
      <c r="Q252" s="5" t="s">
        <v>30</v>
      </c>
    </row>
    <row r="253" ht="21.0" customHeight="1">
      <c r="A253" s="4">
        <v>252.0</v>
      </c>
      <c r="B253" s="5" t="s">
        <v>2135</v>
      </c>
      <c r="C253" s="5" t="s">
        <v>18</v>
      </c>
      <c r="D253" s="5" t="s">
        <v>2136</v>
      </c>
      <c r="E253" s="5" t="s">
        <v>2137</v>
      </c>
      <c r="F253" s="5" t="s">
        <v>2053</v>
      </c>
      <c r="G253" s="5" t="s">
        <v>2138</v>
      </c>
      <c r="H253" s="5" t="s">
        <v>23</v>
      </c>
      <c r="I253" s="6" t="s">
        <v>2139</v>
      </c>
      <c r="J253" s="4">
        <v>100.0</v>
      </c>
      <c r="K253" s="5" t="s">
        <v>157</v>
      </c>
      <c r="L253" s="5" t="s">
        <v>2140</v>
      </c>
      <c r="M253" s="5" t="s">
        <v>2141</v>
      </c>
      <c r="N253" s="7" t="s">
        <v>2142</v>
      </c>
      <c r="O253" s="9" t="s">
        <v>2143</v>
      </c>
      <c r="P253" s="19" t="s">
        <v>2144</v>
      </c>
      <c r="Q253" s="5" t="s">
        <v>30</v>
      </c>
    </row>
    <row r="254" ht="21.0" customHeight="1">
      <c r="A254" s="4">
        <v>253.0</v>
      </c>
      <c r="B254" s="5" t="s">
        <v>2145</v>
      </c>
      <c r="C254" s="5" t="s">
        <v>18</v>
      </c>
      <c r="D254" s="5" t="s">
        <v>19</v>
      </c>
      <c r="E254" s="5" t="s">
        <v>2146</v>
      </c>
      <c r="F254" s="5" t="s">
        <v>2053</v>
      </c>
      <c r="G254" s="5" t="s">
        <v>2147</v>
      </c>
      <c r="H254" s="5" t="s">
        <v>23</v>
      </c>
      <c r="I254" s="6" t="s">
        <v>2148</v>
      </c>
      <c r="J254" s="4">
        <v>100.0</v>
      </c>
      <c r="K254" s="5" t="s">
        <v>110</v>
      </c>
      <c r="L254" s="5" t="s">
        <v>2149</v>
      </c>
      <c r="M254" s="5" t="s">
        <v>2150</v>
      </c>
      <c r="N254" s="7" t="s">
        <v>2151</v>
      </c>
      <c r="O254" s="9" t="s">
        <v>2152</v>
      </c>
      <c r="P254" s="5" t="s">
        <v>30</v>
      </c>
      <c r="Q254" s="5" t="s">
        <v>30</v>
      </c>
    </row>
    <row r="255" ht="21.0" customHeight="1">
      <c r="A255" s="4">
        <v>254.0</v>
      </c>
      <c r="B255" s="5" t="s">
        <v>2153</v>
      </c>
      <c r="C255" s="5" t="s">
        <v>2154</v>
      </c>
      <c r="D255" s="5" t="s">
        <v>2155</v>
      </c>
      <c r="E255" s="5" t="s">
        <v>2156</v>
      </c>
      <c r="F255" s="5" t="s">
        <v>2053</v>
      </c>
      <c r="G255" s="5" t="s">
        <v>2157</v>
      </c>
      <c r="H255" s="5" t="s">
        <v>23</v>
      </c>
      <c r="I255" s="6" t="s">
        <v>2158</v>
      </c>
      <c r="J255" s="4">
        <v>100.0</v>
      </c>
      <c r="K255" s="5" t="s">
        <v>84</v>
      </c>
      <c r="L255" s="5" t="s">
        <v>2159</v>
      </c>
      <c r="M255" s="5" t="s">
        <v>2160</v>
      </c>
      <c r="N255" s="7" t="s">
        <v>2161</v>
      </c>
      <c r="O255" s="9" t="s">
        <v>2162</v>
      </c>
      <c r="P255" s="19" t="s">
        <v>2163</v>
      </c>
      <c r="Q255" s="5" t="s">
        <v>30</v>
      </c>
    </row>
    <row r="256" ht="21.0" customHeight="1">
      <c r="A256" s="4">
        <v>255.0</v>
      </c>
      <c r="B256" s="5" t="s">
        <v>2164</v>
      </c>
      <c r="C256" s="5" t="s">
        <v>18</v>
      </c>
      <c r="D256" s="5" t="s">
        <v>2165</v>
      </c>
      <c r="E256" s="5" t="s">
        <v>2166</v>
      </c>
      <c r="F256" s="5" t="s">
        <v>2053</v>
      </c>
      <c r="G256" s="5" t="s">
        <v>2167</v>
      </c>
      <c r="H256" s="5" t="s">
        <v>23</v>
      </c>
      <c r="I256" s="6" t="s">
        <v>2168</v>
      </c>
      <c r="J256" s="4">
        <v>100.0</v>
      </c>
      <c r="K256" s="5" t="s">
        <v>110</v>
      </c>
      <c r="L256" s="5" t="s">
        <v>2169</v>
      </c>
      <c r="M256" s="5" t="s">
        <v>2170</v>
      </c>
      <c r="N256" s="7" t="s">
        <v>2171</v>
      </c>
      <c r="O256" s="9" t="s">
        <v>2172</v>
      </c>
      <c r="P256" s="19" t="s">
        <v>2173</v>
      </c>
      <c r="Q256" s="5" t="s">
        <v>30</v>
      </c>
    </row>
    <row r="257" ht="21.0" customHeight="1">
      <c r="A257" s="4">
        <v>256.0</v>
      </c>
      <c r="B257" s="5" t="s">
        <v>2174</v>
      </c>
      <c r="C257" s="5" t="s">
        <v>18</v>
      </c>
      <c r="D257" s="5" t="s">
        <v>19</v>
      </c>
      <c r="E257" s="5" t="s">
        <v>2175</v>
      </c>
      <c r="F257" s="5" t="s">
        <v>2053</v>
      </c>
      <c r="G257" s="5" t="s">
        <v>2176</v>
      </c>
      <c r="H257" s="5" t="s">
        <v>23</v>
      </c>
      <c r="I257" s="6" t="s">
        <v>2177</v>
      </c>
      <c r="J257" s="4">
        <v>100.0</v>
      </c>
      <c r="K257" s="5" t="s">
        <v>84</v>
      </c>
      <c r="L257" s="5" t="s">
        <v>2178</v>
      </c>
      <c r="M257" s="5" t="s">
        <v>2179</v>
      </c>
      <c r="N257" s="7" t="s">
        <v>2180</v>
      </c>
      <c r="O257" s="9" t="s">
        <v>2181</v>
      </c>
      <c r="P257" s="19" t="s">
        <v>2182</v>
      </c>
      <c r="Q257" s="5" t="s">
        <v>30</v>
      </c>
    </row>
    <row r="258" ht="21.0" customHeight="1">
      <c r="A258" s="4">
        <v>257.0</v>
      </c>
      <c r="B258" s="5" t="s">
        <v>2183</v>
      </c>
      <c r="C258" s="5" t="s">
        <v>18</v>
      </c>
      <c r="D258" s="5" t="s">
        <v>2184</v>
      </c>
      <c r="E258" s="5" t="s">
        <v>2185</v>
      </c>
      <c r="F258" s="5" t="s">
        <v>2053</v>
      </c>
      <c r="G258" s="5" t="s">
        <v>2186</v>
      </c>
      <c r="H258" s="5" t="s">
        <v>23</v>
      </c>
      <c r="I258" s="6" t="s">
        <v>2187</v>
      </c>
      <c r="J258" s="4">
        <v>100.0</v>
      </c>
      <c r="K258" s="5" t="s">
        <v>25</v>
      </c>
      <c r="L258" s="5" t="s">
        <v>2188</v>
      </c>
      <c r="M258" s="5" t="s">
        <v>2189</v>
      </c>
      <c r="N258" s="7" t="s">
        <v>2190</v>
      </c>
      <c r="O258" s="9" t="s">
        <v>2191</v>
      </c>
      <c r="P258" s="19" t="s">
        <v>2192</v>
      </c>
      <c r="Q258" s="5" t="s">
        <v>30</v>
      </c>
    </row>
    <row r="259" ht="21.0" customHeight="1">
      <c r="A259" s="4">
        <v>258.0</v>
      </c>
      <c r="B259" s="5" t="s">
        <v>2193</v>
      </c>
      <c r="C259" s="5" t="s">
        <v>18</v>
      </c>
      <c r="D259" s="5" t="s">
        <v>2194</v>
      </c>
      <c r="E259" s="5" t="s">
        <v>2195</v>
      </c>
      <c r="F259" s="5" t="s">
        <v>2053</v>
      </c>
      <c r="G259" s="5" t="s">
        <v>2196</v>
      </c>
      <c r="H259" s="5" t="s">
        <v>23</v>
      </c>
      <c r="I259" s="6" t="s">
        <v>2197</v>
      </c>
      <c r="J259" s="4">
        <v>100.0</v>
      </c>
      <c r="K259" s="5" t="s">
        <v>110</v>
      </c>
      <c r="L259" s="5" t="s">
        <v>2198</v>
      </c>
      <c r="M259" s="5" t="s">
        <v>2199</v>
      </c>
      <c r="N259" s="7" t="s">
        <v>2200</v>
      </c>
      <c r="O259" s="9" t="s">
        <v>2201</v>
      </c>
      <c r="P259" s="19" t="s">
        <v>2202</v>
      </c>
      <c r="Q259" s="5" t="s">
        <v>30</v>
      </c>
    </row>
    <row r="260" ht="21.0" customHeight="1">
      <c r="A260" s="4">
        <v>259.0</v>
      </c>
      <c r="B260" s="5" t="s">
        <v>2203</v>
      </c>
      <c r="C260" s="5" t="s">
        <v>18</v>
      </c>
      <c r="D260" s="5" t="s">
        <v>19</v>
      </c>
      <c r="E260" s="5" t="s">
        <v>2204</v>
      </c>
      <c r="F260" s="5" t="s">
        <v>2053</v>
      </c>
      <c r="G260" s="5" t="s">
        <v>2205</v>
      </c>
      <c r="H260" s="5" t="s">
        <v>23</v>
      </c>
      <c r="I260" s="6" t="s">
        <v>2206</v>
      </c>
      <c r="J260" s="4">
        <v>100.0</v>
      </c>
      <c r="K260" s="5" t="s">
        <v>165</v>
      </c>
      <c r="L260" s="5" t="s">
        <v>2207</v>
      </c>
      <c r="M260" s="5" t="s">
        <v>2208</v>
      </c>
      <c r="N260" s="7" t="s">
        <v>2209</v>
      </c>
      <c r="O260" s="9" t="s">
        <v>2210</v>
      </c>
      <c r="P260" s="5" t="s">
        <v>30</v>
      </c>
      <c r="Q260" s="5" t="s">
        <v>30</v>
      </c>
    </row>
    <row r="261" ht="21.0" customHeight="1">
      <c r="A261" s="4">
        <v>260.0</v>
      </c>
      <c r="B261" s="5" t="s">
        <v>2211</v>
      </c>
      <c r="C261" s="5" t="s">
        <v>18</v>
      </c>
      <c r="D261" s="5" t="s">
        <v>19</v>
      </c>
      <c r="E261" s="5" t="s">
        <v>2212</v>
      </c>
      <c r="F261" s="5" t="s">
        <v>2053</v>
      </c>
      <c r="G261" s="5" t="s">
        <v>2213</v>
      </c>
      <c r="H261" s="5" t="s">
        <v>23</v>
      </c>
      <c r="I261" s="6" t="s">
        <v>2214</v>
      </c>
      <c r="J261" s="4">
        <v>100.0</v>
      </c>
      <c r="K261" s="5" t="s">
        <v>110</v>
      </c>
      <c r="L261" s="5" t="s">
        <v>2215</v>
      </c>
      <c r="M261" s="5" t="s">
        <v>2216</v>
      </c>
      <c r="N261" s="7" t="s">
        <v>2217</v>
      </c>
      <c r="O261" s="9" t="s">
        <v>2218</v>
      </c>
      <c r="P261" s="5" t="s">
        <v>30</v>
      </c>
      <c r="Q261" s="5" t="s">
        <v>30</v>
      </c>
    </row>
    <row r="262" ht="21.0" customHeight="1">
      <c r="A262" s="4">
        <v>261.0</v>
      </c>
      <c r="B262" s="5" t="s">
        <v>2219</v>
      </c>
      <c r="C262" s="5" t="s">
        <v>2220</v>
      </c>
      <c r="D262" s="5" t="s">
        <v>19</v>
      </c>
      <c r="E262" s="5" t="s">
        <v>2221</v>
      </c>
      <c r="F262" s="5" t="s">
        <v>2053</v>
      </c>
      <c r="G262" s="5" t="s">
        <v>2222</v>
      </c>
      <c r="H262" s="5" t="s">
        <v>23</v>
      </c>
      <c r="I262" s="6" t="s">
        <v>2223</v>
      </c>
      <c r="J262" s="4">
        <v>100.0</v>
      </c>
      <c r="K262" s="5" t="s">
        <v>110</v>
      </c>
      <c r="L262" s="5" t="s">
        <v>2224</v>
      </c>
      <c r="M262" s="5" t="s">
        <v>2225</v>
      </c>
      <c r="N262" s="7" t="s">
        <v>2226</v>
      </c>
      <c r="O262" s="9" t="s">
        <v>2227</v>
      </c>
      <c r="P262" s="19" t="s">
        <v>2228</v>
      </c>
      <c r="Q262" s="5" t="s">
        <v>30</v>
      </c>
    </row>
    <row r="263" ht="21.0" customHeight="1">
      <c r="A263" s="4">
        <v>262.0</v>
      </c>
      <c r="B263" s="5" t="s">
        <v>2229</v>
      </c>
      <c r="C263" s="5" t="s">
        <v>18</v>
      </c>
      <c r="D263" s="5" t="s">
        <v>2230</v>
      </c>
      <c r="E263" s="5" t="s">
        <v>2231</v>
      </c>
      <c r="F263" s="5" t="s">
        <v>2053</v>
      </c>
      <c r="G263" s="5" t="s">
        <v>2232</v>
      </c>
      <c r="H263" s="5" t="s">
        <v>23</v>
      </c>
      <c r="I263" s="6" t="s">
        <v>2233</v>
      </c>
      <c r="J263" s="4">
        <v>100.0</v>
      </c>
      <c r="K263" s="5" t="s">
        <v>25</v>
      </c>
      <c r="L263" s="5" t="s">
        <v>2234</v>
      </c>
      <c r="M263" s="5" t="s">
        <v>2235</v>
      </c>
      <c r="N263" s="7" t="s">
        <v>2236</v>
      </c>
      <c r="O263" s="9" t="s">
        <v>2237</v>
      </c>
      <c r="P263" s="19" t="s">
        <v>2238</v>
      </c>
      <c r="Q263" s="5" t="s">
        <v>30</v>
      </c>
    </row>
    <row r="264" ht="21.0" customHeight="1">
      <c r="A264" s="4">
        <v>263.0</v>
      </c>
      <c r="B264" s="5" t="s">
        <v>2239</v>
      </c>
      <c r="C264" s="5" t="s">
        <v>18</v>
      </c>
      <c r="D264" s="5" t="s">
        <v>19</v>
      </c>
      <c r="E264" s="5" t="s">
        <v>2240</v>
      </c>
      <c r="F264" s="5" t="s">
        <v>2053</v>
      </c>
      <c r="G264" s="5" t="s">
        <v>2241</v>
      </c>
      <c r="H264" s="5" t="s">
        <v>23</v>
      </c>
      <c r="I264" s="6" t="s">
        <v>2242</v>
      </c>
      <c r="J264" s="4">
        <v>100.0</v>
      </c>
      <c r="K264" s="5" t="s">
        <v>316</v>
      </c>
      <c r="L264" s="5" t="s">
        <v>2243</v>
      </c>
      <c r="M264" s="5" t="s">
        <v>2244</v>
      </c>
      <c r="N264" s="7" t="s">
        <v>2245</v>
      </c>
      <c r="O264" s="9" t="s">
        <v>2246</v>
      </c>
      <c r="P264" s="19" t="s">
        <v>2247</v>
      </c>
      <c r="Q264" s="5" t="s">
        <v>30</v>
      </c>
    </row>
    <row r="265" ht="21.0" customHeight="1">
      <c r="A265" s="4">
        <v>264.0</v>
      </c>
      <c r="B265" s="5" t="s">
        <v>2248</v>
      </c>
      <c r="C265" s="5" t="s">
        <v>2249</v>
      </c>
      <c r="D265" s="5" t="s">
        <v>170</v>
      </c>
      <c r="E265" s="5" t="s">
        <v>2250</v>
      </c>
      <c r="F265" s="5" t="s">
        <v>2053</v>
      </c>
      <c r="G265" s="5" t="s">
        <v>2251</v>
      </c>
      <c r="H265" s="5" t="s">
        <v>23</v>
      </c>
      <c r="I265" s="6" t="s">
        <v>2252</v>
      </c>
      <c r="J265" s="4">
        <v>100.0</v>
      </c>
      <c r="K265" s="5" t="s">
        <v>25</v>
      </c>
      <c r="L265" s="5" t="s">
        <v>2253</v>
      </c>
      <c r="M265" s="5" t="s">
        <v>2254</v>
      </c>
      <c r="N265" s="7" t="s">
        <v>2255</v>
      </c>
      <c r="O265" s="9" t="s">
        <v>2256</v>
      </c>
      <c r="P265" s="19" t="s">
        <v>2257</v>
      </c>
      <c r="Q265" s="5" t="s">
        <v>30</v>
      </c>
    </row>
    <row r="266" ht="21.0" customHeight="1">
      <c r="A266" s="4">
        <v>265.0</v>
      </c>
      <c r="B266" s="5" t="s">
        <v>2258</v>
      </c>
      <c r="C266" s="5" t="s">
        <v>2259</v>
      </c>
      <c r="D266" s="5" t="s">
        <v>19</v>
      </c>
      <c r="E266" s="5" t="s">
        <v>2260</v>
      </c>
      <c r="F266" s="5" t="s">
        <v>2261</v>
      </c>
      <c r="G266" s="5" t="s">
        <v>2262</v>
      </c>
      <c r="H266" s="5" t="s">
        <v>23</v>
      </c>
      <c r="I266" s="6" t="s">
        <v>2263</v>
      </c>
      <c r="J266" s="4">
        <v>100.0</v>
      </c>
      <c r="K266" s="5" t="s">
        <v>292</v>
      </c>
      <c r="L266" s="5" t="s">
        <v>2264</v>
      </c>
      <c r="M266" s="5" t="s">
        <v>2265</v>
      </c>
      <c r="N266" s="7" t="s">
        <v>2266</v>
      </c>
      <c r="O266" s="9" t="s">
        <v>2267</v>
      </c>
      <c r="P266" s="5" t="s">
        <v>30</v>
      </c>
      <c r="Q266" s="5" t="s">
        <v>30</v>
      </c>
    </row>
    <row r="267" ht="21.0" customHeight="1">
      <c r="A267" s="4">
        <v>266.0</v>
      </c>
      <c r="B267" s="5" t="s">
        <v>2268</v>
      </c>
      <c r="C267" s="5" t="s">
        <v>18</v>
      </c>
      <c r="D267" s="5" t="s">
        <v>19</v>
      </c>
      <c r="E267" s="5" t="s">
        <v>2269</v>
      </c>
      <c r="F267" s="5" t="s">
        <v>2261</v>
      </c>
      <c r="G267" s="5" t="s">
        <v>2270</v>
      </c>
      <c r="H267" s="5" t="s">
        <v>23</v>
      </c>
      <c r="I267" s="6" t="s">
        <v>2271</v>
      </c>
      <c r="J267" s="4">
        <v>100.0</v>
      </c>
      <c r="K267" s="5" t="s">
        <v>517</v>
      </c>
      <c r="L267" s="5" t="s">
        <v>2272</v>
      </c>
      <c r="M267" s="5" t="s">
        <v>2273</v>
      </c>
      <c r="N267" s="7" t="s">
        <v>2274</v>
      </c>
      <c r="O267" s="9" t="s">
        <v>2275</v>
      </c>
      <c r="P267" s="19" t="s">
        <v>2276</v>
      </c>
      <c r="Q267" s="5" t="s">
        <v>30</v>
      </c>
    </row>
    <row r="268" ht="21.0" customHeight="1">
      <c r="A268" s="4">
        <v>267.0</v>
      </c>
      <c r="B268" s="5" t="s">
        <v>2277</v>
      </c>
      <c r="C268" s="5" t="s">
        <v>2278</v>
      </c>
      <c r="D268" s="5" t="s">
        <v>19</v>
      </c>
      <c r="E268" s="5" t="s">
        <v>2279</v>
      </c>
      <c r="F268" s="5" t="s">
        <v>2261</v>
      </c>
      <c r="G268" s="5" t="s">
        <v>2280</v>
      </c>
      <c r="H268" s="5" t="s">
        <v>23</v>
      </c>
      <c r="I268" s="6" t="s">
        <v>2281</v>
      </c>
      <c r="J268" s="4">
        <v>100.0</v>
      </c>
      <c r="K268" s="5" t="s">
        <v>25</v>
      </c>
      <c r="L268" s="5" t="s">
        <v>2282</v>
      </c>
      <c r="M268" s="5" t="s">
        <v>2283</v>
      </c>
      <c r="N268" s="7" t="s">
        <v>2284</v>
      </c>
      <c r="O268" s="9" t="s">
        <v>2285</v>
      </c>
      <c r="P268" s="19" t="s">
        <v>2286</v>
      </c>
      <c r="Q268" s="5" t="s">
        <v>30</v>
      </c>
    </row>
    <row r="269" ht="21.0" customHeight="1">
      <c r="A269" s="4">
        <v>268.0</v>
      </c>
      <c r="B269" s="5" t="s">
        <v>2287</v>
      </c>
      <c r="C269" s="5" t="s">
        <v>18</v>
      </c>
      <c r="D269" s="5" t="s">
        <v>2288</v>
      </c>
      <c r="E269" s="5" t="s">
        <v>2289</v>
      </c>
      <c r="F269" s="5" t="s">
        <v>2261</v>
      </c>
      <c r="G269" s="5" t="s">
        <v>2290</v>
      </c>
      <c r="H269" s="5" t="s">
        <v>50</v>
      </c>
      <c r="I269" s="6" t="s">
        <v>2291</v>
      </c>
      <c r="J269" s="4">
        <v>100.0</v>
      </c>
      <c r="K269" s="5" t="s">
        <v>25</v>
      </c>
      <c r="L269" s="5" t="s">
        <v>2292</v>
      </c>
      <c r="M269" s="5" t="s">
        <v>2293</v>
      </c>
      <c r="N269" s="7" t="s">
        <v>2294</v>
      </c>
      <c r="O269" s="9" t="s">
        <v>2295</v>
      </c>
      <c r="P269" s="19" t="s">
        <v>2296</v>
      </c>
      <c r="Q269" s="5" t="s">
        <v>30</v>
      </c>
    </row>
    <row r="270" ht="21.0" customHeight="1">
      <c r="A270" s="4">
        <v>269.0</v>
      </c>
      <c r="B270" s="5" t="s">
        <v>2297</v>
      </c>
      <c r="C270" s="5" t="s">
        <v>18</v>
      </c>
      <c r="D270" s="5" t="s">
        <v>19</v>
      </c>
      <c r="E270" s="5" t="s">
        <v>2298</v>
      </c>
      <c r="F270" s="5" t="s">
        <v>2261</v>
      </c>
      <c r="G270" s="5" t="s">
        <v>2299</v>
      </c>
      <c r="H270" s="5" t="s">
        <v>23</v>
      </c>
      <c r="I270" s="6" t="s">
        <v>2300</v>
      </c>
      <c r="J270" s="4">
        <v>100.0</v>
      </c>
      <c r="K270" s="5" t="s">
        <v>93</v>
      </c>
      <c r="L270" s="5" t="s">
        <v>2301</v>
      </c>
      <c r="M270" s="5" t="s">
        <v>2302</v>
      </c>
      <c r="N270" s="7" t="s">
        <v>2303</v>
      </c>
      <c r="O270" s="9" t="s">
        <v>2304</v>
      </c>
      <c r="P270" s="5" t="s">
        <v>30</v>
      </c>
      <c r="Q270" s="5" t="s">
        <v>30</v>
      </c>
    </row>
    <row r="271" ht="21.0" customHeight="1">
      <c r="A271" s="4">
        <v>270.0</v>
      </c>
      <c r="B271" s="5" t="s">
        <v>2305</v>
      </c>
      <c r="C271" s="5" t="s">
        <v>2306</v>
      </c>
      <c r="D271" s="5" t="s">
        <v>2307</v>
      </c>
      <c r="E271" s="5" t="s">
        <v>2308</v>
      </c>
      <c r="F271" s="5" t="s">
        <v>2261</v>
      </c>
      <c r="G271" s="5" t="s">
        <v>2309</v>
      </c>
      <c r="H271" s="5" t="s">
        <v>23</v>
      </c>
      <c r="I271" s="6" t="s">
        <v>2310</v>
      </c>
      <c r="J271" s="4">
        <v>100.0</v>
      </c>
      <c r="K271" s="5" t="s">
        <v>275</v>
      </c>
      <c r="L271" s="5" t="s">
        <v>2311</v>
      </c>
      <c r="M271" s="5" t="s">
        <v>2312</v>
      </c>
      <c r="N271" s="7" t="s">
        <v>2313</v>
      </c>
      <c r="O271" s="9" t="s">
        <v>2314</v>
      </c>
      <c r="P271" s="19" t="s">
        <v>2315</v>
      </c>
      <c r="Q271" s="5" t="s">
        <v>30</v>
      </c>
    </row>
    <row r="272" ht="21.0" customHeight="1">
      <c r="A272" s="4">
        <v>271.0</v>
      </c>
      <c r="B272" s="5" t="s">
        <v>2316</v>
      </c>
      <c r="C272" s="5" t="s">
        <v>2317</v>
      </c>
      <c r="D272" s="5" t="s">
        <v>2318</v>
      </c>
      <c r="E272" s="5" t="s">
        <v>2319</v>
      </c>
      <c r="F272" s="5" t="s">
        <v>2261</v>
      </c>
      <c r="G272" s="5" t="s">
        <v>2320</v>
      </c>
      <c r="H272" s="5" t="s">
        <v>23</v>
      </c>
      <c r="I272" s="6" t="s">
        <v>2321</v>
      </c>
      <c r="J272" s="4">
        <v>100.0</v>
      </c>
      <c r="K272" s="5" t="s">
        <v>93</v>
      </c>
      <c r="L272" s="5" t="s">
        <v>2322</v>
      </c>
      <c r="M272" s="5" t="s">
        <v>2323</v>
      </c>
      <c r="N272" s="7" t="s">
        <v>2324</v>
      </c>
      <c r="O272" s="9" t="s">
        <v>2325</v>
      </c>
      <c r="P272" s="5" t="s">
        <v>30</v>
      </c>
      <c r="Q272" s="5" t="s">
        <v>30</v>
      </c>
    </row>
    <row r="273" ht="21.0" customHeight="1">
      <c r="A273" s="4">
        <v>272.0</v>
      </c>
      <c r="B273" s="5" t="s">
        <v>2326</v>
      </c>
      <c r="C273" s="5" t="s">
        <v>18</v>
      </c>
      <c r="D273" s="5" t="s">
        <v>19</v>
      </c>
      <c r="E273" s="5" t="s">
        <v>2327</v>
      </c>
      <c r="F273" s="5" t="s">
        <v>2261</v>
      </c>
      <c r="G273" s="5" t="s">
        <v>2328</v>
      </c>
      <c r="H273" s="5" t="s">
        <v>23</v>
      </c>
      <c r="I273" s="6" t="s">
        <v>2329</v>
      </c>
      <c r="J273" s="4">
        <v>100.0</v>
      </c>
      <c r="K273" s="5" t="s">
        <v>93</v>
      </c>
      <c r="L273" s="5" t="s">
        <v>2330</v>
      </c>
      <c r="M273" s="5" t="s">
        <v>2331</v>
      </c>
      <c r="N273" s="7" t="s">
        <v>2332</v>
      </c>
      <c r="O273" s="9" t="s">
        <v>2333</v>
      </c>
      <c r="P273" s="19" t="s">
        <v>2334</v>
      </c>
      <c r="Q273" s="5" t="s">
        <v>30</v>
      </c>
    </row>
    <row r="274" ht="21.0" customHeight="1">
      <c r="A274" s="4">
        <v>273.0</v>
      </c>
      <c r="B274" s="5" t="s">
        <v>2335</v>
      </c>
      <c r="C274" s="5" t="s">
        <v>2336</v>
      </c>
      <c r="D274" s="5" t="s">
        <v>2307</v>
      </c>
      <c r="E274" s="5" t="s">
        <v>2337</v>
      </c>
      <c r="F274" s="5" t="s">
        <v>2261</v>
      </c>
      <c r="G274" s="5" t="s">
        <v>2338</v>
      </c>
      <c r="H274" s="5" t="s">
        <v>23</v>
      </c>
      <c r="I274" s="6" t="s">
        <v>2339</v>
      </c>
      <c r="J274" s="4">
        <v>100.0</v>
      </c>
      <c r="K274" s="5" t="s">
        <v>25</v>
      </c>
      <c r="L274" s="5" t="s">
        <v>2340</v>
      </c>
      <c r="M274" s="5" t="s">
        <v>2341</v>
      </c>
      <c r="N274" s="7" t="s">
        <v>2342</v>
      </c>
      <c r="O274" s="9" t="s">
        <v>2343</v>
      </c>
      <c r="P274" s="19" t="s">
        <v>2344</v>
      </c>
      <c r="Q274" s="5" t="s">
        <v>30</v>
      </c>
    </row>
    <row r="275" ht="21.0" customHeight="1">
      <c r="A275" s="4">
        <v>274.0</v>
      </c>
      <c r="B275" s="5" t="s">
        <v>2345</v>
      </c>
      <c r="C275" s="5" t="s">
        <v>18</v>
      </c>
      <c r="D275" s="5" t="s">
        <v>2346</v>
      </c>
      <c r="E275" s="5" t="s">
        <v>2347</v>
      </c>
      <c r="F275" s="5" t="s">
        <v>2261</v>
      </c>
      <c r="G275" s="5" t="s">
        <v>2348</v>
      </c>
      <c r="H275" s="5" t="s">
        <v>23</v>
      </c>
      <c r="I275" s="6" t="s">
        <v>2349</v>
      </c>
      <c r="J275" s="4">
        <v>100.0</v>
      </c>
      <c r="K275" s="5" t="s">
        <v>284</v>
      </c>
      <c r="L275" s="5" t="s">
        <v>2350</v>
      </c>
      <c r="M275" s="5" t="s">
        <v>2351</v>
      </c>
      <c r="N275" s="7" t="s">
        <v>2352</v>
      </c>
      <c r="O275" s="9" t="s">
        <v>2353</v>
      </c>
      <c r="P275" s="19" t="s">
        <v>2354</v>
      </c>
      <c r="Q275" s="5" t="s">
        <v>30</v>
      </c>
    </row>
    <row r="276" ht="21.0" customHeight="1">
      <c r="A276" s="4">
        <v>275.0</v>
      </c>
      <c r="B276" s="5" t="s">
        <v>2355</v>
      </c>
      <c r="C276" s="5" t="s">
        <v>18</v>
      </c>
      <c r="D276" s="5" t="s">
        <v>19</v>
      </c>
      <c r="E276" s="5" t="s">
        <v>2356</v>
      </c>
      <c r="F276" s="5" t="s">
        <v>2261</v>
      </c>
      <c r="G276" s="5" t="s">
        <v>2357</v>
      </c>
      <c r="H276" s="5" t="s">
        <v>23</v>
      </c>
      <c r="I276" s="6" t="s">
        <v>2358</v>
      </c>
      <c r="J276" s="4">
        <v>100.0</v>
      </c>
      <c r="K276" s="5" t="s">
        <v>165</v>
      </c>
      <c r="L276" s="5" t="s">
        <v>2359</v>
      </c>
      <c r="M276" s="5" t="s">
        <v>2360</v>
      </c>
      <c r="N276" s="7" t="s">
        <v>2361</v>
      </c>
      <c r="O276" s="9" t="s">
        <v>2362</v>
      </c>
      <c r="P276" s="19" t="s">
        <v>2363</v>
      </c>
      <c r="Q276" s="5" t="s">
        <v>30</v>
      </c>
    </row>
    <row r="277" ht="21.0" customHeight="1">
      <c r="A277" s="4">
        <v>276.0</v>
      </c>
      <c r="B277" s="5" t="s">
        <v>2364</v>
      </c>
      <c r="C277" s="5" t="s">
        <v>18</v>
      </c>
      <c r="D277" s="5" t="s">
        <v>19</v>
      </c>
      <c r="E277" s="5" t="s">
        <v>2365</v>
      </c>
      <c r="F277" s="5" t="s">
        <v>2261</v>
      </c>
      <c r="G277" s="5" t="s">
        <v>2366</v>
      </c>
      <c r="H277" s="5" t="s">
        <v>23</v>
      </c>
      <c r="I277" s="6" t="s">
        <v>2367</v>
      </c>
      <c r="J277" s="4">
        <v>100.0</v>
      </c>
      <c r="K277" s="5" t="s">
        <v>93</v>
      </c>
      <c r="L277" s="5" t="s">
        <v>2368</v>
      </c>
      <c r="M277" s="5" t="s">
        <v>2369</v>
      </c>
      <c r="N277" s="7" t="s">
        <v>2370</v>
      </c>
      <c r="O277" s="9" t="s">
        <v>2371</v>
      </c>
      <c r="P277" s="19" t="s">
        <v>2372</v>
      </c>
      <c r="Q277" s="5" t="s">
        <v>30</v>
      </c>
    </row>
    <row r="278" ht="21.0" customHeight="1">
      <c r="A278" s="4">
        <v>277.0</v>
      </c>
      <c r="B278" s="5" t="s">
        <v>2373</v>
      </c>
      <c r="C278" s="5" t="s">
        <v>2374</v>
      </c>
      <c r="D278" s="5" t="s">
        <v>2375</v>
      </c>
      <c r="E278" s="5" t="s">
        <v>2376</v>
      </c>
      <c r="F278" s="5" t="s">
        <v>2261</v>
      </c>
      <c r="G278" s="5" t="s">
        <v>2377</v>
      </c>
      <c r="H278" s="5" t="s">
        <v>23</v>
      </c>
      <c r="I278" s="6" t="s">
        <v>2378</v>
      </c>
      <c r="J278" s="4">
        <v>100.0</v>
      </c>
      <c r="K278" s="5" t="s">
        <v>165</v>
      </c>
      <c r="L278" s="5" t="s">
        <v>2379</v>
      </c>
      <c r="M278" s="5" t="s">
        <v>2380</v>
      </c>
      <c r="N278" s="7" t="s">
        <v>2381</v>
      </c>
      <c r="O278" s="9" t="s">
        <v>2382</v>
      </c>
      <c r="P278" s="5" t="s">
        <v>30</v>
      </c>
      <c r="Q278" s="5" t="s">
        <v>30</v>
      </c>
    </row>
    <row r="279" ht="21.0" customHeight="1">
      <c r="A279" s="4">
        <v>278.0</v>
      </c>
      <c r="B279" s="5" t="s">
        <v>2383</v>
      </c>
      <c r="C279" s="5" t="s">
        <v>18</v>
      </c>
      <c r="D279" s="5" t="s">
        <v>19</v>
      </c>
      <c r="E279" s="5" t="s">
        <v>2384</v>
      </c>
      <c r="F279" s="5" t="s">
        <v>2261</v>
      </c>
      <c r="G279" s="5" t="s">
        <v>2385</v>
      </c>
      <c r="H279" s="5" t="s">
        <v>23</v>
      </c>
      <c r="I279" s="6" t="s">
        <v>2386</v>
      </c>
      <c r="J279" s="4">
        <v>100.0</v>
      </c>
      <c r="K279" s="5" t="s">
        <v>165</v>
      </c>
      <c r="L279" s="5" t="s">
        <v>2387</v>
      </c>
      <c r="M279" s="5" t="s">
        <v>2388</v>
      </c>
      <c r="N279" s="7" t="s">
        <v>2389</v>
      </c>
      <c r="O279" s="9" t="s">
        <v>2390</v>
      </c>
      <c r="P279" s="5" t="s">
        <v>30</v>
      </c>
      <c r="Q279" s="5" t="s">
        <v>30</v>
      </c>
    </row>
    <row r="280" ht="21.0" customHeight="1">
      <c r="A280" s="4">
        <v>279.0</v>
      </c>
      <c r="B280" s="5" t="s">
        <v>2391</v>
      </c>
      <c r="C280" s="5" t="s">
        <v>2392</v>
      </c>
      <c r="D280" s="5" t="s">
        <v>2393</v>
      </c>
      <c r="E280" s="5" t="s">
        <v>2394</v>
      </c>
      <c r="F280" s="5" t="s">
        <v>2261</v>
      </c>
      <c r="G280" s="5" t="s">
        <v>2395</v>
      </c>
      <c r="H280" s="5" t="s">
        <v>23</v>
      </c>
      <c r="I280" s="6" t="s">
        <v>2396</v>
      </c>
      <c r="J280" s="4">
        <v>100.0</v>
      </c>
      <c r="K280" s="5" t="s">
        <v>25</v>
      </c>
      <c r="L280" s="5" t="s">
        <v>2397</v>
      </c>
      <c r="M280" s="5" t="s">
        <v>2398</v>
      </c>
      <c r="N280" s="7" t="s">
        <v>2399</v>
      </c>
      <c r="O280" s="9" t="s">
        <v>2400</v>
      </c>
      <c r="P280" s="19" t="s">
        <v>2401</v>
      </c>
      <c r="Q280" s="5" t="s">
        <v>30</v>
      </c>
    </row>
    <row r="281" ht="21.0" customHeight="1">
      <c r="A281" s="4">
        <v>280.0</v>
      </c>
      <c r="B281" s="5" t="s">
        <v>2402</v>
      </c>
      <c r="C281" s="5" t="s">
        <v>2403</v>
      </c>
      <c r="D281" s="5" t="s">
        <v>1121</v>
      </c>
      <c r="E281" s="5" t="s">
        <v>2404</v>
      </c>
      <c r="F281" s="5" t="s">
        <v>2261</v>
      </c>
      <c r="G281" s="5" t="s">
        <v>2405</v>
      </c>
      <c r="H281" s="5" t="s">
        <v>23</v>
      </c>
      <c r="I281" s="6" t="s">
        <v>2406</v>
      </c>
      <c r="J281" s="4">
        <v>100.0</v>
      </c>
      <c r="K281" s="5" t="s">
        <v>216</v>
      </c>
      <c r="L281" s="5" t="s">
        <v>2407</v>
      </c>
      <c r="M281" s="5" t="s">
        <v>2408</v>
      </c>
      <c r="N281" s="7" t="s">
        <v>2409</v>
      </c>
      <c r="O281" s="9" t="s">
        <v>2410</v>
      </c>
      <c r="P281" s="19" t="s">
        <v>2411</v>
      </c>
      <c r="Q281" s="5" t="s">
        <v>30</v>
      </c>
    </row>
    <row r="282" ht="21.0" customHeight="1">
      <c r="A282" s="4">
        <v>281.0</v>
      </c>
      <c r="B282" s="5" t="s">
        <v>2412</v>
      </c>
      <c r="C282" s="5" t="s">
        <v>18</v>
      </c>
      <c r="D282" s="5" t="s">
        <v>2413</v>
      </c>
      <c r="E282" s="5" t="s">
        <v>2414</v>
      </c>
      <c r="F282" s="5" t="s">
        <v>2261</v>
      </c>
      <c r="G282" s="5" t="s">
        <v>2415</v>
      </c>
      <c r="H282" s="5" t="s">
        <v>23</v>
      </c>
      <c r="I282" s="6" t="s">
        <v>2416</v>
      </c>
      <c r="J282" s="4">
        <v>100.0</v>
      </c>
      <c r="K282" s="5" t="s">
        <v>52</v>
      </c>
      <c r="L282" s="5" t="s">
        <v>2417</v>
      </c>
      <c r="M282" s="5" t="s">
        <v>2418</v>
      </c>
      <c r="N282" s="7" t="s">
        <v>2419</v>
      </c>
      <c r="O282" s="9" t="s">
        <v>2420</v>
      </c>
      <c r="P282" s="19" t="s">
        <v>2421</v>
      </c>
      <c r="Q282" s="5" t="s">
        <v>30</v>
      </c>
    </row>
    <row r="283" ht="21.0" customHeight="1">
      <c r="A283" s="4">
        <v>282.0</v>
      </c>
      <c r="B283" s="5" t="s">
        <v>2422</v>
      </c>
      <c r="C283" s="5" t="s">
        <v>18</v>
      </c>
      <c r="D283" s="5" t="s">
        <v>19</v>
      </c>
      <c r="E283" s="5" t="s">
        <v>2423</v>
      </c>
      <c r="F283" s="5" t="s">
        <v>2261</v>
      </c>
      <c r="G283" s="5" t="s">
        <v>2424</v>
      </c>
      <c r="H283" s="5" t="s">
        <v>23</v>
      </c>
      <c r="I283" s="6" t="s">
        <v>2425</v>
      </c>
      <c r="J283" s="4">
        <v>100.0</v>
      </c>
      <c r="K283" s="5" t="s">
        <v>386</v>
      </c>
      <c r="L283" s="5" t="s">
        <v>2426</v>
      </c>
      <c r="M283" s="5" t="s">
        <v>2427</v>
      </c>
      <c r="N283" s="7" t="s">
        <v>2428</v>
      </c>
      <c r="O283" s="9" t="s">
        <v>2429</v>
      </c>
      <c r="P283" s="19" t="s">
        <v>2430</v>
      </c>
      <c r="Q283" s="5" t="s">
        <v>30</v>
      </c>
    </row>
    <row r="284" ht="21.0" customHeight="1">
      <c r="A284" s="4">
        <v>283.0</v>
      </c>
      <c r="B284" s="5" t="s">
        <v>2431</v>
      </c>
      <c r="C284" s="5" t="s">
        <v>18</v>
      </c>
      <c r="D284" s="5" t="s">
        <v>2432</v>
      </c>
      <c r="E284" s="5" t="s">
        <v>2433</v>
      </c>
      <c r="F284" s="5" t="s">
        <v>2261</v>
      </c>
      <c r="G284" s="5" t="s">
        <v>2434</v>
      </c>
      <c r="H284" s="5" t="s">
        <v>23</v>
      </c>
      <c r="I284" s="6" t="s">
        <v>2435</v>
      </c>
      <c r="J284" s="4">
        <v>100.0</v>
      </c>
      <c r="K284" s="5" t="s">
        <v>316</v>
      </c>
      <c r="L284" s="5" t="s">
        <v>2436</v>
      </c>
      <c r="M284" s="5" t="s">
        <v>2437</v>
      </c>
      <c r="N284" s="7" t="s">
        <v>2438</v>
      </c>
      <c r="O284" s="9" t="s">
        <v>2439</v>
      </c>
      <c r="P284" s="19" t="s">
        <v>2440</v>
      </c>
      <c r="Q284" s="5" t="s">
        <v>30</v>
      </c>
    </row>
    <row r="285" ht="21.0" customHeight="1">
      <c r="A285" s="4">
        <v>284.0</v>
      </c>
      <c r="B285" s="5" t="s">
        <v>2441</v>
      </c>
      <c r="C285" s="5" t="s">
        <v>18</v>
      </c>
      <c r="D285" s="5" t="s">
        <v>19</v>
      </c>
      <c r="E285" s="5" t="s">
        <v>2442</v>
      </c>
      <c r="F285" s="5" t="s">
        <v>2261</v>
      </c>
      <c r="G285" s="5" t="s">
        <v>2443</v>
      </c>
      <c r="H285" s="5" t="s">
        <v>23</v>
      </c>
      <c r="I285" s="6" t="s">
        <v>2444</v>
      </c>
      <c r="J285" s="4">
        <v>100.0</v>
      </c>
      <c r="K285" s="5" t="s">
        <v>25</v>
      </c>
      <c r="L285" s="5" t="s">
        <v>2445</v>
      </c>
      <c r="M285" s="5" t="s">
        <v>2446</v>
      </c>
      <c r="N285" s="7" t="s">
        <v>2447</v>
      </c>
      <c r="O285" s="9" t="s">
        <v>2448</v>
      </c>
      <c r="P285" s="5" t="s">
        <v>30</v>
      </c>
      <c r="Q285" s="5" t="s">
        <v>30</v>
      </c>
    </row>
    <row r="286" ht="21.0" customHeight="1">
      <c r="A286" s="4">
        <v>285.0</v>
      </c>
      <c r="B286" s="5" t="s">
        <v>2449</v>
      </c>
      <c r="C286" s="5" t="s">
        <v>18</v>
      </c>
      <c r="D286" s="5" t="s">
        <v>2450</v>
      </c>
      <c r="E286" s="5" t="s">
        <v>2451</v>
      </c>
      <c r="F286" s="5" t="s">
        <v>2261</v>
      </c>
      <c r="G286" s="5" t="s">
        <v>1888</v>
      </c>
      <c r="H286" s="5" t="s">
        <v>23</v>
      </c>
      <c r="I286" s="6" t="s">
        <v>2452</v>
      </c>
      <c r="J286" s="4">
        <v>100.0</v>
      </c>
      <c r="K286" s="5" t="s">
        <v>84</v>
      </c>
      <c r="L286" s="5" t="s">
        <v>2453</v>
      </c>
      <c r="M286" s="5" t="s">
        <v>2454</v>
      </c>
      <c r="N286" s="7" t="s">
        <v>2455</v>
      </c>
      <c r="O286" s="9" t="s">
        <v>2456</v>
      </c>
      <c r="P286" s="19" t="s">
        <v>2457</v>
      </c>
      <c r="Q286" s="5" t="s">
        <v>30</v>
      </c>
    </row>
    <row r="287" ht="21.0" customHeight="1">
      <c r="A287" s="4">
        <v>286.0</v>
      </c>
      <c r="B287" s="5" t="s">
        <v>2458</v>
      </c>
      <c r="C287" s="5" t="s">
        <v>18</v>
      </c>
      <c r="D287" s="5" t="s">
        <v>2459</v>
      </c>
      <c r="E287" s="5" t="s">
        <v>2460</v>
      </c>
      <c r="F287" s="5" t="s">
        <v>2261</v>
      </c>
      <c r="G287" s="5" t="s">
        <v>2461</v>
      </c>
      <c r="H287" s="5" t="s">
        <v>23</v>
      </c>
      <c r="I287" s="6" t="s">
        <v>2462</v>
      </c>
      <c r="J287" s="4">
        <v>100.0</v>
      </c>
      <c r="K287" s="5" t="s">
        <v>1410</v>
      </c>
      <c r="L287" s="5" t="s">
        <v>2463</v>
      </c>
      <c r="M287" s="5" t="s">
        <v>2464</v>
      </c>
      <c r="N287" s="30" t="s">
        <v>2465</v>
      </c>
      <c r="O287" s="9" t="s">
        <v>2466</v>
      </c>
      <c r="P287" s="19" t="s">
        <v>2467</v>
      </c>
      <c r="Q287" s="5" t="s">
        <v>30</v>
      </c>
    </row>
    <row r="288" ht="21.0" customHeight="1">
      <c r="A288" s="4">
        <v>287.0</v>
      </c>
      <c r="B288" s="5" t="s">
        <v>2468</v>
      </c>
      <c r="C288" s="5" t="s">
        <v>18</v>
      </c>
      <c r="D288" s="5" t="s">
        <v>2469</v>
      </c>
      <c r="E288" s="5" t="s">
        <v>2470</v>
      </c>
      <c r="F288" s="5" t="s">
        <v>2261</v>
      </c>
      <c r="G288" s="5" t="s">
        <v>2471</v>
      </c>
      <c r="H288" s="5" t="s">
        <v>23</v>
      </c>
      <c r="I288" s="6" t="s">
        <v>2472</v>
      </c>
      <c r="J288" s="4">
        <v>100.0</v>
      </c>
      <c r="K288" s="5" t="s">
        <v>84</v>
      </c>
      <c r="L288" s="5" t="s">
        <v>2473</v>
      </c>
      <c r="M288" s="5" t="s">
        <v>2474</v>
      </c>
      <c r="N288" s="7" t="s">
        <v>2475</v>
      </c>
      <c r="O288" s="9" t="s">
        <v>2476</v>
      </c>
      <c r="P288" s="19" t="s">
        <v>2477</v>
      </c>
      <c r="Q288" s="5" t="s">
        <v>30</v>
      </c>
    </row>
    <row r="289" ht="21.0" customHeight="1">
      <c r="A289" s="4">
        <v>288.0</v>
      </c>
      <c r="B289" s="5" t="s">
        <v>2478</v>
      </c>
      <c r="C289" s="5" t="s">
        <v>18</v>
      </c>
      <c r="D289" s="5" t="s">
        <v>2479</v>
      </c>
      <c r="E289" s="5" t="s">
        <v>2480</v>
      </c>
      <c r="F289" s="5" t="s">
        <v>2261</v>
      </c>
      <c r="G289" s="5" t="s">
        <v>2481</v>
      </c>
      <c r="H289" s="5" t="s">
        <v>23</v>
      </c>
      <c r="I289" s="6" t="s">
        <v>2482</v>
      </c>
      <c r="J289" s="4">
        <v>100.0</v>
      </c>
      <c r="K289" s="5" t="s">
        <v>110</v>
      </c>
      <c r="L289" s="5" t="s">
        <v>2483</v>
      </c>
      <c r="M289" s="5" t="s">
        <v>2484</v>
      </c>
      <c r="N289" s="7" t="s">
        <v>2485</v>
      </c>
      <c r="O289" s="9" t="s">
        <v>2486</v>
      </c>
      <c r="P289" s="19" t="s">
        <v>2487</v>
      </c>
      <c r="Q289" s="5" t="s">
        <v>30</v>
      </c>
    </row>
    <row r="290" ht="21.0" customHeight="1">
      <c r="A290" s="4">
        <v>289.0</v>
      </c>
      <c r="B290" s="5" t="s">
        <v>2488</v>
      </c>
      <c r="C290" s="5" t="s">
        <v>2489</v>
      </c>
      <c r="D290" s="5" t="s">
        <v>2490</v>
      </c>
      <c r="E290" s="5" t="s">
        <v>2491</v>
      </c>
      <c r="F290" s="5" t="s">
        <v>2261</v>
      </c>
      <c r="G290" s="5" t="s">
        <v>2492</v>
      </c>
      <c r="H290" s="5" t="s">
        <v>23</v>
      </c>
      <c r="I290" s="6" t="s">
        <v>2493</v>
      </c>
      <c r="J290" s="4">
        <v>100.0</v>
      </c>
      <c r="K290" s="5" t="s">
        <v>157</v>
      </c>
      <c r="L290" s="5" t="s">
        <v>2494</v>
      </c>
      <c r="M290" s="5" t="s">
        <v>2495</v>
      </c>
      <c r="N290" s="7" t="s">
        <v>2496</v>
      </c>
      <c r="O290" s="9" t="s">
        <v>2497</v>
      </c>
      <c r="P290" s="19" t="s">
        <v>2498</v>
      </c>
      <c r="Q290" s="5" t="s">
        <v>30</v>
      </c>
    </row>
    <row r="291" ht="21.0" customHeight="1">
      <c r="A291" s="4">
        <v>290.0</v>
      </c>
      <c r="B291" s="5" t="s">
        <v>2499</v>
      </c>
      <c r="C291" s="5" t="s">
        <v>18</v>
      </c>
      <c r="D291" s="5" t="s">
        <v>19</v>
      </c>
      <c r="E291" s="5" t="s">
        <v>2500</v>
      </c>
      <c r="F291" s="5" t="s">
        <v>2261</v>
      </c>
      <c r="G291" s="5" t="s">
        <v>2501</v>
      </c>
      <c r="H291" s="5" t="s">
        <v>23</v>
      </c>
      <c r="I291" s="6" t="s">
        <v>2502</v>
      </c>
      <c r="J291" s="4">
        <v>100.0</v>
      </c>
      <c r="K291" s="5" t="s">
        <v>316</v>
      </c>
      <c r="L291" s="5" t="s">
        <v>2503</v>
      </c>
      <c r="M291" s="5" t="s">
        <v>2504</v>
      </c>
      <c r="N291" s="7" t="s">
        <v>2505</v>
      </c>
      <c r="O291" s="9" t="s">
        <v>2506</v>
      </c>
      <c r="P291" s="19" t="s">
        <v>2507</v>
      </c>
      <c r="Q291" s="5" t="s">
        <v>30</v>
      </c>
    </row>
    <row r="292" ht="21.0" customHeight="1">
      <c r="A292" s="4">
        <v>291.0</v>
      </c>
      <c r="B292" s="5" t="s">
        <v>2508</v>
      </c>
      <c r="C292" s="5" t="s">
        <v>2509</v>
      </c>
      <c r="D292" s="5" t="s">
        <v>2510</v>
      </c>
      <c r="E292" s="5" t="s">
        <v>2511</v>
      </c>
      <c r="F292" s="5" t="s">
        <v>2261</v>
      </c>
      <c r="G292" s="5" t="s">
        <v>2512</v>
      </c>
      <c r="H292" s="5" t="s">
        <v>23</v>
      </c>
      <c r="I292" s="6" t="s">
        <v>2513</v>
      </c>
      <c r="J292" s="4">
        <v>100.0</v>
      </c>
      <c r="K292" s="5" t="s">
        <v>25</v>
      </c>
      <c r="L292" s="5" t="s">
        <v>2514</v>
      </c>
      <c r="M292" s="5" t="s">
        <v>2515</v>
      </c>
      <c r="N292" s="7" t="s">
        <v>2516</v>
      </c>
      <c r="O292" s="9" t="s">
        <v>2517</v>
      </c>
      <c r="P292" s="19" t="s">
        <v>2518</v>
      </c>
      <c r="Q292" s="5" t="s">
        <v>30</v>
      </c>
    </row>
    <row r="293" ht="21.0" customHeight="1">
      <c r="A293" s="4">
        <v>292.0</v>
      </c>
      <c r="B293" s="5" t="s">
        <v>2519</v>
      </c>
      <c r="C293" s="5" t="s">
        <v>18</v>
      </c>
      <c r="D293" s="5" t="s">
        <v>2520</v>
      </c>
      <c r="E293" s="5" t="s">
        <v>2521</v>
      </c>
      <c r="F293" s="5" t="s">
        <v>2261</v>
      </c>
      <c r="G293" s="5" t="s">
        <v>2522</v>
      </c>
      <c r="H293" s="5" t="s">
        <v>23</v>
      </c>
      <c r="I293" s="6" t="s">
        <v>2523</v>
      </c>
      <c r="J293" s="4">
        <v>100.0</v>
      </c>
      <c r="K293" s="5" t="s">
        <v>110</v>
      </c>
      <c r="L293" s="5" t="s">
        <v>2524</v>
      </c>
      <c r="M293" s="5" t="s">
        <v>2525</v>
      </c>
      <c r="N293" s="7" t="s">
        <v>2526</v>
      </c>
      <c r="O293" s="9" t="s">
        <v>2527</v>
      </c>
      <c r="P293" s="19" t="s">
        <v>2528</v>
      </c>
      <c r="Q293" s="5" t="s">
        <v>30</v>
      </c>
    </row>
    <row r="294" ht="21.0" customHeight="1">
      <c r="A294" s="4">
        <v>293.0</v>
      </c>
      <c r="B294" s="5" t="s">
        <v>2529</v>
      </c>
      <c r="C294" s="5" t="s">
        <v>18</v>
      </c>
      <c r="D294" s="5" t="s">
        <v>2099</v>
      </c>
      <c r="E294" s="5" t="s">
        <v>2530</v>
      </c>
      <c r="F294" s="5" t="s">
        <v>2261</v>
      </c>
      <c r="G294" s="5" t="s">
        <v>2531</v>
      </c>
      <c r="H294" s="5" t="s">
        <v>23</v>
      </c>
      <c r="I294" s="6" t="s">
        <v>2532</v>
      </c>
      <c r="J294" s="4">
        <v>100.0</v>
      </c>
      <c r="K294" s="5" t="s">
        <v>93</v>
      </c>
      <c r="L294" s="5" t="s">
        <v>2533</v>
      </c>
      <c r="M294" s="5" t="s">
        <v>2534</v>
      </c>
      <c r="N294" s="7" t="s">
        <v>2535</v>
      </c>
      <c r="O294" s="9" t="s">
        <v>2536</v>
      </c>
      <c r="P294" s="19" t="s">
        <v>2537</v>
      </c>
      <c r="Q294" s="5" t="s">
        <v>30</v>
      </c>
    </row>
    <row r="295" ht="21.0" customHeight="1">
      <c r="A295" s="4">
        <v>294.0</v>
      </c>
      <c r="B295" s="5" t="s">
        <v>2538</v>
      </c>
      <c r="C295" s="5" t="s">
        <v>18</v>
      </c>
      <c r="D295" s="5" t="s">
        <v>2539</v>
      </c>
      <c r="E295" s="5" t="s">
        <v>2540</v>
      </c>
      <c r="F295" s="5" t="s">
        <v>2261</v>
      </c>
      <c r="G295" s="5" t="s">
        <v>34</v>
      </c>
      <c r="H295" s="5" t="s">
        <v>23</v>
      </c>
      <c r="I295" s="6" t="s">
        <v>2541</v>
      </c>
      <c r="J295" s="4">
        <v>100.0</v>
      </c>
      <c r="K295" s="5" t="s">
        <v>25</v>
      </c>
      <c r="L295" s="5" t="s">
        <v>2542</v>
      </c>
      <c r="M295" s="5" t="s">
        <v>2543</v>
      </c>
      <c r="N295" s="7" t="s">
        <v>2544</v>
      </c>
      <c r="O295" s="9" t="s">
        <v>2545</v>
      </c>
      <c r="P295" s="19" t="s">
        <v>2546</v>
      </c>
      <c r="Q295" s="5" t="s">
        <v>30</v>
      </c>
    </row>
    <row r="296" ht="21.0" customHeight="1">
      <c r="A296" s="4">
        <v>295.0</v>
      </c>
      <c r="B296" s="5" t="s">
        <v>2547</v>
      </c>
      <c r="C296" s="5" t="s">
        <v>18</v>
      </c>
      <c r="D296" s="5" t="s">
        <v>19</v>
      </c>
      <c r="E296" s="5" t="s">
        <v>2548</v>
      </c>
      <c r="F296" s="5" t="s">
        <v>2261</v>
      </c>
      <c r="G296" s="5" t="s">
        <v>2549</v>
      </c>
      <c r="H296" s="5" t="s">
        <v>23</v>
      </c>
      <c r="I296" s="6" t="s">
        <v>2550</v>
      </c>
      <c r="J296" s="4">
        <v>100.0</v>
      </c>
      <c r="K296" s="5" t="s">
        <v>25</v>
      </c>
      <c r="L296" s="5" t="s">
        <v>2551</v>
      </c>
      <c r="M296" s="5" t="s">
        <v>2552</v>
      </c>
      <c r="N296" s="7" t="s">
        <v>2553</v>
      </c>
      <c r="O296" s="9" t="s">
        <v>2554</v>
      </c>
      <c r="P296" s="19" t="s">
        <v>2555</v>
      </c>
      <c r="Q296" s="5" t="s">
        <v>30</v>
      </c>
    </row>
    <row r="297" ht="21.0" customHeight="1">
      <c r="A297" s="4">
        <v>296.0</v>
      </c>
      <c r="B297" s="5" t="s">
        <v>2556</v>
      </c>
      <c r="C297" s="5" t="s">
        <v>18</v>
      </c>
      <c r="D297" s="5" t="s">
        <v>19</v>
      </c>
      <c r="E297" s="5" t="s">
        <v>2557</v>
      </c>
      <c r="F297" s="5" t="s">
        <v>2261</v>
      </c>
      <c r="G297" s="5" t="s">
        <v>2558</v>
      </c>
      <c r="H297" s="5" t="s">
        <v>23</v>
      </c>
      <c r="I297" s="6" t="s">
        <v>2559</v>
      </c>
      <c r="J297" s="4">
        <v>100.0</v>
      </c>
      <c r="K297" s="5" t="s">
        <v>84</v>
      </c>
      <c r="L297" s="5" t="s">
        <v>2560</v>
      </c>
      <c r="M297" s="5" t="s">
        <v>2561</v>
      </c>
      <c r="N297" s="7" t="s">
        <v>2562</v>
      </c>
      <c r="O297" s="9" t="s">
        <v>2563</v>
      </c>
      <c r="P297" s="19" t="s">
        <v>2564</v>
      </c>
      <c r="Q297" s="5" t="s">
        <v>30</v>
      </c>
    </row>
    <row r="298" ht="21.0" customHeight="1">
      <c r="A298" s="4">
        <v>297.0</v>
      </c>
      <c r="B298" s="5" t="s">
        <v>2565</v>
      </c>
      <c r="C298" s="5" t="s">
        <v>18</v>
      </c>
      <c r="D298" s="5" t="s">
        <v>19</v>
      </c>
      <c r="E298" s="5" t="s">
        <v>2566</v>
      </c>
      <c r="F298" s="5" t="s">
        <v>2261</v>
      </c>
      <c r="G298" s="5" t="s">
        <v>2567</v>
      </c>
      <c r="H298" s="5" t="s">
        <v>23</v>
      </c>
      <c r="I298" s="6" t="s">
        <v>2568</v>
      </c>
      <c r="J298" s="4">
        <v>100.0</v>
      </c>
      <c r="K298" s="5" t="s">
        <v>93</v>
      </c>
      <c r="L298" s="5" t="s">
        <v>2569</v>
      </c>
      <c r="M298" s="5" t="s">
        <v>2570</v>
      </c>
      <c r="N298" s="7" t="s">
        <v>2571</v>
      </c>
      <c r="O298" s="9" t="s">
        <v>2572</v>
      </c>
      <c r="P298" s="19" t="s">
        <v>2573</v>
      </c>
      <c r="Q298" s="5" t="s">
        <v>30</v>
      </c>
    </row>
    <row r="299" ht="21.0" customHeight="1">
      <c r="A299" s="4">
        <v>298.0</v>
      </c>
      <c r="B299" s="5" t="s">
        <v>2574</v>
      </c>
      <c r="C299" s="5" t="s">
        <v>2575</v>
      </c>
      <c r="D299" s="5" t="s">
        <v>2576</v>
      </c>
      <c r="E299" s="5" t="s">
        <v>2577</v>
      </c>
      <c r="F299" s="5" t="s">
        <v>2261</v>
      </c>
      <c r="G299" s="5" t="s">
        <v>2578</v>
      </c>
      <c r="H299" s="5" t="s">
        <v>23</v>
      </c>
      <c r="I299" s="6" t="s">
        <v>2579</v>
      </c>
      <c r="J299" s="4">
        <v>100.0</v>
      </c>
      <c r="K299" s="5" t="s">
        <v>25</v>
      </c>
      <c r="L299" s="5" t="s">
        <v>2580</v>
      </c>
      <c r="M299" s="5" t="s">
        <v>2581</v>
      </c>
      <c r="N299" s="7" t="s">
        <v>2582</v>
      </c>
      <c r="O299" s="9" t="s">
        <v>2583</v>
      </c>
      <c r="P299" s="19" t="s">
        <v>2584</v>
      </c>
      <c r="Q299" s="5" t="s">
        <v>30</v>
      </c>
    </row>
    <row r="300" ht="21.0" customHeight="1">
      <c r="A300" s="4">
        <v>299.0</v>
      </c>
      <c r="B300" s="5" t="s">
        <v>2585</v>
      </c>
      <c r="C300" s="5" t="s">
        <v>2586</v>
      </c>
      <c r="D300" s="5" t="s">
        <v>19</v>
      </c>
      <c r="E300" s="5" t="s">
        <v>2587</v>
      </c>
      <c r="F300" s="5" t="s">
        <v>2261</v>
      </c>
      <c r="G300" s="5" t="s">
        <v>34</v>
      </c>
      <c r="H300" s="5" t="s">
        <v>23</v>
      </c>
      <c r="I300" s="6" t="s">
        <v>2588</v>
      </c>
      <c r="J300" s="4">
        <v>100.0</v>
      </c>
      <c r="K300" s="5" t="s">
        <v>165</v>
      </c>
      <c r="L300" s="5" t="s">
        <v>2589</v>
      </c>
      <c r="M300" s="5" t="s">
        <v>2590</v>
      </c>
      <c r="N300" s="7" t="s">
        <v>2591</v>
      </c>
      <c r="O300" s="9" t="s">
        <v>2592</v>
      </c>
      <c r="P300" s="19" t="s">
        <v>2593</v>
      </c>
      <c r="Q300" s="5" t="s">
        <v>30</v>
      </c>
    </row>
    <row r="301" ht="21.0" customHeight="1">
      <c r="A301" s="13">
        <v>300.0</v>
      </c>
      <c r="B301" s="14" t="s">
        <v>2594</v>
      </c>
      <c r="C301" s="14" t="s">
        <v>18</v>
      </c>
      <c r="D301" s="14" t="s">
        <v>19</v>
      </c>
      <c r="E301" s="14" t="s">
        <v>2595</v>
      </c>
      <c r="F301" s="14" t="s">
        <v>2596</v>
      </c>
      <c r="G301" s="14" t="s">
        <v>2597</v>
      </c>
      <c r="H301" s="14" t="s">
        <v>23</v>
      </c>
      <c r="I301" s="15" t="s">
        <v>2598</v>
      </c>
      <c r="J301" s="13">
        <v>100.0</v>
      </c>
      <c r="K301" s="14" t="s">
        <v>52</v>
      </c>
      <c r="L301" s="14" t="s">
        <v>2599</v>
      </c>
      <c r="M301" s="14" t="s">
        <v>2600</v>
      </c>
      <c r="N301" s="16" t="s">
        <v>2601</v>
      </c>
      <c r="O301" s="17" t="s">
        <v>2602</v>
      </c>
      <c r="P301" s="26" t="s">
        <v>2603</v>
      </c>
      <c r="Q301" s="5" t="s">
        <v>30</v>
      </c>
      <c r="R301" s="18"/>
      <c r="S301" s="18"/>
      <c r="T301" s="18"/>
      <c r="U301" s="18"/>
      <c r="V301" s="18"/>
      <c r="W301" s="18"/>
      <c r="X301" s="18"/>
      <c r="Y301" s="18"/>
      <c r="Z301" s="18"/>
    </row>
    <row r="302" ht="21.0" customHeight="1">
      <c r="A302" s="4">
        <v>301.0</v>
      </c>
      <c r="B302" s="5" t="s">
        <v>2604</v>
      </c>
      <c r="C302" s="5" t="s">
        <v>18</v>
      </c>
      <c r="D302" s="5" t="s">
        <v>19</v>
      </c>
      <c r="E302" s="5" t="s">
        <v>2605</v>
      </c>
      <c r="F302" s="5" t="s">
        <v>2596</v>
      </c>
      <c r="G302" s="5" t="s">
        <v>2606</v>
      </c>
      <c r="H302" s="5" t="s">
        <v>23</v>
      </c>
      <c r="I302" s="6" t="s">
        <v>2607</v>
      </c>
      <c r="J302" s="4">
        <v>100.0</v>
      </c>
      <c r="K302" s="5" t="s">
        <v>25</v>
      </c>
      <c r="L302" s="5" t="s">
        <v>2608</v>
      </c>
      <c r="M302" s="5" t="s">
        <v>2609</v>
      </c>
      <c r="N302" s="7" t="s">
        <v>2610</v>
      </c>
      <c r="O302" s="9" t="s">
        <v>2611</v>
      </c>
      <c r="P302" s="19" t="s">
        <v>2612</v>
      </c>
      <c r="Q302" s="5" t="s">
        <v>30</v>
      </c>
    </row>
    <row r="303" ht="21.0" customHeight="1">
      <c r="A303" s="4">
        <v>302.0</v>
      </c>
      <c r="B303" s="5" t="s">
        <v>2613</v>
      </c>
      <c r="C303" s="5" t="s">
        <v>2614</v>
      </c>
      <c r="D303" s="5" t="s">
        <v>19</v>
      </c>
      <c r="E303" s="5" t="s">
        <v>2615</v>
      </c>
      <c r="F303" s="5" t="s">
        <v>2596</v>
      </c>
      <c r="G303" s="5" t="s">
        <v>2616</v>
      </c>
      <c r="H303" s="5" t="s">
        <v>23</v>
      </c>
      <c r="I303" s="6" t="s">
        <v>2617</v>
      </c>
      <c r="J303" s="4">
        <v>100.0</v>
      </c>
      <c r="K303" s="5" t="s">
        <v>25</v>
      </c>
      <c r="L303" s="5" t="s">
        <v>2618</v>
      </c>
      <c r="M303" s="5" t="s">
        <v>2619</v>
      </c>
      <c r="N303" s="7" t="s">
        <v>2620</v>
      </c>
      <c r="O303" s="9" t="s">
        <v>2621</v>
      </c>
      <c r="P303" s="19" t="s">
        <v>2622</v>
      </c>
      <c r="Q303" s="5" t="s">
        <v>30</v>
      </c>
    </row>
    <row r="304" ht="21.0" customHeight="1">
      <c r="A304" s="4">
        <v>303.0</v>
      </c>
      <c r="B304" s="5" t="s">
        <v>2623</v>
      </c>
      <c r="C304" s="5" t="s">
        <v>18</v>
      </c>
      <c r="D304" s="5" t="s">
        <v>1625</v>
      </c>
      <c r="E304" s="5" t="s">
        <v>2624</v>
      </c>
      <c r="F304" s="5" t="s">
        <v>2596</v>
      </c>
      <c r="G304" s="5" t="s">
        <v>2625</v>
      </c>
      <c r="H304" s="5" t="s">
        <v>23</v>
      </c>
      <c r="I304" s="6" t="s">
        <v>2626</v>
      </c>
      <c r="J304" s="4">
        <v>100.0</v>
      </c>
      <c r="K304" s="5" t="s">
        <v>284</v>
      </c>
      <c r="L304" s="5" t="s">
        <v>2627</v>
      </c>
      <c r="M304" s="5" t="s">
        <v>2628</v>
      </c>
      <c r="N304" s="7" t="s">
        <v>2629</v>
      </c>
      <c r="O304" s="9" t="s">
        <v>2630</v>
      </c>
      <c r="P304" s="19" t="s">
        <v>2631</v>
      </c>
      <c r="Q304" s="5" t="s">
        <v>30</v>
      </c>
    </row>
    <row r="305" ht="21.0" customHeight="1">
      <c r="A305" s="4">
        <v>304.0</v>
      </c>
      <c r="B305" s="5" t="s">
        <v>2632</v>
      </c>
      <c r="C305" s="5" t="s">
        <v>18</v>
      </c>
      <c r="D305" s="5" t="s">
        <v>19</v>
      </c>
      <c r="E305" s="5" t="s">
        <v>2633</v>
      </c>
      <c r="F305" s="5" t="s">
        <v>2596</v>
      </c>
      <c r="G305" s="5" t="s">
        <v>2634</v>
      </c>
      <c r="H305" s="5" t="s">
        <v>23</v>
      </c>
      <c r="I305" s="6" t="s">
        <v>2635</v>
      </c>
      <c r="J305" s="4">
        <v>100.0</v>
      </c>
      <c r="K305" s="5" t="s">
        <v>1410</v>
      </c>
      <c r="L305" s="5" t="s">
        <v>2636</v>
      </c>
      <c r="M305" s="5" t="s">
        <v>2637</v>
      </c>
      <c r="N305" s="7" t="s">
        <v>2638</v>
      </c>
      <c r="O305" s="9" t="s">
        <v>2639</v>
      </c>
      <c r="P305" s="19" t="s">
        <v>2640</v>
      </c>
      <c r="Q305" s="5" t="s">
        <v>30</v>
      </c>
    </row>
    <row r="306" ht="21.0" customHeight="1">
      <c r="A306" s="4">
        <v>305.0</v>
      </c>
      <c r="B306" s="5" t="s">
        <v>2641</v>
      </c>
      <c r="C306" s="5" t="s">
        <v>18</v>
      </c>
      <c r="D306" s="5" t="s">
        <v>2642</v>
      </c>
      <c r="E306" s="5" t="s">
        <v>2643</v>
      </c>
      <c r="F306" s="5" t="s">
        <v>2596</v>
      </c>
      <c r="G306" s="5" t="s">
        <v>2644</v>
      </c>
      <c r="H306" s="5" t="s">
        <v>23</v>
      </c>
      <c r="I306" s="6" t="s">
        <v>2645</v>
      </c>
      <c r="J306" s="4">
        <v>100.0</v>
      </c>
      <c r="K306" s="5" t="s">
        <v>110</v>
      </c>
      <c r="L306" s="5" t="s">
        <v>2646</v>
      </c>
      <c r="M306" s="5" t="s">
        <v>2647</v>
      </c>
      <c r="N306" s="7" t="s">
        <v>2648</v>
      </c>
      <c r="O306" s="9" t="s">
        <v>2649</v>
      </c>
      <c r="P306" s="19" t="s">
        <v>2650</v>
      </c>
      <c r="Q306" s="5" t="s">
        <v>30</v>
      </c>
    </row>
    <row r="307" ht="21.0" customHeight="1">
      <c r="A307" s="4">
        <v>306.0</v>
      </c>
      <c r="B307" s="5" t="s">
        <v>2651</v>
      </c>
      <c r="C307" s="5" t="s">
        <v>2652</v>
      </c>
      <c r="D307" s="5" t="s">
        <v>19</v>
      </c>
      <c r="E307" s="5" t="s">
        <v>2653</v>
      </c>
      <c r="F307" s="5" t="s">
        <v>2596</v>
      </c>
      <c r="G307" s="5" t="s">
        <v>2654</v>
      </c>
      <c r="H307" s="5" t="s">
        <v>23</v>
      </c>
      <c r="I307" s="6" t="s">
        <v>2655</v>
      </c>
      <c r="J307" s="4">
        <v>100.0</v>
      </c>
      <c r="K307" s="5" t="s">
        <v>1410</v>
      </c>
      <c r="L307" s="5" t="s">
        <v>2656</v>
      </c>
      <c r="M307" s="5" t="s">
        <v>2657</v>
      </c>
      <c r="N307" s="7" t="s">
        <v>2658</v>
      </c>
      <c r="O307" s="9" t="s">
        <v>2659</v>
      </c>
      <c r="P307" s="19" t="s">
        <v>2660</v>
      </c>
      <c r="Q307" s="5" t="s">
        <v>30</v>
      </c>
    </row>
    <row r="308" ht="21.0" customHeight="1">
      <c r="A308" s="4">
        <v>307.0</v>
      </c>
      <c r="B308" s="5" t="s">
        <v>2661</v>
      </c>
      <c r="C308" s="5" t="s">
        <v>18</v>
      </c>
      <c r="D308" s="5" t="s">
        <v>2662</v>
      </c>
      <c r="E308" s="5" t="s">
        <v>2663</v>
      </c>
      <c r="F308" s="5" t="s">
        <v>2596</v>
      </c>
      <c r="G308" s="5" t="s">
        <v>2664</v>
      </c>
      <c r="H308" s="5" t="s">
        <v>23</v>
      </c>
      <c r="I308" s="6" t="s">
        <v>2665</v>
      </c>
      <c r="J308" s="4">
        <v>100.0</v>
      </c>
      <c r="K308" s="5" t="s">
        <v>292</v>
      </c>
      <c r="L308" s="5" t="s">
        <v>2666</v>
      </c>
      <c r="M308" s="5" t="s">
        <v>2667</v>
      </c>
      <c r="N308" s="7" t="s">
        <v>2668</v>
      </c>
      <c r="O308" s="9" t="s">
        <v>2669</v>
      </c>
      <c r="P308" s="19" t="s">
        <v>2670</v>
      </c>
      <c r="Q308" s="5" t="s">
        <v>30</v>
      </c>
    </row>
    <row r="309" ht="21.0" customHeight="1">
      <c r="A309" s="4">
        <v>308.0</v>
      </c>
      <c r="B309" s="5" t="s">
        <v>2671</v>
      </c>
      <c r="C309" s="5" t="s">
        <v>18</v>
      </c>
      <c r="D309" s="5" t="s">
        <v>19</v>
      </c>
      <c r="E309" s="5" t="s">
        <v>2672</v>
      </c>
      <c r="F309" s="5" t="s">
        <v>2596</v>
      </c>
      <c r="G309" s="5" t="s">
        <v>2673</v>
      </c>
      <c r="H309" s="5" t="s">
        <v>23</v>
      </c>
      <c r="I309" s="6" t="s">
        <v>2674</v>
      </c>
      <c r="J309" s="4">
        <v>100.0</v>
      </c>
      <c r="K309" s="5" t="s">
        <v>25</v>
      </c>
      <c r="L309" s="5" t="s">
        <v>2675</v>
      </c>
      <c r="M309" s="5" t="s">
        <v>2676</v>
      </c>
      <c r="N309" s="7" t="s">
        <v>2677</v>
      </c>
      <c r="O309" s="9" t="s">
        <v>2678</v>
      </c>
      <c r="P309" s="5" t="s">
        <v>30</v>
      </c>
      <c r="Q309" s="5" t="s">
        <v>30</v>
      </c>
    </row>
    <row r="310" ht="21.0" customHeight="1">
      <c r="A310" s="4">
        <v>309.0</v>
      </c>
      <c r="B310" s="5" t="s">
        <v>2679</v>
      </c>
      <c r="C310" s="5" t="s">
        <v>2680</v>
      </c>
      <c r="D310" s="5" t="s">
        <v>19</v>
      </c>
      <c r="E310" s="5" t="s">
        <v>2681</v>
      </c>
      <c r="F310" s="5" t="s">
        <v>2596</v>
      </c>
      <c r="G310" s="5" t="s">
        <v>2682</v>
      </c>
      <c r="H310" s="5" t="s">
        <v>23</v>
      </c>
      <c r="I310" s="6" t="s">
        <v>2683</v>
      </c>
      <c r="J310" s="4">
        <v>100.0</v>
      </c>
      <c r="K310" s="5" t="s">
        <v>157</v>
      </c>
      <c r="L310" s="5" t="s">
        <v>2684</v>
      </c>
      <c r="M310" s="5" t="s">
        <v>2685</v>
      </c>
      <c r="N310" s="7" t="s">
        <v>2686</v>
      </c>
      <c r="O310" s="9" t="s">
        <v>2687</v>
      </c>
      <c r="P310" s="19" t="s">
        <v>2688</v>
      </c>
      <c r="Q310" s="5" t="s">
        <v>30</v>
      </c>
    </row>
    <row r="311" ht="21.0" customHeight="1">
      <c r="A311" s="4">
        <v>310.0</v>
      </c>
      <c r="B311" s="5" t="s">
        <v>2689</v>
      </c>
      <c r="C311" s="5" t="s">
        <v>18</v>
      </c>
      <c r="D311" s="5" t="s">
        <v>2690</v>
      </c>
      <c r="E311" s="5" t="s">
        <v>2691</v>
      </c>
      <c r="F311" s="5" t="s">
        <v>2596</v>
      </c>
      <c r="G311" s="5" t="s">
        <v>2692</v>
      </c>
      <c r="H311" s="5" t="s">
        <v>23</v>
      </c>
      <c r="I311" s="6" t="s">
        <v>2693</v>
      </c>
      <c r="J311" s="4">
        <v>100.0</v>
      </c>
      <c r="K311" s="5" t="s">
        <v>84</v>
      </c>
      <c r="L311" s="5" t="s">
        <v>2694</v>
      </c>
      <c r="M311" s="5" t="s">
        <v>2695</v>
      </c>
      <c r="N311" s="7" t="s">
        <v>2696</v>
      </c>
      <c r="O311" s="9" t="s">
        <v>2697</v>
      </c>
      <c r="P311" s="19" t="s">
        <v>2698</v>
      </c>
      <c r="Q311" s="5" t="s">
        <v>30</v>
      </c>
    </row>
    <row r="312" ht="21.0" customHeight="1">
      <c r="A312" s="4">
        <v>311.0</v>
      </c>
      <c r="B312" s="5" t="s">
        <v>2699</v>
      </c>
      <c r="C312" s="5" t="s">
        <v>18</v>
      </c>
      <c r="D312" s="5" t="s">
        <v>2700</v>
      </c>
      <c r="E312" s="5" t="s">
        <v>2701</v>
      </c>
      <c r="F312" s="5" t="s">
        <v>2596</v>
      </c>
      <c r="G312" s="5" t="s">
        <v>34</v>
      </c>
      <c r="H312" s="5" t="s">
        <v>23</v>
      </c>
      <c r="I312" s="6" t="s">
        <v>2702</v>
      </c>
      <c r="J312" s="4">
        <v>100.0</v>
      </c>
      <c r="K312" s="5" t="s">
        <v>216</v>
      </c>
      <c r="L312" s="5" t="s">
        <v>2703</v>
      </c>
      <c r="M312" s="5" t="s">
        <v>2704</v>
      </c>
      <c r="N312" s="7" t="s">
        <v>2705</v>
      </c>
      <c r="O312" s="9" t="s">
        <v>2706</v>
      </c>
      <c r="P312" s="19" t="s">
        <v>2707</v>
      </c>
      <c r="Q312" s="5" t="s">
        <v>30</v>
      </c>
    </row>
    <row r="313" ht="21.0" customHeight="1">
      <c r="A313" s="4">
        <v>312.0</v>
      </c>
      <c r="B313" s="5" t="s">
        <v>2708</v>
      </c>
      <c r="C313" s="5" t="s">
        <v>2709</v>
      </c>
      <c r="D313" s="5" t="s">
        <v>2710</v>
      </c>
      <c r="E313" s="5" t="s">
        <v>2711</v>
      </c>
      <c r="F313" s="5" t="s">
        <v>2596</v>
      </c>
      <c r="G313" s="5" t="s">
        <v>2712</v>
      </c>
      <c r="H313" s="5" t="s">
        <v>23</v>
      </c>
      <c r="I313" s="6" t="s">
        <v>2713</v>
      </c>
      <c r="J313" s="4">
        <v>100.0</v>
      </c>
      <c r="K313" s="5" t="s">
        <v>110</v>
      </c>
      <c r="L313" s="5" t="s">
        <v>2714</v>
      </c>
      <c r="M313" s="5" t="s">
        <v>2715</v>
      </c>
      <c r="N313" s="7" t="s">
        <v>2716</v>
      </c>
      <c r="O313" s="9" t="s">
        <v>2717</v>
      </c>
      <c r="P313" s="19" t="s">
        <v>2718</v>
      </c>
      <c r="Q313" s="5" t="s">
        <v>30</v>
      </c>
    </row>
    <row r="314" ht="21.0" customHeight="1">
      <c r="A314" s="4">
        <v>313.0</v>
      </c>
      <c r="B314" s="5" t="s">
        <v>2719</v>
      </c>
      <c r="C314" s="5" t="s">
        <v>2720</v>
      </c>
      <c r="D314" s="5" t="s">
        <v>2721</v>
      </c>
      <c r="E314" s="5" t="s">
        <v>2722</v>
      </c>
      <c r="F314" s="5" t="s">
        <v>2596</v>
      </c>
      <c r="G314" s="5" t="s">
        <v>34</v>
      </c>
      <c r="H314" s="5" t="s">
        <v>23</v>
      </c>
      <c r="I314" s="6" t="s">
        <v>2723</v>
      </c>
      <c r="J314" s="4">
        <v>100.0</v>
      </c>
      <c r="K314" s="5" t="s">
        <v>216</v>
      </c>
      <c r="L314" s="5" t="s">
        <v>2724</v>
      </c>
      <c r="M314" s="5" t="s">
        <v>2725</v>
      </c>
      <c r="N314" s="7" t="s">
        <v>2726</v>
      </c>
      <c r="O314" s="9" t="s">
        <v>792</v>
      </c>
      <c r="P314" s="5" t="s">
        <v>30</v>
      </c>
      <c r="Q314" s="5" t="s">
        <v>30</v>
      </c>
    </row>
    <row r="315" ht="21.0" customHeight="1">
      <c r="A315" s="4">
        <v>314.0</v>
      </c>
      <c r="B315" s="5" t="s">
        <v>2727</v>
      </c>
      <c r="C315" s="5" t="s">
        <v>18</v>
      </c>
      <c r="D315" s="5" t="s">
        <v>19</v>
      </c>
      <c r="E315" s="5" t="s">
        <v>2728</v>
      </c>
      <c r="F315" s="5" t="s">
        <v>2596</v>
      </c>
      <c r="G315" s="5" t="s">
        <v>2729</v>
      </c>
      <c r="H315" s="5" t="s">
        <v>23</v>
      </c>
      <c r="I315" s="6" t="s">
        <v>2730</v>
      </c>
      <c r="J315" s="4">
        <v>100.0</v>
      </c>
      <c r="K315" s="5" t="s">
        <v>84</v>
      </c>
      <c r="L315" s="5" t="s">
        <v>2731</v>
      </c>
      <c r="M315" s="5" t="s">
        <v>2732</v>
      </c>
      <c r="N315" s="7" t="s">
        <v>2733</v>
      </c>
      <c r="O315" s="9" t="s">
        <v>2734</v>
      </c>
      <c r="P315" s="19" t="s">
        <v>2735</v>
      </c>
      <c r="Q315" s="5" t="s">
        <v>30</v>
      </c>
    </row>
    <row r="316" ht="21.0" customHeight="1">
      <c r="A316" s="4">
        <v>315.0</v>
      </c>
      <c r="B316" s="5" t="s">
        <v>2736</v>
      </c>
      <c r="C316" s="5" t="s">
        <v>2737</v>
      </c>
      <c r="D316" s="5" t="s">
        <v>2738</v>
      </c>
      <c r="E316" s="5" t="s">
        <v>2739</v>
      </c>
      <c r="F316" s="5" t="s">
        <v>2596</v>
      </c>
      <c r="G316" s="5" t="s">
        <v>34</v>
      </c>
      <c r="H316" s="5" t="s">
        <v>23</v>
      </c>
      <c r="I316" s="6" t="s">
        <v>2740</v>
      </c>
      <c r="J316" s="4">
        <v>100.0</v>
      </c>
      <c r="K316" s="5" t="s">
        <v>216</v>
      </c>
      <c r="L316" s="5" t="s">
        <v>2741</v>
      </c>
      <c r="M316" s="5" t="s">
        <v>2742</v>
      </c>
      <c r="N316" s="7" t="s">
        <v>2743</v>
      </c>
      <c r="O316" s="9" t="s">
        <v>2744</v>
      </c>
      <c r="P316" s="19" t="s">
        <v>2745</v>
      </c>
      <c r="Q316" s="5" t="s">
        <v>30</v>
      </c>
    </row>
    <row r="317" ht="21.0" customHeight="1">
      <c r="A317" s="4">
        <v>316.0</v>
      </c>
      <c r="B317" s="5" t="s">
        <v>2746</v>
      </c>
      <c r="C317" s="5" t="s">
        <v>18</v>
      </c>
      <c r="D317" s="5" t="s">
        <v>19</v>
      </c>
      <c r="E317" s="5" t="s">
        <v>2747</v>
      </c>
      <c r="F317" s="5" t="s">
        <v>2596</v>
      </c>
      <c r="G317" s="5" t="s">
        <v>2748</v>
      </c>
      <c r="H317" s="5" t="s">
        <v>23</v>
      </c>
      <c r="I317" s="6" t="s">
        <v>2749</v>
      </c>
      <c r="J317" s="4">
        <v>100.0</v>
      </c>
      <c r="K317" s="5" t="s">
        <v>25</v>
      </c>
      <c r="L317" s="5" t="s">
        <v>2750</v>
      </c>
      <c r="M317" s="5" t="s">
        <v>2751</v>
      </c>
      <c r="N317" s="7" t="s">
        <v>2752</v>
      </c>
      <c r="O317" s="9" t="s">
        <v>2753</v>
      </c>
      <c r="P317" s="19" t="s">
        <v>2754</v>
      </c>
      <c r="Q317" s="5" t="s">
        <v>30</v>
      </c>
    </row>
    <row r="318" ht="21.0" customHeight="1">
      <c r="A318" s="4">
        <v>317.0</v>
      </c>
      <c r="B318" s="5" t="s">
        <v>2755</v>
      </c>
      <c r="C318" s="5" t="s">
        <v>18</v>
      </c>
      <c r="D318" s="5" t="s">
        <v>19</v>
      </c>
      <c r="E318" s="5" t="s">
        <v>2756</v>
      </c>
      <c r="F318" s="5" t="s">
        <v>2596</v>
      </c>
      <c r="G318" s="5" t="s">
        <v>2757</v>
      </c>
      <c r="H318" s="5" t="s">
        <v>23</v>
      </c>
      <c r="I318" s="6" t="s">
        <v>2758</v>
      </c>
      <c r="J318" s="4">
        <v>100.0</v>
      </c>
      <c r="K318" s="5" t="s">
        <v>25</v>
      </c>
      <c r="L318" s="5" t="s">
        <v>2759</v>
      </c>
      <c r="M318" s="5" t="s">
        <v>2760</v>
      </c>
      <c r="N318" s="7" t="s">
        <v>2761</v>
      </c>
      <c r="O318" s="9" t="s">
        <v>2762</v>
      </c>
      <c r="P318" s="19" t="s">
        <v>2763</v>
      </c>
      <c r="Q318" s="5" t="s">
        <v>30</v>
      </c>
    </row>
    <row r="319" ht="21.0" customHeight="1">
      <c r="A319" s="4">
        <v>318.0</v>
      </c>
      <c r="B319" s="5" t="s">
        <v>2764</v>
      </c>
      <c r="C319" s="5" t="s">
        <v>18</v>
      </c>
      <c r="D319" s="5" t="s">
        <v>2765</v>
      </c>
      <c r="E319" s="5" t="s">
        <v>2766</v>
      </c>
      <c r="F319" s="5" t="s">
        <v>2596</v>
      </c>
      <c r="G319" s="5" t="s">
        <v>2767</v>
      </c>
      <c r="H319" s="5" t="s">
        <v>23</v>
      </c>
      <c r="I319" s="6" t="s">
        <v>2768</v>
      </c>
      <c r="J319" s="4">
        <v>100.0</v>
      </c>
      <c r="K319" s="5" t="s">
        <v>84</v>
      </c>
      <c r="L319" s="5" t="s">
        <v>2769</v>
      </c>
      <c r="M319" s="5" t="s">
        <v>2770</v>
      </c>
      <c r="N319" s="31" t="s">
        <v>2771</v>
      </c>
      <c r="O319" s="9" t="s">
        <v>2772</v>
      </c>
      <c r="P319" s="19" t="s">
        <v>2773</v>
      </c>
      <c r="Q319" s="5" t="s">
        <v>30</v>
      </c>
    </row>
    <row r="320" ht="21.0" customHeight="1">
      <c r="A320" s="4">
        <v>319.0</v>
      </c>
      <c r="B320" s="5" t="s">
        <v>2774</v>
      </c>
      <c r="C320" s="5" t="s">
        <v>18</v>
      </c>
      <c r="D320" s="5" t="s">
        <v>19</v>
      </c>
      <c r="E320" s="5" t="s">
        <v>2775</v>
      </c>
      <c r="F320" s="5" t="s">
        <v>2596</v>
      </c>
      <c r="G320" s="5" t="s">
        <v>2776</v>
      </c>
      <c r="H320" s="5" t="s">
        <v>23</v>
      </c>
      <c r="I320" s="6" t="s">
        <v>2777</v>
      </c>
      <c r="J320" s="4">
        <v>100.0</v>
      </c>
      <c r="K320" s="5" t="s">
        <v>84</v>
      </c>
      <c r="L320" s="5" t="s">
        <v>2778</v>
      </c>
      <c r="M320" s="5" t="s">
        <v>2779</v>
      </c>
      <c r="N320" s="7" t="s">
        <v>2780</v>
      </c>
      <c r="O320" s="9" t="s">
        <v>2781</v>
      </c>
      <c r="P320" s="19" t="s">
        <v>2782</v>
      </c>
      <c r="Q320" s="5" t="s">
        <v>30</v>
      </c>
    </row>
    <row r="321" ht="21.0" customHeight="1">
      <c r="A321" s="4">
        <v>320.0</v>
      </c>
      <c r="B321" s="5" t="s">
        <v>2783</v>
      </c>
      <c r="C321" s="5" t="s">
        <v>18</v>
      </c>
      <c r="D321" s="5" t="s">
        <v>19</v>
      </c>
      <c r="E321" s="5" t="s">
        <v>2784</v>
      </c>
      <c r="F321" s="5" t="s">
        <v>2596</v>
      </c>
      <c r="G321" s="5" t="s">
        <v>2785</v>
      </c>
      <c r="H321" s="5" t="s">
        <v>23</v>
      </c>
      <c r="I321" s="6" t="s">
        <v>2786</v>
      </c>
      <c r="J321" s="4">
        <v>100.0</v>
      </c>
      <c r="K321" s="5" t="s">
        <v>93</v>
      </c>
      <c r="L321" s="5" t="s">
        <v>2787</v>
      </c>
      <c r="M321" s="5" t="s">
        <v>2788</v>
      </c>
      <c r="N321" s="7" t="s">
        <v>2789</v>
      </c>
      <c r="O321" s="9" t="s">
        <v>2790</v>
      </c>
      <c r="P321" s="19" t="s">
        <v>2791</v>
      </c>
      <c r="Q321" s="5" t="s">
        <v>30</v>
      </c>
    </row>
    <row r="322" ht="21.0" customHeight="1">
      <c r="A322" s="4">
        <v>321.0</v>
      </c>
      <c r="B322" s="5" t="s">
        <v>2792</v>
      </c>
      <c r="C322" s="5" t="s">
        <v>18</v>
      </c>
      <c r="D322" s="5" t="s">
        <v>19</v>
      </c>
      <c r="E322" s="5" t="s">
        <v>2793</v>
      </c>
      <c r="F322" s="5" t="s">
        <v>2596</v>
      </c>
      <c r="G322" s="5" t="s">
        <v>2794</v>
      </c>
      <c r="H322" s="5" t="s">
        <v>23</v>
      </c>
      <c r="I322" s="6" t="s">
        <v>2795</v>
      </c>
      <c r="J322" s="4">
        <v>100.0</v>
      </c>
      <c r="K322" s="5" t="s">
        <v>216</v>
      </c>
      <c r="L322" s="5" t="s">
        <v>2796</v>
      </c>
      <c r="M322" s="5" t="s">
        <v>2797</v>
      </c>
      <c r="N322" s="7" t="s">
        <v>2798</v>
      </c>
      <c r="O322" s="9" t="s">
        <v>2799</v>
      </c>
      <c r="P322" s="19" t="s">
        <v>2800</v>
      </c>
      <c r="Q322" s="5" t="s">
        <v>30</v>
      </c>
    </row>
    <row r="323" ht="21.0" customHeight="1">
      <c r="A323" s="4">
        <v>322.0</v>
      </c>
      <c r="B323" s="5" t="s">
        <v>2801</v>
      </c>
      <c r="C323" s="5" t="s">
        <v>18</v>
      </c>
      <c r="D323" s="5" t="s">
        <v>19</v>
      </c>
      <c r="E323" s="5" t="s">
        <v>2802</v>
      </c>
      <c r="F323" s="5" t="s">
        <v>2596</v>
      </c>
      <c r="G323" s="5" t="s">
        <v>2803</v>
      </c>
      <c r="H323" s="5" t="s">
        <v>23</v>
      </c>
      <c r="I323" s="6" t="s">
        <v>2804</v>
      </c>
      <c r="J323" s="4">
        <v>100.0</v>
      </c>
      <c r="K323" s="5" t="s">
        <v>93</v>
      </c>
      <c r="L323" s="5" t="s">
        <v>2805</v>
      </c>
      <c r="M323" s="5" t="s">
        <v>2806</v>
      </c>
      <c r="N323" s="7" t="s">
        <v>2807</v>
      </c>
      <c r="O323" s="9" t="s">
        <v>2808</v>
      </c>
      <c r="P323" s="19" t="s">
        <v>2809</v>
      </c>
      <c r="Q323" s="5" t="s">
        <v>30</v>
      </c>
    </row>
    <row r="324" ht="21.0" customHeight="1">
      <c r="A324" s="4">
        <v>323.0</v>
      </c>
      <c r="B324" s="5" t="s">
        <v>2810</v>
      </c>
      <c r="C324" s="5" t="s">
        <v>2811</v>
      </c>
      <c r="D324" s="5" t="s">
        <v>19</v>
      </c>
      <c r="E324" s="5" t="s">
        <v>2812</v>
      </c>
      <c r="F324" s="5" t="s">
        <v>2596</v>
      </c>
      <c r="G324" s="5" t="s">
        <v>2813</v>
      </c>
      <c r="H324" s="5" t="s">
        <v>23</v>
      </c>
      <c r="I324" s="6" t="s">
        <v>2814</v>
      </c>
      <c r="J324" s="4">
        <v>100.0</v>
      </c>
      <c r="K324" s="5" t="s">
        <v>316</v>
      </c>
      <c r="L324" s="5" t="s">
        <v>2815</v>
      </c>
      <c r="M324" s="5" t="s">
        <v>2816</v>
      </c>
      <c r="N324" s="7" t="s">
        <v>2817</v>
      </c>
      <c r="O324" s="9" t="s">
        <v>2818</v>
      </c>
      <c r="P324" s="19" t="s">
        <v>2819</v>
      </c>
      <c r="Q324" s="5" t="s">
        <v>30</v>
      </c>
    </row>
    <row r="325" ht="21.0" customHeight="1">
      <c r="A325" s="4">
        <v>324.0</v>
      </c>
      <c r="B325" s="5" t="s">
        <v>2820</v>
      </c>
      <c r="C325" s="5" t="s">
        <v>18</v>
      </c>
      <c r="D325" s="5" t="s">
        <v>19</v>
      </c>
      <c r="E325" s="5" t="s">
        <v>2821</v>
      </c>
      <c r="F325" s="5" t="s">
        <v>2822</v>
      </c>
      <c r="G325" s="5" t="s">
        <v>2823</v>
      </c>
      <c r="H325" s="5" t="s">
        <v>23</v>
      </c>
      <c r="I325" s="6" t="s">
        <v>2824</v>
      </c>
      <c r="J325" s="4">
        <v>100.0</v>
      </c>
      <c r="K325" s="5" t="s">
        <v>25</v>
      </c>
      <c r="L325" s="5" t="s">
        <v>2825</v>
      </c>
      <c r="M325" s="5" t="s">
        <v>2826</v>
      </c>
      <c r="N325" s="7" t="s">
        <v>2827</v>
      </c>
      <c r="O325" s="9" t="s">
        <v>2828</v>
      </c>
      <c r="P325" s="19" t="s">
        <v>2829</v>
      </c>
      <c r="Q325" s="5" t="s">
        <v>30</v>
      </c>
    </row>
    <row r="326" ht="21.0" customHeight="1">
      <c r="A326" s="4">
        <v>325.0</v>
      </c>
      <c r="B326" s="5" t="s">
        <v>2830</v>
      </c>
      <c r="C326" s="5" t="s">
        <v>2831</v>
      </c>
      <c r="D326" s="5" t="s">
        <v>19</v>
      </c>
      <c r="E326" s="5" t="s">
        <v>2832</v>
      </c>
      <c r="F326" s="5" t="s">
        <v>2822</v>
      </c>
      <c r="G326" s="5" t="s">
        <v>2833</v>
      </c>
      <c r="H326" s="5" t="s">
        <v>23</v>
      </c>
      <c r="I326" s="6" t="s">
        <v>2834</v>
      </c>
      <c r="J326" s="4">
        <v>100.0</v>
      </c>
      <c r="K326" s="5" t="s">
        <v>25</v>
      </c>
      <c r="L326" s="5" t="s">
        <v>2835</v>
      </c>
      <c r="M326" s="5" t="s">
        <v>2836</v>
      </c>
      <c r="N326" s="7" t="s">
        <v>2837</v>
      </c>
      <c r="O326" s="9" t="s">
        <v>2838</v>
      </c>
      <c r="P326" s="19" t="s">
        <v>2839</v>
      </c>
      <c r="Q326" s="5" t="s">
        <v>30</v>
      </c>
    </row>
    <row r="327" ht="21.0" customHeight="1">
      <c r="A327" s="4">
        <v>326.0</v>
      </c>
      <c r="B327" s="5" t="s">
        <v>2840</v>
      </c>
      <c r="C327" s="5" t="s">
        <v>18</v>
      </c>
      <c r="D327" s="5" t="s">
        <v>19</v>
      </c>
      <c r="E327" s="5" t="s">
        <v>2841</v>
      </c>
      <c r="F327" s="5" t="s">
        <v>2822</v>
      </c>
      <c r="G327" s="5" t="s">
        <v>2842</v>
      </c>
      <c r="H327" s="5" t="s">
        <v>23</v>
      </c>
      <c r="I327" s="6" t="s">
        <v>2843</v>
      </c>
      <c r="J327" s="4">
        <v>100.0</v>
      </c>
      <c r="K327" s="5" t="s">
        <v>84</v>
      </c>
      <c r="L327" s="5" t="s">
        <v>2844</v>
      </c>
      <c r="M327" s="5" t="s">
        <v>2845</v>
      </c>
      <c r="N327" s="7" t="s">
        <v>2846</v>
      </c>
      <c r="O327" s="9" t="s">
        <v>2847</v>
      </c>
      <c r="P327" s="19" t="s">
        <v>2848</v>
      </c>
      <c r="Q327" s="5" t="s">
        <v>30</v>
      </c>
    </row>
    <row r="328" ht="21.0" customHeight="1">
      <c r="A328" s="4">
        <v>327.0</v>
      </c>
      <c r="B328" s="5" t="s">
        <v>2849</v>
      </c>
      <c r="C328" s="5" t="s">
        <v>18</v>
      </c>
      <c r="D328" s="5" t="s">
        <v>19</v>
      </c>
      <c r="E328" s="5" t="s">
        <v>2850</v>
      </c>
      <c r="F328" s="5" t="s">
        <v>2822</v>
      </c>
      <c r="G328" s="5" t="s">
        <v>2851</v>
      </c>
      <c r="H328" s="5" t="s">
        <v>23</v>
      </c>
      <c r="I328" s="6" t="s">
        <v>2852</v>
      </c>
      <c r="J328" s="4">
        <v>100.0</v>
      </c>
      <c r="K328" s="5" t="s">
        <v>25</v>
      </c>
      <c r="L328" s="5" t="s">
        <v>2853</v>
      </c>
      <c r="M328" s="5" t="s">
        <v>2854</v>
      </c>
      <c r="N328" s="7" t="s">
        <v>2855</v>
      </c>
      <c r="O328" s="9" t="s">
        <v>2856</v>
      </c>
      <c r="P328" s="19" t="s">
        <v>2857</v>
      </c>
      <c r="Q328" s="5" t="s">
        <v>30</v>
      </c>
    </row>
    <row r="329" ht="21.0" customHeight="1">
      <c r="A329" s="4">
        <v>328.0</v>
      </c>
      <c r="B329" s="5" t="s">
        <v>2858</v>
      </c>
      <c r="C329" s="5" t="s">
        <v>2859</v>
      </c>
      <c r="D329" s="5" t="s">
        <v>19</v>
      </c>
      <c r="E329" s="5" t="s">
        <v>2860</v>
      </c>
      <c r="F329" s="5" t="s">
        <v>2822</v>
      </c>
      <c r="G329" s="5" t="s">
        <v>2861</v>
      </c>
      <c r="H329" s="5" t="s">
        <v>23</v>
      </c>
      <c r="I329" s="6" t="s">
        <v>2862</v>
      </c>
      <c r="J329" s="4">
        <v>100.0</v>
      </c>
      <c r="K329" s="5" t="s">
        <v>93</v>
      </c>
      <c r="L329" s="5" t="s">
        <v>2863</v>
      </c>
      <c r="M329" s="5" t="s">
        <v>2864</v>
      </c>
      <c r="N329" s="7" t="s">
        <v>2865</v>
      </c>
      <c r="O329" s="9" t="s">
        <v>2866</v>
      </c>
      <c r="P329" s="19" t="s">
        <v>2867</v>
      </c>
      <c r="Q329" s="5" t="s">
        <v>30</v>
      </c>
    </row>
    <row r="330" ht="21.0" customHeight="1">
      <c r="A330" s="4">
        <v>329.0</v>
      </c>
      <c r="B330" s="5" t="s">
        <v>2868</v>
      </c>
      <c r="C330" s="5" t="s">
        <v>18</v>
      </c>
      <c r="D330" s="5" t="s">
        <v>2869</v>
      </c>
      <c r="E330" s="5" t="s">
        <v>2870</v>
      </c>
      <c r="F330" s="5" t="s">
        <v>2822</v>
      </c>
      <c r="G330" s="5" t="s">
        <v>2871</v>
      </c>
      <c r="H330" s="5" t="s">
        <v>23</v>
      </c>
      <c r="I330" s="6" t="s">
        <v>2872</v>
      </c>
      <c r="J330" s="4">
        <v>100.0</v>
      </c>
      <c r="K330" s="5" t="s">
        <v>157</v>
      </c>
      <c r="L330" s="5" t="s">
        <v>2873</v>
      </c>
      <c r="M330" s="5" t="s">
        <v>2874</v>
      </c>
      <c r="N330" s="7" t="s">
        <v>2875</v>
      </c>
      <c r="O330" s="9" t="s">
        <v>2876</v>
      </c>
      <c r="P330" s="19" t="s">
        <v>2877</v>
      </c>
      <c r="Q330" s="5" t="s">
        <v>30</v>
      </c>
    </row>
    <row r="331" ht="21.0" customHeight="1">
      <c r="A331" s="4">
        <v>330.0</v>
      </c>
      <c r="B331" s="5" t="s">
        <v>2878</v>
      </c>
      <c r="C331" s="5" t="s">
        <v>2879</v>
      </c>
      <c r="D331" s="5" t="s">
        <v>2432</v>
      </c>
      <c r="E331" s="5" t="s">
        <v>2880</v>
      </c>
      <c r="F331" s="5" t="s">
        <v>2822</v>
      </c>
      <c r="G331" s="5" t="s">
        <v>2881</v>
      </c>
      <c r="H331" s="5" t="s">
        <v>23</v>
      </c>
      <c r="I331" s="6" t="s">
        <v>2882</v>
      </c>
      <c r="J331" s="4">
        <v>100.0</v>
      </c>
      <c r="K331" s="5" t="s">
        <v>52</v>
      </c>
      <c r="L331" s="5" t="s">
        <v>2883</v>
      </c>
      <c r="M331" s="5" t="s">
        <v>2884</v>
      </c>
      <c r="N331" s="7" t="s">
        <v>2885</v>
      </c>
      <c r="O331" s="9"/>
      <c r="P331" s="19" t="s">
        <v>2886</v>
      </c>
      <c r="Q331" s="5" t="s">
        <v>30</v>
      </c>
    </row>
    <row r="332" ht="21.0" customHeight="1">
      <c r="A332" s="4">
        <v>331.0</v>
      </c>
      <c r="B332" s="5" t="s">
        <v>2887</v>
      </c>
      <c r="C332" s="5" t="s">
        <v>18</v>
      </c>
      <c r="D332" s="5" t="s">
        <v>19</v>
      </c>
      <c r="E332" s="5" t="s">
        <v>2888</v>
      </c>
      <c r="F332" s="5" t="s">
        <v>2822</v>
      </c>
      <c r="G332" s="5" t="s">
        <v>34</v>
      </c>
      <c r="H332" s="5" t="s">
        <v>23</v>
      </c>
      <c r="I332" s="6" t="s">
        <v>2889</v>
      </c>
      <c r="J332" s="4">
        <v>100.0</v>
      </c>
      <c r="K332" s="5" t="s">
        <v>84</v>
      </c>
      <c r="L332" s="5" t="s">
        <v>2890</v>
      </c>
      <c r="M332" s="5" t="s">
        <v>2891</v>
      </c>
      <c r="N332" s="7" t="s">
        <v>2892</v>
      </c>
      <c r="O332" s="9" t="s">
        <v>2893</v>
      </c>
      <c r="P332" s="19" t="s">
        <v>2894</v>
      </c>
      <c r="Q332" s="5" t="s">
        <v>30</v>
      </c>
    </row>
    <row r="333" ht="21.0" customHeight="1">
      <c r="A333" s="4">
        <v>332.0</v>
      </c>
      <c r="B333" s="5" t="s">
        <v>2895</v>
      </c>
      <c r="C333" s="5" t="s">
        <v>18</v>
      </c>
      <c r="D333" s="5" t="s">
        <v>2896</v>
      </c>
      <c r="E333" s="5" t="s">
        <v>2897</v>
      </c>
      <c r="F333" s="5" t="s">
        <v>2822</v>
      </c>
      <c r="G333" s="5" t="s">
        <v>34</v>
      </c>
      <c r="H333" s="5" t="s">
        <v>23</v>
      </c>
      <c r="I333" s="6" t="s">
        <v>2898</v>
      </c>
      <c r="J333" s="4">
        <v>100.0</v>
      </c>
      <c r="K333" s="5" t="s">
        <v>316</v>
      </c>
      <c r="L333" s="5" t="s">
        <v>2899</v>
      </c>
      <c r="M333" s="5" t="s">
        <v>2900</v>
      </c>
      <c r="N333" s="7" t="s">
        <v>2901</v>
      </c>
      <c r="O333" s="9" t="s">
        <v>2902</v>
      </c>
      <c r="P333" s="19" t="s">
        <v>2903</v>
      </c>
      <c r="Q333" s="5" t="s">
        <v>30</v>
      </c>
    </row>
    <row r="334" ht="21.0" customHeight="1">
      <c r="A334" s="4">
        <v>333.0</v>
      </c>
      <c r="B334" s="5" t="s">
        <v>2904</v>
      </c>
      <c r="C334" s="5" t="s">
        <v>18</v>
      </c>
      <c r="D334" s="5" t="s">
        <v>19</v>
      </c>
      <c r="E334" s="5" t="s">
        <v>2905</v>
      </c>
      <c r="F334" s="5" t="s">
        <v>2822</v>
      </c>
      <c r="G334" s="5" t="s">
        <v>2906</v>
      </c>
      <c r="H334" s="5" t="s">
        <v>23</v>
      </c>
      <c r="I334" s="6" t="s">
        <v>2907</v>
      </c>
      <c r="J334" s="4">
        <v>100.0</v>
      </c>
      <c r="K334" s="5" t="s">
        <v>84</v>
      </c>
      <c r="L334" s="5" t="s">
        <v>2908</v>
      </c>
      <c r="M334" s="5" t="s">
        <v>2909</v>
      </c>
      <c r="N334" s="7" t="s">
        <v>2910</v>
      </c>
      <c r="O334" s="9" t="s">
        <v>2911</v>
      </c>
      <c r="P334" s="19" t="s">
        <v>2912</v>
      </c>
      <c r="Q334" s="5" t="s">
        <v>30</v>
      </c>
    </row>
    <row r="335" ht="21.0" customHeight="1">
      <c r="A335" s="4">
        <v>334.0</v>
      </c>
      <c r="B335" s="5" t="s">
        <v>2913</v>
      </c>
      <c r="C335" s="5" t="s">
        <v>18</v>
      </c>
      <c r="D335" s="5" t="s">
        <v>19</v>
      </c>
      <c r="E335" s="5" t="s">
        <v>2914</v>
      </c>
      <c r="F335" s="5" t="s">
        <v>2822</v>
      </c>
      <c r="G335" s="5" t="s">
        <v>2915</v>
      </c>
      <c r="H335" s="5" t="s">
        <v>23</v>
      </c>
      <c r="I335" s="6" t="s">
        <v>2916</v>
      </c>
      <c r="J335" s="4">
        <v>100.0</v>
      </c>
      <c r="K335" s="5" t="s">
        <v>165</v>
      </c>
      <c r="L335" s="5" t="s">
        <v>2917</v>
      </c>
      <c r="M335" s="5" t="s">
        <v>2918</v>
      </c>
      <c r="N335" s="7" t="s">
        <v>2919</v>
      </c>
      <c r="O335" s="9" t="s">
        <v>2920</v>
      </c>
      <c r="P335" s="19" t="s">
        <v>2921</v>
      </c>
      <c r="Q335" s="5" t="s">
        <v>30</v>
      </c>
    </row>
    <row r="336" ht="21.0" customHeight="1">
      <c r="A336" s="4">
        <v>335.0</v>
      </c>
      <c r="B336" s="5" t="s">
        <v>2922</v>
      </c>
      <c r="C336" s="5" t="s">
        <v>18</v>
      </c>
      <c r="D336" s="5" t="s">
        <v>19</v>
      </c>
      <c r="E336" s="5" t="s">
        <v>2923</v>
      </c>
      <c r="F336" s="5" t="s">
        <v>2822</v>
      </c>
      <c r="G336" s="5" t="s">
        <v>2924</v>
      </c>
      <c r="H336" s="5" t="s">
        <v>23</v>
      </c>
      <c r="I336" s="6" t="s">
        <v>2925</v>
      </c>
      <c r="J336" s="4">
        <v>100.0</v>
      </c>
      <c r="K336" s="5" t="s">
        <v>25</v>
      </c>
      <c r="L336" s="5" t="s">
        <v>2926</v>
      </c>
      <c r="M336" s="5" t="s">
        <v>2927</v>
      </c>
      <c r="N336" s="7" t="s">
        <v>2928</v>
      </c>
      <c r="O336" s="9" t="s">
        <v>2929</v>
      </c>
      <c r="P336" s="19" t="s">
        <v>2930</v>
      </c>
      <c r="Q336" s="5" t="s">
        <v>30</v>
      </c>
    </row>
    <row r="337" ht="21.0" customHeight="1">
      <c r="A337" s="4">
        <v>336.0</v>
      </c>
      <c r="B337" s="5" t="s">
        <v>2931</v>
      </c>
      <c r="C337" s="5" t="s">
        <v>18</v>
      </c>
      <c r="D337" s="5" t="s">
        <v>19</v>
      </c>
      <c r="E337" s="5" t="s">
        <v>2932</v>
      </c>
      <c r="F337" s="5" t="s">
        <v>2822</v>
      </c>
      <c r="G337" s="5" t="s">
        <v>2933</v>
      </c>
      <c r="H337" s="5" t="s">
        <v>23</v>
      </c>
      <c r="I337" s="6" t="s">
        <v>2934</v>
      </c>
      <c r="J337" s="4">
        <v>100.0</v>
      </c>
      <c r="K337" s="5" t="s">
        <v>110</v>
      </c>
      <c r="L337" s="5" t="s">
        <v>2935</v>
      </c>
      <c r="M337" s="5" t="s">
        <v>2936</v>
      </c>
      <c r="N337" s="7" t="s">
        <v>2937</v>
      </c>
      <c r="O337" s="9" t="s">
        <v>2938</v>
      </c>
      <c r="P337" s="19" t="s">
        <v>2939</v>
      </c>
      <c r="Q337" s="5" t="s">
        <v>30</v>
      </c>
    </row>
    <row r="338" ht="21.0" customHeight="1">
      <c r="A338" s="4">
        <v>337.0</v>
      </c>
      <c r="B338" s="5" t="s">
        <v>2940</v>
      </c>
      <c r="C338" s="5" t="s">
        <v>18</v>
      </c>
      <c r="D338" s="5" t="s">
        <v>19</v>
      </c>
      <c r="E338" s="5" t="s">
        <v>2941</v>
      </c>
      <c r="F338" s="5" t="s">
        <v>2822</v>
      </c>
      <c r="G338" s="5" t="s">
        <v>2942</v>
      </c>
      <c r="H338" s="5" t="s">
        <v>23</v>
      </c>
      <c r="I338" s="6" t="s">
        <v>2943</v>
      </c>
      <c r="J338" s="4">
        <v>100.0</v>
      </c>
      <c r="K338" s="5" t="s">
        <v>1070</v>
      </c>
      <c r="L338" s="5" t="s">
        <v>2944</v>
      </c>
      <c r="M338" s="5" t="s">
        <v>2945</v>
      </c>
      <c r="N338" s="7" t="s">
        <v>2946</v>
      </c>
      <c r="O338" s="9" t="s">
        <v>2947</v>
      </c>
      <c r="P338" s="19" t="s">
        <v>2948</v>
      </c>
      <c r="Q338" s="5" t="s">
        <v>30</v>
      </c>
    </row>
    <row r="339" ht="21.0" customHeight="1">
      <c r="A339" s="4">
        <v>338.0</v>
      </c>
      <c r="B339" s="5" t="s">
        <v>2949</v>
      </c>
      <c r="C339" s="5" t="s">
        <v>18</v>
      </c>
      <c r="D339" s="5" t="s">
        <v>2950</v>
      </c>
      <c r="E339" s="5" t="s">
        <v>2951</v>
      </c>
      <c r="F339" s="5" t="s">
        <v>2822</v>
      </c>
      <c r="G339" s="5" t="s">
        <v>2952</v>
      </c>
      <c r="H339" s="5" t="s">
        <v>23</v>
      </c>
      <c r="I339" s="6" t="s">
        <v>2953</v>
      </c>
      <c r="J339" s="4">
        <v>100.0</v>
      </c>
      <c r="K339" s="5" t="s">
        <v>165</v>
      </c>
      <c r="L339" s="5" t="s">
        <v>2954</v>
      </c>
      <c r="M339" s="5" t="s">
        <v>2955</v>
      </c>
      <c r="N339" s="7" t="s">
        <v>2956</v>
      </c>
      <c r="O339" s="9" t="s">
        <v>2957</v>
      </c>
      <c r="P339" s="19" t="s">
        <v>2958</v>
      </c>
      <c r="Q339" s="5" t="s">
        <v>30</v>
      </c>
    </row>
    <row r="340" ht="21.0" customHeight="1">
      <c r="A340" s="4">
        <v>339.0</v>
      </c>
      <c r="B340" s="5" t="s">
        <v>2959</v>
      </c>
      <c r="C340" s="5" t="s">
        <v>18</v>
      </c>
      <c r="D340" s="5" t="s">
        <v>19</v>
      </c>
      <c r="E340" s="5" t="s">
        <v>2960</v>
      </c>
      <c r="F340" s="5" t="s">
        <v>2822</v>
      </c>
      <c r="G340" s="5" t="s">
        <v>34</v>
      </c>
      <c r="H340" s="5" t="s">
        <v>23</v>
      </c>
      <c r="I340" s="6" t="s">
        <v>2961</v>
      </c>
      <c r="J340" s="4">
        <v>100.0</v>
      </c>
      <c r="K340" s="5" t="s">
        <v>25</v>
      </c>
      <c r="L340" s="5" t="s">
        <v>2962</v>
      </c>
      <c r="M340" s="5" t="s">
        <v>2963</v>
      </c>
      <c r="N340" s="7" t="s">
        <v>2964</v>
      </c>
      <c r="O340" s="9" t="s">
        <v>2965</v>
      </c>
      <c r="P340" s="19" t="s">
        <v>2966</v>
      </c>
      <c r="Q340" s="5" t="s">
        <v>30</v>
      </c>
    </row>
    <row r="341" ht="21.0" customHeight="1">
      <c r="A341" s="4">
        <v>340.0</v>
      </c>
      <c r="B341" s="5" t="s">
        <v>2967</v>
      </c>
      <c r="C341" s="5" t="s">
        <v>18</v>
      </c>
      <c r="D341" s="5" t="s">
        <v>19</v>
      </c>
      <c r="E341" s="5" t="s">
        <v>2968</v>
      </c>
      <c r="F341" s="5" t="s">
        <v>2822</v>
      </c>
      <c r="G341" s="5" t="s">
        <v>2969</v>
      </c>
      <c r="H341" s="5" t="s">
        <v>23</v>
      </c>
      <c r="I341" s="6" t="s">
        <v>2970</v>
      </c>
      <c r="J341" s="4">
        <v>100.0</v>
      </c>
      <c r="K341" s="5" t="s">
        <v>110</v>
      </c>
      <c r="L341" s="5" t="s">
        <v>2971</v>
      </c>
      <c r="M341" s="5" t="s">
        <v>2972</v>
      </c>
      <c r="N341" s="7" t="s">
        <v>2973</v>
      </c>
      <c r="O341" s="9" t="s">
        <v>2974</v>
      </c>
      <c r="P341" s="19" t="s">
        <v>2975</v>
      </c>
      <c r="Q341" s="5" t="s">
        <v>30</v>
      </c>
    </row>
    <row r="342" ht="21.0" customHeight="1">
      <c r="A342" s="4">
        <v>341.0</v>
      </c>
      <c r="B342" s="5" t="s">
        <v>2976</v>
      </c>
      <c r="C342" s="5" t="s">
        <v>18</v>
      </c>
      <c r="D342" s="5" t="s">
        <v>2977</v>
      </c>
      <c r="E342" s="5" t="s">
        <v>2978</v>
      </c>
      <c r="F342" s="5" t="s">
        <v>2822</v>
      </c>
      <c r="G342" s="5" t="s">
        <v>2979</v>
      </c>
      <c r="H342" s="5" t="s">
        <v>23</v>
      </c>
      <c r="I342" s="6" t="s">
        <v>2980</v>
      </c>
      <c r="J342" s="4">
        <v>100.0</v>
      </c>
      <c r="K342" s="5" t="s">
        <v>25</v>
      </c>
      <c r="L342" s="5" t="s">
        <v>2981</v>
      </c>
      <c r="M342" s="5" t="s">
        <v>2982</v>
      </c>
      <c r="N342" s="7" t="s">
        <v>2983</v>
      </c>
      <c r="O342" s="9" t="s">
        <v>2984</v>
      </c>
      <c r="P342" s="19" t="s">
        <v>2985</v>
      </c>
      <c r="Q342" s="5" t="s">
        <v>30</v>
      </c>
    </row>
    <row r="343" ht="21.0" customHeight="1">
      <c r="A343" s="4">
        <v>342.0</v>
      </c>
      <c r="B343" s="5" t="s">
        <v>2986</v>
      </c>
      <c r="C343" s="5" t="s">
        <v>18</v>
      </c>
      <c r="D343" s="5" t="s">
        <v>19</v>
      </c>
      <c r="E343" s="5" t="s">
        <v>2987</v>
      </c>
      <c r="F343" s="5" t="s">
        <v>2822</v>
      </c>
      <c r="G343" s="5" t="s">
        <v>2988</v>
      </c>
      <c r="H343" s="5" t="s">
        <v>23</v>
      </c>
      <c r="I343" s="6" t="s">
        <v>2989</v>
      </c>
      <c r="J343" s="4">
        <v>100.0</v>
      </c>
      <c r="K343" s="5" t="s">
        <v>110</v>
      </c>
      <c r="L343" s="5" t="s">
        <v>2990</v>
      </c>
      <c r="M343" s="5" t="s">
        <v>2991</v>
      </c>
      <c r="N343" s="7" t="s">
        <v>2992</v>
      </c>
      <c r="O343" s="9" t="s">
        <v>2993</v>
      </c>
      <c r="P343" s="19" t="s">
        <v>2994</v>
      </c>
      <c r="Q343" s="5" t="s">
        <v>30</v>
      </c>
    </row>
    <row r="344" ht="21.0" customHeight="1">
      <c r="A344" s="4">
        <v>343.0</v>
      </c>
      <c r="B344" s="5" t="s">
        <v>2995</v>
      </c>
      <c r="C344" s="5" t="s">
        <v>18</v>
      </c>
      <c r="D344" s="5" t="s">
        <v>19</v>
      </c>
      <c r="E344" s="5" t="s">
        <v>2996</v>
      </c>
      <c r="F344" s="5" t="s">
        <v>2822</v>
      </c>
      <c r="G344" s="5" t="s">
        <v>2997</v>
      </c>
      <c r="H344" s="5" t="s">
        <v>23</v>
      </c>
      <c r="I344" s="6" t="s">
        <v>2998</v>
      </c>
      <c r="J344" s="4">
        <v>100.0</v>
      </c>
      <c r="K344" s="5" t="s">
        <v>84</v>
      </c>
      <c r="L344" s="5" t="s">
        <v>2999</v>
      </c>
      <c r="M344" s="5" t="s">
        <v>3000</v>
      </c>
      <c r="N344" s="7" t="s">
        <v>3001</v>
      </c>
      <c r="O344" s="9" t="s">
        <v>3002</v>
      </c>
      <c r="P344" s="19" t="s">
        <v>3003</v>
      </c>
      <c r="Q344" s="5" t="s">
        <v>30</v>
      </c>
    </row>
    <row r="345" ht="21.0" customHeight="1">
      <c r="A345" s="4">
        <v>344.0</v>
      </c>
      <c r="B345" s="5" t="s">
        <v>3004</v>
      </c>
      <c r="C345" s="5" t="s">
        <v>18</v>
      </c>
      <c r="D345" s="5" t="s">
        <v>3005</v>
      </c>
      <c r="E345" s="5" t="s">
        <v>3006</v>
      </c>
      <c r="F345" s="5" t="s">
        <v>2822</v>
      </c>
      <c r="G345" s="5" t="s">
        <v>3007</v>
      </c>
      <c r="H345" s="5" t="s">
        <v>23</v>
      </c>
      <c r="I345" s="6" t="s">
        <v>3008</v>
      </c>
      <c r="J345" s="4">
        <v>100.0</v>
      </c>
      <c r="K345" s="5" t="s">
        <v>84</v>
      </c>
      <c r="L345" s="5" t="s">
        <v>3009</v>
      </c>
      <c r="M345" s="5" t="s">
        <v>3010</v>
      </c>
      <c r="N345" s="7" t="s">
        <v>3011</v>
      </c>
      <c r="O345" s="9" t="s">
        <v>3012</v>
      </c>
      <c r="P345" s="19" t="s">
        <v>3013</v>
      </c>
      <c r="Q345" s="5" t="s">
        <v>30</v>
      </c>
    </row>
    <row r="346" ht="21.0" customHeight="1">
      <c r="A346" s="4">
        <v>345.0</v>
      </c>
      <c r="B346" s="5" t="s">
        <v>3014</v>
      </c>
      <c r="C346" s="5" t="s">
        <v>18</v>
      </c>
      <c r="D346" s="5" t="s">
        <v>3015</v>
      </c>
      <c r="E346" s="5" t="s">
        <v>3016</v>
      </c>
      <c r="F346" s="5" t="s">
        <v>2822</v>
      </c>
      <c r="G346" s="5" t="s">
        <v>3017</v>
      </c>
      <c r="H346" s="5" t="s">
        <v>23</v>
      </c>
      <c r="I346" s="6" t="s">
        <v>3018</v>
      </c>
      <c r="J346" s="4">
        <v>100.0</v>
      </c>
      <c r="K346" s="5" t="s">
        <v>25</v>
      </c>
      <c r="L346" s="5" t="s">
        <v>3019</v>
      </c>
      <c r="M346" s="5" t="s">
        <v>3020</v>
      </c>
      <c r="N346" s="7" t="s">
        <v>3021</v>
      </c>
      <c r="O346" s="9" t="s">
        <v>3022</v>
      </c>
      <c r="P346" s="19" t="s">
        <v>3023</v>
      </c>
      <c r="Q346" s="5" t="s">
        <v>30</v>
      </c>
    </row>
    <row r="347" ht="21.0" customHeight="1">
      <c r="A347" s="4">
        <v>346.0</v>
      </c>
      <c r="B347" s="5" t="s">
        <v>3024</v>
      </c>
      <c r="C347" s="5" t="s">
        <v>18</v>
      </c>
      <c r="D347" s="5" t="s">
        <v>446</v>
      </c>
      <c r="E347" s="5" t="s">
        <v>3025</v>
      </c>
      <c r="F347" s="5" t="s">
        <v>2822</v>
      </c>
      <c r="G347" s="5" t="s">
        <v>3026</v>
      </c>
      <c r="H347" s="5" t="s">
        <v>23</v>
      </c>
      <c r="I347" s="6" t="s">
        <v>3027</v>
      </c>
      <c r="J347" s="4">
        <v>100.0</v>
      </c>
      <c r="K347" s="5" t="s">
        <v>25</v>
      </c>
      <c r="L347" s="5" t="s">
        <v>3028</v>
      </c>
      <c r="M347" s="5" t="s">
        <v>3029</v>
      </c>
      <c r="N347" s="7" t="s">
        <v>3030</v>
      </c>
      <c r="O347" s="9" t="s">
        <v>3031</v>
      </c>
      <c r="P347" s="19" t="s">
        <v>3032</v>
      </c>
      <c r="Q347" s="5" t="s">
        <v>30</v>
      </c>
    </row>
    <row r="348" ht="21.0" customHeight="1">
      <c r="A348" s="4">
        <v>347.0</v>
      </c>
      <c r="B348" s="5" t="s">
        <v>3033</v>
      </c>
      <c r="C348" s="5" t="s">
        <v>18</v>
      </c>
      <c r="D348" s="5" t="s">
        <v>3034</v>
      </c>
      <c r="E348" s="5" t="s">
        <v>3035</v>
      </c>
      <c r="F348" s="5" t="s">
        <v>2822</v>
      </c>
      <c r="G348" s="5" t="s">
        <v>3036</v>
      </c>
      <c r="H348" s="5" t="s">
        <v>23</v>
      </c>
      <c r="I348" s="6" t="s">
        <v>3037</v>
      </c>
      <c r="J348" s="4">
        <v>100.0</v>
      </c>
      <c r="K348" s="5" t="s">
        <v>165</v>
      </c>
      <c r="L348" s="5" t="s">
        <v>3038</v>
      </c>
      <c r="M348" s="5" t="s">
        <v>3039</v>
      </c>
      <c r="N348" s="7" t="s">
        <v>3040</v>
      </c>
      <c r="O348" s="9" t="s">
        <v>3041</v>
      </c>
      <c r="P348" s="19" t="s">
        <v>3042</v>
      </c>
      <c r="Q348" s="5" t="s">
        <v>30</v>
      </c>
    </row>
    <row r="349" ht="21.0" customHeight="1">
      <c r="A349" s="4">
        <v>348.0</v>
      </c>
      <c r="B349" s="5" t="s">
        <v>3043</v>
      </c>
      <c r="C349" s="5" t="s">
        <v>3044</v>
      </c>
      <c r="D349" s="5" t="s">
        <v>19</v>
      </c>
      <c r="E349" s="5" t="s">
        <v>3045</v>
      </c>
      <c r="F349" s="5" t="s">
        <v>2822</v>
      </c>
      <c r="G349" s="5" t="s">
        <v>3046</v>
      </c>
      <c r="H349" s="5" t="s">
        <v>23</v>
      </c>
      <c r="I349" s="6" t="s">
        <v>3047</v>
      </c>
      <c r="J349" s="4">
        <v>100.0</v>
      </c>
      <c r="K349" s="5" t="s">
        <v>25</v>
      </c>
      <c r="L349" s="5" t="s">
        <v>3048</v>
      </c>
      <c r="M349" s="5" t="s">
        <v>3049</v>
      </c>
      <c r="N349" s="7" t="s">
        <v>3050</v>
      </c>
      <c r="O349" s="9" t="s">
        <v>3051</v>
      </c>
      <c r="P349" s="19" t="s">
        <v>3052</v>
      </c>
      <c r="Q349" s="5" t="s">
        <v>30</v>
      </c>
    </row>
    <row r="350" ht="21.0" customHeight="1">
      <c r="A350" s="4">
        <v>349.0</v>
      </c>
      <c r="B350" s="5" t="s">
        <v>3053</v>
      </c>
      <c r="C350" s="5" t="s">
        <v>18</v>
      </c>
      <c r="D350" s="5" t="s">
        <v>19</v>
      </c>
      <c r="E350" s="5" t="s">
        <v>3054</v>
      </c>
      <c r="F350" s="5" t="s">
        <v>2822</v>
      </c>
      <c r="G350" s="5" t="s">
        <v>3055</v>
      </c>
      <c r="H350" s="5" t="s">
        <v>23</v>
      </c>
      <c r="I350" s="6" t="s">
        <v>3056</v>
      </c>
      <c r="J350" s="4">
        <v>100.0</v>
      </c>
      <c r="K350" s="5" t="s">
        <v>84</v>
      </c>
      <c r="L350" s="5" t="s">
        <v>3057</v>
      </c>
      <c r="M350" s="5" t="s">
        <v>3058</v>
      </c>
      <c r="N350" s="7" t="s">
        <v>3059</v>
      </c>
      <c r="O350" s="9" t="s">
        <v>3060</v>
      </c>
      <c r="P350" s="19" t="s">
        <v>3061</v>
      </c>
      <c r="Q350" s="5" t="s">
        <v>30</v>
      </c>
    </row>
    <row r="351" ht="21.0" customHeight="1">
      <c r="A351" s="4">
        <v>350.0</v>
      </c>
      <c r="B351" s="5" t="s">
        <v>3062</v>
      </c>
      <c r="C351" s="5" t="s">
        <v>18</v>
      </c>
      <c r="D351" s="5" t="s">
        <v>19</v>
      </c>
      <c r="E351" s="5" t="s">
        <v>3063</v>
      </c>
      <c r="F351" s="5" t="s">
        <v>2822</v>
      </c>
      <c r="G351" s="5" t="s">
        <v>3064</v>
      </c>
      <c r="H351" s="5" t="s">
        <v>23</v>
      </c>
      <c r="I351" s="6" t="s">
        <v>3065</v>
      </c>
      <c r="J351" s="4">
        <v>100.0</v>
      </c>
      <c r="K351" s="5" t="s">
        <v>68</v>
      </c>
      <c r="L351" s="5" t="s">
        <v>3066</v>
      </c>
      <c r="M351" s="5" t="s">
        <v>3067</v>
      </c>
      <c r="N351" s="7" t="s">
        <v>3068</v>
      </c>
      <c r="O351" s="9" t="s">
        <v>3069</v>
      </c>
      <c r="P351" s="19" t="s">
        <v>3070</v>
      </c>
      <c r="Q351" s="5" t="s">
        <v>30</v>
      </c>
    </row>
    <row r="352" ht="21.0" customHeight="1">
      <c r="A352" s="4">
        <v>351.0</v>
      </c>
      <c r="B352" s="5" t="s">
        <v>3071</v>
      </c>
      <c r="C352" s="5" t="s">
        <v>18</v>
      </c>
      <c r="D352" s="5" t="s">
        <v>19</v>
      </c>
      <c r="E352" s="5" t="s">
        <v>3072</v>
      </c>
      <c r="F352" s="5" t="s">
        <v>2822</v>
      </c>
      <c r="G352" s="5" t="s">
        <v>3073</v>
      </c>
      <c r="H352" s="5" t="s">
        <v>23</v>
      </c>
      <c r="I352" s="6" t="s">
        <v>3074</v>
      </c>
      <c r="J352" s="4">
        <v>100.0</v>
      </c>
      <c r="K352" s="5" t="s">
        <v>93</v>
      </c>
      <c r="L352" s="5" t="s">
        <v>3075</v>
      </c>
      <c r="M352" s="5" t="s">
        <v>3076</v>
      </c>
      <c r="N352" s="7" t="s">
        <v>3077</v>
      </c>
      <c r="O352" s="9" t="s">
        <v>3078</v>
      </c>
      <c r="P352" s="19" t="s">
        <v>3079</v>
      </c>
      <c r="Q352" s="5" t="s">
        <v>30</v>
      </c>
    </row>
    <row r="353" ht="21.0" customHeight="1">
      <c r="A353" s="4">
        <v>352.0</v>
      </c>
      <c r="B353" s="5" t="s">
        <v>3080</v>
      </c>
      <c r="C353" s="5" t="s">
        <v>18</v>
      </c>
      <c r="D353" s="5" t="s">
        <v>3081</v>
      </c>
      <c r="E353" s="5" t="s">
        <v>3082</v>
      </c>
      <c r="F353" s="5" t="s">
        <v>2822</v>
      </c>
      <c r="G353" s="5" t="s">
        <v>3083</v>
      </c>
      <c r="H353" s="5" t="s">
        <v>23</v>
      </c>
      <c r="I353" s="6" t="s">
        <v>3084</v>
      </c>
      <c r="J353" s="4">
        <v>100.0</v>
      </c>
      <c r="K353" s="5" t="s">
        <v>25</v>
      </c>
      <c r="L353" s="5" t="s">
        <v>3085</v>
      </c>
      <c r="M353" s="5" t="s">
        <v>3086</v>
      </c>
      <c r="N353" s="7" t="s">
        <v>3087</v>
      </c>
      <c r="O353" s="9" t="s">
        <v>3088</v>
      </c>
      <c r="P353" s="19" t="s">
        <v>3089</v>
      </c>
      <c r="Q353" s="5" t="s">
        <v>30</v>
      </c>
    </row>
    <row r="354" ht="21.0" customHeight="1">
      <c r="A354" s="4">
        <v>353.0</v>
      </c>
      <c r="B354" s="5" t="s">
        <v>3090</v>
      </c>
      <c r="C354" s="5" t="s">
        <v>18</v>
      </c>
      <c r="D354" s="5" t="s">
        <v>3091</v>
      </c>
      <c r="E354" s="5" t="s">
        <v>3092</v>
      </c>
      <c r="F354" s="5" t="s">
        <v>2822</v>
      </c>
      <c r="G354" s="5" t="s">
        <v>3093</v>
      </c>
      <c r="H354" s="5" t="s">
        <v>23</v>
      </c>
      <c r="I354" s="6" t="s">
        <v>3094</v>
      </c>
      <c r="J354" s="4">
        <v>100.0</v>
      </c>
      <c r="K354" s="5" t="s">
        <v>93</v>
      </c>
      <c r="L354" s="5" t="s">
        <v>3095</v>
      </c>
      <c r="M354" s="5" t="s">
        <v>3096</v>
      </c>
      <c r="N354" s="7" t="s">
        <v>3097</v>
      </c>
      <c r="O354" s="9" t="s">
        <v>3098</v>
      </c>
      <c r="P354" s="19" t="s">
        <v>3099</v>
      </c>
      <c r="Q354" s="5" t="s">
        <v>30</v>
      </c>
    </row>
    <row r="355" ht="21.0" customHeight="1">
      <c r="A355" s="4">
        <v>354.0</v>
      </c>
      <c r="B355" s="5" t="s">
        <v>3100</v>
      </c>
      <c r="C355" s="5" t="s">
        <v>18</v>
      </c>
      <c r="D355" s="5" t="s">
        <v>19</v>
      </c>
      <c r="E355" s="5" t="s">
        <v>3101</v>
      </c>
      <c r="F355" s="5" t="s">
        <v>2822</v>
      </c>
      <c r="G355" s="5" t="s">
        <v>3102</v>
      </c>
      <c r="H355" s="5" t="s">
        <v>23</v>
      </c>
      <c r="I355" s="6" t="s">
        <v>3103</v>
      </c>
      <c r="J355" s="4">
        <v>100.0</v>
      </c>
      <c r="K355" s="5" t="s">
        <v>93</v>
      </c>
      <c r="L355" s="5" t="s">
        <v>3104</v>
      </c>
      <c r="M355" s="5" t="s">
        <v>3105</v>
      </c>
      <c r="N355" s="7" t="s">
        <v>3106</v>
      </c>
      <c r="O355" s="9" t="s">
        <v>3107</v>
      </c>
      <c r="P355" s="19" t="s">
        <v>3108</v>
      </c>
      <c r="Q355" s="5" t="s">
        <v>30</v>
      </c>
    </row>
    <row r="356" ht="21.0" customHeight="1">
      <c r="A356" s="4">
        <v>355.0</v>
      </c>
      <c r="B356" s="5" t="s">
        <v>3109</v>
      </c>
      <c r="C356" s="5" t="s">
        <v>18</v>
      </c>
      <c r="D356" s="5" t="s">
        <v>3110</v>
      </c>
      <c r="E356" s="5" t="s">
        <v>3111</v>
      </c>
      <c r="F356" s="5" t="s">
        <v>2822</v>
      </c>
      <c r="G356" s="5" t="s">
        <v>3112</v>
      </c>
      <c r="H356" s="5" t="s">
        <v>23</v>
      </c>
      <c r="I356" s="6" t="s">
        <v>3113</v>
      </c>
      <c r="J356" s="4">
        <v>100.0</v>
      </c>
      <c r="K356" s="5" t="s">
        <v>517</v>
      </c>
      <c r="L356" s="5" t="s">
        <v>3114</v>
      </c>
      <c r="M356" s="5" t="s">
        <v>3115</v>
      </c>
      <c r="N356" s="7" t="s">
        <v>3116</v>
      </c>
      <c r="O356" s="9" t="s">
        <v>3117</v>
      </c>
      <c r="P356" s="19" t="s">
        <v>3118</v>
      </c>
      <c r="Q356" s="5" t="s">
        <v>30</v>
      </c>
    </row>
    <row r="357" ht="21.0" customHeight="1">
      <c r="A357" s="4">
        <v>356.0</v>
      </c>
      <c r="B357" s="5" t="s">
        <v>3119</v>
      </c>
      <c r="C357" s="5" t="s">
        <v>18</v>
      </c>
      <c r="D357" s="5" t="s">
        <v>19</v>
      </c>
      <c r="E357" s="5" t="s">
        <v>3120</v>
      </c>
      <c r="F357" s="5" t="s">
        <v>2822</v>
      </c>
      <c r="G357" s="5" t="s">
        <v>3121</v>
      </c>
      <c r="H357" s="5" t="s">
        <v>23</v>
      </c>
      <c r="I357" s="6" t="s">
        <v>3122</v>
      </c>
      <c r="J357" s="4">
        <v>100.0</v>
      </c>
      <c r="K357" s="5" t="s">
        <v>165</v>
      </c>
      <c r="L357" s="5" t="s">
        <v>3123</v>
      </c>
      <c r="M357" s="5" t="s">
        <v>3124</v>
      </c>
      <c r="N357" s="7" t="s">
        <v>3125</v>
      </c>
      <c r="O357" s="9" t="s">
        <v>3126</v>
      </c>
      <c r="P357" s="19" t="s">
        <v>3127</v>
      </c>
      <c r="Q357" s="5" t="s">
        <v>30</v>
      </c>
    </row>
    <row r="358" ht="21.0" customHeight="1">
      <c r="A358" s="13">
        <v>357.0</v>
      </c>
      <c r="B358" s="14" t="s">
        <v>3128</v>
      </c>
      <c r="C358" s="14" t="s">
        <v>3129</v>
      </c>
      <c r="D358" s="14" t="s">
        <v>19</v>
      </c>
      <c r="E358" s="14" t="s">
        <v>3130</v>
      </c>
      <c r="F358" s="14" t="s">
        <v>3131</v>
      </c>
      <c r="G358" s="14" t="s">
        <v>3132</v>
      </c>
      <c r="H358" s="14" t="s">
        <v>23</v>
      </c>
      <c r="I358" s="15" t="s">
        <v>3133</v>
      </c>
      <c r="J358" s="13">
        <v>100.0</v>
      </c>
      <c r="K358" s="14" t="s">
        <v>68</v>
      </c>
      <c r="L358" s="14" t="s">
        <v>3134</v>
      </c>
      <c r="M358" s="14" t="s">
        <v>3135</v>
      </c>
      <c r="N358" s="32" t="s">
        <v>3136</v>
      </c>
      <c r="O358" s="17" t="s">
        <v>3137</v>
      </c>
      <c r="P358" s="26" t="s">
        <v>3138</v>
      </c>
      <c r="Q358" s="5" t="s">
        <v>30</v>
      </c>
      <c r="R358" s="18"/>
      <c r="S358" s="18"/>
      <c r="T358" s="18"/>
      <c r="U358" s="18"/>
      <c r="V358" s="18"/>
      <c r="W358" s="18"/>
      <c r="X358" s="18"/>
      <c r="Y358" s="18"/>
      <c r="Z358" s="18"/>
    </row>
    <row r="359" ht="21.0" customHeight="1">
      <c r="A359" s="4">
        <v>358.0</v>
      </c>
      <c r="B359" s="5" t="s">
        <v>3139</v>
      </c>
      <c r="C359" s="5" t="s">
        <v>3140</v>
      </c>
      <c r="D359" s="5" t="s">
        <v>3141</v>
      </c>
      <c r="E359" s="5" t="s">
        <v>3142</v>
      </c>
      <c r="F359" s="5" t="s">
        <v>3131</v>
      </c>
      <c r="G359" s="5" t="s">
        <v>3143</v>
      </c>
      <c r="H359" s="5" t="s">
        <v>23</v>
      </c>
      <c r="I359" s="6" t="s">
        <v>3144</v>
      </c>
      <c r="J359" s="4">
        <v>100.0</v>
      </c>
      <c r="K359" s="5" t="s">
        <v>25</v>
      </c>
      <c r="L359" s="5" t="s">
        <v>3145</v>
      </c>
      <c r="M359" s="5" t="s">
        <v>3146</v>
      </c>
      <c r="N359" s="20" t="s">
        <v>3147</v>
      </c>
      <c r="O359" s="9" t="s">
        <v>3148</v>
      </c>
      <c r="P359" s="19" t="s">
        <v>3149</v>
      </c>
      <c r="Q359" s="5" t="s">
        <v>30</v>
      </c>
    </row>
    <row r="360" ht="21.0" customHeight="1">
      <c r="A360" s="4">
        <v>359.0</v>
      </c>
      <c r="B360" s="5" t="s">
        <v>3150</v>
      </c>
      <c r="C360" s="5" t="s">
        <v>18</v>
      </c>
      <c r="D360" s="5" t="s">
        <v>19</v>
      </c>
      <c r="E360" s="5" t="s">
        <v>3151</v>
      </c>
      <c r="F360" s="5" t="s">
        <v>3131</v>
      </c>
      <c r="G360" s="5" t="s">
        <v>3152</v>
      </c>
      <c r="H360" s="5" t="s">
        <v>50</v>
      </c>
      <c r="I360" s="6" t="s">
        <v>3153</v>
      </c>
      <c r="J360" s="4">
        <v>100.0</v>
      </c>
      <c r="K360" s="5" t="s">
        <v>84</v>
      </c>
      <c r="L360" s="5" t="s">
        <v>3154</v>
      </c>
      <c r="M360" s="5" t="s">
        <v>3155</v>
      </c>
      <c r="N360" s="20" t="s">
        <v>3156</v>
      </c>
      <c r="O360" s="9" t="s">
        <v>3157</v>
      </c>
      <c r="P360" s="19" t="s">
        <v>3158</v>
      </c>
      <c r="Q360" s="5" t="s">
        <v>30</v>
      </c>
    </row>
    <row r="361" ht="21.0" customHeight="1">
      <c r="A361" s="4">
        <v>360.0</v>
      </c>
      <c r="B361" s="5" t="s">
        <v>3159</v>
      </c>
      <c r="C361" s="5" t="s">
        <v>18</v>
      </c>
      <c r="D361" s="5" t="s">
        <v>19</v>
      </c>
      <c r="E361" s="5" t="s">
        <v>3160</v>
      </c>
      <c r="F361" s="5" t="s">
        <v>3131</v>
      </c>
      <c r="G361" s="5" t="s">
        <v>3161</v>
      </c>
      <c r="H361" s="5" t="s">
        <v>23</v>
      </c>
      <c r="I361" s="6" t="s">
        <v>3162</v>
      </c>
      <c r="J361" s="4">
        <v>100.0</v>
      </c>
      <c r="K361" s="5" t="s">
        <v>84</v>
      </c>
      <c r="L361" s="5" t="s">
        <v>3163</v>
      </c>
      <c r="M361" s="5" t="s">
        <v>3164</v>
      </c>
      <c r="N361" s="20" t="s">
        <v>3165</v>
      </c>
      <c r="O361" s="9" t="s">
        <v>3166</v>
      </c>
      <c r="P361" s="19" t="s">
        <v>3167</v>
      </c>
      <c r="Q361" s="5" t="s">
        <v>30</v>
      </c>
    </row>
    <row r="362" ht="21.0" customHeight="1">
      <c r="A362" s="4">
        <v>361.0</v>
      </c>
      <c r="B362" s="5" t="s">
        <v>3168</v>
      </c>
      <c r="C362" s="5" t="s">
        <v>18</v>
      </c>
      <c r="D362" s="5" t="s">
        <v>19</v>
      </c>
      <c r="E362" s="5" t="s">
        <v>3169</v>
      </c>
      <c r="F362" s="5" t="s">
        <v>3131</v>
      </c>
      <c r="G362" s="5" t="s">
        <v>3170</v>
      </c>
      <c r="H362" s="5" t="s">
        <v>23</v>
      </c>
      <c r="I362" s="6" t="s">
        <v>3171</v>
      </c>
      <c r="J362" s="4">
        <v>100.0</v>
      </c>
      <c r="K362" s="5" t="s">
        <v>517</v>
      </c>
      <c r="L362" s="5" t="s">
        <v>3172</v>
      </c>
      <c r="M362" s="5" t="s">
        <v>3173</v>
      </c>
      <c r="N362" s="20" t="s">
        <v>3174</v>
      </c>
      <c r="O362" s="9" t="s">
        <v>3175</v>
      </c>
      <c r="P362" s="19" t="s">
        <v>3176</v>
      </c>
      <c r="Q362" s="5" t="s">
        <v>30</v>
      </c>
    </row>
    <row r="363" ht="21.0" customHeight="1">
      <c r="A363" s="4">
        <v>362.0</v>
      </c>
      <c r="B363" s="5" t="s">
        <v>3177</v>
      </c>
      <c r="C363" s="5" t="s">
        <v>18</v>
      </c>
      <c r="D363" s="5" t="s">
        <v>19</v>
      </c>
      <c r="E363" s="5" t="s">
        <v>3178</v>
      </c>
      <c r="F363" s="5" t="s">
        <v>3131</v>
      </c>
      <c r="G363" s="5" t="s">
        <v>3179</v>
      </c>
      <c r="H363" s="5" t="s">
        <v>23</v>
      </c>
      <c r="I363" s="6" t="s">
        <v>3180</v>
      </c>
      <c r="J363" s="4">
        <v>100.0</v>
      </c>
      <c r="K363" s="5" t="s">
        <v>68</v>
      </c>
      <c r="L363" s="5" t="s">
        <v>3181</v>
      </c>
      <c r="M363" s="5" t="s">
        <v>3182</v>
      </c>
      <c r="N363" s="20" t="s">
        <v>3183</v>
      </c>
      <c r="O363" s="9" t="s">
        <v>3184</v>
      </c>
      <c r="P363" s="19" t="s">
        <v>3185</v>
      </c>
      <c r="Q363" s="5" t="s">
        <v>30</v>
      </c>
    </row>
    <row r="364" ht="21.0" customHeight="1">
      <c r="A364" s="4">
        <v>363.0</v>
      </c>
      <c r="B364" s="5" t="s">
        <v>3186</v>
      </c>
      <c r="C364" s="5" t="s">
        <v>3187</v>
      </c>
      <c r="D364" s="5" t="s">
        <v>3188</v>
      </c>
      <c r="E364" s="5" t="s">
        <v>3189</v>
      </c>
      <c r="F364" s="5" t="s">
        <v>3131</v>
      </c>
      <c r="G364" s="5" t="s">
        <v>3190</v>
      </c>
      <c r="H364" s="5" t="s">
        <v>23</v>
      </c>
      <c r="I364" s="6" t="s">
        <v>3191</v>
      </c>
      <c r="J364" s="4">
        <v>100.0</v>
      </c>
      <c r="K364" s="5" t="s">
        <v>25</v>
      </c>
      <c r="L364" s="5" t="s">
        <v>3192</v>
      </c>
      <c r="M364" s="5" t="s">
        <v>3193</v>
      </c>
      <c r="N364" s="20" t="s">
        <v>3194</v>
      </c>
      <c r="O364" s="9" t="s">
        <v>3195</v>
      </c>
      <c r="P364" s="19" t="s">
        <v>3196</v>
      </c>
      <c r="Q364" s="5" t="s">
        <v>30</v>
      </c>
    </row>
    <row r="365" ht="21.0" customHeight="1">
      <c r="A365" s="4">
        <v>364.0</v>
      </c>
      <c r="B365" s="5" t="s">
        <v>3197</v>
      </c>
      <c r="C365" s="5" t="s">
        <v>18</v>
      </c>
      <c r="D365" s="5" t="s">
        <v>19</v>
      </c>
      <c r="E365" s="5" t="s">
        <v>3198</v>
      </c>
      <c r="F365" s="5" t="s">
        <v>3131</v>
      </c>
      <c r="G365" s="5" t="s">
        <v>3199</v>
      </c>
      <c r="H365" s="5" t="s">
        <v>23</v>
      </c>
      <c r="I365" s="6" t="s">
        <v>3200</v>
      </c>
      <c r="J365" s="4">
        <v>100.0</v>
      </c>
      <c r="K365" s="5" t="s">
        <v>25</v>
      </c>
      <c r="L365" s="5" t="s">
        <v>3201</v>
      </c>
      <c r="M365" s="5" t="s">
        <v>3202</v>
      </c>
      <c r="N365" s="20" t="s">
        <v>3203</v>
      </c>
      <c r="O365" s="9" t="s">
        <v>3204</v>
      </c>
      <c r="P365" s="19" t="s">
        <v>3205</v>
      </c>
      <c r="Q365" s="5" t="s">
        <v>30</v>
      </c>
    </row>
    <row r="366" ht="21.0" customHeight="1">
      <c r="A366" s="4">
        <v>365.0</v>
      </c>
      <c r="B366" s="5" t="s">
        <v>3206</v>
      </c>
      <c r="C366" s="5" t="s">
        <v>3207</v>
      </c>
      <c r="D366" s="5" t="s">
        <v>3208</v>
      </c>
      <c r="E366" s="5" t="s">
        <v>3209</v>
      </c>
      <c r="F366" s="5" t="s">
        <v>3131</v>
      </c>
      <c r="G366" s="5" t="s">
        <v>3210</v>
      </c>
      <c r="H366" s="5" t="s">
        <v>23</v>
      </c>
      <c r="I366" s="6" t="s">
        <v>3211</v>
      </c>
      <c r="J366" s="4">
        <v>100.0</v>
      </c>
      <c r="K366" s="5" t="s">
        <v>517</v>
      </c>
      <c r="L366" s="5" t="s">
        <v>3212</v>
      </c>
      <c r="M366" s="5" t="s">
        <v>3213</v>
      </c>
      <c r="N366" s="20" t="s">
        <v>3214</v>
      </c>
      <c r="O366" s="9" t="s">
        <v>3215</v>
      </c>
      <c r="P366" s="19" t="s">
        <v>3216</v>
      </c>
      <c r="Q366" s="5" t="s">
        <v>30</v>
      </c>
    </row>
    <row r="367" ht="21.0" customHeight="1">
      <c r="A367" s="4">
        <v>366.0</v>
      </c>
      <c r="B367" s="5" t="s">
        <v>3217</v>
      </c>
      <c r="C367" s="5" t="s">
        <v>3218</v>
      </c>
      <c r="D367" s="5" t="s">
        <v>3219</v>
      </c>
      <c r="E367" s="5" t="s">
        <v>3220</v>
      </c>
      <c r="F367" s="5" t="s">
        <v>3131</v>
      </c>
      <c r="G367" s="5" t="s">
        <v>3221</v>
      </c>
      <c r="H367" s="5" t="s">
        <v>23</v>
      </c>
      <c r="I367" s="6" t="s">
        <v>3222</v>
      </c>
      <c r="J367" s="4">
        <v>100.0</v>
      </c>
      <c r="K367" s="5" t="s">
        <v>25</v>
      </c>
      <c r="L367" s="5" t="s">
        <v>3223</v>
      </c>
      <c r="M367" s="5" t="s">
        <v>3224</v>
      </c>
      <c r="N367" s="7" t="s">
        <v>3225</v>
      </c>
      <c r="O367" s="9" t="s">
        <v>3226</v>
      </c>
      <c r="P367" s="19" t="s">
        <v>3227</v>
      </c>
      <c r="Q367" s="5" t="s">
        <v>30</v>
      </c>
    </row>
    <row r="368" ht="21.0" customHeight="1">
      <c r="A368" s="4">
        <v>367.0</v>
      </c>
      <c r="B368" s="5" t="s">
        <v>3228</v>
      </c>
      <c r="C368" s="5" t="s">
        <v>18</v>
      </c>
      <c r="D368" s="5" t="s">
        <v>19</v>
      </c>
      <c r="E368" s="5" t="s">
        <v>3229</v>
      </c>
      <c r="F368" s="5" t="s">
        <v>3131</v>
      </c>
      <c r="G368" s="5" t="s">
        <v>3230</v>
      </c>
      <c r="H368" s="5" t="s">
        <v>50</v>
      </c>
      <c r="I368" s="6" t="s">
        <v>3231</v>
      </c>
      <c r="J368" s="4">
        <v>100.0</v>
      </c>
      <c r="K368" s="5" t="s">
        <v>84</v>
      </c>
      <c r="L368" s="5" t="s">
        <v>3232</v>
      </c>
      <c r="M368" s="5" t="s">
        <v>3233</v>
      </c>
      <c r="N368" s="7" t="s">
        <v>3234</v>
      </c>
      <c r="O368" s="9" t="s">
        <v>3235</v>
      </c>
      <c r="P368" s="19" t="s">
        <v>3236</v>
      </c>
      <c r="Q368" s="5" t="s">
        <v>30</v>
      </c>
    </row>
    <row r="369" ht="21.0" customHeight="1">
      <c r="A369" s="4">
        <v>368.0</v>
      </c>
      <c r="B369" s="5" t="s">
        <v>3237</v>
      </c>
      <c r="C369" s="5" t="s">
        <v>18</v>
      </c>
      <c r="D369" s="5" t="s">
        <v>19</v>
      </c>
      <c r="E369" s="5" t="s">
        <v>3238</v>
      </c>
      <c r="F369" s="5" t="s">
        <v>3131</v>
      </c>
      <c r="G369" s="5" t="s">
        <v>3239</v>
      </c>
      <c r="H369" s="5" t="s">
        <v>23</v>
      </c>
      <c r="I369" s="6" t="s">
        <v>3240</v>
      </c>
      <c r="J369" s="4">
        <v>100.0</v>
      </c>
      <c r="K369" s="5" t="s">
        <v>275</v>
      </c>
      <c r="L369" s="5" t="s">
        <v>3241</v>
      </c>
      <c r="M369" s="5" t="s">
        <v>3242</v>
      </c>
      <c r="N369" s="7" t="s">
        <v>3243</v>
      </c>
      <c r="O369" s="9" t="s">
        <v>3244</v>
      </c>
      <c r="P369" s="19" t="s">
        <v>3245</v>
      </c>
      <c r="Q369" s="5" t="s">
        <v>30</v>
      </c>
    </row>
    <row r="370" ht="21.0" customHeight="1">
      <c r="A370" s="4">
        <v>369.0</v>
      </c>
      <c r="B370" s="5" t="s">
        <v>3246</v>
      </c>
      <c r="C370" s="5" t="s">
        <v>3247</v>
      </c>
      <c r="D370" s="5" t="s">
        <v>446</v>
      </c>
      <c r="E370" s="5" t="s">
        <v>3248</v>
      </c>
      <c r="F370" s="5" t="s">
        <v>3131</v>
      </c>
      <c r="G370" s="5" t="s">
        <v>34</v>
      </c>
      <c r="H370" s="5" t="s">
        <v>23</v>
      </c>
      <c r="I370" s="6" t="s">
        <v>3249</v>
      </c>
      <c r="J370" s="4">
        <v>100.0</v>
      </c>
      <c r="K370" s="5" t="s">
        <v>25</v>
      </c>
      <c r="L370" s="5" t="s">
        <v>3250</v>
      </c>
      <c r="M370" s="5" t="s">
        <v>3251</v>
      </c>
      <c r="N370" s="7" t="s">
        <v>3252</v>
      </c>
      <c r="O370" s="9" t="s">
        <v>3253</v>
      </c>
      <c r="P370" s="19" t="s">
        <v>3254</v>
      </c>
      <c r="Q370" s="5" t="s">
        <v>30</v>
      </c>
    </row>
    <row r="371" ht="21.0" customHeight="1">
      <c r="A371" s="4">
        <v>370.0</v>
      </c>
      <c r="B371" s="5" t="s">
        <v>3255</v>
      </c>
      <c r="C371" s="5" t="s">
        <v>18</v>
      </c>
      <c r="D371" s="5" t="s">
        <v>3256</v>
      </c>
      <c r="E371" s="5" t="s">
        <v>3257</v>
      </c>
      <c r="F371" s="5" t="s">
        <v>3131</v>
      </c>
      <c r="G371" s="5" t="s">
        <v>3258</v>
      </c>
      <c r="H371" s="5" t="s">
        <v>50</v>
      </c>
      <c r="I371" s="6" t="s">
        <v>3259</v>
      </c>
      <c r="J371" s="4">
        <v>100.0</v>
      </c>
      <c r="K371" s="5" t="s">
        <v>110</v>
      </c>
      <c r="L371" s="5" t="s">
        <v>3260</v>
      </c>
      <c r="M371" s="5" t="s">
        <v>3261</v>
      </c>
      <c r="N371" s="7" t="s">
        <v>3262</v>
      </c>
      <c r="O371" s="9" t="s">
        <v>3263</v>
      </c>
      <c r="P371" s="19" t="s">
        <v>3264</v>
      </c>
      <c r="Q371" s="5" t="s">
        <v>30</v>
      </c>
    </row>
    <row r="372" ht="21.0" customHeight="1">
      <c r="A372" s="4">
        <v>371.0</v>
      </c>
      <c r="B372" s="5" t="s">
        <v>3265</v>
      </c>
      <c r="C372" s="5" t="s">
        <v>18</v>
      </c>
      <c r="D372" s="5" t="s">
        <v>19</v>
      </c>
      <c r="E372" s="5" t="s">
        <v>3266</v>
      </c>
      <c r="F372" s="5" t="s">
        <v>3131</v>
      </c>
      <c r="G372" s="5" t="s">
        <v>3267</v>
      </c>
      <c r="H372" s="5" t="s">
        <v>23</v>
      </c>
      <c r="I372" s="6" t="s">
        <v>3268</v>
      </c>
      <c r="J372" s="4">
        <v>100.0</v>
      </c>
      <c r="K372" s="5" t="s">
        <v>25</v>
      </c>
      <c r="L372" s="5" t="s">
        <v>3269</v>
      </c>
      <c r="M372" s="5" t="s">
        <v>3270</v>
      </c>
      <c r="N372" s="7" t="s">
        <v>3271</v>
      </c>
      <c r="O372" s="9" t="s">
        <v>3272</v>
      </c>
      <c r="P372" s="19" t="s">
        <v>3273</v>
      </c>
      <c r="Q372" s="5" t="s">
        <v>30</v>
      </c>
    </row>
    <row r="373" ht="21.0" customHeight="1">
      <c r="A373" s="4">
        <v>372.0</v>
      </c>
      <c r="B373" s="5" t="s">
        <v>3274</v>
      </c>
      <c r="C373" s="5" t="s">
        <v>3275</v>
      </c>
      <c r="D373" s="5" t="s">
        <v>19</v>
      </c>
      <c r="E373" s="5" t="s">
        <v>3276</v>
      </c>
      <c r="F373" s="5" t="s">
        <v>3131</v>
      </c>
      <c r="G373" s="5" t="s">
        <v>3277</v>
      </c>
      <c r="H373" s="5" t="s">
        <v>23</v>
      </c>
      <c r="I373" s="6" t="s">
        <v>3278</v>
      </c>
      <c r="J373" s="4">
        <v>100.0</v>
      </c>
      <c r="K373" s="5" t="s">
        <v>25</v>
      </c>
      <c r="L373" s="5" t="s">
        <v>3279</v>
      </c>
      <c r="M373" s="5" t="s">
        <v>3280</v>
      </c>
      <c r="N373" s="7" t="s">
        <v>3281</v>
      </c>
      <c r="O373" s="9" t="s">
        <v>3282</v>
      </c>
      <c r="P373" s="5" t="s">
        <v>30</v>
      </c>
      <c r="Q373" s="5" t="s">
        <v>30</v>
      </c>
    </row>
    <row r="374" ht="21.0" customHeight="1">
      <c r="A374" s="4">
        <v>373.0</v>
      </c>
      <c r="B374" s="5" t="s">
        <v>3283</v>
      </c>
      <c r="C374" s="5" t="s">
        <v>18</v>
      </c>
      <c r="D374" s="5" t="s">
        <v>19</v>
      </c>
      <c r="E374" s="5" t="s">
        <v>3284</v>
      </c>
      <c r="F374" s="5" t="s">
        <v>3131</v>
      </c>
      <c r="G374" s="5" t="s">
        <v>3285</v>
      </c>
      <c r="H374" s="5" t="s">
        <v>23</v>
      </c>
      <c r="I374" s="6" t="s">
        <v>3286</v>
      </c>
      <c r="J374" s="4">
        <v>100.0</v>
      </c>
      <c r="K374" s="5" t="s">
        <v>68</v>
      </c>
      <c r="L374" s="5" t="s">
        <v>3287</v>
      </c>
      <c r="M374" s="5" t="s">
        <v>3288</v>
      </c>
      <c r="N374" s="7" t="s">
        <v>3289</v>
      </c>
      <c r="O374" s="9" t="s">
        <v>3290</v>
      </c>
      <c r="P374" s="19" t="s">
        <v>3291</v>
      </c>
      <c r="Q374" s="5" t="s">
        <v>30</v>
      </c>
    </row>
    <row r="375" ht="21.0" customHeight="1">
      <c r="A375" s="4">
        <v>374.0</v>
      </c>
      <c r="B375" s="5" t="s">
        <v>3292</v>
      </c>
      <c r="C375" s="5" t="s">
        <v>18</v>
      </c>
      <c r="D375" s="5" t="s">
        <v>3293</v>
      </c>
      <c r="E375" s="5" t="s">
        <v>3294</v>
      </c>
      <c r="F375" s="5" t="s">
        <v>3131</v>
      </c>
      <c r="G375" s="5" t="s">
        <v>3295</v>
      </c>
      <c r="H375" s="5" t="s">
        <v>23</v>
      </c>
      <c r="I375" s="6" t="s">
        <v>3296</v>
      </c>
      <c r="J375" s="4">
        <v>100.0</v>
      </c>
      <c r="K375" s="5" t="s">
        <v>292</v>
      </c>
      <c r="L375" s="5" t="s">
        <v>3297</v>
      </c>
      <c r="M375" s="5" t="s">
        <v>3298</v>
      </c>
      <c r="N375" s="7" t="s">
        <v>3299</v>
      </c>
      <c r="O375" s="9" t="s">
        <v>3300</v>
      </c>
      <c r="P375" s="19" t="s">
        <v>3301</v>
      </c>
      <c r="Q375" s="5" t="s">
        <v>30</v>
      </c>
    </row>
    <row r="376" ht="21.0" customHeight="1">
      <c r="A376" s="4">
        <v>375.0</v>
      </c>
      <c r="B376" s="5" t="s">
        <v>3302</v>
      </c>
      <c r="C376" s="5" t="s">
        <v>18</v>
      </c>
      <c r="D376" s="5" t="s">
        <v>3303</v>
      </c>
      <c r="E376" s="5" t="s">
        <v>3304</v>
      </c>
      <c r="F376" s="5" t="s">
        <v>3131</v>
      </c>
      <c r="G376" s="5" t="s">
        <v>3305</v>
      </c>
      <c r="H376" s="5" t="s">
        <v>23</v>
      </c>
      <c r="I376" s="6" t="s">
        <v>3306</v>
      </c>
      <c r="J376" s="4">
        <v>100.0</v>
      </c>
      <c r="K376" s="5" t="s">
        <v>141</v>
      </c>
      <c r="L376" s="5" t="s">
        <v>3307</v>
      </c>
      <c r="M376" s="5" t="s">
        <v>3308</v>
      </c>
      <c r="N376" s="7" t="s">
        <v>3309</v>
      </c>
      <c r="O376" s="9" t="s">
        <v>3310</v>
      </c>
      <c r="P376" s="19" t="s">
        <v>3311</v>
      </c>
      <c r="Q376" s="5" t="s">
        <v>30</v>
      </c>
    </row>
    <row r="377" ht="21.0" customHeight="1">
      <c r="A377" s="4">
        <v>376.0</v>
      </c>
      <c r="B377" s="5" t="s">
        <v>3312</v>
      </c>
      <c r="C377" s="5" t="s">
        <v>18</v>
      </c>
      <c r="D377" s="5" t="s">
        <v>19</v>
      </c>
      <c r="E377" s="5" t="s">
        <v>3313</v>
      </c>
      <c r="F377" s="5" t="s">
        <v>3131</v>
      </c>
      <c r="G377" s="5" t="s">
        <v>3314</v>
      </c>
      <c r="H377" s="5" t="s">
        <v>23</v>
      </c>
      <c r="I377" s="6" t="s">
        <v>3315</v>
      </c>
      <c r="J377" s="4">
        <v>100.0</v>
      </c>
      <c r="K377" s="5" t="s">
        <v>52</v>
      </c>
      <c r="L377" s="5" t="s">
        <v>3316</v>
      </c>
      <c r="M377" s="5" t="s">
        <v>3317</v>
      </c>
      <c r="N377" s="7" t="s">
        <v>3318</v>
      </c>
      <c r="O377" s="21" t="s">
        <v>3319</v>
      </c>
      <c r="P377" s="19" t="s">
        <v>3320</v>
      </c>
      <c r="Q377" s="5" t="s">
        <v>30</v>
      </c>
    </row>
    <row r="378" ht="21.0" customHeight="1">
      <c r="A378" s="4">
        <v>377.0</v>
      </c>
      <c r="B378" s="5" t="s">
        <v>3321</v>
      </c>
      <c r="C378" s="5" t="s">
        <v>18</v>
      </c>
      <c r="D378" s="5" t="s">
        <v>19</v>
      </c>
      <c r="E378" s="5" t="s">
        <v>3322</v>
      </c>
      <c r="F378" s="5" t="s">
        <v>3131</v>
      </c>
      <c r="G378" s="5" t="s">
        <v>3323</v>
      </c>
      <c r="H378" s="5" t="s">
        <v>23</v>
      </c>
      <c r="I378" s="6" t="s">
        <v>3324</v>
      </c>
      <c r="J378" s="4">
        <v>100.0</v>
      </c>
      <c r="K378" s="5" t="s">
        <v>1070</v>
      </c>
      <c r="L378" s="5" t="s">
        <v>3325</v>
      </c>
      <c r="M378" s="5" t="s">
        <v>3326</v>
      </c>
      <c r="N378" s="7" t="s">
        <v>3327</v>
      </c>
      <c r="O378" s="9" t="s">
        <v>3328</v>
      </c>
      <c r="P378" s="19" t="s">
        <v>3329</v>
      </c>
      <c r="Q378" s="5" t="s">
        <v>30</v>
      </c>
    </row>
    <row r="379" ht="21.0" customHeight="1">
      <c r="A379" s="4">
        <v>378.0</v>
      </c>
      <c r="B379" s="5" t="s">
        <v>3330</v>
      </c>
      <c r="C379" s="5" t="s">
        <v>18</v>
      </c>
      <c r="D379" s="5" t="s">
        <v>19</v>
      </c>
      <c r="E379" s="5" t="s">
        <v>3331</v>
      </c>
      <c r="F379" s="5" t="s">
        <v>3131</v>
      </c>
      <c r="G379" s="5" t="s">
        <v>3332</v>
      </c>
      <c r="H379" s="5" t="s">
        <v>23</v>
      </c>
      <c r="I379" s="6" t="s">
        <v>3333</v>
      </c>
      <c r="J379" s="4">
        <v>100.0</v>
      </c>
      <c r="K379" s="5" t="s">
        <v>84</v>
      </c>
      <c r="L379" s="5" t="s">
        <v>3334</v>
      </c>
      <c r="M379" s="5" t="s">
        <v>3335</v>
      </c>
      <c r="N379" s="7" t="s">
        <v>3336</v>
      </c>
      <c r="O379" s="9" t="s">
        <v>3337</v>
      </c>
      <c r="P379" s="19" t="s">
        <v>3338</v>
      </c>
      <c r="Q379" s="5" t="s">
        <v>30</v>
      </c>
    </row>
    <row r="380" ht="21.0" customHeight="1">
      <c r="A380" s="4">
        <v>379.0</v>
      </c>
      <c r="B380" s="5" t="s">
        <v>3339</v>
      </c>
      <c r="C380" s="5" t="s">
        <v>18</v>
      </c>
      <c r="D380" s="5" t="s">
        <v>19</v>
      </c>
      <c r="E380" s="5" t="s">
        <v>3340</v>
      </c>
      <c r="F380" s="5" t="s">
        <v>3131</v>
      </c>
      <c r="G380" s="5" t="s">
        <v>3341</v>
      </c>
      <c r="H380" s="5" t="s">
        <v>23</v>
      </c>
      <c r="I380" s="6" t="s">
        <v>3342</v>
      </c>
      <c r="J380" s="4">
        <v>100.0</v>
      </c>
      <c r="K380" s="5" t="s">
        <v>110</v>
      </c>
      <c r="L380" s="5" t="s">
        <v>3343</v>
      </c>
      <c r="M380" s="5" t="s">
        <v>3344</v>
      </c>
      <c r="N380" s="7" t="s">
        <v>3345</v>
      </c>
      <c r="O380" s="9" t="s">
        <v>3346</v>
      </c>
      <c r="P380" s="19" t="s">
        <v>3347</v>
      </c>
      <c r="Q380" s="5" t="s">
        <v>30</v>
      </c>
    </row>
    <row r="381" ht="21.0" customHeight="1">
      <c r="A381" s="4">
        <v>380.0</v>
      </c>
      <c r="B381" s="5" t="s">
        <v>3348</v>
      </c>
      <c r="C381" s="5" t="s">
        <v>18</v>
      </c>
      <c r="D381" s="5" t="s">
        <v>3349</v>
      </c>
      <c r="E381" s="5" t="s">
        <v>3350</v>
      </c>
      <c r="F381" s="5" t="s">
        <v>3131</v>
      </c>
      <c r="G381" s="5" t="s">
        <v>34</v>
      </c>
      <c r="H381" s="5" t="s">
        <v>23</v>
      </c>
      <c r="I381" s="6" t="s">
        <v>3351</v>
      </c>
      <c r="J381" s="4">
        <v>100.0</v>
      </c>
      <c r="K381" s="5" t="s">
        <v>25</v>
      </c>
      <c r="L381" s="5" t="s">
        <v>3352</v>
      </c>
      <c r="M381" s="5" t="s">
        <v>3353</v>
      </c>
      <c r="N381" s="7" t="s">
        <v>3354</v>
      </c>
      <c r="O381" s="9" t="s">
        <v>3355</v>
      </c>
      <c r="P381" s="19" t="s">
        <v>3356</v>
      </c>
      <c r="Q381" s="5" t="s">
        <v>30</v>
      </c>
    </row>
    <row r="382" ht="21.0" customHeight="1">
      <c r="A382" s="4">
        <v>381.0</v>
      </c>
      <c r="B382" s="5" t="s">
        <v>3357</v>
      </c>
      <c r="C382" s="5" t="s">
        <v>3358</v>
      </c>
      <c r="D382" s="5" t="s">
        <v>3359</v>
      </c>
      <c r="E382" s="5" t="s">
        <v>3360</v>
      </c>
      <c r="F382" s="5" t="s">
        <v>3131</v>
      </c>
      <c r="G382" s="5" t="s">
        <v>3361</v>
      </c>
      <c r="H382" s="5" t="s">
        <v>23</v>
      </c>
      <c r="I382" s="6" t="s">
        <v>3362</v>
      </c>
      <c r="J382" s="4">
        <v>100.0</v>
      </c>
      <c r="K382" s="5" t="s">
        <v>25</v>
      </c>
      <c r="L382" s="5" t="s">
        <v>3363</v>
      </c>
      <c r="M382" s="5" t="s">
        <v>3364</v>
      </c>
      <c r="N382" s="7" t="s">
        <v>3365</v>
      </c>
      <c r="O382" s="9" t="s">
        <v>3366</v>
      </c>
      <c r="P382" s="19" t="s">
        <v>3367</v>
      </c>
      <c r="Q382" s="5" t="s">
        <v>30</v>
      </c>
    </row>
    <row r="383" ht="21.0" customHeight="1">
      <c r="A383" s="4">
        <v>382.0</v>
      </c>
      <c r="B383" s="5" t="s">
        <v>3368</v>
      </c>
      <c r="C383" s="5" t="s">
        <v>3369</v>
      </c>
      <c r="D383" s="5" t="s">
        <v>19</v>
      </c>
      <c r="E383" s="5" t="s">
        <v>3370</v>
      </c>
      <c r="F383" s="5" t="s">
        <v>3131</v>
      </c>
      <c r="G383" s="5" t="s">
        <v>3371</v>
      </c>
      <c r="H383" s="5" t="s">
        <v>23</v>
      </c>
      <c r="I383" s="6" t="s">
        <v>3372</v>
      </c>
      <c r="J383" s="4">
        <v>100.0</v>
      </c>
      <c r="K383" s="5" t="s">
        <v>110</v>
      </c>
      <c r="L383" s="5" t="s">
        <v>3373</v>
      </c>
      <c r="M383" s="5" t="s">
        <v>3374</v>
      </c>
      <c r="N383" s="7" t="s">
        <v>3375</v>
      </c>
      <c r="O383" s="9" t="s">
        <v>3376</v>
      </c>
      <c r="P383" s="19" t="s">
        <v>3377</v>
      </c>
      <c r="Q383" s="5" t="s">
        <v>30</v>
      </c>
    </row>
    <row r="384" ht="21.0" customHeight="1">
      <c r="A384" s="4">
        <v>383.0</v>
      </c>
      <c r="B384" s="5" t="s">
        <v>3378</v>
      </c>
      <c r="C384" s="5" t="s">
        <v>18</v>
      </c>
      <c r="D384" s="5" t="s">
        <v>19</v>
      </c>
      <c r="E384" s="5" t="s">
        <v>3379</v>
      </c>
      <c r="F384" s="5" t="s">
        <v>3131</v>
      </c>
      <c r="G384" s="5" t="s">
        <v>3380</v>
      </c>
      <c r="H384" s="5" t="s">
        <v>23</v>
      </c>
      <c r="I384" s="6" t="s">
        <v>3381</v>
      </c>
      <c r="J384" s="4">
        <v>100.0</v>
      </c>
      <c r="K384" s="5" t="s">
        <v>84</v>
      </c>
      <c r="L384" s="5" t="s">
        <v>3382</v>
      </c>
      <c r="M384" s="5" t="s">
        <v>3383</v>
      </c>
      <c r="N384" s="7" t="s">
        <v>3384</v>
      </c>
      <c r="O384" s="9" t="s">
        <v>3385</v>
      </c>
      <c r="P384" s="19" t="s">
        <v>3386</v>
      </c>
      <c r="Q384" s="5" t="s">
        <v>30</v>
      </c>
    </row>
    <row r="385" ht="21.0" customHeight="1">
      <c r="A385" s="4">
        <v>384.0</v>
      </c>
      <c r="B385" s="5" t="s">
        <v>3387</v>
      </c>
      <c r="C385" s="5" t="s">
        <v>18</v>
      </c>
      <c r="D385" s="5" t="s">
        <v>3388</v>
      </c>
      <c r="E385" s="5" t="s">
        <v>3389</v>
      </c>
      <c r="F385" s="5" t="s">
        <v>3131</v>
      </c>
      <c r="G385" s="5" t="s">
        <v>34</v>
      </c>
      <c r="H385" s="5" t="s">
        <v>23</v>
      </c>
      <c r="I385" s="6" t="s">
        <v>3390</v>
      </c>
      <c r="J385" s="4">
        <v>100.0</v>
      </c>
      <c r="K385" s="5" t="s">
        <v>84</v>
      </c>
      <c r="L385" s="5" t="s">
        <v>3391</v>
      </c>
      <c r="M385" s="5" t="s">
        <v>3392</v>
      </c>
      <c r="N385" s="7" t="s">
        <v>3393</v>
      </c>
      <c r="O385" s="9" t="s">
        <v>3394</v>
      </c>
      <c r="P385" s="19" t="s">
        <v>3395</v>
      </c>
      <c r="Q385" s="5" t="s">
        <v>30</v>
      </c>
    </row>
    <row r="386" ht="21.0" customHeight="1">
      <c r="A386" s="4">
        <v>385.0</v>
      </c>
      <c r="B386" s="5" t="s">
        <v>3396</v>
      </c>
      <c r="C386" s="5" t="s">
        <v>3397</v>
      </c>
      <c r="D386" s="5" t="s">
        <v>3398</v>
      </c>
      <c r="E386" s="5" t="s">
        <v>3399</v>
      </c>
      <c r="F386" s="5" t="s">
        <v>3131</v>
      </c>
      <c r="G386" s="5" t="s">
        <v>3400</v>
      </c>
      <c r="H386" s="5" t="s">
        <v>23</v>
      </c>
      <c r="I386" s="6" t="s">
        <v>3401</v>
      </c>
      <c r="J386" s="4">
        <v>100.0</v>
      </c>
      <c r="K386" s="5" t="s">
        <v>316</v>
      </c>
      <c r="L386" s="5" t="s">
        <v>3402</v>
      </c>
      <c r="M386" s="5" t="s">
        <v>3403</v>
      </c>
      <c r="N386" s="7" t="s">
        <v>3404</v>
      </c>
      <c r="O386" s="9" t="s">
        <v>3405</v>
      </c>
      <c r="P386" s="19" t="s">
        <v>3406</v>
      </c>
      <c r="Q386" s="5" t="s">
        <v>30</v>
      </c>
    </row>
    <row r="387" ht="21.0" customHeight="1">
      <c r="A387" s="4">
        <v>386.0</v>
      </c>
      <c r="B387" s="5" t="s">
        <v>3407</v>
      </c>
      <c r="C387" s="5" t="s">
        <v>3408</v>
      </c>
      <c r="D387" s="5" t="s">
        <v>19</v>
      </c>
      <c r="E387" s="5" t="s">
        <v>3409</v>
      </c>
      <c r="F387" s="5" t="s">
        <v>3131</v>
      </c>
      <c r="G387" s="5" t="s">
        <v>3410</v>
      </c>
      <c r="H387" s="5" t="s">
        <v>23</v>
      </c>
      <c r="I387" s="6" t="s">
        <v>3411</v>
      </c>
      <c r="J387" s="4">
        <v>100.0</v>
      </c>
      <c r="K387" s="5" t="s">
        <v>84</v>
      </c>
      <c r="L387" s="5" t="s">
        <v>3066</v>
      </c>
      <c r="M387" s="5" t="s">
        <v>3412</v>
      </c>
      <c r="N387" s="7" t="s">
        <v>3413</v>
      </c>
      <c r="O387" s="9" t="s">
        <v>3414</v>
      </c>
      <c r="P387" s="19" t="s">
        <v>3415</v>
      </c>
      <c r="Q387" s="5" t="s">
        <v>30</v>
      </c>
    </row>
    <row r="388" ht="21.0" customHeight="1">
      <c r="A388" s="4">
        <v>387.0</v>
      </c>
      <c r="B388" s="5" t="s">
        <v>3416</v>
      </c>
      <c r="C388" s="5" t="s">
        <v>18</v>
      </c>
      <c r="D388" s="5" t="s">
        <v>3417</v>
      </c>
      <c r="E388" s="5" t="s">
        <v>3418</v>
      </c>
      <c r="F388" s="5" t="s">
        <v>3131</v>
      </c>
      <c r="G388" s="5" t="s">
        <v>3419</v>
      </c>
      <c r="H388" s="5" t="s">
        <v>50</v>
      </c>
      <c r="I388" s="6" t="s">
        <v>3420</v>
      </c>
      <c r="J388" s="4">
        <v>100.0</v>
      </c>
      <c r="K388" s="5" t="s">
        <v>216</v>
      </c>
      <c r="L388" s="5" t="s">
        <v>3421</v>
      </c>
      <c r="M388" s="5" t="s">
        <v>3422</v>
      </c>
      <c r="N388" s="7" t="s">
        <v>3423</v>
      </c>
      <c r="O388" s="9" t="s">
        <v>3424</v>
      </c>
      <c r="P388" s="19" t="s">
        <v>3425</v>
      </c>
      <c r="Q388" s="5" t="s">
        <v>30</v>
      </c>
    </row>
    <row r="389" ht="21.0" customHeight="1">
      <c r="A389" s="4">
        <v>388.0</v>
      </c>
      <c r="B389" s="5" t="s">
        <v>3426</v>
      </c>
      <c r="C389" s="5" t="s">
        <v>18</v>
      </c>
      <c r="D389" s="5" t="s">
        <v>19</v>
      </c>
      <c r="E389" s="5" t="s">
        <v>3427</v>
      </c>
      <c r="F389" s="5" t="s">
        <v>3131</v>
      </c>
      <c r="G389" s="5" t="s">
        <v>3428</v>
      </c>
      <c r="H389" s="5" t="s">
        <v>23</v>
      </c>
      <c r="I389" s="6" t="s">
        <v>3429</v>
      </c>
      <c r="J389" s="4">
        <v>100.0</v>
      </c>
      <c r="K389" s="5" t="s">
        <v>25</v>
      </c>
      <c r="L389" s="5" t="s">
        <v>3430</v>
      </c>
      <c r="M389" s="5" t="s">
        <v>3431</v>
      </c>
      <c r="N389" s="7" t="s">
        <v>3432</v>
      </c>
      <c r="O389" s="9" t="s">
        <v>3433</v>
      </c>
      <c r="P389" s="19" t="s">
        <v>3434</v>
      </c>
      <c r="Q389" s="5" t="s">
        <v>30</v>
      </c>
    </row>
    <row r="390" ht="21.0" customHeight="1">
      <c r="A390" s="4">
        <v>389.0</v>
      </c>
      <c r="B390" s="5" t="s">
        <v>3435</v>
      </c>
      <c r="C390" s="5" t="s">
        <v>3436</v>
      </c>
      <c r="D390" s="5" t="s">
        <v>3437</v>
      </c>
      <c r="E390" s="5" t="s">
        <v>3438</v>
      </c>
      <c r="F390" s="5" t="s">
        <v>3131</v>
      </c>
      <c r="G390" s="5" t="s">
        <v>3439</v>
      </c>
      <c r="H390" s="5" t="s">
        <v>23</v>
      </c>
      <c r="I390" s="6" t="s">
        <v>3440</v>
      </c>
      <c r="J390" s="4">
        <v>100.0</v>
      </c>
      <c r="K390" s="5" t="s">
        <v>25</v>
      </c>
      <c r="L390" s="5" t="s">
        <v>3441</v>
      </c>
      <c r="M390" s="5" t="s">
        <v>3442</v>
      </c>
      <c r="N390" s="7" t="s">
        <v>3443</v>
      </c>
      <c r="O390" s="9" t="s">
        <v>3444</v>
      </c>
      <c r="P390" s="19" t="s">
        <v>3445</v>
      </c>
      <c r="Q390" s="5" t="s">
        <v>30</v>
      </c>
    </row>
    <row r="391" ht="21.0" customHeight="1">
      <c r="A391" s="4">
        <v>390.0</v>
      </c>
      <c r="B391" s="5" t="s">
        <v>3446</v>
      </c>
      <c r="C391" s="5" t="s">
        <v>18</v>
      </c>
      <c r="D391" s="5" t="s">
        <v>19</v>
      </c>
      <c r="E391" s="5" t="s">
        <v>3447</v>
      </c>
      <c r="F391" s="5" t="s">
        <v>3131</v>
      </c>
      <c r="G391" s="5" t="s">
        <v>3448</v>
      </c>
      <c r="H391" s="5" t="s">
        <v>23</v>
      </c>
      <c r="I391" s="6" t="s">
        <v>3449</v>
      </c>
      <c r="J391" s="4">
        <v>100.0</v>
      </c>
      <c r="K391" s="5" t="s">
        <v>84</v>
      </c>
      <c r="L391" s="5" t="s">
        <v>3450</v>
      </c>
      <c r="M391" s="5" t="s">
        <v>3451</v>
      </c>
      <c r="N391" s="7" t="s">
        <v>3452</v>
      </c>
      <c r="O391" s="9" t="s">
        <v>3453</v>
      </c>
      <c r="P391" s="19" t="s">
        <v>3454</v>
      </c>
      <c r="Q391" s="5" t="s">
        <v>30</v>
      </c>
    </row>
    <row r="392" ht="21.0" customHeight="1">
      <c r="A392" s="4">
        <v>391.0</v>
      </c>
      <c r="B392" s="5" t="s">
        <v>3455</v>
      </c>
      <c r="C392" s="5" t="s">
        <v>3456</v>
      </c>
      <c r="D392" s="5" t="s">
        <v>3457</v>
      </c>
      <c r="E392" s="5" t="s">
        <v>3458</v>
      </c>
      <c r="F392" s="5" t="s">
        <v>3459</v>
      </c>
      <c r="G392" s="5" t="s">
        <v>3460</v>
      </c>
      <c r="H392" s="5" t="s">
        <v>23</v>
      </c>
      <c r="I392" s="6" t="s">
        <v>3461</v>
      </c>
      <c r="J392" s="4">
        <v>100.0</v>
      </c>
      <c r="K392" s="5" t="s">
        <v>25</v>
      </c>
      <c r="L392" s="5" t="s">
        <v>3462</v>
      </c>
      <c r="M392" s="5" t="s">
        <v>3463</v>
      </c>
      <c r="N392" s="7" t="s">
        <v>3464</v>
      </c>
      <c r="O392" s="9" t="s">
        <v>3465</v>
      </c>
      <c r="P392" s="19" t="s">
        <v>3466</v>
      </c>
      <c r="Q392" s="5" t="s">
        <v>30</v>
      </c>
    </row>
    <row r="393" ht="21.0" customHeight="1">
      <c r="A393" s="4">
        <v>393.0</v>
      </c>
      <c r="B393" s="5" t="s">
        <v>3467</v>
      </c>
      <c r="C393" s="5" t="s">
        <v>18</v>
      </c>
      <c r="D393" s="5" t="s">
        <v>19</v>
      </c>
      <c r="E393" s="5" t="s">
        <v>3468</v>
      </c>
      <c r="F393" s="5" t="s">
        <v>3459</v>
      </c>
      <c r="G393" s="5" t="s">
        <v>3469</v>
      </c>
      <c r="H393" s="5" t="s">
        <v>23</v>
      </c>
      <c r="I393" s="6" t="s">
        <v>3470</v>
      </c>
      <c r="J393" s="4">
        <v>100.0</v>
      </c>
      <c r="K393" s="5" t="s">
        <v>25</v>
      </c>
      <c r="L393" s="5" t="s">
        <v>3471</v>
      </c>
      <c r="M393" s="5" t="s">
        <v>3472</v>
      </c>
      <c r="N393" s="7" t="s">
        <v>3473</v>
      </c>
      <c r="O393" s="19" t="s">
        <v>3474</v>
      </c>
      <c r="P393" s="19" t="s">
        <v>3475</v>
      </c>
      <c r="Q393" s="5" t="s">
        <v>30</v>
      </c>
    </row>
    <row r="394" ht="21.0" customHeight="1">
      <c r="A394" s="4">
        <v>394.0</v>
      </c>
      <c r="B394" s="5" t="s">
        <v>3476</v>
      </c>
      <c r="C394" s="5" t="s">
        <v>18</v>
      </c>
      <c r="D394" s="5" t="s">
        <v>19</v>
      </c>
      <c r="E394" s="5" t="s">
        <v>3477</v>
      </c>
      <c r="F394" s="5" t="s">
        <v>3459</v>
      </c>
      <c r="G394" s="5" t="s">
        <v>3478</v>
      </c>
      <c r="H394" s="5" t="s">
        <v>23</v>
      </c>
      <c r="I394" s="6" t="s">
        <v>3479</v>
      </c>
      <c r="J394" s="4">
        <v>100.0</v>
      </c>
      <c r="K394" s="5" t="s">
        <v>1070</v>
      </c>
      <c r="L394" s="5" t="s">
        <v>3480</v>
      </c>
      <c r="M394" s="5" t="s">
        <v>3481</v>
      </c>
      <c r="N394" s="7" t="s">
        <v>3482</v>
      </c>
      <c r="O394" s="9" t="s">
        <v>3483</v>
      </c>
      <c r="P394" s="19" t="s">
        <v>3484</v>
      </c>
      <c r="Q394" s="5" t="s">
        <v>30</v>
      </c>
    </row>
    <row r="395" ht="21.0" customHeight="1">
      <c r="A395" s="4">
        <v>395.0</v>
      </c>
      <c r="B395" s="5" t="s">
        <v>3485</v>
      </c>
      <c r="C395" s="5" t="s">
        <v>18</v>
      </c>
      <c r="D395" s="5" t="s">
        <v>3486</v>
      </c>
      <c r="E395" s="5" t="s">
        <v>3487</v>
      </c>
      <c r="F395" s="5" t="s">
        <v>3459</v>
      </c>
      <c r="G395" s="5" t="s">
        <v>3488</v>
      </c>
      <c r="H395" s="5" t="s">
        <v>50</v>
      </c>
      <c r="I395" s="6" t="s">
        <v>3489</v>
      </c>
      <c r="J395" s="4">
        <v>100.0</v>
      </c>
      <c r="K395" s="5" t="s">
        <v>1410</v>
      </c>
      <c r="L395" s="5" t="s">
        <v>3490</v>
      </c>
      <c r="M395" s="5" t="s">
        <v>3491</v>
      </c>
      <c r="N395" s="7" t="s">
        <v>3492</v>
      </c>
      <c r="O395" s="9" t="s">
        <v>3493</v>
      </c>
      <c r="P395" s="27" t="s">
        <v>3494</v>
      </c>
      <c r="Q395" s="5" t="s">
        <v>30</v>
      </c>
    </row>
    <row r="396" ht="21.0" customHeight="1">
      <c r="A396" s="4">
        <v>396.0</v>
      </c>
      <c r="B396" s="5" t="s">
        <v>3495</v>
      </c>
      <c r="C396" s="5" t="s">
        <v>3496</v>
      </c>
      <c r="D396" s="5" t="s">
        <v>19</v>
      </c>
      <c r="E396" s="5" t="s">
        <v>3497</v>
      </c>
      <c r="F396" s="5" t="s">
        <v>3459</v>
      </c>
      <c r="G396" s="5" t="s">
        <v>3498</v>
      </c>
      <c r="H396" s="5" t="s">
        <v>23</v>
      </c>
      <c r="I396" s="6" t="s">
        <v>3499</v>
      </c>
      <c r="J396" s="4">
        <v>100.0</v>
      </c>
      <c r="K396" s="5" t="s">
        <v>25</v>
      </c>
      <c r="L396" s="5" t="s">
        <v>3500</v>
      </c>
      <c r="M396" s="5" t="s">
        <v>3501</v>
      </c>
      <c r="N396" s="7" t="s">
        <v>3502</v>
      </c>
      <c r="O396" s="9" t="s">
        <v>3503</v>
      </c>
      <c r="P396" s="19" t="s">
        <v>3504</v>
      </c>
      <c r="Q396" s="5" t="s">
        <v>30</v>
      </c>
    </row>
    <row r="397" ht="21.0" customHeight="1">
      <c r="A397" s="4">
        <v>397.0</v>
      </c>
      <c r="B397" s="5" t="s">
        <v>3505</v>
      </c>
      <c r="C397" s="5" t="s">
        <v>18</v>
      </c>
      <c r="D397" s="5" t="s">
        <v>19</v>
      </c>
      <c r="E397" s="5" t="s">
        <v>3506</v>
      </c>
      <c r="F397" s="5" t="s">
        <v>3459</v>
      </c>
      <c r="G397" s="5" t="s">
        <v>3507</v>
      </c>
      <c r="H397" s="5" t="s">
        <v>23</v>
      </c>
      <c r="I397" s="6" t="s">
        <v>3508</v>
      </c>
      <c r="J397" s="4">
        <v>100.0</v>
      </c>
      <c r="K397" s="5" t="s">
        <v>110</v>
      </c>
      <c r="L397" s="5" t="s">
        <v>3509</v>
      </c>
      <c r="M397" s="5" t="s">
        <v>3510</v>
      </c>
      <c r="N397" s="7" t="s">
        <v>3511</v>
      </c>
      <c r="O397" s="9" t="s">
        <v>3512</v>
      </c>
      <c r="P397" s="19" t="s">
        <v>3513</v>
      </c>
      <c r="Q397" s="5" t="s">
        <v>30</v>
      </c>
    </row>
    <row r="398" ht="21.0" customHeight="1">
      <c r="A398" s="4">
        <v>398.0</v>
      </c>
      <c r="B398" s="5" t="s">
        <v>3514</v>
      </c>
      <c r="C398" s="5" t="s">
        <v>18</v>
      </c>
      <c r="D398" s="5" t="s">
        <v>3515</v>
      </c>
      <c r="E398" s="5" t="s">
        <v>3516</v>
      </c>
      <c r="F398" s="5" t="s">
        <v>3459</v>
      </c>
      <c r="G398" s="5" t="s">
        <v>3517</v>
      </c>
      <c r="H398" s="5" t="s">
        <v>23</v>
      </c>
      <c r="I398" s="6" t="s">
        <v>3518</v>
      </c>
      <c r="J398" s="4">
        <v>100.0</v>
      </c>
      <c r="K398" s="5" t="s">
        <v>275</v>
      </c>
      <c r="L398" s="5" t="s">
        <v>3519</v>
      </c>
      <c r="M398" s="5" t="s">
        <v>3520</v>
      </c>
      <c r="N398" s="7" t="s">
        <v>3521</v>
      </c>
      <c r="O398" s="9" t="s">
        <v>3522</v>
      </c>
      <c r="P398" s="19" t="s">
        <v>3523</v>
      </c>
      <c r="Q398" s="5" t="s">
        <v>30</v>
      </c>
    </row>
    <row r="399" ht="21.0" customHeight="1">
      <c r="A399" s="4">
        <v>399.0</v>
      </c>
      <c r="B399" s="5" t="s">
        <v>3524</v>
      </c>
      <c r="C399" s="5" t="s">
        <v>18</v>
      </c>
      <c r="D399" s="5" t="s">
        <v>19</v>
      </c>
      <c r="E399" s="5" t="s">
        <v>3525</v>
      </c>
      <c r="F399" s="5" t="s">
        <v>3459</v>
      </c>
      <c r="G399" s="5" t="s">
        <v>3526</v>
      </c>
      <c r="H399" s="5" t="s">
        <v>23</v>
      </c>
      <c r="I399" s="6" t="s">
        <v>3527</v>
      </c>
      <c r="J399" s="4">
        <v>100.0</v>
      </c>
      <c r="K399" s="5" t="s">
        <v>1070</v>
      </c>
      <c r="L399" s="5" t="s">
        <v>3528</v>
      </c>
      <c r="M399" s="5" t="s">
        <v>3529</v>
      </c>
      <c r="N399" s="7" t="s">
        <v>3530</v>
      </c>
      <c r="O399" s="9" t="s">
        <v>3531</v>
      </c>
      <c r="P399" s="19" t="s">
        <v>3532</v>
      </c>
      <c r="Q399" s="5" t="s">
        <v>30</v>
      </c>
    </row>
    <row r="400" ht="21.0" customHeight="1">
      <c r="A400" s="4">
        <v>400.0</v>
      </c>
      <c r="B400" s="5" t="s">
        <v>3533</v>
      </c>
      <c r="C400" s="5" t="s">
        <v>3534</v>
      </c>
      <c r="D400" s="5" t="s">
        <v>1615</v>
      </c>
      <c r="E400" s="5" t="s">
        <v>3535</v>
      </c>
      <c r="F400" s="5" t="s">
        <v>3459</v>
      </c>
      <c r="G400" s="5" t="s">
        <v>3536</v>
      </c>
      <c r="H400" s="5" t="s">
        <v>3537</v>
      </c>
      <c r="I400" s="6" t="s">
        <v>3538</v>
      </c>
      <c r="J400" s="4">
        <v>100.0</v>
      </c>
      <c r="K400" s="5" t="s">
        <v>165</v>
      </c>
      <c r="L400" s="5" t="s">
        <v>3539</v>
      </c>
      <c r="M400" s="5" t="s">
        <v>3540</v>
      </c>
      <c r="N400" s="7" t="s">
        <v>3541</v>
      </c>
      <c r="O400" s="9" t="s">
        <v>3542</v>
      </c>
      <c r="P400" s="19" t="s">
        <v>3543</v>
      </c>
      <c r="Q400" s="5" t="s">
        <v>30</v>
      </c>
    </row>
    <row r="401" ht="21.0" customHeight="1">
      <c r="A401" s="4">
        <v>401.0</v>
      </c>
      <c r="B401" s="5" t="s">
        <v>3544</v>
      </c>
      <c r="C401" s="5" t="s">
        <v>3545</v>
      </c>
      <c r="D401" s="5" t="s">
        <v>3546</v>
      </c>
      <c r="E401" s="5" t="s">
        <v>3547</v>
      </c>
      <c r="F401" s="5" t="s">
        <v>3459</v>
      </c>
      <c r="G401" s="5" t="s">
        <v>3548</v>
      </c>
      <c r="H401" s="5" t="s">
        <v>23</v>
      </c>
      <c r="I401" s="6" t="s">
        <v>3549</v>
      </c>
      <c r="J401" s="4">
        <v>100.0</v>
      </c>
      <c r="K401" s="5" t="s">
        <v>165</v>
      </c>
      <c r="L401" s="5" t="s">
        <v>3550</v>
      </c>
      <c r="M401" s="5" t="s">
        <v>3551</v>
      </c>
      <c r="N401" s="7" t="s">
        <v>3552</v>
      </c>
      <c r="O401" s="9" t="s">
        <v>3553</v>
      </c>
      <c r="P401" s="19" t="s">
        <v>3554</v>
      </c>
      <c r="Q401" s="5" t="s">
        <v>30</v>
      </c>
    </row>
    <row r="402" ht="21.0" customHeight="1">
      <c r="A402" s="4">
        <v>402.0</v>
      </c>
      <c r="B402" s="5" t="s">
        <v>3555</v>
      </c>
      <c r="C402" s="5" t="s">
        <v>18</v>
      </c>
      <c r="D402" s="5" t="s">
        <v>2307</v>
      </c>
      <c r="E402" s="5" t="s">
        <v>3556</v>
      </c>
      <c r="F402" s="5" t="s">
        <v>3459</v>
      </c>
      <c r="G402" s="5" t="s">
        <v>3557</v>
      </c>
      <c r="H402" s="5" t="s">
        <v>23</v>
      </c>
      <c r="I402" s="6" t="s">
        <v>3558</v>
      </c>
      <c r="J402" s="4">
        <v>100.0</v>
      </c>
      <c r="K402" s="5" t="s">
        <v>165</v>
      </c>
      <c r="L402" s="5" t="s">
        <v>3559</v>
      </c>
      <c r="M402" s="5" t="s">
        <v>3560</v>
      </c>
      <c r="N402" s="7" t="s">
        <v>3561</v>
      </c>
      <c r="O402" s="9" t="s">
        <v>3562</v>
      </c>
      <c r="P402" s="27" t="s">
        <v>3563</v>
      </c>
      <c r="Q402" s="5" t="s">
        <v>30</v>
      </c>
    </row>
    <row r="403" ht="21.0" customHeight="1">
      <c r="A403" s="4">
        <v>403.0</v>
      </c>
      <c r="B403" s="5" t="s">
        <v>3564</v>
      </c>
      <c r="C403" s="5" t="s">
        <v>3565</v>
      </c>
      <c r="D403" s="5" t="s">
        <v>19</v>
      </c>
      <c r="E403" s="5" t="s">
        <v>3566</v>
      </c>
      <c r="F403" s="5" t="s">
        <v>3459</v>
      </c>
      <c r="G403" s="5" t="s">
        <v>3567</v>
      </c>
      <c r="H403" s="5" t="s">
        <v>23</v>
      </c>
      <c r="I403" s="6" t="s">
        <v>3568</v>
      </c>
      <c r="J403" s="4">
        <v>100.0</v>
      </c>
      <c r="K403" s="5" t="s">
        <v>84</v>
      </c>
      <c r="L403" s="5" t="s">
        <v>3569</v>
      </c>
      <c r="M403" s="5" t="s">
        <v>3570</v>
      </c>
      <c r="N403" s="7" t="s">
        <v>3571</v>
      </c>
      <c r="O403" s="19" t="s">
        <v>3572</v>
      </c>
      <c r="P403" s="19" t="s">
        <v>3573</v>
      </c>
      <c r="Q403" s="5" t="s">
        <v>30</v>
      </c>
    </row>
    <row r="404" ht="21.0" customHeight="1">
      <c r="A404" s="4">
        <v>404.0</v>
      </c>
      <c r="B404" s="5" t="s">
        <v>3574</v>
      </c>
      <c r="C404" s="5" t="s">
        <v>18</v>
      </c>
      <c r="D404" s="5" t="s">
        <v>19</v>
      </c>
      <c r="E404" s="5" t="s">
        <v>3575</v>
      </c>
      <c r="F404" s="5" t="s">
        <v>3459</v>
      </c>
      <c r="G404" s="5" t="s">
        <v>3576</v>
      </c>
      <c r="H404" s="5" t="s">
        <v>23</v>
      </c>
      <c r="I404" s="6" t="s">
        <v>3577</v>
      </c>
      <c r="J404" s="4">
        <v>100.0</v>
      </c>
      <c r="K404" s="5" t="s">
        <v>517</v>
      </c>
      <c r="L404" s="5" t="s">
        <v>3578</v>
      </c>
      <c r="M404" s="5" t="s">
        <v>3579</v>
      </c>
      <c r="N404" s="7" t="s">
        <v>3580</v>
      </c>
      <c r="O404" s="9" t="s">
        <v>3581</v>
      </c>
      <c r="P404" s="19" t="s">
        <v>3582</v>
      </c>
      <c r="Q404" s="5" t="s">
        <v>30</v>
      </c>
    </row>
    <row r="405" ht="21.0" customHeight="1">
      <c r="A405" s="4">
        <v>405.0</v>
      </c>
      <c r="B405" s="5" t="s">
        <v>3583</v>
      </c>
      <c r="C405" s="5" t="s">
        <v>3584</v>
      </c>
      <c r="D405" s="5" t="s">
        <v>3585</v>
      </c>
      <c r="E405" s="5" t="s">
        <v>3586</v>
      </c>
      <c r="F405" s="5" t="s">
        <v>3459</v>
      </c>
      <c r="G405" s="5" t="s">
        <v>3587</v>
      </c>
      <c r="H405" s="5" t="s">
        <v>23</v>
      </c>
      <c r="I405" s="6" t="s">
        <v>3588</v>
      </c>
      <c r="J405" s="4">
        <v>100.0</v>
      </c>
      <c r="K405" s="5" t="s">
        <v>25</v>
      </c>
      <c r="L405" s="5" t="s">
        <v>3589</v>
      </c>
      <c r="M405" s="5" t="s">
        <v>3590</v>
      </c>
      <c r="N405" s="7" t="s">
        <v>3591</v>
      </c>
      <c r="O405" s="9" t="s">
        <v>3592</v>
      </c>
      <c r="P405" s="19" t="s">
        <v>3593</v>
      </c>
      <c r="Q405" s="5" t="s">
        <v>30</v>
      </c>
    </row>
    <row r="406" ht="21.0" customHeight="1">
      <c r="A406" s="4">
        <v>406.0</v>
      </c>
      <c r="B406" s="5" t="s">
        <v>3594</v>
      </c>
      <c r="C406" s="5" t="s">
        <v>18</v>
      </c>
      <c r="D406" s="5" t="s">
        <v>19</v>
      </c>
      <c r="E406" s="5" t="s">
        <v>3595</v>
      </c>
      <c r="F406" s="5" t="s">
        <v>3459</v>
      </c>
      <c r="G406" s="5" t="s">
        <v>34</v>
      </c>
      <c r="H406" s="5" t="s">
        <v>23</v>
      </c>
      <c r="I406" s="6" t="s">
        <v>3596</v>
      </c>
      <c r="J406" s="4">
        <v>100.0</v>
      </c>
      <c r="K406" s="5" t="s">
        <v>292</v>
      </c>
      <c r="L406" s="5" t="s">
        <v>3597</v>
      </c>
      <c r="M406" s="5" t="s">
        <v>3598</v>
      </c>
      <c r="N406" s="7" t="s">
        <v>3599</v>
      </c>
      <c r="O406" s="9" t="s">
        <v>3600</v>
      </c>
      <c r="P406" s="19" t="s">
        <v>3601</v>
      </c>
      <c r="Q406" s="5" t="s">
        <v>30</v>
      </c>
    </row>
    <row r="407" ht="21.0" customHeight="1">
      <c r="A407" s="4">
        <v>407.0</v>
      </c>
      <c r="B407" s="5" t="s">
        <v>3602</v>
      </c>
      <c r="C407" s="5" t="s">
        <v>3603</v>
      </c>
      <c r="D407" s="5" t="s">
        <v>19</v>
      </c>
      <c r="E407" s="5" t="s">
        <v>3604</v>
      </c>
      <c r="F407" s="5" t="s">
        <v>3459</v>
      </c>
      <c r="G407" s="5" t="s">
        <v>3605</v>
      </c>
      <c r="H407" s="5" t="s">
        <v>23</v>
      </c>
      <c r="I407" s="6" t="s">
        <v>3606</v>
      </c>
      <c r="J407" s="4">
        <v>100.0</v>
      </c>
      <c r="K407" s="5" t="s">
        <v>110</v>
      </c>
      <c r="L407" s="5" t="s">
        <v>3607</v>
      </c>
      <c r="M407" s="5" t="s">
        <v>3608</v>
      </c>
      <c r="N407" s="7" t="s">
        <v>3609</v>
      </c>
      <c r="O407" s="9" t="s">
        <v>3610</v>
      </c>
      <c r="P407" s="19" t="s">
        <v>3611</v>
      </c>
      <c r="Q407" s="5" t="s">
        <v>30</v>
      </c>
    </row>
    <row r="408" ht="21.0" customHeight="1">
      <c r="A408" s="4">
        <v>408.0</v>
      </c>
      <c r="B408" s="5" t="s">
        <v>3612</v>
      </c>
      <c r="C408" s="5" t="s">
        <v>18</v>
      </c>
      <c r="D408" s="5" t="s">
        <v>19</v>
      </c>
      <c r="E408" s="5" t="s">
        <v>3613</v>
      </c>
      <c r="F408" s="5" t="s">
        <v>3459</v>
      </c>
      <c r="G408" s="5" t="s">
        <v>3614</v>
      </c>
      <c r="H408" s="5" t="s">
        <v>23</v>
      </c>
      <c r="I408" s="6" t="s">
        <v>3615</v>
      </c>
      <c r="J408" s="4">
        <v>100.0</v>
      </c>
      <c r="K408" s="5" t="s">
        <v>25</v>
      </c>
      <c r="L408" s="5" t="s">
        <v>3616</v>
      </c>
      <c r="M408" s="5" t="s">
        <v>3617</v>
      </c>
      <c r="N408" s="7" t="s">
        <v>3618</v>
      </c>
      <c r="O408" s="9" t="s">
        <v>3619</v>
      </c>
      <c r="P408" s="19" t="s">
        <v>3620</v>
      </c>
      <c r="Q408" s="5" t="s">
        <v>30</v>
      </c>
    </row>
    <row r="409" ht="21.0" customHeight="1">
      <c r="A409" s="4">
        <v>409.0</v>
      </c>
      <c r="B409" s="5" t="s">
        <v>3621</v>
      </c>
      <c r="C409" s="5" t="s">
        <v>18</v>
      </c>
      <c r="D409" s="5" t="s">
        <v>19</v>
      </c>
      <c r="E409" s="5" t="s">
        <v>3622</v>
      </c>
      <c r="F409" s="5" t="s">
        <v>3459</v>
      </c>
      <c r="G409" s="5" t="s">
        <v>3623</v>
      </c>
      <c r="H409" s="5" t="s">
        <v>23</v>
      </c>
      <c r="I409" s="6" t="s">
        <v>3624</v>
      </c>
      <c r="J409" s="4">
        <v>100.0</v>
      </c>
      <c r="K409" s="5" t="s">
        <v>216</v>
      </c>
      <c r="L409" s="5" t="s">
        <v>3625</v>
      </c>
      <c r="M409" s="5" t="s">
        <v>3626</v>
      </c>
      <c r="N409" s="7" t="s">
        <v>3627</v>
      </c>
      <c r="O409" s="9" t="s">
        <v>3628</v>
      </c>
      <c r="P409" s="19" t="s">
        <v>3629</v>
      </c>
      <c r="Q409" s="5" t="s">
        <v>30</v>
      </c>
    </row>
    <row r="410" ht="21.0" customHeight="1">
      <c r="A410" s="4">
        <v>410.0</v>
      </c>
      <c r="B410" s="5" t="s">
        <v>3630</v>
      </c>
      <c r="C410" s="5" t="s">
        <v>18</v>
      </c>
      <c r="D410" s="5" t="s">
        <v>19</v>
      </c>
      <c r="E410" s="5" t="s">
        <v>3631</v>
      </c>
      <c r="F410" s="5" t="s">
        <v>3459</v>
      </c>
      <c r="G410" s="5" t="s">
        <v>3632</v>
      </c>
      <c r="H410" s="5" t="s">
        <v>23</v>
      </c>
      <c r="I410" s="6" t="s">
        <v>3633</v>
      </c>
      <c r="J410" s="4">
        <v>100.0</v>
      </c>
      <c r="K410" s="5" t="s">
        <v>93</v>
      </c>
      <c r="L410" s="5" t="s">
        <v>3634</v>
      </c>
      <c r="M410" s="5" t="s">
        <v>3635</v>
      </c>
      <c r="N410" s="7" t="s">
        <v>3636</v>
      </c>
      <c r="O410" s="9" t="s">
        <v>3637</v>
      </c>
      <c r="P410" s="19" t="s">
        <v>3638</v>
      </c>
      <c r="Q410" s="5" t="s">
        <v>30</v>
      </c>
    </row>
    <row r="411" ht="21.0" customHeight="1">
      <c r="A411" s="4">
        <v>411.0</v>
      </c>
      <c r="B411" s="5" t="s">
        <v>3639</v>
      </c>
      <c r="C411" s="5" t="s">
        <v>18</v>
      </c>
      <c r="D411" s="5" t="s">
        <v>3640</v>
      </c>
      <c r="E411" s="5" t="s">
        <v>3641</v>
      </c>
      <c r="F411" s="5" t="s">
        <v>3459</v>
      </c>
      <c r="G411" s="5" t="s">
        <v>3642</v>
      </c>
      <c r="H411" s="5" t="s">
        <v>23</v>
      </c>
      <c r="I411" s="6" t="s">
        <v>3643</v>
      </c>
      <c r="J411" s="4">
        <v>100.0</v>
      </c>
      <c r="K411" s="5" t="s">
        <v>25</v>
      </c>
      <c r="L411" s="5" t="s">
        <v>3644</v>
      </c>
      <c r="M411" s="5" t="s">
        <v>3645</v>
      </c>
      <c r="N411" s="7" t="s">
        <v>3646</v>
      </c>
      <c r="O411" s="9" t="s">
        <v>3647</v>
      </c>
      <c r="P411" s="19" t="s">
        <v>3648</v>
      </c>
      <c r="Q411" s="5" t="s">
        <v>30</v>
      </c>
    </row>
    <row r="412" ht="21.0" customHeight="1">
      <c r="A412" s="4">
        <v>412.0</v>
      </c>
      <c r="B412" s="5" t="s">
        <v>3649</v>
      </c>
      <c r="C412" s="5" t="s">
        <v>18</v>
      </c>
      <c r="D412" s="5" t="s">
        <v>19</v>
      </c>
      <c r="E412" s="5" t="s">
        <v>3650</v>
      </c>
      <c r="F412" s="5" t="s">
        <v>3459</v>
      </c>
      <c r="G412" s="5" t="s">
        <v>3651</v>
      </c>
      <c r="H412" s="5" t="s">
        <v>23</v>
      </c>
      <c r="I412" s="6" t="s">
        <v>3652</v>
      </c>
      <c r="J412" s="4">
        <v>100.0</v>
      </c>
      <c r="K412" s="5" t="s">
        <v>84</v>
      </c>
      <c r="L412" s="5" t="s">
        <v>3653</v>
      </c>
      <c r="M412" s="5" t="s">
        <v>3654</v>
      </c>
      <c r="N412" s="7" t="s">
        <v>3655</v>
      </c>
      <c r="O412" s="9" t="s">
        <v>3656</v>
      </c>
      <c r="P412" s="19" t="s">
        <v>3657</v>
      </c>
      <c r="Q412" s="5" t="s">
        <v>30</v>
      </c>
    </row>
    <row r="413" ht="21.0" customHeight="1">
      <c r="A413" s="4">
        <v>413.0</v>
      </c>
      <c r="B413" s="5" t="s">
        <v>3658</v>
      </c>
      <c r="C413" s="5" t="s">
        <v>18</v>
      </c>
      <c r="D413" s="5" t="s">
        <v>19</v>
      </c>
      <c r="E413" s="5" t="s">
        <v>3659</v>
      </c>
      <c r="F413" s="5" t="s">
        <v>3459</v>
      </c>
      <c r="G413" s="5" t="s">
        <v>3660</v>
      </c>
      <c r="H413" s="5" t="s">
        <v>23</v>
      </c>
      <c r="I413" s="6" t="s">
        <v>3661</v>
      </c>
      <c r="J413" s="4">
        <v>100.0</v>
      </c>
      <c r="K413" s="5" t="s">
        <v>165</v>
      </c>
      <c r="L413" s="5" t="s">
        <v>3662</v>
      </c>
      <c r="M413" s="5" t="s">
        <v>3663</v>
      </c>
      <c r="N413" s="7" t="s">
        <v>3664</v>
      </c>
      <c r="O413" s="9" t="s">
        <v>3665</v>
      </c>
      <c r="P413" s="19" t="s">
        <v>3666</v>
      </c>
      <c r="Q413" s="5" t="s">
        <v>30</v>
      </c>
    </row>
    <row r="414" ht="21.0" customHeight="1">
      <c r="A414" s="4">
        <v>414.0</v>
      </c>
      <c r="B414" s="5" t="s">
        <v>3667</v>
      </c>
      <c r="C414" s="5" t="s">
        <v>18</v>
      </c>
      <c r="D414" s="5" t="s">
        <v>19</v>
      </c>
      <c r="E414" s="5" t="s">
        <v>3668</v>
      </c>
      <c r="F414" s="5" t="s">
        <v>3459</v>
      </c>
      <c r="G414" s="5" t="s">
        <v>3669</v>
      </c>
      <c r="H414" s="5" t="s">
        <v>3670</v>
      </c>
      <c r="I414" s="6" t="s">
        <v>3671</v>
      </c>
      <c r="J414" s="4">
        <v>100.0</v>
      </c>
      <c r="K414" s="5" t="s">
        <v>157</v>
      </c>
      <c r="L414" s="5" t="s">
        <v>3672</v>
      </c>
      <c r="M414" s="5" t="s">
        <v>3673</v>
      </c>
      <c r="N414" s="7" t="s">
        <v>3674</v>
      </c>
      <c r="O414" s="9" t="s">
        <v>3675</v>
      </c>
      <c r="P414" s="19" t="s">
        <v>3676</v>
      </c>
      <c r="Q414" s="5" t="s">
        <v>30</v>
      </c>
    </row>
    <row r="415" ht="21.0" customHeight="1">
      <c r="A415" s="4">
        <v>415.0</v>
      </c>
      <c r="B415" s="5" t="s">
        <v>3677</v>
      </c>
      <c r="C415" s="5" t="s">
        <v>18</v>
      </c>
      <c r="D415" s="5" t="s">
        <v>19</v>
      </c>
      <c r="E415" s="5" t="s">
        <v>3678</v>
      </c>
      <c r="F415" s="5" t="s">
        <v>3459</v>
      </c>
      <c r="G415" s="5" t="s">
        <v>3679</v>
      </c>
      <c r="H415" s="5" t="s">
        <v>23</v>
      </c>
      <c r="I415" s="6" t="s">
        <v>3680</v>
      </c>
      <c r="J415" s="4">
        <v>100.0</v>
      </c>
      <c r="K415" s="5" t="s">
        <v>292</v>
      </c>
      <c r="L415" s="5" t="s">
        <v>3681</v>
      </c>
      <c r="M415" s="5" t="s">
        <v>3682</v>
      </c>
      <c r="N415" s="7" t="s">
        <v>3683</v>
      </c>
      <c r="O415" s="9" t="s">
        <v>3684</v>
      </c>
      <c r="P415" s="19" t="s">
        <v>3685</v>
      </c>
      <c r="Q415" s="5" t="s">
        <v>30</v>
      </c>
    </row>
    <row r="416" ht="21.0" customHeight="1">
      <c r="A416" s="4">
        <v>416.0</v>
      </c>
      <c r="B416" s="5" t="s">
        <v>3686</v>
      </c>
      <c r="C416" s="5" t="s">
        <v>18</v>
      </c>
      <c r="D416" s="5" t="s">
        <v>19</v>
      </c>
      <c r="E416" s="5" t="s">
        <v>3687</v>
      </c>
      <c r="F416" s="5" t="s">
        <v>3459</v>
      </c>
      <c r="G416" s="5" t="s">
        <v>3688</v>
      </c>
      <c r="H416" s="5" t="s">
        <v>23</v>
      </c>
      <c r="I416" s="6" t="s">
        <v>3689</v>
      </c>
      <c r="J416" s="4">
        <v>100.0</v>
      </c>
      <c r="K416" s="5" t="s">
        <v>25</v>
      </c>
      <c r="L416" s="5" t="s">
        <v>3690</v>
      </c>
      <c r="M416" s="5" t="s">
        <v>3691</v>
      </c>
      <c r="N416" s="7" t="s">
        <v>3692</v>
      </c>
      <c r="O416" s="9" t="s">
        <v>3693</v>
      </c>
      <c r="P416" s="5" t="s">
        <v>30</v>
      </c>
      <c r="Q416" s="5" t="s">
        <v>30</v>
      </c>
    </row>
    <row r="417" ht="21.0" customHeight="1">
      <c r="A417" s="4">
        <v>417.0</v>
      </c>
      <c r="B417" s="5" t="s">
        <v>3694</v>
      </c>
      <c r="C417" s="5" t="s">
        <v>18</v>
      </c>
      <c r="D417" s="5" t="s">
        <v>3695</v>
      </c>
      <c r="E417" s="5" t="s">
        <v>3696</v>
      </c>
      <c r="F417" s="5" t="s">
        <v>3459</v>
      </c>
      <c r="G417" s="5" t="s">
        <v>3697</v>
      </c>
      <c r="H417" s="5" t="s">
        <v>50</v>
      </c>
      <c r="I417" s="6" t="s">
        <v>3698</v>
      </c>
      <c r="J417" s="4">
        <v>100.0</v>
      </c>
      <c r="K417" s="5" t="s">
        <v>517</v>
      </c>
      <c r="L417" s="5" t="s">
        <v>3699</v>
      </c>
      <c r="M417" s="5" t="s">
        <v>3700</v>
      </c>
      <c r="N417" s="7" t="s">
        <v>3701</v>
      </c>
      <c r="O417" s="9" t="s">
        <v>3702</v>
      </c>
      <c r="P417" s="19" t="s">
        <v>3703</v>
      </c>
      <c r="Q417" s="5" t="s">
        <v>30</v>
      </c>
    </row>
    <row r="418" ht="21.0" customHeight="1">
      <c r="A418" s="4">
        <v>418.0</v>
      </c>
      <c r="B418" s="5" t="s">
        <v>3704</v>
      </c>
      <c r="C418" s="5" t="s">
        <v>3705</v>
      </c>
      <c r="D418" s="5" t="s">
        <v>19</v>
      </c>
      <c r="E418" s="5" t="s">
        <v>3706</v>
      </c>
      <c r="F418" s="5" t="s">
        <v>3459</v>
      </c>
      <c r="G418" s="5" t="s">
        <v>3707</v>
      </c>
      <c r="H418" s="5" t="s">
        <v>23</v>
      </c>
      <c r="I418" s="6" t="s">
        <v>3708</v>
      </c>
      <c r="J418" s="4">
        <v>100.0</v>
      </c>
      <c r="K418" s="5" t="s">
        <v>275</v>
      </c>
      <c r="L418" s="5" t="s">
        <v>3709</v>
      </c>
      <c r="M418" s="5" t="s">
        <v>3710</v>
      </c>
      <c r="N418" s="7" t="s">
        <v>3711</v>
      </c>
      <c r="O418" s="9" t="s">
        <v>3712</v>
      </c>
      <c r="P418" s="19" t="s">
        <v>3713</v>
      </c>
      <c r="Q418" s="5" t="s">
        <v>30</v>
      </c>
    </row>
    <row r="419" ht="21.0" customHeight="1">
      <c r="A419" s="4">
        <v>419.0</v>
      </c>
      <c r="B419" s="5" t="s">
        <v>3714</v>
      </c>
      <c r="C419" s="5" t="s">
        <v>18</v>
      </c>
      <c r="D419" s="5" t="s">
        <v>2165</v>
      </c>
      <c r="E419" s="5" t="s">
        <v>3715</v>
      </c>
      <c r="F419" s="5" t="s">
        <v>3459</v>
      </c>
      <c r="G419" s="5" t="s">
        <v>3716</v>
      </c>
      <c r="H419" s="5" t="s">
        <v>23</v>
      </c>
      <c r="I419" s="6" t="s">
        <v>3717</v>
      </c>
      <c r="J419" s="4">
        <v>100.0</v>
      </c>
      <c r="K419" s="5" t="s">
        <v>110</v>
      </c>
      <c r="L419" s="5" t="s">
        <v>3718</v>
      </c>
      <c r="M419" s="5" t="s">
        <v>3719</v>
      </c>
      <c r="N419" s="7" t="s">
        <v>3720</v>
      </c>
      <c r="O419" s="9" t="s">
        <v>3721</v>
      </c>
      <c r="P419" s="19" t="s">
        <v>3722</v>
      </c>
      <c r="Q419" s="5" t="s">
        <v>30</v>
      </c>
    </row>
    <row r="420" ht="21.0" customHeight="1">
      <c r="A420" s="4">
        <v>420.0</v>
      </c>
      <c r="B420" s="5" t="s">
        <v>3723</v>
      </c>
      <c r="C420" s="5" t="s">
        <v>18</v>
      </c>
      <c r="D420" s="5" t="s">
        <v>19</v>
      </c>
      <c r="E420" s="5" t="s">
        <v>3724</v>
      </c>
      <c r="F420" s="5" t="s">
        <v>3459</v>
      </c>
      <c r="G420" s="5" t="s">
        <v>3725</v>
      </c>
      <c r="H420" s="5" t="s">
        <v>50</v>
      </c>
      <c r="I420" s="6" t="s">
        <v>3726</v>
      </c>
      <c r="J420" s="4">
        <v>100.0</v>
      </c>
      <c r="K420" s="5" t="s">
        <v>110</v>
      </c>
      <c r="L420" s="5" t="s">
        <v>3727</v>
      </c>
      <c r="M420" s="5" t="s">
        <v>3728</v>
      </c>
      <c r="N420" s="7" t="s">
        <v>3729</v>
      </c>
      <c r="O420" s="9" t="s">
        <v>3730</v>
      </c>
      <c r="P420" s="19" t="s">
        <v>3731</v>
      </c>
      <c r="Q420" s="5" t="s">
        <v>30</v>
      </c>
    </row>
    <row r="421" ht="21.0" customHeight="1">
      <c r="A421" s="4">
        <v>421.0</v>
      </c>
      <c r="B421" s="5" t="s">
        <v>3732</v>
      </c>
      <c r="C421" s="5" t="s">
        <v>18</v>
      </c>
      <c r="D421" s="5" t="s">
        <v>19</v>
      </c>
      <c r="E421" s="5" t="s">
        <v>3733</v>
      </c>
      <c r="F421" s="5" t="s">
        <v>3459</v>
      </c>
      <c r="G421" s="5" t="s">
        <v>3734</v>
      </c>
      <c r="H421" s="5" t="s">
        <v>23</v>
      </c>
      <c r="I421" s="6" t="s">
        <v>3735</v>
      </c>
      <c r="J421" s="4">
        <v>100.0</v>
      </c>
      <c r="K421" s="5" t="s">
        <v>165</v>
      </c>
      <c r="L421" s="5" t="s">
        <v>3736</v>
      </c>
      <c r="M421" s="5" t="s">
        <v>3737</v>
      </c>
      <c r="N421" s="7" t="s">
        <v>3738</v>
      </c>
      <c r="O421" s="9" t="s">
        <v>3739</v>
      </c>
      <c r="P421" s="19" t="s">
        <v>3740</v>
      </c>
      <c r="Q421" s="5" t="s">
        <v>30</v>
      </c>
    </row>
    <row r="422" ht="21.0" customHeight="1">
      <c r="A422" s="4">
        <v>422.0</v>
      </c>
      <c r="B422" s="5" t="s">
        <v>3741</v>
      </c>
      <c r="C422" s="5" t="s">
        <v>18</v>
      </c>
      <c r="D422" s="5" t="s">
        <v>3742</v>
      </c>
      <c r="E422" s="5" t="s">
        <v>3743</v>
      </c>
      <c r="F422" s="5" t="s">
        <v>3459</v>
      </c>
      <c r="G422" s="5" t="s">
        <v>34</v>
      </c>
      <c r="H422" s="5" t="s">
        <v>23</v>
      </c>
      <c r="I422" s="6" t="s">
        <v>3744</v>
      </c>
      <c r="J422" s="4">
        <v>100.0</v>
      </c>
      <c r="K422" s="5" t="s">
        <v>216</v>
      </c>
      <c r="L422" s="5" t="s">
        <v>3745</v>
      </c>
      <c r="M422" s="5" t="s">
        <v>3746</v>
      </c>
      <c r="N422" s="7" t="s">
        <v>3747</v>
      </c>
      <c r="O422" s="9" t="s">
        <v>3748</v>
      </c>
      <c r="P422" s="19" t="s">
        <v>3749</v>
      </c>
      <c r="Q422" s="5" t="s">
        <v>30</v>
      </c>
    </row>
    <row r="423" ht="21.0" customHeight="1">
      <c r="A423" s="4">
        <v>423.0</v>
      </c>
      <c r="B423" s="5" t="s">
        <v>3750</v>
      </c>
      <c r="C423" s="5" t="s">
        <v>18</v>
      </c>
      <c r="D423" s="5" t="s">
        <v>3751</v>
      </c>
      <c r="E423" s="5" t="s">
        <v>3752</v>
      </c>
      <c r="F423" s="5" t="s">
        <v>3459</v>
      </c>
      <c r="G423" s="5" t="s">
        <v>34</v>
      </c>
      <c r="H423" s="5" t="s">
        <v>23</v>
      </c>
      <c r="I423" s="6" t="s">
        <v>3753</v>
      </c>
      <c r="J423" s="4">
        <v>100.0</v>
      </c>
      <c r="K423" s="5" t="s">
        <v>165</v>
      </c>
      <c r="L423" s="5" t="s">
        <v>3754</v>
      </c>
      <c r="M423" s="5" t="s">
        <v>3755</v>
      </c>
      <c r="N423" s="7" t="s">
        <v>3756</v>
      </c>
      <c r="O423" s="9" t="s">
        <v>3757</v>
      </c>
      <c r="P423" s="19" t="s">
        <v>3758</v>
      </c>
      <c r="Q423" s="5" t="s">
        <v>30</v>
      </c>
    </row>
    <row r="424" ht="21.0" customHeight="1">
      <c r="A424" s="4">
        <v>424.0</v>
      </c>
      <c r="B424" s="5" t="s">
        <v>3759</v>
      </c>
      <c r="C424" s="5" t="s">
        <v>18</v>
      </c>
      <c r="D424" s="5" t="s">
        <v>19</v>
      </c>
      <c r="E424" s="5" t="s">
        <v>3760</v>
      </c>
      <c r="F424" s="5" t="s">
        <v>3459</v>
      </c>
      <c r="G424" s="5" t="s">
        <v>3761</v>
      </c>
      <c r="H424" s="5" t="s">
        <v>23</v>
      </c>
      <c r="I424" s="6" t="s">
        <v>3762</v>
      </c>
      <c r="J424" s="4">
        <v>100.0</v>
      </c>
      <c r="K424" s="5" t="s">
        <v>84</v>
      </c>
      <c r="L424" s="5" t="s">
        <v>3763</v>
      </c>
      <c r="M424" s="5" t="s">
        <v>3764</v>
      </c>
      <c r="N424" s="7" t="s">
        <v>3765</v>
      </c>
      <c r="O424" s="9" t="s">
        <v>3766</v>
      </c>
      <c r="P424" s="19" t="s">
        <v>3767</v>
      </c>
      <c r="Q424" s="5" t="s">
        <v>30</v>
      </c>
    </row>
    <row r="425" ht="21.0" customHeight="1">
      <c r="A425" s="4">
        <v>425.0</v>
      </c>
      <c r="B425" s="5" t="s">
        <v>3768</v>
      </c>
      <c r="C425" s="5" t="s">
        <v>18</v>
      </c>
      <c r="D425" s="5" t="s">
        <v>19</v>
      </c>
      <c r="E425" s="5" t="s">
        <v>3769</v>
      </c>
      <c r="F425" s="5" t="s">
        <v>3459</v>
      </c>
      <c r="G425" s="5" t="s">
        <v>34</v>
      </c>
      <c r="H425" s="5" t="s">
        <v>23</v>
      </c>
      <c r="I425" s="6" t="s">
        <v>3770</v>
      </c>
      <c r="J425" s="4">
        <v>100.0</v>
      </c>
      <c r="K425" s="5" t="s">
        <v>216</v>
      </c>
      <c r="L425" s="5" t="s">
        <v>3771</v>
      </c>
      <c r="M425" s="5" t="s">
        <v>3772</v>
      </c>
      <c r="N425" s="7" t="s">
        <v>3773</v>
      </c>
      <c r="O425" s="9" t="s">
        <v>3774</v>
      </c>
      <c r="P425" s="19" t="s">
        <v>3775</v>
      </c>
      <c r="Q425" s="5" t="s">
        <v>30</v>
      </c>
    </row>
    <row r="426" ht="21.0" customHeight="1">
      <c r="A426" s="4">
        <v>426.0</v>
      </c>
      <c r="B426" s="5" t="s">
        <v>3776</v>
      </c>
      <c r="C426" s="5" t="s">
        <v>18</v>
      </c>
      <c r="D426" s="5" t="s">
        <v>19</v>
      </c>
      <c r="E426" s="5" t="s">
        <v>3777</v>
      </c>
      <c r="F426" s="5" t="s">
        <v>3459</v>
      </c>
      <c r="G426" s="5" t="s">
        <v>3778</v>
      </c>
      <c r="H426" s="5" t="s">
        <v>23</v>
      </c>
      <c r="I426" s="6" t="s">
        <v>3779</v>
      </c>
      <c r="J426" s="4">
        <v>100.0</v>
      </c>
      <c r="K426" s="5" t="s">
        <v>25</v>
      </c>
      <c r="L426" s="5" t="s">
        <v>3780</v>
      </c>
      <c r="M426" s="5" t="s">
        <v>3781</v>
      </c>
      <c r="N426" s="7" t="s">
        <v>3782</v>
      </c>
      <c r="O426" s="9" t="s">
        <v>3783</v>
      </c>
      <c r="P426" s="19" t="s">
        <v>3784</v>
      </c>
      <c r="Q426" s="5" t="s">
        <v>30</v>
      </c>
    </row>
    <row r="427" ht="21.0" customHeight="1">
      <c r="A427" s="13">
        <v>427.0</v>
      </c>
      <c r="B427" s="14" t="s">
        <v>3785</v>
      </c>
      <c r="C427" s="14" t="s">
        <v>3786</v>
      </c>
      <c r="D427" s="14" t="s">
        <v>19</v>
      </c>
      <c r="E427" s="14" t="s">
        <v>3787</v>
      </c>
      <c r="F427" s="14" t="s">
        <v>3788</v>
      </c>
      <c r="G427" s="14" t="s">
        <v>3789</v>
      </c>
      <c r="H427" s="14" t="s">
        <v>23</v>
      </c>
      <c r="I427" s="15" t="s">
        <v>3790</v>
      </c>
      <c r="J427" s="13">
        <v>100.0</v>
      </c>
      <c r="K427" s="14" t="s">
        <v>165</v>
      </c>
      <c r="L427" s="14" t="s">
        <v>3791</v>
      </c>
      <c r="M427" s="14" t="s">
        <v>3792</v>
      </c>
      <c r="N427" s="16" t="s">
        <v>3793</v>
      </c>
      <c r="O427" s="17" t="s">
        <v>3794</v>
      </c>
      <c r="P427" s="26" t="s">
        <v>3795</v>
      </c>
      <c r="Q427" s="14" t="s">
        <v>30</v>
      </c>
      <c r="R427" s="18"/>
      <c r="S427" s="18"/>
      <c r="T427" s="18"/>
      <c r="U427" s="18"/>
      <c r="V427" s="18"/>
      <c r="W427" s="18"/>
      <c r="X427" s="18"/>
      <c r="Y427" s="18"/>
      <c r="Z427" s="18"/>
    </row>
    <row r="428" ht="21.0" customHeight="1">
      <c r="A428" s="4">
        <v>428.0</v>
      </c>
      <c r="B428" s="5" t="s">
        <v>3796</v>
      </c>
      <c r="C428" s="5" t="s">
        <v>18</v>
      </c>
      <c r="D428" s="5" t="s">
        <v>19</v>
      </c>
      <c r="E428" s="5" t="s">
        <v>3797</v>
      </c>
      <c r="F428" s="5" t="s">
        <v>3788</v>
      </c>
      <c r="G428" s="5" t="s">
        <v>3798</v>
      </c>
      <c r="H428" s="5" t="s">
        <v>23</v>
      </c>
      <c r="I428" s="6" t="s">
        <v>3799</v>
      </c>
      <c r="J428" s="4">
        <v>100.0</v>
      </c>
      <c r="K428" s="5" t="s">
        <v>84</v>
      </c>
      <c r="L428" s="5" t="s">
        <v>3800</v>
      </c>
      <c r="M428" s="5" t="s">
        <v>3801</v>
      </c>
      <c r="N428" s="7" t="s">
        <v>3802</v>
      </c>
      <c r="O428" s="9" t="s">
        <v>3803</v>
      </c>
      <c r="P428" s="19" t="s">
        <v>3804</v>
      </c>
      <c r="Q428" s="5" t="s">
        <v>30</v>
      </c>
    </row>
    <row r="429" ht="21.0" customHeight="1">
      <c r="A429" s="4">
        <v>429.0</v>
      </c>
      <c r="B429" s="5" t="s">
        <v>3805</v>
      </c>
      <c r="C429" s="5" t="s">
        <v>18</v>
      </c>
      <c r="D429" s="5" t="s">
        <v>19</v>
      </c>
      <c r="E429" s="5" t="s">
        <v>3806</v>
      </c>
      <c r="F429" s="5" t="s">
        <v>3788</v>
      </c>
      <c r="G429" s="5" t="s">
        <v>3807</v>
      </c>
      <c r="H429" s="5" t="s">
        <v>23</v>
      </c>
      <c r="I429" s="6" t="s">
        <v>3808</v>
      </c>
      <c r="J429" s="4">
        <v>100.0</v>
      </c>
      <c r="K429" s="5" t="s">
        <v>165</v>
      </c>
      <c r="L429" s="5" t="s">
        <v>3809</v>
      </c>
      <c r="M429" s="5" t="s">
        <v>3810</v>
      </c>
      <c r="N429" s="7" t="s">
        <v>3811</v>
      </c>
      <c r="O429" s="9" t="s">
        <v>3812</v>
      </c>
      <c r="P429" s="19" t="s">
        <v>3813</v>
      </c>
      <c r="Q429" s="5" t="s">
        <v>30</v>
      </c>
    </row>
    <row r="430" ht="21.0" customHeight="1">
      <c r="A430" s="4">
        <v>430.0</v>
      </c>
      <c r="B430" s="5" t="s">
        <v>3814</v>
      </c>
      <c r="C430" s="5" t="s">
        <v>3815</v>
      </c>
      <c r="D430" s="5" t="s">
        <v>19</v>
      </c>
      <c r="E430" s="5" t="s">
        <v>3816</v>
      </c>
      <c r="F430" s="5" t="s">
        <v>3788</v>
      </c>
      <c r="G430" s="5" t="s">
        <v>3817</v>
      </c>
      <c r="H430" s="5" t="s">
        <v>23</v>
      </c>
      <c r="I430" s="6" t="s">
        <v>3818</v>
      </c>
      <c r="J430" s="4">
        <v>100.0</v>
      </c>
      <c r="K430" s="5" t="s">
        <v>316</v>
      </c>
      <c r="L430" s="5" t="s">
        <v>3819</v>
      </c>
      <c r="M430" s="5" t="s">
        <v>3820</v>
      </c>
      <c r="N430" s="7" t="s">
        <v>3821</v>
      </c>
      <c r="O430" s="9" t="s">
        <v>3822</v>
      </c>
      <c r="P430" s="19" t="s">
        <v>3823</v>
      </c>
      <c r="Q430" s="5" t="s">
        <v>30</v>
      </c>
    </row>
    <row r="431" ht="21.0" customHeight="1">
      <c r="A431" s="4">
        <v>431.0</v>
      </c>
      <c r="B431" s="5" t="s">
        <v>3824</v>
      </c>
      <c r="C431" s="5" t="s">
        <v>3825</v>
      </c>
      <c r="D431" s="5" t="s">
        <v>3826</v>
      </c>
      <c r="E431" s="5" t="s">
        <v>3827</v>
      </c>
      <c r="F431" s="5" t="s">
        <v>3788</v>
      </c>
      <c r="G431" s="5" t="s">
        <v>3828</v>
      </c>
      <c r="H431" s="5" t="s">
        <v>23</v>
      </c>
      <c r="I431" s="6" t="s">
        <v>3829</v>
      </c>
      <c r="J431" s="4">
        <v>100.0</v>
      </c>
      <c r="K431" s="5" t="s">
        <v>25</v>
      </c>
      <c r="L431" s="5" t="s">
        <v>3830</v>
      </c>
      <c r="M431" s="5" t="s">
        <v>3831</v>
      </c>
      <c r="N431" s="7" t="s">
        <v>3832</v>
      </c>
      <c r="O431" s="9" t="s">
        <v>3833</v>
      </c>
      <c r="P431" s="19" t="s">
        <v>3834</v>
      </c>
      <c r="Q431" s="5" t="s">
        <v>30</v>
      </c>
    </row>
    <row r="432" ht="21.0" customHeight="1">
      <c r="A432" s="4">
        <v>432.0</v>
      </c>
      <c r="B432" s="5" t="s">
        <v>3835</v>
      </c>
      <c r="C432" s="5" t="s">
        <v>18</v>
      </c>
      <c r="D432" s="5" t="s">
        <v>19</v>
      </c>
      <c r="E432" s="5" t="s">
        <v>3836</v>
      </c>
      <c r="F432" s="5" t="s">
        <v>3788</v>
      </c>
      <c r="G432" s="5" t="s">
        <v>3837</v>
      </c>
      <c r="H432" s="5" t="s">
        <v>23</v>
      </c>
      <c r="I432" s="6" t="s">
        <v>3838</v>
      </c>
      <c r="J432" s="4">
        <v>100.0</v>
      </c>
      <c r="K432" s="5" t="s">
        <v>25</v>
      </c>
      <c r="L432" s="5" t="s">
        <v>3839</v>
      </c>
      <c r="M432" s="5" t="s">
        <v>3840</v>
      </c>
      <c r="N432" s="7" t="s">
        <v>3841</v>
      </c>
      <c r="O432" s="9" t="s">
        <v>3842</v>
      </c>
      <c r="P432" s="19" t="s">
        <v>3843</v>
      </c>
      <c r="Q432" s="5" t="s">
        <v>30</v>
      </c>
    </row>
    <row r="433" ht="21.0" customHeight="1">
      <c r="A433" s="4">
        <v>433.0</v>
      </c>
      <c r="B433" s="5" t="s">
        <v>3844</v>
      </c>
      <c r="C433" s="5" t="s">
        <v>18</v>
      </c>
      <c r="D433" s="5" t="s">
        <v>3845</v>
      </c>
      <c r="E433" s="5" t="s">
        <v>3846</v>
      </c>
      <c r="F433" s="5" t="s">
        <v>3788</v>
      </c>
      <c r="G433" s="5" t="s">
        <v>3847</v>
      </c>
      <c r="H433" s="5" t="s">
        <v>23</v>
      </c>
      <c r="I433" s="6" t="s">
        <v>3848</v>
      </c>
      <c r="J433" s="4">
        <v>100.0</v>
      </c>
      <c r="K433" s="5" t="s">
        <v>25</v>
      </c>
      <c r="L433" s="5" t="s">
        <v>3849</v>
      </c>
      <c r="M433" s="5" t="s">
        <v>3850</v>
      </c>
      <c r="N433" s="7" t="s">
        <v>3851</v>
      </c>
      <c r="O433" s="9" t="s">
        <v>3852</v>
      </c>
      <c r="P433" s="19" t="s">
        <v>3853</v>
      </c>
      <c r="Q433" s="5" t="s">
        <v>30</v>
      </c>
    </row>
    <row r="434" ht="21.0" customHeight="1">
      <c r="A434" s="4">
        <v>434.0</v>
      </c>
      <c r="B434" s="5" t="s">
        <v>3854</v>
      </c>
      <c r="C434" s="5" t="s">
        <v>3855</v>
      </c>
      <c r="D434" s="5" t="s">
        <v>3856</v>
      </c>
      <c r="E434" s="5" t="s">
        <v>3857</v>
      </c>
      <c r="F434" s="5" t="s">
        <v>3788</v>
      </c>
      <c r="G434" s="5" t="s">
        <v>3858</v>
      </c>
      <c r="H434" s="5" t="s">
        <v>3537</v>
      </c>
      <c r="I434" s="6" t="s">
        <v>3859</v>
      </c>
      <c r="J434" s="4">
        <v>100.0</v>
      </c>
      <c r="K434" s="5" t="s">
        <v>25</v>
      </c>
      <c r="L434" s="5" t="s">
        <v>3860</v>
      </c>
      <c r="M434" s="5" t="s">
        <v>3861</v>
      </c>
      <c r="N434" s="7" t="s">
        <v>3862</v>
      </c>
      <c r="O434" s="9" t="s">
        <v>3863</v>
      </c>
      <c r="P434" s="19" t="s">
        <v>3864</v>
      </c>
      <c r="Q434" s="5" t="s">
        <v>30</v>
      </c>
    </row>
    <row r="435" ht="21.0" customHeight="1">
      <c r="A435" s="4">
        <v>435.0</v>
      </c>
      <c r="B435" s="5" t="s">
        <v>3865</v>
      </c>
      <c r="C435" s="5" t="s">
        <v>18</v>
      </c>
      <c r="D435" s="5" t="s">
        <v>19</v>
      </c>
      <c r="E435" s="5" t="s">
        <v>3866</v>
      </c>
      <c r="F435" s="5" t="s">
        <v>3788</v>
      </c>
      <c r="G435" s="5" t="s">
        <v>34</v>
      </c>
      <c r="H435" s="5" t="s">
        <v>23</v>
      </c>
      <c r="I435" s="6" t="s">
        <v>3867</v>
      </c>
      <c r="J435" s="4">
        <v>100.0</v>
      </c>
      <c r="K435" s="5" t="s">
        <v>110</v>
      </c>
      <c r="L435" s="5" t="s">
        <v>3868</v>
      </c>
      <c r="M435" s="5" t="s">
        <v>3869</v>
      </c>
      <c r="N435" s="7" t="s">
        <v>3870</v>
      </c>
      <c r="O435" s="9" t="s">
        <v>3871</v>
      </c>
      <c r="P435" s="5" t="s">
        <v>30</v>
      </c>
      <c r="Q435" s="5" t="s">
        <v>30</v>
      </c>
    </row>
    <row r="436" ht="21.0" customHeight="1">
      <c r="A436" s="4">
        <v>436.0</v>
      </c>
      <c r="B436" s="5" t="s">
        <v>3872</v>
      </c>
      <c r="C436" s="5" t="s">
        <v>18</v>
      </c>
      <c r="D436" s="5" t="s">
        <v>19</v>
      </c>
      <c r="E436" s="5" t="s">
        <v>3873</v>
      </c>
      <c r="F436" s="5" t="s">
        <v>3788</v>
      </c>
      <c r="G436" s="5" t="s">
        <v>3874</v>
      </c>
      <c r="H436" s="5" t="s">
        <v>23</v>
      </c>
      <c r="I436" s="6" t="s">
        <v>3875</v>
      </c>
      <c r="J436" s="4">
        <v>100.0</v>
      </c>
      <c r="K436" s="5" t="s">
        <v>84</v>
      </c>
      <c r="L436" s="5" t="s">
        <v>3876</v>
      </c>
      <c r="M436" s="5" t="s">
        <v>3877</v>
      </c>
      <c r="N436" s="7" t="s">
        <v>3878</v>
      </c>
      <c r="O436" s="9" t="s">
        <v>3879</v>
      </c>
      <c r="P436" s="19" t="s">
        <v>3880</v>
      </c>
      <c r="Q436" s="5" t="s">
        <v>30</v>
      </c>
    </row>
    <row r="437" ht="21.0" customHeight="1">
      <c r="A437" s="4">
        <v>437.0</v>
      </c>
      <c r="B437" s="5" t="s">
        <v>3881</v>
      </c>
      <c r="C437" s="5" t="s">
        <v>3882</v>
      </c>
      <c r="D437" s="5" t="s">
        <v>19</v>
      </c>
      <c r="E437" s="5" t="s">
        <v>3883</v>
      </c>
      <c r="F437" s="5" t="s">
        <v>3788</v>
      </c>
      <c r="G437" s="5" t="s">
        <v>3884</v>
      </c>
      <c r="H437" s="5" t="s">
        <v>23</v>
      </c>
      <c r="I437" s="6" t="s">
        <v>3885</v>
      </c>
      <c r="J437" s="4">
        <v>100.0</v>
      </c>
      <c r="K437" s="5" t="s">
        <v>93</v>
      </c>
      <c r="L437" s="5" t="s">
        <v>3886</v>
      </c>
      <c r="M437" s="5" t="s">
        <v>3887</v>
      </c>
      <c r="N437" s="7" t="s">
        <v>3888</v>
      </c>
      <c r="O437" s="9" t="s">
        <v>3889</v>
      </c>
      <c r="P437" s="19" t="s">
        <v>3890</v>
      </c>
      <c r="Q437" s="5" t="s">
        <v>30</v>
      </c>
    </row>
    <row r="438" ht="21.0" customHeight="1">
      <c r="A438" s="4">
        <v>438.0</v>
      </c>
      <c r="B438" s="5" t="s">
        <v>3891</v>
      </c>
      <c r="C438" s="5" t="s">
        <v>18</v>
      </c>
      <c r="D438" s="5" t="s">
        <v>19</v>
      </c>
      <c r="E438" s="5" t="s">
        <v>3892</v>
      </c>
      <c r="F438" s="5" t="s">
        <v>3788</v>
      </c>
      <c r="G438" s="5" t="s">
        <v>3893</v>
      </c>
      <c r="H438" s="5" t="s">
        <v>23</v>
      </c>
      <c r="I438" s="6" t="s">
        <v>3894</v>
      </c>
      <c r="J438" s="4">
        <v>100.0</v>
      </c>
      <c r="K438" s="5" t="s">
        <v>84</v>
      </c>
      <c r="L438" s="5" t="s">
        <v>3895</v>
      </c>
      <c r="M438" s="5" t="s">
        <v>3896</v>
      </c>
      <c r="N438" s="7" t="s">
        <v>3897</v>
      </c>
      <c r="O438" s="9" t="s">
        <v>3898</v>
      </c>
      <c r="P438" s="19" t="s">
        <v>3899</v>
      </c>
      <c r="Q438" s="5" t="s">
        <v>30</v>
      </c>
    </row>
    <row r="439" ht="21.0" customHeight="1">
      <c r="A439" s="4">
        <v>439.0</v>
      </c>
      <c r="B439" s="5" t="s">
        <v>3900</v>
      </c>
      <c r="C439" s="5" t="s">
        <v>3901</v>
      </c>
      <c r="D439" s="5" t="s">
        <v>19</v>
      </c>
      <c r="E439" s="5" t="s">
        <v>3902</v>
      </c>
      <c r="F439" s="5" t="s">
        <v>3788</v>
      </c>
      <c r="G439" s="5" t="s">
        <v>3903</v>
      </c>
      <c r="H439" s="5" t="s">
        <v>23</v>
      </c>
      <c r="I439" s="6" t="s">
        <v>3904</v>
      </c>
      <c r="J439" s="4">
        <v>100.0</v>
      </c>
      <c r="K439" s="5" t="s">
        <v>25</v>
      </c>
      <c r="L439" s="5" t="s">
        <v>3905</v>
      </c>
      <c r="M439" s="5" t="s">
        <v>3906</v>
      </c>
      <c r="N439" s="7" t="s">
        <v>3907</v>
      </c>
      <c r="O439" s="9" t="s">
        <v>3908</v>
      </c>
      <c r="P439" s="19" t="s">
        <v>3909</v>
      </c>
      <c r="Q439" s="5" t="s">
        <v>30</v>
      </c>
    </row>
    <row r="440" ht="21.0" customHeight="1">
      <c r="A440" s="4">
        <v>440.0</v>
      </c>
      <c r="B440" s="5" t="s">
        <v>3910</v>
      </c>
      <c r="C440" s="5" t="s">
        <v>3911</v>
      </c>
      <c r="D440" s="5" t="s">
        <v>1159</v>
      </c>
      <c r="E440" s="5" t="s">
        <v>3912</v>
      </c>
      <c r="F440" s="5" t="s">
        <v>3788</v>
      </c>
      <c r="G440" s="5" t="s">
        <v>3913</v>
      </c>
      <c r="H440" s="5" t="s">
        <v>23</v>
      </c>
      <c r="I440" s="6" t="s">
        <v>3914</v>
      </c>
      <c r="J440" s="4">
        <v>100.0</v>
      </c>
      <c r="K440" s="5" t="s">
        <v>165</v>
      </c>
      <c r="L440" s="5" t="s">
        <v>3915</v>
      </c>
      <c r="M440" s="5" t="s">
        <v>3916</v>
      </c>
      <c r="N440" s="7" t="s">
        <v>3917</v>
      </c>
      <c r="O440" s="9" t="s">
        <v>3918</v>
      </c>
      <c r="P440" s="19" t="s">
        <v>3919</v>
      </c>
      <c r="Q440" s="5" t="s">
        <v>30</v>
      </c>
    </row>
    <row r="441" ht="21.0" customHeight="1">
      <c r="A441" s="4">
        <v>441.0</v>
      </c>
      <c r="B441" s="5" t="s">
        <v>3920</v>
      </c>
      <c r="C441" s="5" t="s">
        <v>18</v>
      </c>
      <c r="D441" s="5" t="s">
        <v>3921</v>
      </c>
      <c r="E441" s="5" t="s">
        <v>3922</v>
      </c>
      <c r="F441" s="5" t="s">
        <v>3788</v>
      </c>
      <c r="G441" s="5" t="s">
        <v>3923</v>
      </c>
      <c r="H441" s="5" t="s">
        <v>23</v>
      </c>
      <c r="I441" s="6" t="s">
        <v>3924</v>
      </c>
      <c r="J441" s="4">
        <v>100.0</v>
      </c>
      <c r="K441" s="5" t="s">
        <v>165</v>
      </c>
      <c r="L441" s="5" t="s">
        <v>3925</v>
      </c>
      <c r="M441" s="5" t="s">
        <v>3926</v>
      </c>
      <c r="N441" s="7" t="s">
        <v>3927</v>
      </c>
      <c r="O441" s="9" t="s">
        <v>3928</v>
      </c>
      <c r="P441" s="19" t="s">
        <v>3929</v>
      </c>
      <c r="Q441" s="5" t="s">
        <v>30</v>
      </c>
    </row>
    <row r="442" ht="21.0" customHeight="1">
      <c r="A442" s="4">
        <v>442.0</v>
      </c>
      <c r="B442" s="5" t="s">
        <v>3930</v>
      </c>
      <c r="C442" s="5" t="s">
        <v>3931</v>
      </c>
      <c r="D442" s="5" t="s">
        <v>3932</v>
      </c>
      <c r="E442" s="5" t="s">
        <v>3933</v>
      </c>
      <c r="F442" s="5" t="s">
        <v>3788</v>
      </c>
      <c r="G442" s="5" t="s">
        <v>3934</v>
      </c>
      <c r="H442" s="5" t="s">
        <v>23</v>
      </c>
      <c r="I442" s="6" t="s">
        <v>3935</v>
      </c>
      <c r="J442" s="4">
        <v>100.0</v>
      </c>
      <c r="K442" s="5" t="s">
        <v>517</v>
      </c>
      <c r="L442" s="5" t="s">
        <v>3936</v>
      </c>
      <c r="M442" s="5" t="s">
        <v>3937</v>
      </c>
      <c r="N442" s="7" t="s">
        <v>3938</v>
      </c>
      <c r="O442" s="9" t="s">
        <v>3939</v>
      </c>
      <c r="P442" s="19" t="s">
        <v>3940</v>
      </c>
      <c r="Q442" s="5" t="s">
        <v>30</v>
      </c>
    </row>
    <row r="443" ht="21.0" customHeight="1">
      <c r="A443" s="4">
        <v>443.0</v>
      </c>
      <c r="B443" s="5" t="s">
        <v>3941</v>
      </c>
      <c r="C443" s="5" t="s">
        <v>18</v>
      </c>
      <c r="D443" s="5" t="s">
        <v>19</v>
      </c>
      <c r="E443" s="5" t="s">
        <v>3942</v>
      </c>
      <c r="F443" s="5" t="s">
        <v>3788</v>
      </c>
      <c r="G443" s="5" t="s">
        <v>3943</v>
      </c>
      <c r="H443" s="5" t="s">
        <v>23</v>
      </c>
      <c r="I443" s="6" t="s">
        <v>3944</v>
      </c>
      <c r="J443" s="4">
        <v>100.0</v>
      </c>
      <c r="K443" s="5" t="s">
        <v>216</v>
      </c>
      <c r="L443" s="5" t="s">
        <v>3945</v>
      </c>
      <c r="M443" s="5" t="s">
        <v>3946</v>
      </c>
      <c r="N443" s="7" t="s">
        <v>3947</v>
      </c>
      <c r="O443" s="9" t="s">
        <v>3948</v>
      </c>
      <c r="P443" s="19" t="s">
        <v>3949</v>
      </c>
      <c r="Q443" s="5" t="s">
        <v>30</v>
      </c>
    </row>
    <row r="444" ht="21.0" customHeight="1">
      <c r="A444" s="4">
        <v>444.0</v>
      </c>
      <c r="B444" s="5" t="s">
        <v>3950</v>
      </c>
      <c r="C444" s="5" t="s">
        <v>18</v>
      </c>
      <c r="D444" s="5" t="s">
        <v>19</v>
      </c>
      <c r="E444" s="5" t="s">
        <v>3951</v>
      </c>
      <c r="F444" s="5" t="s">
        <v>3788</v>
      </c>
      <c r="G444" s="5" t="s">
        <v>3952</v>
      </c>
      <c r="H444" s="5" t="s">
        <v>23</v>
      </c>
      <c r="I444" s="6" t="s">
        <v>3953</v>
      </c>
      <c r="J444" s="4">
        <v>100.0</v>
      </c>
      <c r="K444" s="5" t="s">
        <v>25</v>
      </c>
      <c r="L444" s="5" t="s">
        <v>3954</v>
      </c>
      <c r="M444" s="5" t="s">
        <v>3955</v>
      </c>
      <c r="N444" s="7" t="s">
        <v>3956</v>
      </c>
      <c r="O444" s="9" t="s">
        <v>3957</v>
      </c>
      <c r="P444" s="19" t="s">
        <v>3958</v>
      </c>
      <c r="Q444" s="5" t="s">
        <v>30</v>
      </c>
    </row>
    <row r="445" ht="21.0" customHeight="1">
      <c r="A445" s="4">
        <v>445.0</v>
      </c>
      <c r="B445" s="5" t="s">
        <v>3959</v>
      </c>
      <c r="C445" s="5" t="s">
        <v>3960</v>
      </c>
      <c r="D445" s="5" t="s">
        <v>446</v>
      </c>
      <c r="E445" s="5" t="s">
        <v>3961</v>
      </c>
      <c r="F445" s="5" t="s">
        <v>3788</v>
      </c>
      <c r="G445" s="5" t="s">
        <v>3962</v>
      </c>
      <c r="H445" s="5" t="s">
        <v>23</v>
      </c>
      <c r="I445" s="6" t="s">
        <v>3963</v>
      </c>
      <c r="J445" s="4">
        <v>100.0</v>
      </c>
      <c r="K445" s="5" t="s">
        <v>165</v>
      </c>
      <c r="L445" s="5" t="s">
        <v>3964</v>
      </c>
      <c r="M445" s="5" t="s">
        <v>3965</v>
      </c>
      <c r="N445" s="7" t="s">
        <v>3966</v>
      </c>
      <c r="O445" s="9" t="s">
        <v>3967</v>
      </c>
      <c r="P445" s="19" t="s">
        <v>3968</v>
      </c>
      <c r="Q445" s="5" t="s">
        <v>30</v>
      </c>
    </row>
    <row r="446" ht="21.0" customHeight="1">
      <c r="A446" s="4">
        <v>446.0</v>
      </c>
      <c r="B446" s="5" t="s">
        <v>3969</v>
      </c>
      <c r="C446" s="5" t="s">
        <v>18</v>
      </c>
      <c r="D446" s="5" t="s">
        <v>19</v>
      </c>
      <c r="E446" s="5" t="s">
        <v>3970</v>
      </c>
      <c r="F446" s="5" t="s">
        <v>3788</v>
      </c>
      <c r="G446" s="5" t="s">
        <v>3971</v>
      </c>
      <c r="H446" s="5" t="s">
        <v>23</v>
      </c>
      <c r="I446" s="6" t="s">
        <v>3972</v>
      </c>
      <c r="J446" s="4">
        <v>100.0</v>
      </c>
      <c r="K446" s="5" t="s">
        <v>275</v>
      </c>
      <c r="L446" s="5" t="s">
        <v>3973</v>
      </c>
      <c r="M446" s="5" t="s">
        <v>3974</v>
      </c>
      <c r="N446" s="7" t="s">
        <v>3975</v>
      </c>
      <c r="O446" s="9" t="s">
        <v>3976</v>
      </c>
      <c r="P446" s="19" t="s">
        <v>3977</v>
      </c>
      <c r="Q446" s="5" t="s">
        <v>30</v>
      </c>
    </row>
    <row r="447" ht="21.0" customHeight="1">
      <c r="A447" s="4">
        <v>447.0</v>
      </c>
      <c r="B447" s="5" t="s">
        <v>3978</v>
      </c>
      <c r="C447" s="5" t="s">
        <v>18</v>
      </c>
      <c r="D447" s="5" t="s">
        <v>19</v>
      </c>
      <c r="E447" s="5" t="s">
        <v>3979</v>
      </c>
      <c r="F447" s="5" t="s">
        <v>3788</v>
      </c>
      <c r="G447" s="5" t="s">
        <v>34</v>
      </c>
      <c r="H447" s="5" t="s">
        <v>23</v>
      </c>
      <c r="I447" s="6" t="s">
        <v>3980</v>
      </c>
      <c r="J447" s="4">
        <v>100.0</v>
      </c>
      <c r="K447" s="5" t="s">
        <v>1410</v>
      </c>
      <c r="L447" s="5" t="s">
        <v>3981</v>
      </c>
      <c r="M447" s="5" t="s">
        <v>3982</v>
      </c>
      <c r="N447" s="7" t="s">
        <v>3983</v>
      </c>
      <c r="O447" s="9" t="s">
        <v>3984</v>
      </c>
      <c r="P447" s="5" t="s">
        <v>30</v>
      </c>
      <c r="Q447" s="5" t="s">
        <v>30</v>
      </c>
    </row>
    <row r="448" ht="21.0" customHeight="1">
      <c r="A448" s="4">
        <v>448.0</v>
      </c>
      <c r="B448" s="5" t="s">
        <v>3985</v>
      </c>
      <c r="C448" s="5" t="s">
        <v>18</v>
      </c>
      <c r="D448" s="5" t="s">
        <v>19</v>
      </c>
      <c r="E448" s="5" t="s">
        <v>3986</v>
      </c>
      <c r="F448" s="5" t="s">
        <v>3788</v>
      </c>
      <c r="G448" s="5" t="s">
        <v>3987</v>
      </c>
      <c r="H448" s="5" t="s">
        <v>23</v>
      </c>
      <c r="I448" s="6" t="s">
        <v>3988</v>
      </c>
      <c r="J448" s="4">
        <v>100.0</v>
      </c>
      <c r="K448" s="5" t="s">
        <v>25</v>
      </c>
      <c r="L448" s="5" t="s">
        <v>3989</v>
      </c>
      <c r="M448" s="5" t="s">
        <v>3990</v>
      </c>
      <c r="N448" s="7" t="s">
        <v>3991</v>
      </c>
      <c r="O448" s="9" t="s">
        <v>3992</v>
      </c>
      <c r="P448" s="19" t="s">
        <v>3993</v>
      </c>
      <c r="Q448" s="5" t="s">
        <v>30</v>
      </c>
    </row>
    <row r="449" ht="21.0" customHeight="1">
      <c r="A449" s="4">
        <v>449.0</v>
      </c>
      <c r="B449" s="5" t="s">
        <v>3994</v>
      </c>
      <c r="C449" s="5" t="s">
        <v>18</v>
      </c>
      <c r="D449" s="5" t="s">
        <v>19</v>
      </c>
      <c r="E449" s="5" t="s">
        <v>3995</v>
      </c>
      <c r="F449" s="5" t="s">
        <v>3788</v>
      </c>
      <c r="G449" s="5" t="s">
        <v>3996</v>
      </c>
      <c r="H449" s="5" t="s">
        <v>23</v>
      </c>
      <c r="I449" s="6" t="s">
        <v>3997</v>
      </c>
      <c r="J449" s="4">
        <v>100.0</v>
      </c>
      <c r="K449" s="5" t="s">
        <v>84</v>
      </c>
      <c r="L449" s="5" t="s">
        <v>3998</v>
      </c>
      <c r="M449" s="5" t="s">
        <v>3999</v>
      </c>
      <c r="N449" s="7" t="s">
        <v>4000</v>
      </c>
      <c r="O449" s="9" t="s">
        <v>4001</v>
      </c>
      <c r="P449" s="19" t="s">
        <v>4002</v>
      </c>
      <c r="Q449" s="5" t="s">
        <v>30</v>
      </c>
    </row>
    <row r="450" ht="21.0" customHeight="1">
      <c r="A450" s="4">
        <v>450.0</v>
      </c>
      <c r="B450" s="5" t="s">
        <v>4003</v>
      </c>
      <c r="C450" s="5" t="s">
        <v>18</v>
      </c>
      <c r="D450" s="5" t="s">
        <v>19</v>
      </c>
      <c r="E450" s="5" t="s">
        <v>4004</v>
      </c>
      <c r="F450" s="5" t="s">
        <v>3788</v>
      </c>
      <c r="G450" s="5" t="s">
        <v>4005</v>
      </c>
      <c r="H450" s="5" t="s">
        <v>50</v>
      </c>
      <c r="I450" s="6" t="s">
        <v>4006</v>
      </c>
      <c r="J450" s="4">
        <v>100.0</v>
      </c>
      <c r="K450" s="5" t="s">
        <v>1410</v>
      </c>
      <c r="L450" s="5" t="s">
        <v>4007</v>
      </c>
      <c r="M450" s="5" t="s">
        <v>4008</v>
      </c>
      <c r="N450" s="7" t="s">
        <v>4009</v>
      </c>
      <c r="O450" s="9" t="s">
        <v>4010</v>
      </c>
      <c r="P450" s="19" t="s">
        <v>4011</v>
      </c>
      <c r="Q450" s="5" t="s">
        <v>30</v>
      </c>
    </row>
    <row r="451" ht="21.0" customHeight="1">
      <c r="A451" s="4">
        <v>451.0</v>
      </c>
      <c r="B451" s="5" t="s">
        <v>4012</v>
      </c>
      <c r="C451" s="5" t="s">
        <v>18</v>
      </c>
      <c r="D451" s="5" t="s">
        <v>19</v>
      </c>
      <c r="E451" s="5" t="s">
        <v>4013</v>
      </c>
      <c r="F451" s="5" t="s">
        <v>3788</v>
      </c>
      <c r="G451" s="5" t="s">
        <v>4014</v>
      </c>
      <c r="H451" s="5" t="s">
        <v>23</v>
      </c>
      <c r="I451" s="6" t="s">
        <v>4015</v>
      </c>
      <c r="J451" s="4">
        <v>100.0</v>
      </c>
      <c r="K451" s="5" t="s">
        <v>110</v>
      </c>
      <c r="L451" s="5" t="s">
        <v>4016</v>
      </c>
      <c r="M451" s="5" t="s">
        <v>4017</v>
      </c>
      <c r="N451" s="7" t="s">
        <v>4018</v>
      </c>
      <c r="O451" s="9" t="s">
        <v>4019</v>
      </c>
      <c r="P451" s="19" t="s">
        <v>4020</v>
      </c>
      <c r="Q451" s="5" t="s">
        <v>30</v>
      </c>
    </row>
    <row r="452" ht="21.0" customHeight="1">
      <c r="A452" s="4">
        <v>452.0</v>
      </c>
      <c r="B452" s="5" t="s">
        <v>4021</v>
      </c>
      <c r="C452" s="5" t="s">
        <v>18</v>
      </c>
      <c r="D452" s="5" t="s">
        <v>19</v>
      </c>
      <c r="E452" s="5" t="s">
        <v>4022</v>
      </c>
      <c r="F452" s="5" t="s">
        <v>3788</v>
      </c>
      <c r="G452" s="5" t="s">
        <v>34</v>
      </c>
      <c r="H452" s="5" t="s">
        <v>23</v>
      </c>
      <c r="I452" s="6" t="s">
        <v>4023</v>
      </c>
      <c r="J452" s="4">
        <v>100.0</v>
      </c>
      <c r="K452" s="5" t="s">
        <v>292</v>
      </c>
      <c r="L452" s="5" t="s">
        <v>4024</v>
      </c>
      <c r="M452" s="5" t="s">
        <v>300</v>
      </c>
      <c r="N452" s="7" t="s">
        <v>4025</v>
      </c>
      <c r="O452" s="9" t="s">
        <v>4026</v>
      </c>
      <c r="P452" s="19" t="s">
        <v>4027</v>
      </c>
      <c r="Q452" s="5" t="s">
        <v>30</v>
      </c>
    </row>
    <row r="453" ht="21.0" customHeight="1">
      <c r="A453" s="4">
        <v>453.0</v>
      </c>
      <c r="B453" s="5" t="s">
        <v>4028</v>
      </c>
      <c r="C453" s="5" t="s">
        <v>18</v>
      </c>
      <c r="D453" s="5" t="s">
        <v>19</v>
      </c>
      <c r="E453" s="5" t="s">
        <v>4029</v>
      </c>
      <c r="F453" s="5" t="s">
        <v>3788</v>
      </c>
      <c r="G453" s="5" t="s">
        <v>4030</v>
      </c>
      <c r="H453" s="5" t="s">
        <v>23</v>
      </c>
      <c r="I453" s="6" t="s">
        <v>4031</v>
      </c>
      <c r="J453" s="4">
        <v>100.0</v>
      </c>
      <c r="K453" s="5" t="s">
        <v>84</v>
      </c>
      <c r="L453" s="5" t="s">
        <v>4032</v>
      </c>
      <c r="M453" s="5" t="s">
        <v>4033</v>
      </c>
      <c r="N453" s="7" t="s">
        <v>4034</v>
      </c>
      <c r="O453" s="9" t="s">
        <v>4035</v>
      </c>
      <c r="P453" s="19" t="s">
        <v>4036</v>
      </c>
      <c r="Q453" s="5" t="s">
        <v>30</v>
      </c>
    </row>
    <row r="454" ht="21.0" customHeight="1">
      <c r="A454" s="4">
        <v>454.0</v>
      </c>
      <c r="B454" s="5" t="s">
        <v>4037</v>
      </c>
      <c r="C454" s="5" t="s">
        <v>4038</v>
      </c>
      <c r="D454" s="5" t="s">
        <v>19</v>
      </c>
      <c r="E454" s="5" t="s">
        <v>4039</v>
      </c>
      <c r="F454" s="5" t="s">
        <v>3788</v>
      </c>
      <c r="G454" s="5" t="s">
        <v>4040</v>
      </c>
      <c r="H454" s="5" t="s">
        <v>23</v>
      </c>
      <c r="I454" s="6" t="s">
        <v>4041</v>
      </c>
      <c r="J454" s="4">
        <v>100.0</v>
      </c>
      <c r="K454" s="5" t="s">
        <v>110</v>
      </c>
      <c r="L454" s="5" t="s">
        <v>4042</v>
      </c>
      <c r="M454" s="5" t="s">
        <v>4043</v>
      </c>
      <c r="N454" s="7" t="s">
        <v>4044</v>
      </c>
      <c r="O454" s="9" t="s">
        <v>4045</v>
      </c>
      <c r="P454" s="19" t="s">
        <v>4046</v>
      </c>
      <c r="Q454" s="5" t="s">
        <v>30</v>
      </c>
    </row>
    <row r="455" ht="21.0" customHeight="1">
      <c r="A455" s="33">
        <v>455.0</v>
      </c>
      <c r="B455" s="34" t="s">
        <v>4047</v>
      </c>
      <c r="C455" s="34" t="s">
        <v>18</v>
      </c>
      <c r="D455" s="34" t="s">
        <v>19</v>
      </c>
      <c r="E455" s="34" t="s">
        <v>4048</v>
      </c>
      <c r="F455" s="34" t="s">
        <v>3788</v>
      </c>
      <c r="G455" s="34" t="s">
        <v>4049</v>
      </c>
      <c r="H455" s="34" t="s">
        <v>23</v>
      </c>
      <c r="I455" s="35" t="s">
        <v>4050</v>
      </c>
      <c r="J455" s="33">
        <v>100.0</v>
      </c>
      <c r="K455" s="34" t="s">
        <v>52</v>
      </c>
      <c r="L455" s="34" t="s">
        <v>4051</v>
      </c>
      <c r="M455" s="34" t="s">
        <v>4052</v>
      </c>
      <c r="N455" s="36" t="s">
        <v>4053</v>
      </c>
      <c r="O455" s="37" t="s">
        <v>4054</v>
      </c>
      <c r="P455" s="34" t="s">
        <v>30</v>
      </c>
      <c r="Q455" s="34" t="s">
        <v>30</v>
      </c>
      <c r="R455" s="38"/>
      <c r="S455" s="38"/>
      <c r="T455" s="38"/>
      <c r="U455" s="38"/>
      <c r="V455" s="38"/>
      <c r="W455" s="38"/>
      <c r="X455" s="38"/>
      <c r="Y455" s="38"/>
      <c r="Z455" s="38"/>
    </row>
    <row r="456" ht="21.0" customHeight="1">
      <c r="A456" s="4">
        <v>456.0</v>
      </c>
      <c r="B456" s="5" t="s">
        <v>4055</v>
      </c>
      <c r="C456" s="5" t="s">
        <v>4056</v>
      </c>
      <c r="D456" s="5" t="s">
        <v>19</v>
      </c>
      <c r="E456" s="5" t="s">
        <v>4057</v>
      </c>
      <c r="F456" s="5" t="s">
        <v>3788</v>
      </c>
      <c r="G456" s="5" t="s">
        <v>4058</v>
      </c>
      <c r="H456" s="5" t="s">
        <v>23</v>
      </c>
      <c r="I456" s="6" t="s">
        <v>4059</v>
      </c>
      <c r="J456" s="4">
        <v>100.0</v>
      </c>
      <c r="K456" s="5" t="s">
        <v>216</v>
      </c>
      <c r="L456" s="5" t="s">
        <v>4060</v>
      </c>
      <c r="M456" s="5" t="s">
        <v>4061</v>
      </c>
      <c r="N456" s="7" t="s">
        <v>4062</v>
      </c>
      <c r="O456" s="9" t="s">
        <v>4063</v>
      </c>
      <c r="P456" s="19" t="s">
        <v>4064</v>
      </c>
      <c r="Q456" s="5" t="s">
        <v>30</v>
      </c>
    </row>
    <row r="457" ht="21.0" customHeight="1">
      <c r="A457" s="4">
        <v>457.0</v>
      </c>
      <c r="B457" s="5" t="s">
        <v>4065</v>
      </c>
      <c r="C457" s="5" t="s">
        <v>18</v>
      </c>
      <c r="D457" s="5" t="s">
        <v>19</v>
      </c>
      <c r="E457" s="5" t="s">
        <v>4066</v>
      </c>
      <c r="F457" s="5" t="s">
        <v>4067</v>
      </c>
      <c r="G457" s="5" t="s">
        <v>4068</v>
      </c>
      <c r="H457" s="5" t="s">
        <v>23</v>
      </c>
      <c r="I457" s="6" t="s">
        <v>4069</v>
      </c>
      <c r="J457" s="4">
        <v>100.0</v>
      </c>
      <c r="K457" s="5" t="s">
        <v>165</v>
      </c>
      <c r="L457" s="5" t="s">
        <v>4070</v>
      </c>
      <c r="M457" s="5" t="s">
        <v>4071</v>
      </c>
      <c r="N457" s="7" t="s">
        <v>4072</v>
      </c>
      <c r="O457" s="9" t="s">
        <v>4073</v>
      </c>
      <c r="P457" s="19" t="s">
        <v>4074</v>
      </c>
      <c r="Q457" s="5" t="s">
        <v>30</v>
      </c>
    </row>
    <row r="458" ht="21.0" customHeight="1">
      <c r="A458" s="4">
        <v>458.0</v>
      </c>
      <c r="B458" s="5" t="s">
        <v>4075</v>
      </c>
      <c r="C458" s="5" t="s">
        <v>4076</v>
      </c>
      <c r="D458" s="5" t="s">
        <v>4077</v>
      </c>
      <c r="E458" s="5" t="s">
        <v>4078</v>
      </c>
      <c r="F458" s="5" t="s">
        <v>4067</v>
      </c>
      <c r="G458" s="5" t="s">
        <v>4079</v>
      </c>
      <c r="H458" s="5" t="s">
        <v>23</v>
      </c>
      <c r="I458" s="6" t="s">
        <v>4080</v>
      </c>
      <c r="J458" s="4">
        <v>100.0</v>
      </c>
      <c r="K458" s="5" t="s">
        <v>1070</v>
      </c>
      <c r="L458" s="5" t="s">
        <v>4081</v>
      </c>
      <c r="M458" s="5" t="s">
        <v>4082</v>
      </c>
      <c r="N458" s="7" t="s">
        <v>4083</v>
      </c>
      <c r="O458" s="9" t="s">
        <v>4084</v>
      </c>
      <c r="P458" s="19" t="s">
        <v>4085</v>
      </c>
      <c r="Q458" s="5" t="s">
        <v>30</v>
      </c>
    </row>
    <row r="459" ht="21.0" customHeight="1">
      <c r="A459" s="4">
        <v>459.0</v>
      </c>
      <c r="B459" s="5" t="s">
        <v>4086</v>
      </c>
      <c r="C459" s="5" t="s">
        <v>18</v>
      </c>
      <c r="D459" s="5" t="s">
        <v>19</v>
      </c>
      <c r="E459" s="5" t="s">
        <v>4087</v>
      </c>
      <c r="F459" s="5" t="s">
        <v>4067</v>
      </c>
      <c r="G459" s="5" t="s">
        <v>4088</v>
      </c>
      <c r="H459" s="5" t="s">
        <v>23</v>
      </c>
      <c r="I459" s="6" t="s">
        <v>4089</v>
      </c>
      <c r="J459" s="4">
        <v>100.0</v>
      </c>
      <c r="K459" s="5" t="s">
        <v>25</v>
      </c>
      <c r="L459" s="5" t="s">
        <v>4090</v>
      </c>
      <c r="M459" s="5" t="s">
        <v>4091</v>
      </c>
      <c r="N459" s="7" t="s">
        <v>4092</v>
      </c>
      <c r="O459" s="9" t="s">
        <v>4093</v>
      </c>
      <c r="P459" s="19" t="s">
        <v>4094</v>
      </c>
      <c r="Q459" s="5" t="s">
        <v>30</v>
      </c>
    </row>
    <row r="460" ht="21.0" customHeight="1">
      <c r="A460" s="4">
        <v>460.0</v>
      </c>
      <c r="B460" s="5" t="s">
        <v>4095</v>
      </c>
      <c r="C460" s="5" t="s">
        <v>4096</v>
      </c>
      <c r="D460" s="5" t="s">
        <v>19</v>
      </c>
      <c r="E460" s="5" t="s">
        <v>4097</v>
      </c>
      <c r="F460" s="5" t="s">
        <v>4067</v>
      </c>
      <c r="G460" s="5" t="s">
        <v>4098</v>
      </c>
      <c r="H460" s="5" t="s">
        <v>23</v>
      </c>
      <c r="I460" s="6" t="s">
        <v>4099</v>
      </c>
      <c r="J460" s="4">
        <v>100.0</v>
      </c>
      <c r="K460" s="5" t="s">
        <v>25</v>
      </c>
      <c r="L460" s="5" t="s">
        <v>4100</v>
      </c>
      <c r="M460" s="5" t="s">
        <v>4101</v>
      </c>
      <c r="N460" s="7" t="s">
        <v>4102</v>
      </c>
      <c r="O460" s="9" t="s">
        <v>4103</v>
      </c>
      <c r="P460" s="19" t="s">
        <v>4104</v>
      </c>
      <c r="Q460" s="5" t="s">
        <v>30</v>
      </c>
    </row>
    <row r="461" ht="21.0" customHeight="1">
      <c r="A461" s="4">
        <v>461.0</v>
      </c>
      <c r="B461" s="5" t="s">
        <v>4105</v>
      </c>
      <c r="C461" s="5" t="s">
        <v>4106</v>
      </c>
      <c r="D461" s="5" t="s">
        <v>19</v>
      </c>
      <c r="E461" s="5" t="s">
        <v>4107</v>
      </c>
      <c r="F461" s="5" t="s">
        <v>4067</v>
      </c>
      <c r="G461" s="5" t="s">
        <v>4108</v>
      </c>
      <c r="H461" s="5" t="s">
        <v>23</v>
      </c>
      <c r="I461" s="6" t="s">
        <v>4109</v>
      </c>
      <c r="J461" s="4">
        <v>100.0</v>
      </c>
      <c r="K461" s="5" t="s">
        <v>25</v>
      </c>
      <c r="L461" s="5" t="s">
        <v>4110</v>
      </c>
      <c r="M461" s="5" t="s">
        <v>4111</v>
      </c>
      <c r="N461" s="7" t="s">
        <v>4112</v>
      </c>
      <c r="O461" s="9" t="s">
        <v>4113</v>
      </c>
      <c r="P461" s="19" t="s">
        <v>4114</v>
      </c>
      <c r="Q461" s="5" t="s">
        <v>30</v>
      </c>
    </row>
    <row r="462" ht="21.0" customHeight="1">
      <c r="A462" s="4">
        <v>462.0</v>
      </c>
      <c r="B462" s="5" t="s">
        <v>4115</v>
      </c>
      <c r="C462" s="5" t="s">
        <v>18</v>
      </c>
      <c r="D462" s="5" t="s">
        <v>19</v>
      </c>
      <c r="E462" s="5" t="s">
        <v>4116</v>
      </c>
      <c r="F462" s="5" t="s">
        <v>4067</v>
      </c>
      <c r="G462" s="5" t="s">
        <v>4117</v>
      </c>
      <c r="H462" s="5" t="s">
        <v>23</v>
      </c>
      <c r="I462" s="6" t="s">
        <v>4118</v>
      </c>
      <c r="J462" s="4">
        <v>100.0</v>
      </c>
      <c r="K462" s="5" t="s">
        <v>25</v>
      </c>
      <c r="L462" s="5" t="s">
        <v>4119</v>
      </c>
      <c r="M462" s="5" t="s">
        <v>4120</v>
      </c>
      <c r="N462" s="7" t="s">
        <v>4121</v>
      </c>
      <c r="O462" s="9" t="s">
        <v>4122</v>
      </c>
      <c r="P462" s="19" t="s">
        <v>4123</v>
      </c>
      <c r="Q462" s="5" t="s">
        <v>30</v>
      </c>
    </row>
    <row r="463" ht="21.0" customHeight="1">
      <c r="A463" s="4">
        <v>463.0</v>
      </c>
      <c r="B463" s="5" t="s">
        <v>4124</v>
      </c>
      <c r="C463" s="5" t="s">
        <v>4125</v>
      </c>
      <c r="D463" s="5" t="s">
        <v>19</v>
      </c>
      <c r="E463" s="5" t="s">
        <v>4126</v>
      </c>
      <c r="F463" s="5" t="s">
        <v>4067</v>
      </c>
      <c r="G463" s="5" t="s">
        <v>4127</v>
      </c>
      <c r="H463" s="5" t="s">
        <v>23</v>
      </c>
      <c r="I463" s="6" t="s">
        <v>4128</v>
      </c>
      <c r="J463" s="4">
        <v>100.0</v>
      </c>
      <c r="K463" s="5" t="s">
        <v>84</v>
      </c>
      <c r="L463" s="5" t="s">
        <v>4129</v>
      </c>
      <c r="M463" s="5" t="s">
        <v>4130</v>
      </c>
      <c r="N463" s="7" t="s">
        <v>4131</v>
      </c>
      <c r="O463" s="9" t="s">
        <v>4132</v>
      </c>
      <c r="P463" s="19" t="s">
        <v>4133</v>
      </c>
      <c r="Q463" s="5" t="s">
        <v>30</v>
      </c>
    </row>
    <row r="464" ht="21.0" customHeight="1">
      <c r="A464" s="4">
        <v>464.0</v>
      </c>
      <c r="B464" s="5" t="s">
        <v>4134</v>
      </c>
      <c r="C464" s="5" t="s">
        <v>18</v>
      </c>
      <c r="D464" s="5" t="s">
        <v>19</v>
      </c>
      <c r="E464" s="5" t="s">
        <v>4135</v>
      </c>
      <c r="F464" s="5" t="s">
        <v>4067</v>
      </c>
      <c r="G464" s="5" t="s">
        <v>4136</v>
      </c>
      <c r="H464" s="5" t="s">
        <v>23</v>
      </c>
      <c r="I464" s="6" t="s">
        <v>4137</v>
      </c>
      <c r="J464" s="4">
        <v>100.0</v>
      </c>
      <c r="K464" s="5" t="s">
        <v>25</v>
      </c>
      <c r="L464" s="5" t="s">
        <v>4138</v>
      </c>
      <c r="M464" s="5" t="s">
        <v>4139</v>
      </c>
      <c r="N464" s="7" t="s">
        <v>4140</v>
      </c>
      <c r="O464" s="9" t="s">
        <v>4141</v>
      </c>
      <c r="P464" s="19" t="s">
        <v>4142</v>
      </c>
      <c r="Q464" s="5" t="s">
        <v>30</v>
      </c>
    </row>
    <row r="465" ht="21.0" customHeight="1">
      <c r="A465" s="4">
        <v>465.0</v>
      </c>
      <c r="B465" s="5" t="s">
        <v>4143</v>
      </c>
      <c r="C465" s="5" t="s">
        <v>18</v>
      </c>
      <c r="D465" s="5" t="s">
        <v>19</v>
      </c>
      <c r="E465" s="5" t="s">
        <v>4144</v>
      </c>
      <c r="F465" s="5" t="s">
        <v>4067</v>
      </c>
      <c r="G465" s="5" t="s">
        <v>4145</v>
      </c>
      <c r="H465" s="5" t="s">
        <v>23</v>
      </c>
      <c r="I465" s="6" t="s">
        <v>4146</v>
      </c>
      <c r="J465" s="4">
        <v>100.0</v>
      </c>
      <c r="K465" s="5" t="s">
        <v>165</v>
      </c>
      <c r="L465" s="5" t="s">
        <v>4147</v>
      </c>
      <c r="M465" s="5" t="s">
        <v>4148</v>
      </c>
      <c r="N465" s="7" t="s">
        <v>4149</v>
      </c>
      <c r="O465" s="9" t="s">
        <v>4150</v>
      </c>
      <c r="P465" s="19" t="s">
        <v>4151</v>
      </c>
      <c r="Q465" s="5" t="s">
        <v>30</v>
      </c>
    </row>
    <row r="466" ht="21.0" customHeight="1">
      <c r="A466" s="4">
        <v>466.0</v>
      </c>
      <c r="B466" s="5" t="s">
        <v>4152</v>
      </c>
      <c r="C466" s="5" t="s">
        <v>18</v>
      </c>
      <c r="D466" s="5" t="s">
        <v>19</v>
      </c>
      <c r="E466" s="5" t="s">
        <v>4153</v>
      </c>
      <c r="F466" s="5" t="s">
        <v>4067</v>
      </c>
      <c r="G466" s="5" t="s">
        <v>4154</v>
      </c>
      <c r="H466" s="5" t="s">
        <v>23</v>
      </c>
      <c r="I466" s="6" t="s">
        <v>4155</v>
      </c>
      <c r="J466" s="4">
        <v>100.0</v>
      </c>
      <c r="K466" s="5" t="s">
        <v>84</v>
      </c>
      <c r="L466" s="5" t="s">
        <v>4156</v>
      </c>
      <c r="M466" s="5" t="s">
        <v>4157</v>
      </c>
      <c r="N466" s="7" t="s">
        <v>4158</v>
      </c>
      <c r="O466" s="9" t="s">
        <v>4159</v>
      </c>
      <c r="P466" s="19" t="s">
        <v>4160</v>
      </c>
      <c r="Q466" s="5" t="s">
        <v>30</v>
      </c>
    </row>
    <row r="467" ht="21.0" customHeight="1">
      <c r="A467" s="4">
        <v>467.0</v>
      </c>
      <c r="B467" s="5" t="s">
        <v>4161</v>
      </c>
      <c r="C467" s="5" t="s">
        <v>4162</v>
      </c>
      <c r="D467" s="5" t="s">
        <v>19</v>
      </c>
      <c r="E467" s="5" t="s">
        <v>4163</v>
      </c>
      <c r="F467" s="5" t="s">
        <v>4067</v>
      </c>
      <c r="G467" s="5" t="s">
        <v>4164</v>
      </c>
      <c r="H467" s="5" t="s">
        <v>23</v>
      </c>
      <c r="I467" s="6" t="s">
        <v>4165</v>
      </c>
      <c r="J467" s="4">
        <v>100.0</v>
      </c>
      <c r="K467" s="5" t="s">
        <v>110</v>
      </c>
      <c r="L467" s="5" t="s">
        <v>4166</v>
      </c>
      <c r="M467" s="5" t="s">
        <v>4167</v>
      </c>
      <c r="N467" s="7" t="s">
        <v>4168</v>
      </c>
      <c r="O467" s="9" t="s">
        <v>4169</v>
      </c>
      <c r="P467" s="19" t="s">
        <v>4170</v>
      </c>
      <c r="Q467" s="5" t="s">
        <v>30</v>
      </c>
    </row>
    <row r="468" ht="21.0" customHeight="1">
      <c r="A468" s="4">
        <v>468.0</v>
      </c>
      <c r="B468" s="5" t="s">
        <v>4171</v>
      </c>
      <c r="C468" s="5" t="s">
        <v>4172</v>
      </c>
      <c r="D468" s="5" t="s">
        <v>19</v>
      </c>
      <c r="E468" s="5" t="s">
        <v>4173</v>
      </c>
      <c r="F468" s="5" t="s">
        <v>4067</v>
      </c>
      <c r="G468" s="5" t="s">
        <v>4174</v>
      </c>
      <c r="H468" s="5" t="s">
        <v>23</v>
      </c>
      <c r="I468" s="6" t="s">
        <v>4175</v>
      </c>
      <c r="J468" s="4">
        <v>100.0</v>
      </c>
      <c r="K468" s="5" t="s">
        <v>84</v>
      </c>
      <c r="L468" s="5" t="s">
        <v>4176</v>
      </c>
      <c r="M468" s="5" t="s">
        <v>4177</v>
      </c>
      <c r="N468" s="7" t="s">
        <v>4178</v>
      </c>
      <c r="O468" s="9" t="s">
        <v>4179</v>
      </c>
      <c r="P468" s="19" t="s">
        <v>4180</v>
      </c>
      <c r="Q468" s="5" t="s">
        <v>30</v>
      </c>
    </row>
    <row r="469" ht="21.0" customHeight="1">
      <c r="A469" s="4">
        <v>469.0</v>
      </c>
      <c r="B469" s="5" t="s">
        <v>4181</v>
      </c>
      <c r="C469" s="5" t="s">
        <v>18</v>
      </c>
      <c r="D469" s="5" t="s">
        <v>19</v>
      </c>
      <c r="E469" s="5" t="s">
        <v>4182</v>
      </c>
      <c r="F469" s="5" t="s">
        <v>4067</v>
      </c>
      <c r="G469" s="5" t="s">
        <v>4183</v>
      </c>
      <c r="H469" s="5" t="s">
        <v>50</v>
      </c>
      <c r="I469" s="6" t="s">
        <v>4184</v>
      </c>
      <c r="J469" s="4">
        <v>100.0</v>
      </c>
      <c r="K469" s="5" t="s">
        <v>141</v>
      </c>
      <c r="L469" s="5" t="s">
        <v>4185</v>
      </c>
      <c r="M469" s="5" t="s">
        <v>4186</v>
      </c>
      <c r="N469" s="7" t="s">
        <v>4187</v>
      </c>
      <c r="O469" s="9" t="s">
        <v>4188</v>
      </c>
      <c r="P469" s="19" t="s">
        <v>4189</v>
      </c>
      <c r="Q469" s="5" t="s">
        <v>30</v>
      </c>
    </row>
    <row r="470" ht="21.0" customHeight="1">
      <c r="A470" s="4">
        <v>470.0</v>
      </c>
      <c r="B470" s="5" t="s">
        <v>4190</v>
      </c>
      <c r="C470" s="5" t="s">
        <v>18</v>
      </c>
      <c r="D470" s="5" t="s">
        <v>19</v>
      </c>
      <c r="E470" s="5" t="s">
        <v>4191</v>
      </c>
      <c r="F470" s="5" t="s">
        <v>4067</v>
      </c>
      <c r="G470" s="5" t="s">
        <v>4192</v>
      </c>
      <c r="H470" s="5" t="s">
        <v>23</v>
      </c>
      <c r="I470" s="6" t="s">
        <v>4193</v>
      </c>
      <c r="J470" s="4">
        <v>100.0</v>
      </c>
      <c r="K470" s="5" t="s">
        <v>84</v>
      </c>
      <c r="L470" s="5" t="s">
        <v>4194</v>
      </c>
      <c r="M470" s="5" t="s">
        <v>4195</v>
      </c>
      <c r="N470" s="7" t="s">
        <v>4196</v>
      </c>
      <c r="O470" s="9" t="s">
        <v>4197</v>
      </c>
      <c r="P470" s="19" t="s">
        <v>4198</v>
      </c>
      <c r="Q470" s="5" t="s">
        <v>30</v>
      </c>
    </row>
    <row r="471" ht="21.0" customHeight="1">
      <c r="A471" s="4">
        <v>471.0</v>
      </c>
      <c r="B471" s="5" t="s">
        <v>4199</v>
      </c>
      <c r="C471" s="5" t="s">
        <v>18</v>
      </c>
      <c r="D471" s="5" t="s">
        <v>19</v>
      </c>
      <c r="E471" s="5" t="s">
        <v>4200</v>
      </c>
      <c r="F471" s="5" t="s">
        <v>4067</v>
      </c>
      <c r="G471" s="5" t="s">
        <v>4201</v>
      </c>
      <c r="H471" s="5" t="s">
        <v>23</v>
      </c>
      <c r="I471" s="6" t="s">
        <v>4202</v>
      </c>
      <c r="J471" s="4">
        <v>100.0</v>
      </c>
      <c r="K471" s="5" t="s">
        <v>93</v>
      </c>
      <c r="L471" s="5" t="s">
        <v>4203</v>
      </c>
      <c r="M471" s="5" t="s">
        <v>4204</v>
      </c>
      <c r="N471" s="7" t="s">
        <v>4205</v>
      </c>
      <c r="O471" s="9" t="s">
        <v>4206</v>
      </c>
      <c r="P471" s="19" t="s">
        <v>4207</v>
      </c>
      <c r="Q471" s="5" t="s">
        <v>30</v>
      </c>
    </row>
    <row r="472" ht="21.0" customHeight="1">
      <c r="A472" s="4">
        <v>472.0</v>
      </c>
      <c r="B472" s="5" t="s">
        <v>4208</v>
      </c>
      <c r="C472" s="5" t="s">
        <v>18</v>
      </c>
      <c r="D472" s="5" t="s">
        <v>19</v>
      </c>
      <c r="E472" s="5" t="s">
        <v>4209</v>
      </c>
      <c r="F472" s="5" t="s">
        <v>4067</v>
      </c>
      <c r="G472" s="5" t="s">
        <v>4210</v>
      </c>
      <c r="H472" s="5" t="s">
        <v>50</v>
      </c>
      <c r="I472" s="6" t="s">
        <v>4211</v>
      </c>
      <c r="J472" s="4">
        <v>100.0</v>
      </c>
      <c r="K472" s="5" t="s">
        <v>292</v>
      </c>
      <c r="L472" s="5" t="s">
        <v>4212</v>
      </c>
      <c r="M472" s="5" t="s">
        <v>4213</v>
      </c>
      <c r="N472" s="7" t="s">
        <v>4214</v>
      </c>
      <c r="O472" s="9" t="s">
        <v>4215</v>
      </c>
      <c r="P472" s="5" t="s">
        <v>30</v>
      </c>
      <c r="Q472" s="5" t="s">
        <v>30</v>
      </c>
    </row>
    <row r="473" ht="21.0" customHeight="1">
      <c r="A473" s="4">
        <v>473.0</v>
      </c>
      <c r="B473" s="5" t="s">
        <v>4216</v>
      </c>
      <c r="C473" s="5" t="s">
        <v>18</v>
      </c>
      <c r="D473" s="5" t="s">
        <v>19</v>
      </c>
      <c r="E473" s="5" t="s">
        <v>4217</v>
      </c>
      <c r="F473" s="5" t="s">
        <v>4067</v>
      </c>
      <c r="G473" s="5" t="s">
        <v>4218</v>
      </c>
      <c r="H473" s="5" t="s">
        <v>23</v>
      </c>
      <c r="I473" s="6" t="s">
        <v>4219</v>
      </c>
      <c r="J473" s="4">
        <v>100.0</v>
      </c>
      <c r="K473" s="5" t="s">
        <v>84</v>
      </c>
      <c r="L473" s="5" t="s">
        <v>4220</v>
      </c>
      <c r="M473" s="5" t="s">
        <v>4221</v>
      </c>
      <c r="N473" s="7" t="s">
        <v>4222</v>
      </c>
      <c r="O473" s="9" t="s">
        <v>4223</v>
      </c>
      <c r="P473" s="19" t="s">
        <v>4224</v>
      </c>
      <c r="Q473" s="5" t="s">
        <v>30</v>
      </c>
    </row>
    <row r="474" ht="21.0" customHeight="1">
      <c r="A474" s="4">
        <v>474.0</v>
      </c>
      <c r="B474" s="5" t="s">
        <v>4225</v>
      </c>
      <c r="C474" s="5" t="s">
        <v>18</v>
      </c>
      <c r="D474" s="5" t="s">
        <v>19</v>
      </c>
      <c r="E474" s="5" t="s">
        <v>4226</v>
      </c>
      <c r="F474" s="5" t="s">
        <v>4067</v>
      </c>
      <c r="G474" s="5" t="s">
        <v>4227</v>
      </c>
      <c r="H474" s="5" t="s">
        <v>23</v>
      </c>
      <c r="I474" s="6" t="s">
        <v>4228</v>
      </c>
      <c r="J474" s="4">
        <v>100.0</v>
      </c>
      <c r="K474" s="5" t="s">
        <v>84</v>
      </c>
      <c r="L474" s="5" t="s">
        <v>4229</v>
      </c>
      <c r="M474" s="5" t="s">
        <v>4230</v>
      </c>
      <c r="N474" s="7" t="s">
        <v>4231</v>
      </c>
      <c r="O474" s="9" t="s">
        <v>4232</v>
      </c>
      <c r="P474" s="19" t="s">
        <v>4233</v>
      </c>
      <c r="Q474" s="5" t="s">
        <v>30</v>
      </c>
    </row>
    <row r="475" ht="21.0" customHeight="1">
      <c r="A475" s="4">
        <v>475.0</v>
      </c>
      <c r="B475" s="5" t="s">
        <v>4234</v>
      </c>
      <c r="C475" s="5" t="s">
        <v>18</v>
      </c>
      <c r="D475" s="5" t="s">
        <v>4235</v>
      </c>
      <c r="E475" s="5" t="s">
        <v>4236</v>
      </c>
      <c r="F475" s="5" t="s">
        <v>4067</v>
      </c>
      <c r="G475" s="5" t="s">
        <v>34</v>
      </c>
      <c r="H475" s="5" t="s">
        <v>23</v>
      </c>
      <c r="I475" s="6" t="s">
        <v>4237</v>
      </c>
      <c r="J475" s="4">
        <v>100.0</v>
      </c>
      <c r="K475" s="5" t="s">
        <v>110</v>
      </c>
      <c r="L475" s="5" t="s">
        <v>4238</v>
      </c>
      <c r="M475" s="5" t="s">
        <v>4239</v>
      </c>
      <c r="N475" s="7" t="s">
        <v>4240</v>
      </c>
      <c r="O475" s="9" t="s">
        <v>4241</v>
      </c>
      <c r="P475" s="19" t="s">
        <v>4242</v>
      </c>
      <c r="Q475" s="5" t="s">
        <v>30</v>
      </c>
    </row>
    <row r="476" ht="21.0" customHeight="1">
      <c r="A476" s="4">
        <v>476.0</v>
      </c>
      <c r="B476" s="5" t="s">
        <v>4243</v>
      </c>
      <c r="C476" s="5" t="s">
        <v>18</v>
      </c>
      <c r="D476" s="5" t="s">
        <v>19</v>
      </c>
      <c r="E476" s="5" t="s">
        <v>4244</v>
      </c>
      <c r="F476" s="5" t="s">
        <v>4067</v>
      </c>
      <c r="G476" s="5" t="s">
        <v>4245</v>
      </c>
      <c r="H476" s="5" t="s">
        <v>23</v>
      </c>
      <c r="I476" s="6" t="s">
        <v>4246</v>
      </c>
      <c r="J476" s="4">
        <v>100.0</v>
      </c>
      <c r="K476" s="5" t="s">
        <v>84</v>
      </c>
      <c r="L476" s="5" t="s">
        <v>4247</v>
      </c>
      <c r="M476" s="5" t="s">
        <v>4248</v>
      </c>
      <c r="N476" s="7" t="s">
        <v>4249</v>
      </c>
      <c r="O476" s="9" t="s">
        <v>4250</v>
      </c>
      <c r="P476" s="19" t="s">
        <v>4251</v>
      </c>
      <c r="Q476" s="5" t="s">
        <v>30</v>
      </c>
    </row>
    <row r="477" ht="21.0" customHeight="1">
      <c r="A477" s="4">
        <v>477.0</v>
      </c>
      <c r="B477" s="5" t="s">
        <v>4252</v>
      </c>
      <c r="C477" s="5" t="s">
        <v>18</v>
      </c>
      <c r="D477" s="5" t="s">
        <v>19</v>
      </c>
      <c r="E477" s="5" t="s">
        <v>4253</v>
      </c>
      <c r="F477" s="5" t="s">
        <v>4067</v>
      </c>
      <c r="G477" s="5" t="s">
        <v>4254</v>
      </c>
      <c r="H477" s="5" t="s">
        <v>23</v>
      </c>
      <c r="I477" s="6" t="s">
        <v>4255</v>
      </c>
      <c r="J477" s="4">
        <v>100.0</v>
      </c>
      <c r="K477" s="5" t="s">
        <v>84</v>
      </c>
      <c r="L477" s="5" t="s">
        <v>4256</v>
      </c>
      <c r="M477" s="5" t="s">
        <v>4257</v>
      </c>
      <c r="N477" s="20" t="s">
        <v>4258</v>
      </c>
      <c r="O477" s="9" t="s">
        <v>4259</v>
      </c>
      <c r="P477" s="19" t="s">
        <v>4260</v>
      </c>
      <c r="Q477" s="5" t="s">
        <v>30</v>
      </c>
    </row>
    <row r="478" ht="21.0" customHeight="1">
      <c r="A478" s="4">
        <v>478.0</v>
      </c>
      <c r="B478" s="5" t="s">
        <v>4261</v>
      </c>
      <c r="C478" s="5" t="s">
        <v>4262</v>
      </c>
      <c r="D478" s="5" t="s">
        <v>19</v>
      </c>
      <c r="E478" s="5" t="s">
        <v>4263</v>
      </c>
      <c r="F478" s="5" t="s">
        <v>4067</v>
      </c>
      <c r="G478" s="5" t="s">
        <v>4264</v>
      </c>
      <c r="H478" s="5" t="s">
        <v>23</v>
      </c>
      <c r="I478" s="6" t="s">
        <v>4265</v>
      </c>
      <c r="J478" s="4">
        <v>100.0</v>
      </c>
      <c r="K478" s="5" t="s">
        <v>25</v>
      </c>
      <c r="L478" s="5" t="s">
        <v>4266</v>
      </c>
      <c r="M478" s="5" t="s">
        <v>4267</v>
      </c>
      <c r="N478" s="7" t="s">
        <v>4268</v>
      </c>
      <c r="O478" s="9" t="s">
        <v>4269</v>
      </c>
      <c r="P478" s="19" t="s">
        <v>4270</v>
      </c>
      <c r="Q478" s="5" t="s">
        <v>30</v>
      </c>
    </row>
    <row r="479" ht="21.0" customHeight="1">
      <c r="A479" s="4">
        <v>479.0</v>
      </c>
      <c r="B479" s="5" t="s">
        <v>4271</v>
      </c>
      <c r="C479" s="5" t="s">
        <v>4272</v>
      </c>
      <c r="D479" s="5" t="s">
        <v>1877</v>
      </c>
      <c r="E479" s="5" t="s">
        <v>4273</v>
      </c>
      <c r="F479" s="5" t="s">
        <v>4067</v>
      </c>
      <c r="G479" s="5" t="s">
        <v>34</v>
      </c>
      <c r="H479" s="5" t="s">
        <v>23</v>
      </c>
      <c r="I479" s="6" t="s">
        <v>4274</v>
      </c>
      <c r="J479" s="4">
        <v>100.0</v>
      </c>
      <c r="K479" s="5" t="s">
        <v>25</v>
      </c>
      <c r="L479" s="5" t="s">
        <v>4275</v>
      </c>
      <c r="M479" s="5" t="s">
        <v>4276</v>
      </c>
      <c r="N479" s="7" t="s">
        <v>4277</v>
      </c>
      <c r="O479" s="9" t="s">
        <v>4278</v>
      </c>
      <c r="P479" s="19" t="s">
        <v>4279</v>
      </c>
      <c r="Q479" s="5" t="s">
        <v>30</v>
      </c>
    </row>
    <row r="480" ht="21.0" customHeight="1">
      <c r="A480" s="4">
        <v>480.0</v>
      </c>
      <c r="B480" s="5" t="s">
        <v>4280</v>
      </c>
      <c r="C480" s="5" t="s">
        <v>4281</v>
      </c>
      <c r="D480" s="5" t="s">
        <v>19</v>
      </c>
      <c r="E480" s="5" t="s">
        <v>4282</v>
      </c>
      <c r="F480" s="5" t="s">
        <v>4067</v>
      </c>
      <c r="G480" s="5" t="s">
        <v>4283</v>
      </c>
      <c r="H480" s="5" t="s">
        <v>23</v>
      </c>
      <c r="I480" s="6" t="s">
        <v>4284</v>
      </c>
      <c r="J480" s="4">
        <v>100.0</v>
      </c>
      <c r="K480" s="5" t="s">
        <v>25</v>
      </c>
      <c r="L480" s="5" t="s">
        <v>4285</v>
      </c>
      <c r="M480" s="5" t="s">
        <v>4286</v>
      </c>
      <c r="N480" s="7" t="s">
        <v>4287</v>
      </c>
      <c r="O480" s="9" t="s">
        <v>4288</v>
      </c>
      <c r="P480" s="19" t="s">
        <v>4289</v>
      </c>
      <c r="Q480" s="5" t="s">
        <v>30</v>
      </c>
    </row>
    <row r="481" ht="21.0" customHeight="1">
      <c r="A481" s="4">
        <v>481.0</v>
      </c>
      <c r="B481" s="5" t="s">
        <v>4290</v>
      </c>
      <c r="C481" s="5" t="s">
        <v>18</v>
      </c>
      <c r="D481" s="5" t="s">
        <v>19</v>
      </c>
      <c r="E481" s="5" t="s">
        <v>4291</v>
      </c>
      <c r="F481" s="5" t="s">
        <v>4067</v>
      </c>
      <c r="G481" s="5" t="s">
        <v>4292</v>
      </c>
      <c r="H481" s="5" t="s">
        <v>23</v>
      </c>
      <c r="I481" s="6" t="s">
        <v>4293</v>
      </c>
      <c r="J481" s="4">
        <v>100.0</v>
      </c>
      <c r="K481" s="5" t="s">
        <v>25</v>
      </c>
      <c r="L481" s="5" t="s">
        <v>4294</v>
      </c>
      <c r="M481" s="5" t="s">
        <v>4295</v>
      </c>
      <c r="N481" s="7" t="s">
        <v>4296</v>
      </c>
      <c r="O481" s="9" t="s">
        <v>4297</v>
      </c>
      <c r="P481" s="19" t="s">
        <v>4298</v>
      </c>
      <c r="Q481" s="5" t="s">
        <v>30</v>
      </c>
    </row>
    <row r="482" ht="21.0" customHeight="1">
      <c r="A482" s="4">
        <v>482.0</v>
      </c>
      <c r="B482" s="5" t="s">
        <v>4299</v>
      </c>
      <c r="C482" s="5" t="s">
        <v>18</v>
      </c>
      <c r="D482" s="5" t="s">
        <v>4300</v>
      </c>
      <c r="E482" s="5" t="s">
        <v>4301</v>
      </c>
      <c r="F482" s="5" t="s">
        <v>4067</v>
      </c>
      <c r="G482" s="5" t="s">
        <v>4302</v>
      </c>
      <c r="H482" s="5" t="s">
        <v>23</v>
      </c>
      <c r="I482" s="6" t="s">
        <v>4303</v>
      </c>
      <c r="J482" s="4">
        <v>100.0</v>
      </c>
      <c r="K482" s="5" t="s">
        <v>25</v>
      </c>
      <c r="L482" s="5" t="s">
        <v>4304</v>
      </c>
      <c r="M482" s="5" t="s">
        <v>4305</v>
      </c>
      <c r="N482" s="20" t="s">
        <v>4306</v>
      </c>
      <c r="O482" s="9" t="s">
        <v>4307</v>
      </c>
      <c r="P482" s="19" t="s">
        <v>4308</v>
      </c>
      <c r="Q482" s="5" t="s">
        <v>30</v>
      </c>
    </row>
    <row r="483" ht="21.0" customHeight="1">
      <c r="A483" s="4">
        <v>483.0</v>
      </c>
      <c r="B483" s="5" t="s">
        <v>4309</v>
      </c>
      <c r="C483" s="5" t="s">
        <v>4310</v>
      </c>
      <c r="D483" s="5" t="s">
        <v>19</v>
      </c>
      <c r="E483" s="5" t="s">
        <v>4311</v>
      </c>
      <c r="F483" s="5" t="s">
        <v>4067</v>
      </c>
      <c r="G483" s="5" t="s">
        <v>4312</v>
      </c>
      <c r="H483" s="5" t="s">
        <v>23</v>
      </c>
      <c r="I483" s="6" t="s">
        <v>4313</v>
      </c>
      <c r="J483" s="4">
        <v>100.0</v>
      </c>
      <c r="K483" s="5" t="s">
        <v>25</v>
      </c>
      <c r="L483" s="5" t="s">
        <v>4314</v>
      </c>
      <c r="M483" s="5" t="s">
        <v>4315</v>
      </c>
      <c r="N483" s="7" t="s">
        <v>4316</v>
      </c>
      <c r="O483" s="9" t="s">
        <v>4317</v>
      </c>
      <c r="P483" s="19" t="s">
        <v>4318</v>
      </c>
      <c r="Q483" s="5" t="s">
        <v>30</v>
      </c>
    </row>
    <row r="484" ht="21.0" customHeight="1">
      <c r="A484" s="4">
        <v>484.0</v>
      </c>
      <c r="B484" s="5" t="s">
        <v>4319</v>
      </c>
      <c r="C484" s="5" t="s">
        <v>18</v>
      </c>
      <c r="D484" s="5" t="s">
        <v>19</v>
      </c>
      <c r="E484" s="5" t="s">
        <v>4320</v>
      </c>
      <c r="F484" s="5" t="s">
        <v>4067</v>
      </c>
      <c r="G484" s="5" t="s">
        <v>4321</v>
      </c>
      <c r="H484" s="5" t="s">
        <v>23</v>
      </c>
      <c r="I484" s="6" t="s">
        <v>4322</v>
      </c>
      <c r="J484" s="4">
        <v>100.0</v>
      </c>
      <c r="K484" s="5" t="s">
        <v>84</v>
      </c>
      <c r="L484" s="5" t="s">
        <v>4323</v>
      </c>
      <c r="M484" s="5" t="s">
        <v>4324</v>
      </c>
      <c r="N484" s="7" t="s">
        <v>4325</v>
      </c>
      <c r="O484" s="9" t="s">
        <v>4326</v>
      </c>
      <c r="P484" s="19" t="s">
        <v>4327</v>
      </c>
      <c r="Q484" s="5" t="s">
        <v>30</v>
      </c>
    </row>
    <row r="485" ht="21.0" customHeight="1">
      <c r="A485" s="4">
        <v>485.0</v>
      </c>
      <c r="B485" s="5" t="s">
        <v>4328</v>
      </c>
      <c r="C485" s="5" t="s">
        <v>18</v>
      </c>
      <c r="D485" s="5" t="s">
        <v>19</v>
      </c>
      <c r="E485" s="5" t="s">
        <v>4329</v>
      </c>
      <c r="F485" s="5" t="s">
        <v>4067</v>
      </c>
      <c r="G485" s="5" t="s">
        <v>4330</v>
      </c>
      <c r="H485" s="5" t="s">
        <v>23</v>
      </c>
      <c r="I485" s="6" t="s">
        <v>4331</v>
      </c>
      <c r="J485" s="4">
        <v>100.0</v>
      </c>
      <c r="K485" s="5" t="s">
        <v>1410</v>
      </c>
      <c r="L485" s="5" t="s">
        <v>4332</v>
      </c>
      <c r="M485" s="5" t="s">
        <v>4333</v>
      </c>
      <c r="N485" s="7" t="s">
        <v>4334</v>
      </c>
      <c r="O485" s="9" t="s">
        <v>4335</v>
      </c>
      <c r="P485" s="19" t="s">
        <v>4336</v>
      </c>
      <c r="Q485" s="5" t="s">
        <v>30</v>
      </c>
    </row>
    <row r="486" ht="21.0" customHeight="1">
      <c r="A486" s="4">
        <v>486.0</v>
      </c>
      <c r="B486" s="5" t="s">
        <v>4337</v>
      </c>
      <c r="C486" s="5" t="s">
        <v>18</v>
      </c>
      <c r="D486" s="5" t="s">
        <v>19</v>
      </c>
      <c r="E486" s="5" t="s">
        <v>4338</v>
      </c>
      <c r="F486" s="5" t="s">
        <v>4067</v>
      </c>
      <c r="G486" s="5" t="s">
        <v>4339</v>
      </c>
      <c r="H486" s="5" t="s">
        <v>23</v>
      </c>
      <c r="I486" s="6" t="s">
        <v>4340</v>
      </c>
      <c r="J486" s="4">
        <v>100.0</v>
      </c>
      <c r="K486" s="5" t="s">
        <v>84</v>
      </c>
      <c r="L486" s="5" t="s">
        <v>4341</v>
      </c>
      <c r="M486" s="5" t="s">
        <v>4342</v>
      </c>
      <c r="N486" s="7" t="s">
        <v>4343</v>
      </c>
      <c r="O486" s="9" t="s">
        <v>4344</v>
      </c>
      <c r="P486" s="19" t="s">
        <v>4345</v>
      </c>
      <c r="Q486" s="5" t="s">
        <v>30</v>
      </c>
    </row>
    <row r="487" ht="21.0" customHeight="1">
      <c r="A487" s="4">
        <v>487.0</v>
      </c>
      <c r="B487" s="5" t="s">
        <v>4346</v>
      </c>
      <c r="C487" s="5" t="s">
        <v>18</v>
      </c>
      <c r="D487" s="5" t="s">
        <v>4347</v>
      </c>
      <c r="E487" s="5" t="s">
        <v>4348</v>
      </c>
      <c r="F487" s="5" t="s">
        <v>4067</v>
      </c>
      <c r="G487" s="5" t="s">
        <v>4349</v>
      </c>
      <c r="H487" s="5" t="s">
        <v>23</v>
      </c>
      <c r="I487" s="6" t="s">
        <v>4350</v>
      </c>
      <c r="J487" s="4">
        <v>100.0</v>
      </c>
      <c r="K487" s="5" t="s">
        <v>25</v>
      </c>
      <c r="L487" s="5" t="s">
        <v>4351</v>
      </c>
      <c r="M487" s="5" t="s">
        <v>4352</v>
      </c>
      <c r="N487" s="7" t="s">
        <v>4353</v>
      </c>
      <c r="O487" s="9" t="s">
        <v>4354</v>
      </c>
      <c r="P487" s="19" t="s">
        <v>4355</v>
      </c>
      <c r="Q487" s="5" t="s">
        <v>30</v>
      </c>
    </row>
    <row r="488" ht="21.0" customHeight="1">
      <c r="A488" s="13">
        <v>488.0</v>
      </c>
      <c r="B488" s="14" t="s">
        <v>4356</v>
      </c>
      <c r="C488" s="14" t="s">
        <v>18</v>
      </c>
      <c r="D488" s="14" t="s">
        <v>19</v>
      </c>
      <c r="E488" s="14" t="s">
        <v>4357</v>
      </c>
      <c r="F488" s="14" t="s">
        <v>4358</v>
      </c>
      <c r="G488" s="14" t="s">
        <v>4359</v>
      </c>
      <c r="H488" s="14" t="s">
        <v>23</v>
      </c>
      <c r="I488" s="15" t="s">
        <v>4360</v>
      </c>
      <c r="J488" s="13">
        <v>100.0</v>
      </c>
      <c r="K488" s="14" t="s">
        <v>165</v>
      </c>
      <c r="L488" s="14" t="s">
        <v>4361</v>
      </c>
      <c r="M488" s="14" t="s">
        <v>4362</v>
      </c>
      <c r="N488" s="16" t="s">
        <v>4363</v>
      </c>
      <c r="O488" s="17" t="s">
        <v>4364</v>
      </c>
      <c r="P488" s="26" t="s">
        <v>4365</v>
      </c>
      <c r="Q488" s="5" t="s">
        <v>30</v>
      </c>
      <c r="R488" s="18"/>
      <c r="S488" s="18"/>
      <c r="T488" s="18"/>
      <c r="U488" s="18"/>
      <c r="V488" s="18"/>
      <c r="W488" s="18"/>
      <c r="X488" s="18"/>
      <c r="Y488" s="18"/>
      <c r="Z488" s="18"/>
    </row>
    <row r="489" ht="21.0" customHeight="1">
      <c r="A489" s="4">
        <v>489.0</v>
      </c>
      <c r="B489" s="5" t="s">
        <v>4366</v>
      </c>
      <c r="C489" s="5" t="s">
        <v>18</v>
      </c>
      <c r="D489" s="5" t="s">
        <v>19</v>
      </c>
      <c r="E489" s="5" t="s">
        <v>4367</v>
      </c>
      <c r="F489" s="5" t="s">
        <v>4358</v>
      </c>
      <c r="G489" s="5" t="s">
        <v>4368</v>
      </c>
      <c r="H489" s="5" t="s">
        <v>23</v>
      </c>
      <c r="I489" s="6" t="s">
        <v>4369</v>
      </c>
      <c r="J489" s="4">
        <v>100.0</v>
      </c>
      <c r="K489" s="5" t="s">
        <v>1070</v>
      </c>
      <c r="L489" s="5" t="s">
        <v>4370</v>
      </c>
      <c r="M489" s="5" t="s">
        <v>4371</v>
      </c>
      <c r="N489" s="7" t="s">
        <v>4372</v>
      </c>
      <c r="O489" s="9" t="s">
        <v>4373</v>
      </c>
      <c r="P489" s="19" t="s">
        <v>4374</v>
      </c>
      <c r="Q489" s="5" t="s">
        <v>30</v>
      </c>
    </row>
    <row r="490" ht="21.0" customHeight="1">
      <c r="A490" s="4">
        <v>490.0</v>
      </c>
      <c r="B490" s="5" t="s">
        <v>4375</v>
      </c>
      <c r="C490" s="5" t="s">
        <v>18</v>
      </c>
      <c r="D490" s="5" t="s">
        <v>19</v>
      </c>
      <c r="E490" s="5" t="s">
        <v>4376</v>
      </c>
      <c r="F490" s="5" t="s">
        <v>4358</v>
      </c>
      <c r="G490" s="5" t="s">
        <v>4377</v>
      </c>
      <c r="H490" s="5" t="s">
        <v>23</v>
      </c>
      <c r="I490" s="6" t="s">
        <v>4378</v>
      </c>
      <c r="J490" s="4">
        <v>100.0</v>
      </c>
      <c r="K490" s="5" t="s">
        <v>141</v>
      </c>
      <c r="L490" s="5" t="s">
        <v>4379</v>
      </c>
      <c r="M490" s="5" t="s">
        <v>4380</v>
      </c>
      <c r="N490" s="7" t="s">
        <v>4381</v>
      </c>
      <c r="O490" s="9" t="s">
        <v>4382</v>
      </c>
      <c r="P490" s="19" t="s">
        <v>4383</v>
      </c>
      <c r="Q490" s="5" t="s">
        <v>30</v>
      </c>
    </row>
    <row r="491" ht="21.0" customHeight="1">
      <c r="A491" s="4">
        <v>491.0</v>
      </c>
      <c r="B491" s="5" t="s">
        <v>4384</v>
      </c>
      <c r="C491" s="5" t="s">
        <v>18</v>
      </c>
      <c r="D491" s="5" t="s">
        <v>19</v>
      </c>
      <c r="E491" s="5" t="s">
        <v>4385</v>
      </c>
      <c r="F491" s="5" t="s">
        <v>4358</v>
      </c>
      <c r="G491" s="5" t="s">
        <v>4386</v>
      </c>
      <c r="H491" s="5" t="s">
        <v>23</v>
      </c>
      <c r="I491" s="6" t="s">
        <v>4387</v>
      </c>
      <c r="J491" s="4">
        <v>100.0</v>
      </c>
      <c r="K491" s="5" t="s">
        <v>25</v>
      </c>
      <c r="L491" s="5" t="s">
        <v>4388</v>
      </c>
      <c r="M491" s="5" t="s">
        <v>4389</v>
      </c>
      <c r="N491" s="7" t="s">
        <v>4390</v>
      </c>
      <c r="O491" s="9" t="s">
        <v>4391</v>
      </c>
      <c r="P491" s="19" t="s">
        <v>4392</v>
      </c>
      <c r="Q491" s="5" t="s">
        <v>30</v>
      </c>
    </row>
    <row r="492" ht="21.0" customHeight="1">
      <c r="A492" s="4">
        <v>492.0</v>
      </c>
      <c r="B492" s="5" t="s">
        <v>4393</v>
      </c>
      <c r="C492" s="5" t="s">
        <v>18</v>
      </c>
      <c r="D492" s="5" t="s">
        <v>19</v>
      </c>
      <c r="E492" s="5" t="s">
        <v>4394</v>
      </c>
      <c r="F492" s="5" t="s">
        <v>4358</v>
      </c>
      <c r="G492" s="5" t="s">
        <v>4395</v>
      </c>
      <c r="H492" s="5" t="s">
        <v>23</v>
      </c>
      <c r="I492" s="6" t="s">
        <v>4396</v>
      </c>
      <c r="J492" s="4">
        <v>100.0</v>
      </c>
      <c r="K492" s="5" t="s">
        <v>1070</v>
      </c>
      <c r="L492" s="5" t="s">
        <v>4397</v>
      </c>
      <c r="M492" s="5" t="s">
        <v>4398</v>
      </c>
      <c r="N492" s="7" t="s">
        <v>4399</v>
      </c>
      <c r="O492" s="9" t="s">
        <v>4400</v>
      </c>
      <c r="P492" s="19" t="s">
        <v>4401</v>
      </c>
      <c r="Q492" s="5" t="s">
        <v>30</v>
      </c>
    </row>
    <row r="493" ht="21.0" customHeight="1">
      <c r="A493" s="4">
        <v>493.0</v>
      </c>
      <c r="B493" s="5" t="s">
        <v>4402</v>
      </c>
      <c r="C493" s="5" t="s">
        <v>18</v>
      </c>
      <c r="D493" s="5" t="s">
        <v>19</v>
      </c>
      <c r="E493" s="5" t="s">
        <v>4403</v>
      </c>
      <c r="F493" s="5" t="s">
        <v>4358</v>
      </c>
      <c r="G493" s="5" t="s">
        <v>4404</v>
      </c>
      <c r="H493" s="5" t="s">
        <v>50</v>
      </c>
      <c r="I493" s="6" t="s">
        <v>4405</v>
      </c>
      <c r="J493" s="4">
        <v>100.0</v>
      </c>
      <c r="K493" s="5" t="s">
        <v>1410</v>
      </c>
      <c r="L493" s="5" t="s">
        <v>4406</v>
      </c>
      <c r="M493" s="5" t="s">
        <v>4407</v>
      </c>
      <c r="N493" s="7" t="s">
        <v>4408</v>
      </c>
      <c r="O493" s="9" t="s">
        <v>4409</v>
      </c>
      <c r="P493" s="19" t="s">
        <v>4410</v>
      </c>
      <c r="Q493" s="5" t="s">
        <v>30</v>
      </c>
    </row>
    <row r="494" ht="21.0" customHeight="1">
      <c r="A494" s="4">
        <v>494.0</v>
      </c>
      <c r="B494" s="5" t="s">
        <v>4411</v>
      </c>
      <c r="C494" s="5" t="s">
        <v>18</v>
      </c>
      <c r="D494" s="5" t="s">
        <v>19</v>
      </c>
      <c r="E494" s="5" t="s">
        <v>4412</v>
      </c>
      <c r="F494" s="5" t="s">
        <v>4358</v>
      </c>
      <c r="G494" s="5" t="s">
        <v>4413</v>
      </c>
      <c r="H494" s="5" t="s">
        <v>50</v>
      </c>
      <c r="I494" s="6" t="s">
        <v>4414</v>
      </c>
      <c r="J494" s="4">
        <v>100.0</v>
      </c>
      <c r="K494" s="5" t="s">
        <v>110</v>
      </c>
      <c r="L494" s="5" t="s">
        <v>4415</v>
      </c>
      <c r="M494" s="5" t="s">
        <v>4416</v>
      </c>
      <c r="N494" s="7" t="s">
        <v>4417</v>
      </c>
      <c r="O494" s="9" t="s">
        <v>4418</v>
      </c>
      <c r="P494" s="19" t="s">
        <v>4419</v>
      </c>
      <c r="Q494" s="5" t="s">
        <v>30</v>
      </c>
    </row>
    <row r="495" ht="21.0" customHeight="1">
      <c r="A495" s="4">
        <v>495.0</v>
      </c>
      <c r="B495" s="5" t="s">
        <v>4420</v>
      </c>
      <c r="C495" s="5" t="s">
        <v>4421</v>
      </c>
      <c r="D495" s="5" t="s">
        <v>4422</v>
      </c>
      <c r="E495" s="5" t="s">
        <v>4423</v>
      </c>
      <c r="F495" s="5" t="s">
        <v>4358</v>
      </c>
      <c r="G495" s="5" t="s">
        <v>4424</v>
      </c>
      <c r="H495" s="5" t="s">
        <v>23</v>
      </c>
      <c r="I495" s="6" t="s">
        <v>4425</v>
      </c>
      <c r="J495" s="4">
        <v>100.0</v>
      </c>
      <c r="K495" s="5" t="s">
        <v>25</v>
      </c>
      <c r="L495" s="5" t="s">
        <v>4426</v>
      </c>
      <c r="M495" s="5" t="s">
        <v>4427</v>
      </c>
      <c r="N495" s="7" t="s">
        <v>4428</v>
      </c>
      <c r="O495" s="9" t="s">
        <v>4429</v>
      </c>
      <c r="P495" s="19" t="s">
        <v>4430</v>
      </c>
      <c r="Q495" s="5" t="s">
        <v>30</v>
      </c>
    </row>
    <row r="496" ht="21.0" customHeight="1">
      <c r="A496" s="4">
        <v>496.0</v>
      </c>
      <c r="B496" s="5" t="s">
        <v>4431</v>
      </c>
      <c r="C496" s="5" t="s">
        <v>18</v>
      </c>
      <c r="D496" s="5" t="s">
        <v>19</v>
      </c>
      <c r="E496" s="5" t="s">
        <v>4432</v>
      </c>
      <c r="F496" s="5" t="s">
        <v>4358</v>
      </c>
      <c r="G496" s="5" t="s">
        <v>4433</v>
      </c>
      <c r="H496" s="5" t="s">
        <v>23</v>
      </c>
      <c r="I496" s="6" t="s">
        <v>4434</v>
      </c>
      <c r="J496" s="4">
        <v>100.0</v>
      </c>
      <c r="K496" s="5" t="s">
        <v>316</v>
      </c>
      <c r="L496" s="5" t="s">
        <v>4435</v>
      </c>
      <c r="M496" s="5" t="s">
        <v>4436</v>
      </c>
      <c r="N496" s="7" t="s">
        <v>4437</v>
      </c>
      <c r="O496" s="9" t="s">
        <v>4438</v>
      </c>
      <c r="P496" s="19" t="s">
        <v>4439</v>
      </c>
      <c r="Q496" s="5" t="s">
        <v>30</v>
      </c>
    </row>
    <row r="497" ht="21.0" customHeight="1">
      <c r="A497" s="4">
        <v>497.0</v>
      </c>
      <c r="B497" s="5" t="s">
        <v>4440</v>
      </c>
      <c r="C497" s="5" t="s">
        <v>18</v>
      </c>
      <c r="D497" s="5" t="s">
        <v>19</v>
      </c>
      <c r="E497" s="5" t="s">
        <v>4441</v>
      </c>
      <c r="F497" s="5" t="s">
        <v>4358</v>
      </c>
      <c r="G497" s="5" t="s">
        <v>4442</v>
      </c>
      <c r="H497" s="5" t="s">
        <v>23</v>
      </c>
      <c r="I497" s="6" t="s">
        <v>4443</v>
      </c>
      <c r="J497" s="4">
        <v>100.0</v>
      </c>
      <c r="K497" s="5" t="s">
        <v>84</v>
      </c>
      <c r="L497" s="5" t="s">
        <v>4444</v>
      </c>
      <c r="M497" s="5" t="s">
        <v>4445</v>
      </c>
      <c r="N497" s="7" t="s">
        <v>4446</v>
      </c>
      <c r="O497" s="9" t="s">
        <v>4447</v>
      </c>
      <c r="P497" s="19" t="s">
        <v>4448</v>
      </c>
      <c r="Q497" s="5" t="s">
        <v>30</v>
      </c>
    </row>
    <row r="498" ht="21.0" customHeight="1">
      <c r="A498" s="4">
        <v>498.0</v>
      </c>
      <c r="B498" s="5" t="s">
        <v>4449</v>
      </c>
      <c r="C498" s="5" t="s">
        <v>18</v>
      </c>
      <c r="D498" s="5" t="s">
        <v>4450</v>
      </c>
      <c r="E498" s="5" t="s">
        <v>4451</v>
      </c>
      <c r="F498" s="5" t="s">
        <v>4358</v>
      </c>
      <c r="G498" s="5" t="s">
        <v>34</v>
      </c>
      <c r="H498" s="5" t="s">
        <v>50</v>
      </c>
      <c r="I498" s="6" t="s">
        <v>4452</v>
      </c>
      <c r="J498" s="4">
        <v>100.0</v>
      </c>
      <c r="K498" s="5" t="s">
        <v>517</v>
      </c>
      <c r="L498" s="5" t="s">
        <v>4453</v>
      </c>
      <c r="M498" s="5" t="s">
        <v>4454</v>
      </c>
      <c r="N498" s="7" t="s">
        <v>4455</v>
      </c>
      <c r="O498" s="9" t="s">
        <v>4456</v>
      </c>
      <c r="P498" s="19" t="s">
        <v>4457</v>
      </c>
      <c r="Q498" s="5" t="s">
        <v>30</v>
      </c>
    </row>
    <row r="499" ht="21.0" customHeight="1">
      <c r="A499" s="4">
        <v>499.0</v>
      </c>
      <c r="B499" s="5" t="s">
        <v>4458</v>
      </c>
      <c r="C499" s="5" t="s">
        <v>18</v>
      </c>
      <c r="D499" s="5" t="s">
        <v>19</v>
      </c>
      <c r="E499" s="5" t="s">
        <v>4459</v>
      </c>
      <c r="F499" s="5" t="s">
        <v>4358</v>
      </c>
      <c r="G499" s="5" t="s">
        <v>4413</v>
      </c>
      <c r="H499" s="5" t="s">
        <v>23</v>
      </c>
      <c r="I499" s="6" t="s">
        <v>4460</v>
      </c>
      <c r="J499" s="4">
        <v>100.0</v>
      </c>
      <c r="K499" s="5" t="s">
        <v>84</v>
      </c>
      <c r="L499" s="5" t="s">
        <v>4461</v>
      </c>
      <c r="M499" s="5" t="s">
        <v>4462</v>
      </c>
      <c r="N499" s="7" t="s">
        <v>4463</v>
      </c>
      <c r="O499" s="9" t="s">
        <v>4464</v>
      </c>
      <c r="P499" s="19" t="s">
        <v>4465</v>
      </c>
      <c r="Q499" s="5" t="s">
        <v>30</v>
      </c>
    </row>
    <row r="500" ht="21.0" customHeight="1">
      <c r="A500" s="4">
        <v>500.0</v>
      </c>
      <c r="B500" s="5" t="s">
        <v>4466</v>
      </c>
      <c r="C500" s="5" t="s">
        <v>18</v>
      </c>
      <c r="D500" s="5" t="s">
        <v>19</v>
      </c>
      <c r="E500" s="5" t="s">
        <v>4467</v>
      </c>
      <c r="F500" s="5" t="s">
        <v>4358</v>
      </c>
      <c r="G500" s="5" t="s">
        <v>4468</v>
      </c>
      <c r="H500" s="5" t="s">
        <v>23</v>
      </c>
      <c r="I500" s="6" t="s">
        <v>4469</v>
      </c>
      <c r="J500" s="4">
        <v>100.0</v>
      </c>
      <c r="K500" s="5" t="s">
        <v>52</v>
      </c>
      <c r="L500" s="5" t="s">
        <v>4470</v>
      </c>
      <c r="M500" s="5" t="s">
        <v>4471</v>
      </c>
      <c r="N500" s="7" t="s">
        <v>4472</v>
      </c>
      <c r="O500" s="9" t="s">
        <v>4473</v>
      </c>
      <c r="P500" s="19" t="s">
        <v>4474</v>
      </c>
      <c r="Q500" s="5" t="s">
        <v>30</v>
      </c>
    </row>
    <row r="501" ht="21.0" customHeight="1">
      <c r="A501" s="4">
        <v>501.0</v>
      </c>
      <c r="B501" s="5" t="s">
        <v>4475</v>
      </c>
      <c r="C501" s="5" t="s">
        <v>18</v>
      </c>
      <c r="D501" s="5" t="s">
        <v>19</v>
      </c>
      <c r="E501" s="5" t="s">
        <v>4476</v>
      </c>
      <c r="F501" s="5" t="s">
        <v>4358</v>
      </c>
      <c r="G501" s="5" t="s">
        <v>4477</v>
      </c>
      <c r="H501" s="5" t="s">
        <v>23</v>
      </c>
      <c r="I501" s="6" t="s">
        <v>4478</v>
      </c>
      <c r="J501" s="4">
        <v>100.0</v>
      </c>
      <c r="K501" s="5" t="s">
        <v>84</v>
      </c>
      <c r="L501" s="5" t="s">
        <v>4479</v>
      </c>
      <c r="M501" s="5" t="s">
        <v>4480</v>
      </c>
      <c r="N501" s="7" t="s">
        <v>4481</v>
      </c>
      <c r="O501" s="9" t="s">
        <v>4482</v>
      </c>
      <c r="P501" s="19" t="s">
        <v>4483</v>
      </c>
      <c r="Q501" s="5" t="s">
        <v>30</v>
      </c>
    </row>
    <row r="502" ht="21.0" customHeight="1">
      <c r="A502" s="4">
        <v>502.0</v>
      </c>
      <c r="B502" s="5" t="s">
        <v>4484</v>
      </c>
      <c r="C502" s="5" t="s">
        <v>18</v>
      </c>
      <c r="D502" s="5" t="s">
        <v>19</v>
      </c>
      <c r="E502" s="5" t="s">
        <v>4485</v>
      </c>
      <c r="F502" s="5" t="s">
        <v>4358</v>
      </c>
      <c r="G502" s="5" t="s">
        <v>4486</v>
      </c>
      <c r="H502" s="5" t="s">
        <v>23</v>
      </c>
      <c r="I502" s="6" t="s">
        <v>4487</v>
      </c>
      <c r="J502" s="4">
        <v>100.0</v>
      </c>
      <c r="K502" s="5" t="s">
        <v>1410</v>
      </c>
      <c r="L502" s="5" t="s">
        <v>4488</v>
      </c>
      <c r="M502" s="5" t="s">
        <v>4489</v>
      </c>
      <c r="N502" s="7" t="s">
        <v>4490</v>
      </c>
      <c r="O502" s="9" t="s">
        <v>4491</v>
      </c>
      <c r="P502" s="19" t="s">
        <v>4492</v>
      </c>
      <c r="Q502" s="5" t="s">
        <v>30</v>
      </c>
    </row>
    <row r="503" ht="21.0" customHeight="1">
      <c r="A503" s="4">
        <v>503.0</v>
      </c>
      <c r="B503" s="5" t="s">
        <v>4493</v>
      </c>
      <c r="C503" s="5" t="s">
        <v>4494</v>
      </c>
      <c r="D503" s="5" t="s">
        <v>19</v>
      </c>
      <c r="E503" s="5" t="s">
        <v>4495</v>
      </c>
      <c r="F503" s="5" t="s">
        <v>4358</v>
      </c>
      <c r="G503" s="5" t="s">
        <v>34</v>
      </c>
      <c r="H503" s="5" t="s">
        <v>23</v>
      </c>
      <c r="I503" s="6" t="s">
        <v>4496</v>
      </c>
      <c r="J503" s="4">
        <v>100.0</v>
      </c>
      <c r="K503" s="5" t="s">
        <v>1070</v>
      </c>
      <c r="L503" s="5" t="s">
        <v>4497</v>
      </c>
      <c r="M503" s="5" t="s">
        <v>4498</v>
      </c>
      <c r="N503" s="7" t="s">
        <v>4499</v>
      </c>
      <c r="O503" s="9" t="s">
        <v>4500</v>
      </c>
      <c r="P503" s="19" t="s">
        <v>4501</v>
      </c>
      <c r="Q503" s="5" t="s">
        <v>30</v>
      </c>
    </row>
    <row r="504" ht="21.0" customHeight="1">
      <c r="A504" s="4">
        <v>504.0</v>
      </c>
      <c r="B504" s="5" t="s">
        <v>4502</v>
      </c>
      <c r="C504" s="5" t="s">
        <v>18</v>
      </c>
      <c r="D504" s="5" t="s">
        <v>19</v>
      </c>
      <c r="E504" s="5" t="s">
        <v>4503</v>
      </c>
      <c r="F504" s="5" t="s">
        <v>4358</v>
      </c>
      <c r="G504" s="5" t="s">
        <v>4504</v>
      </c>
      <c r="H504" s="5" t="s">
        <v>23</v>
      </c>
      <c r="I504" s="6" t="s">
        <v>4505</v>
      </c>
      <c r="J504" s="4">
        <v>100.0</v>
      </c>
      <c r="K504" s="5" t="s">
        <v>93</v>
      </c>
      <c r="L504" s="5" t="s">
        <v>4506</v>
      </c>
      <c r="M504" s="5" t="s">
        <v>4507</v>
      </c>
      <c r="N504" s="7" t="s">
        <v>4508</v>
      </c>
      <c r="O504" s="9" t="s">
        <v>4509</v>
      </c>
      <c r="P504" s="19" t="s">
        <v>4510</v>
      </c>
      <c r="Q504" s="5" t="s">
        <v>30</v>
      </c>
    </row>
    <row r="505" ht="21.0" customHeight="1">
      <c r="A505" s="4">
        <v>505.0</v>
      </c>
      <c r="B505" s="5" t="s">
        <v>4511</v>
      </c>
      <c r="C505" s="5" t="s">
        <v>18</v>
      </c>
      <c r="D505" s="5" t="s">
        <v>4512</v>
      </c>
      <c r="E505" s="5" t="s">
        <v>4513</v>
      </c>
      <c r="F505" s="5" t="s">
        <v>4358</v>
      </c>
      <c r="G505" s="5" t="s">
        <v>4514</v>
      </c>
      <c r="H505" s="5" t="s">
        <v>23</v>
      </c>
      <c r="I505" s="6" t="s">
        <v>4515</v>
      </c>
      <c r="J505" s="4">
        <v>100.0</v>
      </c>
      <c r="K505" s="5" t="s">
        <v>25</v>
      </c>
      <c r="L505" s="5" t="s">
        <v>4516</v>
      </c>
      <c r="M505" s="5" t="s">
        <v>4517</v>
      </c>
      <c r="N505" s="7" t="s">
        <v>4518</v>
      </c>
      <c r="O505" s="9" t="s">
        <v>4519</v>
      </c>
      <c r="P505" s="19" t="s">
        <v>4520</v>
      </c>
      <c r="Q505" s="5" t="s">
        <v>30</v>
      </c>
    </row>
    <row r="506" ht="21.0" customHeight="1">
      <c r="A506" s="4">
        <v>506.0</v>
      </c>
      <c r="B506" s="5" t="s">
        <v>4521</v>
      </c>
      <c r="C506" s="5" t="s">
        <v>4522</v>
      </c>
      <c r="D506" s="5" t="s">
        <v>19</v>
      </c>
      <c r="E506" s="5" t="s">
        <v>4523</v>
      </c>
      <c r="F506" s="5" t="s">
        <v>4358</v>
      </c>
      <c r="G506" s="5" t="s">
        <v>4524</v>
      </c>
      <c r="H506" s="5" t="s">
        <v>23</v>
      </c>
      <c r="I506" s="6" t="s">
        <v>4525</v>
      </c>
      <c r="J506" s="4">
        <v>100.0</v>
      </c>
      <c r="K506" s="5" t="s">
        <v>84</v>
      </c>
      <c r="L506" s="5" t="s">
        <v>4526</v>
      </c>
      <c r="M506" s="5" t="s">
        <v>4527</v>
      </c>
      <c r="N506" s="7" t="s">
        <v>4528</v>
      </c>
      <c r="O506" s="9" t="s">
        <v>4529</v>
      </c>
      <c r="P506" s="19" t="s">
        <v>4530</v>
      </c>
      <c r="Q506" s="5" t="s">
        <v>30</v>
      </c>
    </row>
    <row r="507" ht="21.0" customHeight="1">
      <c r="A507" s="4">
        <v>507.0</v>
      </c>
      <c r="B507" s="5" t="s">
        <v>4531</v>
      </c>
      <c r="C507" s="5" t="s">
        <v>18</v>
      </c>
      <c r="D507" s="5" t="s">
        <v>170</v>
      </c>
      <c r="E507" s="5" t="s">
        <v>4532</v>
      </c>
      <c r="F507" s="5" t="s">
        <v>4358</v>
      </c>
      <c r="G507" s="5" t="s">
        <v>4533</v>
      </c>
      <c r="H507" s="5" t="s">
        <v>23</v>
      </c>
      <c r="I507" s="6" t="s">
        <v>4534</v>
      </c>
      <c r="J507" s="4">
        <v>100.0</v>
      </c>
      <c r="K507" s="5" t="s">
        <v>517</v>
      </c>
      <c r="L507" s="5" t="s">
        <v>4535</v>
      </c>
      <c r="M507" s="5" t="s">
        <v>4536</v>
      </c>
      <c r="N507" s="7" t="s">
        <v>4537</v>
      </c>
      <c r="O507" s="9" t="s">
        <v>4538</v>
      </c>
      <c r="P507" s="19" t="s">
        <v>4539</v>
      </c>
      <c r="Q507" s="5" t="s">
        <v>30</v>
      </c>
    </row>
    <row r="508" ht="21.0" customHeight="1">
      <c r="A508" s="4">
        <v>508.0</v>
      </c>
      <c r="B508" s="5" t="s">
        <v>4540</v>
      </c>
      <c r="C508" s="5" t="s">
        <v>18</v>
      </c>
      <c r="D508" s="5" t="s">
        <v>19</v>
      </c>
      <c r="E508" s="5" t="s">
        <v>4541</v>
      </c>
      <c r="F508" s="5" t="s">
        <v>4358</v>
      </c>
      <c r="G508" s="5" t="s">
        <v>4542</v>
      </c>
      <c r="H508" s="5" t="s">
        <v>23</v>
      </c>
      <c r="I508" s="6" t="s">
        <v>4543</v>
      </c>
      <c r="J508" s="4">
        <v>100.0</v>
      </c>
      <c r="K508" s="5" t="s">
        <v>165</v>
      </c>
      <c r="L508" s="5" t="s">
        <v>4544</v>
      </c>
      <c r="M508" s="5" t="s">
        <v>4545</v>
      </c>
      <c r="N508" s="7" t="s">
        <v>4546</v>
      </c>
      <c r="O508" s="9" t="s">
        <v>4547</v>
      </c>
      <c r="P508" s="19" t="s">
        <v>4548</v>
      </c>
      <c r="Q508" s="5" t="s">
        <v>30</v>
      </c>
    </row>
    <row r="509" ht="21.0" customHeight="1">
      <c r="A509" s="4">
        <v>509.0</v>
      </c>
      <c r="B509" s="5" t="s">
        <v>4549</v>
      </c>
      <c r="C509" s="5" t="s">
        <v>18</v>
      </c>
      <c r="D509" s="5" t="s">
        <v>4550</v>
      </c>
      <c r="E509" s="5" t="s">
        <v>4551</v>
      </c>
      <c r="F509" s="5" t="s">
        <v>4358</v>
      </c>
      <c r="G509" s="5" t="s">
        <v>34</v>
      </c>
      <c r="H509" s="5" t="s">
        <v>50</v>
      </c>
      <c r="I509" s="6" t="s">
        <v>4552</v>
      </c>
      <c r="J509" s="4">
        <v>100.0</v>
      </c>
      <c r="K509" s="5" t="s">
        <v>1410</v>
      </c>
      <c r="L509" s="5" t="s">
        <v>4553</v>
      </c>
      <c r="M509" s="5" t="s">
        <v>4554</v>
      </c>
      <c r="N509" s="7" t="s">
        <v>4555</v>
      </c>
      <c r="O509" s="9" t="s">
        <v>4556</v>
      </c>
      <c r="P509" s="19" t="s">
        <v>4557</v>
      </c>
      <c r="Q509" s="5" t="s">
        <v>30</v>
      </c>
    </row>
    <row r="510" ht="21.0" customHeight="1">
      <c r="A510" s="4">
        <v>510.0</v>
      </c>
      <c r="B510" s="5" t="s">
        <v>4558</v>
      </c>
      <c r="C510" s="5" t="s">
        <v>18</v>
      </c>
      <c r="D510" s="5" t="s">
        <v>19</v>
      </c>
      <c r="E510" s="5" t="s">
        <v>4559</v>
      </c>
      <c r="F510" s="5" t="s">
        <v>4358</v>
      </c>
      <c r="G510" s="5" t="s">
        <v>4560</v>
      </c>
      <c r="H510" s="5" t="s">
        <v>23</v>
      </c>
      <c r="I510" s="6" t="s">
        <v>4561</v>
      </c>
      <c r="J510" s="4">
        <v>100.0</v>
      </c>
      <c r="K510" s="5" t="s">
        <v>84</v>
      </c>
      <c r="L510" s="5" t="s">
        <v>4562</v>
      </c>
      <c r="M510" s="5" t="s">
        <v>4563</v>
      </c>
      <c r="N510" s="7" t="s">
        <v>4564</v>
      </c>
      <c r="O510" s="9" t="s">
        <v>4565</v>
      </c>
      <c r="P510" s="19" t="s">
        <v>4566</v>
      </c>
      <c r="Q510" s="5" t="s">
        <v>30</v>
      </c>
    </row>
    <row r="511" ht="21.0" customHeight="1">
      <c r="A511" s="4">
        <v>511.0</v>
      </c>
      <c r="B511" s="5" t="s">
        <v>4567</v>
      </c>
      <c r="C511" s="5" t="s">
        <v>18</v>
      </c>
      <c r="D511" s="5" t="s">
        <v>19</v>
      </c>
      <c r="E511" s="5" t="s">
        <v>4568</v>
      </c>
      <c r="F511" s="5" t="s">
        <v>4358</v>
      </c>
      <c r="G511" s="5" t="s">
        <v>4569</v>
      </c>
      <c r="H511" s="5" t="s">
        <v>23</v>
      </c>
      <c r="I511" s="6" t="s">
        <v>4570</v>
      </c>
      <c r="J511" s="4">
        <v>100.0</v>
      </c>
      <c r="K511" s="5" t="s">
        <v>84</v>
      </c>
      <c r="L511" s="5" t="s">
        <v>4571</v>
      </c>
      <c r="M511" s="5" t="s">
        <v>4572</v>
      </c>
      <c r="N511" s="7" t="s">
        <v>4573</v>
      </c>
      <c r="O511" s="9" t="s">
        <v>4574</v>
      </c>
      <c r="P511" s="19" t="s">
        <v>4575</v>
      </c>
      <c r="Q511" s="5" t="s">
        <v>30</v>
      </c>
    </row>
    <row r="512" ht="21.0" customHeight="1">
      <c r="A512" s="4">
        <v>512.0</v>
      </c>
      <c r="B512" s="5" t="s">
        <v>4576</v>
      </c>
      <c r="C512" s="5" t="s">
        <v>18</v>
      </c>
      <c r="D512" s="5" t="s">
        <v>19</v>
      </c>
      <c r="E512" s="5" t="s">
        <v>4577</v>
      </c>
      <c r="F512" s="5" t="s">
        <v>4358</v>
      </c>
      <c r="G512" s="5" t="s">
        <v>4578</v>
      </c>
      <c r="H512" s="5" t="s">
        <v>23</v>
      </c>
      <c r="I512" s="6" t="s">
        <v>4579</v>
      </c>
      <c r="J512" s="4">
        <v>100.0</v>
      </c>
      <c r="K512" s="5" t="s">
        <v>84</v>
      </c>
      <c r="L512" s="5" t="s">
        <v>4580</v>
      </c>
      <c r="M512" s="5" t="s">
        <v>4581</v>
      </c>
      <c r="N512" s="7" t="s">
        <v>4582</v>
      </c>
      <c r="O512" s="9" t="s">
        <v>4583</v>
      </c>
      <c r="P512" s="19" t="s">
        <v>4584</v>
      </c>
      <c r="Q512" s="5" t="s">
        <v>30</v>
      </c>
    </row>
    <row r="513" ht="21.0" customHeight="1">
      <c r="A513" s="4">
        <v>513.0</v>
      </c>
      <c r="B513" s="5" t="s">
        <v>4585</v>
      </c>
      <c r="C513" s="5" t="s">
        <v>18</v>
      </c>
      <c r="D513" s="5" t="s">
        <v>4586</v>
      </c>
      <c r="E513" s="5" t="s">
        <v>4587</v>
      </c>
      <c r="F513" s="5" t="s">
        <v>4358</v>
      </c>
      <c r="G513" s="5" t="s">
        <v>4588</v>
      </c>
      <c r="H513" s="5" t="s">
        <v>23</v>
      </c>
      <c r="I513" s="6" t="s">
        <v>4589</v>
      </c>
      <c r="J513" s="4">
        <v>100.0</v>
      </c>
      <c r="K513" s="5" t="s">
        <v>84</v>
      </c>
      <c r="L513" s="5" t="s">
        <v>4590</v>
      </c>
      <c r="M513" s="5" t="s">
        <v>4591</v>
      </c>
      <c r="N513" s="7" t="s">
        <v>4592</v>
      </c>
      <c r="O513" s="9" t="s">
        <v>4593</v>
      </c>
      <c r="P513" s="19" t="s">
        <v>4594</v>
      </c>
      <c r="Q513" s="5" t="s">
        <v>30</v>
      </c>
    </row>
    <row r="514" ht="21.0" customHeight="1">
      <c r="A514" s="4">
        <v>514.0</v>
      </c>
      <c r="B514" s="5" t="s">
        <v>4595</v>
      </c>
      <c r="C514" s="5" t="s">
        <v>18</v>
      </c>
      <c r="D514" s="5" t="s">
        <v>19</v>
      </c>
      <c r="E514" s="5" t="s">
        <v>4596</v>
      </c>
      <c r="F514" s="5" t="s">
        <v>4358</v>
      </c>
      <c r="G514" s="5" t="s">
        <v>4597</v>
      </c>
      <c r="H514" s="5" t="s">
        <v>23</v>
      </c>
      <c r="I514" s="6" t="s">
        <v>4598</v>
      </c>
      <c r="J514" s="4">
        <v>100.0</v>
      </c>
      <c r="K514" s="5" t="s">
        <v>93</v>
      </c>
      <c r="L514" s="5" t="s">
        <v>4599</v>
      </c>
      <c r="M514" s="5" t="s">
        <v>4600</v>
      </c>
      <c r="N514" s="7" t="s">
        <v>4601</v>
      </c>
      <c r="O514" s="9" t="s">
        <v>4602</v>
      </c>
      <c r="P514" s="19" t="s">
        <v>4603</v>
      </c>
      <c r="Q514" s="5" t="s">
        <v>30</v>
      </c>
    </row>
    <row r="515" ht="21.0" customHeight="1">
      <c r="A515" s="4">
        <v>515.0</v>
      </c>
      <c r="B515" s="5" t="s">
        <v>4604</v>
      </c>
      <c r="C515" s="5" t="s">
        <v>18</v>
      </c>
      <c r="D515" s="5" t="s">
        <v>4605</v>
      </c>
      <c r="E515" s="5" t="s">
        <v>4606</v>
      </c>
      <c r="F515" s="5" t="s">
        <v>4358</v>
      </c>
      <c r="G515" s="5" t="s">
        <v>4607</v>
      </c>
      <c r="H515" s="5" t="s">
        <v>23</v>
      </c>
      <c r="I515" s="6" t="s">
        <v>4608</v>
      </c>
      <c r="J515" s="4">
        <v>100.0</v>
      </c>
      <c r="K515" s="5" t="s">
        <v>25</v>
      </c>
      <c r="L515" s="5" t="s">
        <v>4609</v>
      </c>
      <c r="M515" s="5" t="s">
        <v>4610</v>
      </c>
      <c r="N515" s="7" t="s">
        <v>4611</v>
      </c>
      <c r="O515" s="9" t="s">
        <v>4612</v>
      </c>
      <c r="P515" s="19" t="s">
        <v>4613</v>
      </c>
      <c r="Q515" s="5" t="s">
        <v>30</v>
      </c>
    </row>
    <row r="516" ht="21.0" customHeight="1">
      <c r="A516" s="4">
        <v>518.0</v>
      </c>
      <c r="B516" s="5" t="s">
        <v>4614</v>
      </c>
      <c r="C516" s="5" t="s">
        <v>4615</v>
      </c>
      <c r="D516" s="5" t="s">
        <v>4616</v>
      </c>
      <c r="E516" s="5" t="s">
        <v>4617</v>
      </c>
      <c r="F516" s="5" t="s">
        <v>4358</v>
      </c>
      <c r="G516" s="5" t="s">
        <v>4618</v>
      </c>
      <c r="H516" s="5" t="s">
        <v>23</v>
      </c>
      <c r="I516" s="6" t="s">
        <v>4619</v>
      </c>
      <c r="J516" s="4">
        <v>100.0</v>
      </c>
      <c r="K516" s="5" t="s">
        <v>25</v>
      </c>
      <c r="L516" s="5" t="s">
        <v>4620</v>
      </c>
      <c r="M516" s="5" t="s">
        <v>4621</v>
      </c>
      <c r="N516" s="7" t="s">
        <v>4622</v>
      </c>
      <c r="O516" s="9" t="s">
        <v>4623</v>
      </c>
      <c r="P516" s="19" t="s">
        <v>4624</v>
      </c>
      <c r="Q516" s="5" t="s">
        <v>30</v>
      </c>
    </row>
    <row r="517" ht="21.0" customHeight="1">
      <c r="A517" s="4">
        <v>519.0</v>
      </c>
      <c r="B517" s="5" t="s">
        <v>4625</v>
      </c>
      <c r="C517" s="5" t="s">
        <v>18</v>
      </c>
      <c r="D517" s="5" t="s">
        <v>19</v>
      </c>
      <c r="E517" s="5" t="s">
        <v>4626</v>
      </c>
      <c r="F517" s="5" t="s">
        <v>4627</v>
      </c>
      <c r="G517" s="5" t="s">
        <v>34</v>
      </c>
      <c r="H517" s="5" t="s">
        <v>23</v>
      </c>
      <c r="I517" s="6" t="s">
        <v>4628</v>
      </c>
      <c r="J517" s="4">
        <v>100.0</v>
      </c>
      <c r="K517" s="5" t="s">
        <v>84</v>
      </c>
      <c r="L517" s="5" t="s">
        <v>4629</v>
      </c>
      <c r="M517" s="5" t="s">
        <v>4630</v>
      </c>
      <c r="N517" s="7" t="s">
        <v>4631</v>
      </c>
      <c r="O517" s="9" t="s">
        <v>4632</v>
      </c>
      <c r="P517" s="19" t="s">
        <v>4633</v>
      </c>
      <c r="Q517" s="5" t="s">
        <v>30</v>
      </c>
    </row>
    <row r="518" ht="21.0" customHeight="1">
      <c r="A518" s="4">
        <v>520.0</v>
      </c>
      <c r="B518" s="5" t="s">
        <v>4634</v>
      </c>
      <c r="C518" s="5" t="s">
        <v>18</v>
      </c>
      <c r="D518" s="5" t="s">
        <v>4635</v>
      </c>
      <c r="E518" s="5" t="s">
        <v>4636</v>
      </c>
      <c r="F518" s="5" t="s">
        <v>4627</v>
      </c>
      <c r="G518" s="5" t="s">
        <v>4637</v>
      </c>
      <c r="H518" s="5" t="s">
        <v>23</v>
      </c>
      <c r="I518" s="6" t="s">
        <v>4638</v>
      </c>
      <c r="J518" s="4">
        <v>100.0</v>
      </c>
      <c r="K518" s="5" t="s">
        <v>292</v>
      </c>
      <c r="L518" s="5" t="s">
        <v>4639</v>
      </c>
      <c r="M518" s="5" t="s">
        <v>4640</v>
      </c>
      <c r="N518" s="7" t="s">
        <v>4641</v>
      </c>
      <c r="O518" s="9" t="s">
        <v>4642</v>
      </c>
      <c r="P518" s="19" t="s">
        <v>4643</v>
      </c>
      <c r="Q518" s="5" t="s">
        <v>30</v>
      </c>
    </row>
    <row r="519" ht="21.0" customHeight="1">
      <c r="A519" s="4">
        <v>521.0</v>
      </c>
      <c r="B519" s="5" t="s">
        <v>4644</v>
      </c>
      <c r="C519" s="5" t="s">
        <v>18</v>
      </c>
      <c r="D519" s="5" t="s">
        <v>4645</v>
      </c>
      <c r="E519" s="5" t="s">
        <v>4646</v>
      </c>
      <c r="F519" s="5" t="s">
        <v>4627</v>
      </c>
      <c r="G519" s="5" t="s">
        <v>4647</v>
      </c>
      <c r="H519" s="5" t="s">
        <v>23</v>
      </c>
      <c r="I519" s="6" t="s">
        <v>4648</v>
      </c>
      <c r="J519" s="4">
        <v>100.0</v>
      </c>
      <c r="K519" s="5" t="s">
        <v>216</v>
      </c>
      <c r="L519" s="5" t="s">
        <v>4649</v>
      </c>
      <c r="M519" s="5" t="s">
        <v>4650</v>
      </c>
      <c r="N519" s="7" t="s">
        <v>4651</v>
      </c>
      <c r="O519" s="9" t="s">
        <v>4652</v>
      </c>
      <c r="P519" s="19" t="s">
        <v>4653</v>
      </c>
      <c r="Q519" s="5" t="s">
        <v>30</v>
      </c>
    </row>
    <row r="520" ht="21.0" customHeight="1">
      <c r="A520" s="4">
        <v>522.0</v>
      </c>
      <c r="B520" s="5" t="s">
        <v>4654</v>
      </c>
      <c r="C520" s="5" t="s">
        <v>18</v>
      </c>
      <c r="D520" s="5" t="s">
        <v>4655</v>
      </c>
      <c r="E520" s="5" t="s">
        <v>4656</v>
      </c>
      <c r="F520" s="5" t="s">
        <v>4627</v>
      </c>
      <c r="G520" s="5" t="s">
        <v>4657</v>
      </c>
      <c r="H520" s="5" t="s">
        <v>23</v>
      </c>
      <c r="I520" s="6" t="s">
        <v>4658</v>
      </c>
      <c r="J520" s="4">
        <v>100.0</v>
      </c>
      <c r="K520" s="5" t="s">
        <v>216</v>
      </c>
      <c r="L520" s="5" t="s">
        <v>4659</v>
      </c>
      <c r="M520" s="5" t="s">
        <v>4660</v>
      </c>
      <c r="N520" s="7" t="s">
        <v>4661</v>
      </c>
      <c r="O520" s="9" t="s">
        <v>4662</v>
      </c>
      <c r="P520" s="19" t="s">
        <v>4663</v>
      </c>
      <c r="Q520" s="5" t="s">
        <v>30</v>
      </c>
    </row>
    <row r="521" ht="21.0" customHeight="1">
      <c r="A521" s="4">
        <v>523.0</v>
      </c>
      <c r="B521" s="5" t="s">
        <v>4664</v>
      </c>
      <c r="C521" s="5" t="s">
        <v>4665</v>
      </c>
      <c r="D521" s="5" t="s">
        <v>19</v>
      </c>
      <c r="E521" s="5" t="s">
        <v>4666</v>
      </c>
      <c r="F521" s="5" t="s">
        <v>4627</v>
      </c>
      <c r="G521" s="5" t="s">
        <v>34</v>
      </c>
      <c r="H521" s="5" t="s">
        <v>23</v>
      </c>
      <c r="I521" s="6" t="s">
        <v>4667</v>
      </c>
      <c r="J521" s="4">
        <v>100.0</v>
      </c>
      <c r="K521" s="5" t="s">
        <v>1410</v>
      </c>
      <c r="L521" s="5" t="s">
        <v>4668</v>
      </c>
      <c r="M521" s="5" t="s">
        <v>4669</v>
      </c>
      <c r="N521" s="7" t="s">
        <v>4670</v>
      </c>
      <c r="O521" s="9" t="s">
        <v>4671</v>
      </c>
      <c r="P521" s="19" t="s">
        <v>4672</v>
      </c>
      <c r="Q521" s="5" t="s">
        <v>30</v>
      </c>
    </row>
    <row r="522" ht="21.0" customHeight="1">
      <c r="A522" s="4">
        <v>524.0</v>
      </c>
      <c r="B522" s="5" t="s">
        <v>4673</v>
      </c>
      <c r="C522" s="5" t="s">
        <v>18</v>
      </c>
      <c r="D522" s="5" t="s">
        <v>19</v>
      </c>
      <c r="E522" s="5" t="s">
        <v>4674</v>
      </c>
      <c r="F522" s="5" t="s">
        <v>4627</v>
      </c>
      <c r="G522" s="5" t="s">
        <v>4675</v>
      </c>
      <c r="H522" s="5" t="s">
        <v>23</v>
      </c>
      <c r="I522" s="6" t="s">
        <v>4676</v>
      </c>
      <c r="J522" s="4">
        <v>100.0</v>
      </c>
      <c r="K522" s="5" t="s">
        <v>517</v>
      </c>
      <c r="L522" s="5" t="s">
        <v>4677</v>
      </c>
      <c r="M522" s="5" t="s">
        <v>4678</v>
      </c>
      <c r="N522" s="7" t="s">
        <v>4679</v>
      </c>
      <c r="O522" s="9" t="s">
        <v>4680</v>
      </c>
      <c r="P522" s="19" t="s">
        <v>4681</v>
      </c>
      <c r="Q522" s="5" t="s">
        <v>30</v>
      </c>
    </row>
    <row r="523" ht="21.0" customHeight="1">
      <c r="A523" s="4">
        <v>525.0</v>
      </c>
      <c r="B523" s="5" t="s">
        <v>4682</v>
      </c>
      <c r="C523" s="5" t="s">
        <v>18</v>
      </c>
      <c r="D523" s="5" t="s">
        <v>4683</v>
      </c>
      <c r="E523" s="5" t="s">
        <v>4684</v>
      </c>
      <c r="F523" s="5" t="s">
        <v>4627</v>
      </c>
      <c r="G523" s="5" t="s">
        <v>4685</v>
      </c>
      <c r="H523" s="5" t="s">
        <v>23</v>
      </c>
      <c r="I523" s="6" t="s">
        <v>4686</v>
      </c>
      <c r="J523" s="4">
        <v>100.0</v>
      </c>
      <c r="K523" s="5" t="s">
        <v>165</v>
      </c>
      <c r="L523" s="5" t="s">
        <v>4687</v>
      </c>
      <c r="M523" s="5" t="s">
        <v>4688</v>
      </c>
      <c r="N523" s="7" t="s">
        <v>4689</v>
      </c>
      <c r="O523" s="9" t="s">
        <v>4690</v>
      </c>
      <c r="P523" s="19" t="s">
        <v>4691</v>
      </c>
      <c r="Q523" s="5" t="s">
        <v>30</v>
      </c>
    </row>
    <row r="524" ht="21.0" customHeight="1">
      <c r="A524" s="4">
        <v>526.0</v>
      </c>
      <c r="B524" s="5" t="s">
        <v>4692</v>
      </c>
      <c r="C524" s="5" t="s">
        <v>4693</v>
      </c>
      <c r="D524" s="5" t="s">
        <v>4694</v>
      </c>
      <c r="E524" s="5" t="s">
        <v>4695</v>
      </c>
      <c r="F524" s="5" t="s">
        <v>4627</v>
      </c>
      <c r="G524" s="5" t="s">
        <v>4696</v>
      </c>
      <c r="H524" s="5" t="s">
        <v>23</v>
      </c>
      <c r="I524" s="6" t="s">
        <v>4697</v>
      </c>
      <c r="J524" s="4">
        <v>100.0</v>
      </c>
      <c r="K524" s="5" t="s">
        <v>25</v>
      </c>
      <c r="L524" s="5" t="s">
        <v>4698</v>
      </c>
      <c r="M524" s="5" t="s">
        <v>4699</v>
      </c>
      <c r="N524" s="7" t="s">
        <v>4700</v>
      </c>
      <c r="O524" s="9" t="s">
        <v>4701</v>
      </c>
      <c r="P524" s="19" t="s">
        <v>4702</v>
      </c>
      <c r="Q524" s="5" t="s">
        <v>30</v>
      </c>
    </row>
    <row r="525" ht="21.0" customHeight="1">
      <c r="A525" s="4">
        <v>527.0</v>
      </c>
      <c r="B525" s="5" t="s">
        <v>4703</v>
      </c>
      <c r="C525" s="5" t="s">
        <v>4704</v>
      </c>
      <c r="D525" s="5" t="s">
        <v>19</v>
      </c>
      <c r="E525" s="5" t="s">
        <v>4705</v>
      </c>
      <c r="F525" s="5" t="s">
        <v>4627</v>
      </c>
      <c r="G525" s="5" t="s">
        <v>4706</v>
      </c>
      <c r="H525" s="5" t="s">
        <v>23</v>
      </c>
      <c r="I525" s="6" t="s">
        <v>4707</v>
      </c>
      <c r="J525" s="4">
        <v>100.0</v>
      </c>
      <c r="K525" s="5" t="s">
        <v>84</v>
      </c>
      <c r="L525" s="5" t="s">
        <v>4708</v>
      </c>
      <c r="M525" s="5" t="s">
        <v>4709</v>
      </c>
      <c r="N525" s="7" t="s">
        <v>4710</v>
      </c>
      <c r="O525" s="9" t="s">
        <v>4711</v>
      </c>
      <c r="P525" s="19" t="s">
        <v>4712</v>
      </c>
      <c r="Q525" s="5" t="s">
        <v>30</v>
      </c>
    </row>
    <row r="526" ht="21.0" customHeight="1">
      <c r="A526" s="4">
        <v>528.0</v>
      </c>
      <c r="B526" s="5" t="s">
        <v>4713</v>
      </c>
      <c r="C526" s="5" t="s">
        <v>18</v>
      </c>
      <c r="D526" s="5" t="s">
        <v>4714</v>
      </c>
      <c r="E526" s="5" t="s">
        <v>4715</v>
      </c>
      <c r="F526" s="5" t="s">
        <v>4627</v>
      </c>
      <c r="G526" s="5" t="s">
        <v>4716</v>
      </c>
      <c r="H526" s="5" t="s">
        <v>23</v>
      </c>
      <c r="I526" s="6" t="s">
        <v>4717</v>
      </c>
      <c r="J526" s="4">
        <v>100.0</v>
      </c>
      <c r="K526" s="5" t="s">
        <v>517</v>
      </c>
      <c r="L526" s="5" t="s">
        <v>4718</v>
      </c>
      <c r="M526" s="5" t="s">
        <v>4719</v>
      </c>
      <c r="N526" s="7" t="s">
        <v>4720</v>
      </c>
      <c r="O526" s="9" t="s">
        <v>4721</v>
      </c>
      <c r="P526" s="19" t="s">
        <v>4722</v>
      </c>
      <c r="Q526" s="5" t="s">
        <v>30</v>
      </c>
    </row>
    <row r="527" ht="21.0" customHeight="1">
      <c r="A527" s="4">
        <v>529.0</v>
      </c>
      <c r="B527" s="5" t="s">
        <v>4723</v>
      </c>
      <c r="C527" s="5" t="s">
        <v>18</v>
      </c>
      <c r="D527" s="5" t="s">
        <v>19</v>
      </c>
      <c r="E527" s="5" t="s">
        <v>4724</v>
      </c>
      <c r="F527" s="5" t="s">
        <v>4627</v>
      </c>
      <c r="G527" s="5" t="s">
        <v>34</v>
      </c>
      <c r="H527" s="5" t="s">
        <v>23</v>
      </c>
      <c r="I527" s="6" t="s">
        <v>4725</v>
      </c>
      <c r="J527" s="4">
        <v>100.0</v>
      </c>
      <c r="K527" s="5" t="s">
        <v>84</v>
      </c>
      <c r="L527" s="5" t="s">
        <v>4726</v>
      </c>
      <c r="M527" s="5" t="s">
        <v>4727</v>
      </c>
      <c r="N527" s="7" t="s">
        <v>4728</v>
      </c>
      <c r="O527" s="9" t="s">
        <v>4729</v>
      </c>
      <c r="P527" s="19" t="s">
        <v>4730</v>
      </c>
      <c r="Q527" s="5" t="s">
        <v>30</v>
      </c>
    </row>
    <row r="528" ht="21.0" customHeight="1">
      <c r="A528" s="4">
        <v>530.0</v>
      </c>
      <c r="B528" s="5" t="s">
        <v>4731</v>
      </c>
      <c r="C528" s="5" t="s">
        <v>4732</v>
      </c>
      <c r="D528" s="5" t="s">
        <v>19</v>
      </c>
      <c r="E528" s="5" t="s">
        <v>4733</v>
      </c>
      <c r="F528" s="5" t="s">
        <v>4627</v>
      </c>
      <c r="G528" s="5" t="s">
        <v>4734</v>
      </c>
      <c r="H528" s="5" t="s">
        <v>23</v>
      </c>
      <c r="I528" s="6" t="s">
        <v>4735</v>
      </c>
      <c r="J528" s="4">
        <v>100.0</v>
      </c>
      <c r="K528" s="5" t="s">
        <v>165</v>
      </c>
      <c r="L528" s="5" t="s">
        <v>4736</v>
      </c>
      <c r="M528" s="5" t="s">
        <v>4737</v>
      </c>
      <c r="N528" s="7" t="s">
        <v>4738</v>
      </c>
      <c r="O528" s="9" t="s">
        <v>4739</v>
      </c>
      <c r="P528" s="19" t="s">
        <v>4740</v>
      </c>
      <c r="Q528" s="5" t="s">
        <v>30</v>
      </c>
    </row>
    <row r="529" ht="21.0" customHeight="1">
      <c r="A529" s="4">
        <v>531.0</v>
      </c>
      <c r="B529" s="5" t="s">
        <v>4741</v>
      </c>
      <c r="C529" s="5" t="s">
        <v>18</v>
      </c>
      <c r="D529" s="5" t="s">
        <v>4742</v>
      </c>
      <c r="E529" s="5" t="s">
        <v>4743</v>
      </c>
      <c r="F529" s="5" t="s">
        <v>4627</v>
      </c>
      <c r="G529" s="5" t="s">
        <v>4744</v>
      </c>
      <c r="H529" s="5" t="s">
        <v>50</v>
      </c>
      <c r="I529" s="6" t="s">
        <v>4745</v>
      </c>
      <c r="J529" s="4">
        <v>100.0</v>
      </c>
      <c r="K529" s="5" t="s">
        <v>517</v>
      </c>
      <c r="L529" s="5" t="s">
        <v>4746</v>
      </c>
      <c r="M529" s="5" t="s">
        <v>4747</v>
      </c>
      <c r="N529" s="7" t="s">
        <v>4748</v>
      </c>
      <c r="O529" s="9" t="s">
        <v>4749</v>
      </c>
      <c r="P529" s="19" t="s">
        <v>4750</v>
      </c>
      <c r="Q529" s="5" t="s">
        <v>30</v>
      </c>
    </row>
    <row r="530" ht="21.0" customHeight="1">
      <c r="A530" s="4">
        <v>532.0</v>
      </c>
      <c r="B530" s="5" t="s">
        <v>4751</v>
      </c>
      <c r="C530" s="5" t="s">
        <v>18</v>
      </c>
      <c r="D530" s="5" t="s">
        <v>4752</v>
      </c>
      <c r="E530" s="5" t="s">
        <v>4753</v>
      </c>
      <c r="F530" s="5" t="s">
        <v>4627</v>
      </c>
      <c r="G530" s="5" t="s">
        <v>4754</v>
      </c>
      <c r="H530" s="5" t="s">
        <v>23</v>
      </c>
      <c r="I530" s="6" t="s">
        <v>4755</v>
      </c>
      <c r="J530" s="4">
        <v>100.0</v>
      </c>
      <c r="K530" s="5" t="s">
        <v>25</v>
      </c>
      <c r="L530" s="5" t="s">
        <v>4756</v>
      </c>
      <c r="M530" s="5" t="s">
        <v>4757</v>
      </c>
      <c r="N530" s="7" t="s">
        <v>4758</v>
      </c>
      <c r="O530" s="9" t="s">
        <v>4759</v>
      </c>
      <c r="P530" s="19" t="s">
        <v>4760</v>
      </c>
      <c r="Q530" s="5" t="s">
        <v>30</v>
      </c>
    </row>
    <row r="531" ht="21.0" customHeight="1">
      <c r="A531" s="4">
        <v>533.0</v>
      </c>
      <c r="B531" s="5" t="s">
        <v>4761</v>
      </c>
      <c r="C531" s="5" t="s">
        <v>18</v>
      </c>
      <c r="D531" s="5" t="s">
        <v>19</v>
      </c>
      <c r="E531" s="5" t="s">
        <v>4762</v>
      </c>
      <c r="F531" s="5" t="s">
        <v>4627</v>
      </c>
      <c r="G531" s="5" t="s">
        <v>4763</v>
      </c>
      <c r="H531" s="5" t="s">
        <v>23</v>
      </c>
      <c r="I531" s="6" t="s">
        <v>4764</v>
      </c>
      <c r="J531" s="4">
        <v>100.0</v>
      </c>
      <c r="K531" s="5" t="s">
        <v>93</v>
      </c>
      <c r="L531" s="5" t="s">
        <v>4765</v>
      </c>
      <c r="M531" s="5" t="s">
        <v>4766</v>
      </c>
      <c r="N531" s="7" t="s">
        <v>4767</v>
      </c>
      <c r="O531" s="9" t="s">
        <v>4768</v>
      </c>
      <c r="P531" s="19" t="s">
        <v>4769</v>
      </c>
      <c r="Q531" s="5" t="s">
        <v>30</v>
      </c>
    </row>
    <row r="532" ht="21.0" customHeight="1">
      <c r="A532" s="4">
        <v>534.0</v>
      </c>
      <c r="B532" s="5" t="s">
        <v>4770</v>
      </c>
      <c r="C532" s="5" t="s">
        <v>4771</v>
      </c>
      <c r="D532" s="5" t="s">
        <v>19</v>
      </c>
      <c r="E532" s="5" t="s">
        <v>4772</v>
      </c>
      <c r="F532" s="5" t="s">
        <v>4627</v>
      </c>
      <c r="G532" s="5" t="s">
        <v>4773</v>
      </c>
      <c r="H532" s="5" t="s">
        <v>23</v>
      </c>
      <c r="I532" s="6" t="s">
        <v>4774</v>
      </c>
      <c r="J532" s="4">
        <v>100.0</v>
      </c>
      <c r="K532" s="5" t="s">
        <v>517</v>
      </c>
      <c r="L532" s="5" t="s">
        <v>4775</v>
      </c>
      <c r="M532" s="5" t="s">
        <v>4776</v>
      </c>
      <c r="N532" s="7" t="s">
        <v>4777</v>
      </c>
      <c r="O532" s="9" t="s">
        <v>4778</v>
      </c>
      <c r="P532" s="19" t="s">
        <v>4779</v>
      </c>
      <c r="Q532" s="5" t="s">
        <v>30</v>
      </c>
    </row>
    <row r="533" ht="21.0" customHeight="1">
      <c r="A533" s="4">
        <v>535.0</v>
      </c>
      <c r="B533" s="5" t="s">
        <v>4780</v>
      </c>
      <c r="C533" s="5" t="s">
        <v>18</v>
      </c>
      <c r="D533" s="5" t="s">
        <v>19</v>
      </c>
      <c r="E533" s="5" t="s">
        <v>4781</v>
      </c>
      <c r="F533" s="5" t="s">
        <v>4627</v>
      </c>
      <c r="G533" s="5" t="s">
        <v>4782</v>
      </c>
      <c r="H533" s="5" t="s">
        <v>23</v>
      </c>
      <c r="I533" s="6" t="s">
        <v>4783</v>
      </c>
      <c r="J533" s="4">
        <v>100.0</v>
      </c>
      <c r="K533" s="5" t="s">
        <v>84</v>
      </c>
      <c r="L533" s="5" t="s">
        <v>4784</v>
      </c>
      <c r="M533" s="5" t="s">
        <v>4785</v>
      </c>
      <c r="N533" s="7" t="s">
        <v>4786</v>
      </c>
      <c r="O533" s="9" t="s">
        <v>4787</v>
      </c>
      <c r="P533" s="19" t="s">
        <v>4788</v>
      </c>
      <c r="Q533" s="5" t="s">
        <v>30</v>
      </c>
    </row>
    <row r="534" ht="21.0" customHeight="1">
      <c r="A534" s="4">
        <v>536.0</v>
      </c>
      <c r="B534" s="5" t="s">
        <v>4789</v>
      </c>
      <c r="C534" s="5" t="s">
        <v>18</v>
      </c>
      <c r="D534" s="5" t="s">
        <v>4790</v>
      </c>
      <c r="E534" s="5" t="s">
        <v>4791</v>
      </c>
      <c r="F534" s="5" t="s">
        <v>4627</v>
      </c>
      <c r="G534" s="5" t="s">
        <v>4792</v>
      </c>
      <c r="H534" s="5" t="s">
        <v>50</v>
      </c>
      <c r="I534" s="6" t="s">
        <v>4793</v>
      </c>
      <c r="J534" s="4">
        <v>100.0</v>
      </c>
      <c r="K534" s="5" t="s">
        <v>275</v>
      </c>
      <c r="L534" s="5" t="s">
        <v>4794</v>
      </c>
      <c r="M534" s="5" t="s">
        <v>4795</v>
      </c>
      <c r="N534" s="7" t="s">
        <v>4796</v>
      </c>
      <c r="O534" s="9" t="s">
        <v>4797</v>
      </c>
      <c r="P534" s="19" t="s">
        <v>4798</v>
      </c>
      <c r="Q534" s="5" t="s">
        <v>30</v>
      </c>
    </row>
    <row r="535" ht="21.0" customHeight="1">
      <c r="A535" s="4">
        <v>537.0</v>
      </c>
      <c r="B535" s="5" t="s">
        <v>4799</v>
      </c>
      <c r="C535" s="5" t="s">
        <v>4800</v>
      </c>
      <c r="D535" s="5" t="s">
        <v>19</v>
      </c>
      <c r="E535" s="5" t="s">
        <v>4801</v>
      </c>
      <c r="F535" s="5" t="s">
        <v>4627</v>
      </c>
      <c r="G535" s="5" t="s">
        <v>4802</v>
      </c>
      <c r="H535" s="5" t="s">
        <v>23</v>
      </c>
      <c r="I535" s="6" t="s">
        <v>4803</v>
      </c>
      <c r="J535" s="4">
        <v>100.0</v>
      </c>
      <c r="K535" s="5" t="s">
        <v>25</v>
      </c>
      <c r="L535" s="5" t="s">
        <v>4804</v>
      </c>
      <c r="M535" s="5" t="s">
        <v>4805</v>
      </c>
      <c r="N535" s="7" t="s">
        <v>4806</v>
      </c>
      <c r="O535" s="9" t="s">
        <v>4807</v>
      </c>
      <c r="P535" s="19" t="s">
        <v>4808</v>
      </c>
      <c r="Q535" s="5" t="s">
        <v>30</v>
      </c>
    </row>
    <row r="536" ht="21.0" customHeight="1">
      <c r="A536" s="4">
        <v>538.0</v>
      </c>
      <c r="B536" s="5" t="s">
        <v>4809</v>
      </c>
      <c r="C536" s="5" t="s">
        <v>18</v>
      </c>
      <c r="D536" s="5" t="s">
        <v>19</v>
      </c>
      <c r="E536" s="5" t="s">
        <v>4810</v>
      </c>
      <c r="F536" s="5" t="s">
        <v>4627</v>
      </c>
      <c r="G536" s="5" t="s">
        <v>4811</v>
      </c>
      <c r="H536" s="5" t="s">
        <v>23</v>
      </c>
      <c r="I536" s="6" t="s">
        <v>4812</v>
      </c>
      <c r="J536" s="4">
        <v>100.0</v>
      </c>
      <c r="K536" s="5" t="s">
        <v>84</v>
      </c>
      <c r="L536" s="5" t="s">
        <v>4813</v>
      </c>
      <c r="M536" s="5" t="s">
        <v>4814</v>
      </c>
      <c r="N536" s="7" t="s">
        <v>4815</v>
      </c>
      <c r="O536" s="9" t="s">
        <v>4816</v>
      </c>
      <c r="P536" s="19" t="s">
        <v>4817</v>
      </c>
      <c r="Q536" s="5" t="s">
        <v>30</v>
      </c>
    </row>
    <row r="537" ht="21.0" customHeight="1">
      <c r="A537" s="4">
        <v>539.0</v>
      </c>
      <c r="B537" s="5" t="s">
        <v>4818</v>
      </c>
      <c r="C537" s="5" t="s">
        <v>18</v>
      </c>
      <c r="D537" s="5" t="s">
        <v>19</v>
      </c>
      <c r="E537" s="5" t="s">
        <v>4819</v>
      </c>
      <c r="F537" s="5" t="s">
        <v>4627</v>
      </c>
      <c r="G537" s="5" t="s">
        <v>4820</v>
      </c>
      <c r="H537" s="5" t="s">
        <v>23</v>
      </c>
      <c r="I537" s="6" t="s">
        <v>4821</v>
      </c>
      <c r="J537" s="4">
        <v>100.0</v>
      </c>
      <c r="K537" s="5" t="s">
        <v>84</v>
      </c>
      <c r="L537" s="5" t="s">
        <v>4822</v>
      </c>
      <c r="M537" s="5" t="s">
        <v>4823</v>
      </c>
      <c r="N537" s="7" t="s">
        <v>4824</v>
      </c>
      <c r="O537" s="9" t="s">
        <v>4825</v>
      </c>
      <c r="P537" s="19" t="s">
        <v>4826</v>
      </c>
      <c r="Q537" s="5" t="s">
        <v>30</v>
      </c>
    </row>
    <row r="538" ht="21.0" customHeight="1">
      <c r="A538" s="4">
        <v>540.0</v>
      </c>
      <c r="B538" s="5" t="s">
        <v>4827</v>
      </c>
      <c r="C538" s="5" t="s">
        <v>18</v>
      </c>
      <c r="D538" s="5" t="s">
        <v>4828</v>
      </c>
      <c r="E538" s="5" t="s">
        <v>4829</v>
      </c>
      <c r="F538" s="5" t="s">
        <v>4627</v>
      </c>
      <c r="G538" s="5" t="s">
        <v>4830</v>
      </c>
      <c r="H538" s="5" t="s">
        <v>23</v>
      </c>
      <c r="I538" s="6" t="s">
        <v>4831</v>
      </c>
      <c r="J538" s="4">
        <v>100.0</v>
      </c>
      <c r="K538" s="5" t="s">
        <v>157</v>
      </c>
      <c r="L538" s="5" t="s">
        <v>4832</v>
      </c>
      <c r="M538" s="5" t="s">
        <v>4833</v>
      </c>
      <c r="N538" s="7" t="s">
        <v>4834</v>
      </c>
      <c r="O538" s="9" t="s">
        <v>4835</v>
      </c>
      <c r="P538" s="19" t="s">
        <v>4836</v>
      </c>
      <c r="Q538" s="5" t="s">
        <v>30</v>
      </c>
    </row>
    <row r="539" ht="21.0" customHeight="1">
      <c r="A539" s="4">
        <v>541.0</v>
      </c>
      <c r="B539" s="5" t="s">
        <v>4837</v>
      </c>
      <c r="C539" s="5" t="s">
        <v>18</v>
      </c>
      <c r="D539" s="5" t="s">
        <v>19</v>
      </c>
      <c r="E539" s="5" t="s">
        <v>4838</v>
      </c>
      <c r="F539" s="5" t="s">
        <v>4627</v>
      </c>
      <c r="G539" s="5" t="s">
        <v>4839</v>
      </c>
      <c r="H539" s="5" t="s">
        <v>23</v>
      </c>
      <c r="I539" s="6" t="s">
        <v>4840</v>
      </c>
      <c r="J539" s="4">
        <v>100.0</v>
      </c>
      <c r="K539" s="5" t="s">
        <v>84</v>
      </c>
      <c r="L539" s="5" t="s">
        <v>4841</v>
      </c>
      <c r="M539" s="5" t="s">
        <v>4842</v>
      </c>
      <c r="N539" s="7" t="s">
        <v>4843</v>
      </c>
      <c r="O539" s="9" t="s">
        <v>4844</v>
      </c>
      <c r="P539" s="19" t="s">
        <v>4845</v>
      </c>
      <c r="Q539" s="5" t="s">
        <v>30</v>
      </c>
    </row>
    <row r="540" ht="21.0" customHeight="1">
      <c r="A540" s="4">
        <v>542.0</v>
      </c>
      <c r="B540" s="5" t="s">
        <v>4846</v>
      </c>
      <c r="C540" s="5" t="s">
        <v>18</v>
      </c>
      <c r="D540" s="5" t="s">
        <v>19</v>
      </c>
      <c r="E540" s="5" t="s">
        <v>4847</v>
      </c>
      <c r="F540" s="5" t="s">
        <v>4627</v>
      </c>
      <c r="G540" s="5" t="s">
        <v>4848</v>
      </c>
      <c r="H540" s="5" t="s">
        <v>23</v>
      </c>
      <c r="I540" s="6" t="s">
        <v>4849</v>
      </c>
      <c r="J540" s="4">
        <v>100.0</v>
      </c>
      <c r="K540" s="5" t="s">
        <v>110</v>
      </c>
      <c r="L540" s="5" t="s">
        <v>4850</v>
      </c>
      <c r="M540" s="5" t="s">
        <v>4851</v>
      </c>
      <c r="N540" s="7" t="s">
        <v>4852</v>
      </c>
      <c r="O540" s="9" t="s">
        <v>4853</v>
      </c>
      <c r="P540" s="19" t="s">
        <v>4854</v>
      </c>
      <c r="Q540" s="5" t="s">
        <v>30</v>
      </c>
    </row>
    <row r="541" ht="21.0" customHeight="1">
      <c r="A541" s="4">
        <v>543.0</v>
      </c>
      <c r="B541" s="5" t="s">
        <v>4855</v>
      </c>
      <c r="C541" s="5" t="s">
        <v>18</v>
      </c>
      <c r="D541" s="5" t="s">
        <v>4856</v>
      </c>
      <c r="E541" s="5" t="s">
        <v>4857</v>
      </c>
      <c r="F541" s="5" t="s">
        <v>4627</v>
      </c>
      <c r="G541" s="5" t="s">
        <v>4858</v>
      </c>
      <c r="H541" s="5" t="s">
        <v>23</v>
      </c>
      <c r="I541" s="6" t="s">
        <v>4859</v>
      </c>
      <c r="J541" s="4">
        <v>100.0</v>
      </c>
      <c r="K541" s="5" t="s">
        <v>84</v>
      </c>
      <c r="L541" s="5" t="s">
        <v>4860</v>
      </c>
      <c r="M541" s="5" t="s">
        <v>4861</v>
      </c>
      <c r="N541" s="7" t="s">
        <v>4862</v>
      </c>
      <c r="O541" s="9" t="s">
        <v>4863</v>
      </c>
      <c r="P541" s="19" t="s">
        <v>4864</v>
      </c>
      <c r="Q541" s="5" t="s">
        <v>30</v>
      </c>
    </row>
    <row r="542" ht="21.0" customHeight="1">
      <c r="A542" s="4">
        <v>544.0</v>
      </c>
      <c r="B542" s="5" t="s">
        <v>4865</v>
      </c>
      <c r="C542" s="5" t="s">
        <v>18</v>
      </c>
      <c r="D542" s="5" t="s">
        <v>3546</v>
      </c>
      <c r="E542" s="5" t="s">
        <v>4866</v>
      </c>
      <c r="F542" s="5" t="s">
        <v>4627</v>
      </c>
      <c r="G542" s="5" t="s">
        <v>4867</v>
      </c>
      <c r="H542" s="5" t="s">
        <v>3537</v>
      </c>
      <c r="I542" s="6" t="s">
        <v>4868</v>
      </c>
      <c r="J542" s="4">
        <v>100.0</v>
      </c>
      <c r="K542" s="5" t="s">
        <v>68</v>
      </c>
      <c r="L542" s="5" t="s">
        <v>4869</v>
      </c>
      <c r="M542" s="5" t="s">
        <v>4870</v>
      </c>
      <c r="N542" s="7" t="s">
        <v>4871</v>
      </c>
      <c r="O542" s="9" t="s">
        <v>4872</v>
      </c>
      <c r="P542" s="19" t="s">
        <v>4873</v>
      </c>
      <c r="Q542" s="5" t="s">
        <v>30</v>
      </c>
    </row>
    <row r="543" ht="21.0" customHeight="1">
      <c r="A543" s="4">
        <v>545.0</v>
      </c>
      <c r="B543" s="5" t="s">
        <v>4874</v>
      </c>
      <c r="C543" s="5" t="s">
        <v>18</v>
      </c>
      <c r="D543" s="5" t="s">
        <v>19</v>
      </c>
      <c r="E543" s="5" t="s">
        <v>4875</v>
      </c>
      <c r="F543" s="5" t="s">
        <v>4627</v>
      </c>
      <c r="G543" s="5" t="s">
        <v>4876</v>
      </c>
      <c r="H543" s="5" t="s">
        <v>23</v>
      </c>
      <c r="I543" s="6" t="s">
        <v>4877</v>
      </c>
      <c r="J543" s="4">
        <v>100.0</v>
      </c>
      <c r="K543" s="5" t="s">
        <v>68</v>
      </c>
      <c r="L543" s="5" t="s">
        <v>4878</v>
      </c>
      <c r="M543" s="5" t="s">
        <v>4879</v>
      </c>
      <c r="N543" s="7" t="s">
        <v>4880</v>
      </c>
      <c r="O543" s="9" t="s">
        <v>4881</v>
      </c>
      <c r="P543" s="19" t="s">
        <v>4882</v>
      </c>
      <c r="Q543" s="5" t="s">
        <v>30</v>
      </c>
    </row>
    <row r="544" ht="21.0" customHeight="1">
      <c r="A544" s="4">
        <v>546.0</v>
      </c>
      <c r="B544" s="5" t="s">
        <v>4883</v>
      </c>
      <c r="C544" s="5" t="s">
        <v>18</v>
      </c>
      <c r="D544" s="5" t="s">
        <v>4884</v>
      </c>
      <c r="E544" s="5" t="s">
        <v>4885</v>
      </c>
      <c r="F544" s="5" t="s">
        <v>4627</v>
      </c>
      <c r="G544" s="5" t="s">
        <v>4886</v>
      </c>
      <c r="H544" s="5" t="s">
        <v>23</v>
      </c>
      <c r="I544" s="6" t="s">
        <v>4887</v>
      </c>
      <c r="J544" s="4">
        <v>100.0</v>
      </c>
      <c r="K544" s="5" t="s">
        <v>517</v>
      </c>
      <c r="L544" s="5" t="s">
        <v>4888</v>
      </c>
      <c r="M544" s="5" t="s">
        <v>4889</v>
      </c>
      <c r="N544" s="7" t="s">
        <v>4890</v>
      </c>
      <c r="O544" s="9" t="s">
        <v>4891</v>
      </c>
      <c r="P544" s="19" t="s">
        <v>4892</v>
      </c>
      <c r="Q544" s="5" t="s">
        <v>30</v>
      </c>
    </row>
    <row r="545" ht="21.0" customHeight="1">
      <c r="A545" s="4">
        <v>547.0</v>
      </c>
      <c r="B545" s="5" t="s">
        <v>4893</v>
      </c>
      <c r="C545" s="5" t="s">
        <v>4894</v>
      </c>
      <c r="D545" s="5" t="s">
        <v>4895</v>
      </c>
      <c r="E545" s="5" t="s">
        <v>4896</v>
      </c>
      <c r="F545" s="5" t="s">
        <v>4627</v>
      </c>
      <c r="G545" s="5" t="s">
        <v>4897</v>
      </c>
      <c r="H545" s="5" t="s">
        <v>23</v>
      </c>
      <c r="I545" s="6" t="s">
        <v>4898</v>
      </c>
      <c r="J545" s="4">
        <v>100.0</v>
      </c>
      <c r="K545" s="5" t="s">
        <v>25</v>
      </c>
      <c r="L545" s="5" t="s">
        <v>4899</v>
      </c>
      <c r="M545" s="5" t="s">
        <v>4900</v>
      </c>
      <c r="N545" s="7" t="s">
        <v>4901</v>
      </c>
      <c r="O545" s="9" t="s">
        <v>4902</v>
      </c>
      <c r="P545" s="19" t="s">
        <v>4903</v>
      </c>
      <c r="Q545" s="5" t="s">
        <v>30</v>
      </c>
    </row>
    <row r="546" ht="21.0" customHeight="1">
      <c r="A546" s="4">
        <v>548.0</v>
      </c>
      <c r="B546" s="5" t="s">
        <v>4904</v>
      </c>
      <c r="C546" s="5" t="s">
        <v>18</v>
      </c>
      <c r="D546" s="5" t="s">
        <v>4905</v>
      </c>
      <c r="E546" s="5" t="s">
        <v>4906</v>
      </c>
      <c r="F546" s="5" t="s">
        <v>4627</v>
      </c>
      <c r="G546" s="5" t="s">
        <v>4907</v>
      </c>
      <c r="H546" s="5" t="s">
        <v>23</v>
      </c>
      <c r="I546" s="6" t="s">
        <v>4908</v>
      </c>
      <c r="J546" s="4">
        <v>100.0</v>
      </c>
      <c r="K546" s="5" t="s">
        <v>165</v>
      </c>
      <c r="L546" s="5" t="s">
        <v>4909</v>
      </c>
      <c r="M546" s="5" t="s">
        <v>4910</v>
      </c>
      <c r="N546" s="7" t="s">
        <v>4911</v>
      </c>
      <c r="O546" s="9" t="s">
        <v>4912</v>
      </c>
      <c r="P546" s="19" t="s">
        <v>4913</v>
      </c>
      <c r="Q546" s="5" t="s">
        <v>30</v>
      </c>
    </row>
    <row r="547" ht="21.0" customHeight="1">
      <c r="A547" s="4">
        <v>549.0</v>
      </c>
      <c r="B547" s="5" t="s">
        <v>4914</v>
      </c>
      <c r="C547" s="5" t="s">
        <v>18</v>
      </c>
      <c r="D547" s="5" t="s">
        <v>4915</v>
      </c>
      <c r="E547" s="5" t="s">
        <v>4916</v>
      </c>
      <c r="F547" s="5" t="s">
        <v>4627</v>
      </c>
      <c r="G547" s="5" t="s">
        <v>4917</v>
      </c>
      <c r="H547" s="5" t="s">
        <v>23</v>
      </c>
      <c r="I547" s="6" t="s">
        <v>4918</v>
      </c>
      <c r="J547" s="4">
        <v>100.0</v>
      </c>
      <c r="K547" s="5" t="s">
        <v>25</v>
      </c>
      <c r="L547" s="5" t="s">
        <v>4919</v>
      </c>
      <c r="M547" s="5" t="s">
        <v>4920</v>
      </c>
      <c r="N547" s="7" t="s">
        <v>4921</v>
      </c>
      <c r="O547" s="9" t="s">
        <v>4922</v>
      </c>
      <c r="P547" s="19" t="s">
        <v>4923</v>
      </c>
      <c r="Q547" s="5" t="s">
        <v>30</v>
      </c>
    </row>
    <row r="548" ht="21.0" customHeight="1">
      <c r="A548" s="4">
        <v>550.0</v>
      </c>
      <c r="B548" s="5" t="s">
        <v>4924</v>
      </c>
      <c r="C548" s="5" t="s">
        <v>18</v>
      </c>
      <c r="D548" s="5" t="s">
        <v>4925</v>
      </c>
      <c r="E548" s="5" t="s">
        <v>4926</v>
      </c>
      <c r="F548" s="5" t="s">
        <v>4627</v>
      </c>
      <c r="G548" s="5" t="s">
        <v>4927</v>
      </c>
      <c r="H548" s="5" t="s">
        <v>50</v>
      </c>
      <c r="I548" s="6" t="s">
        <v>4928</v>
      </c>
      <c r="J548" s="4">
        <v>100.0</v>
      </c>
      <c r="K548" s="5" t="s">
        <v>557</v>
      </c>
      <c r="L548" s="5" t="s">
        <v>4929</v>
      </c>
      <c r="M548" s="5" t="s">
        <v>4930</v>
      </c>
      <c r="N548" s="7" t="s">
        <v>4931</v>
      </c>
      <c r="O548" s="9" t="s">
        <v>4932</v>
      </c>
      <c r="P548" s="19" t="s">
        <v>4933</v>
      </c>
      <c r="Q548" s="5" t="s">
        <v>30</v>
      </c>
    </row>
    <row r="549" ht="21.0" customHeight="1">
      <c r="A549" s="4">
        <v>551.0</v>
      </c>
      <c r="B549" s="5" t="s">
        <v>4934</v>
      </c>
      <c r="C549" s="5" t="s">
        <v>18</v>
      </c>
      <c r="D549" s="5" t="s">
        <v>1293</v>
      </c>
      <c r="E549" s="5" t="s">
        <v>4935</v>
      </c>
      <c r="F549" s="5" t="s">
        <v>4627</v>
      </c>
      <c r="G549" s="5" t="s">
        <v>4936</v>
      </c>
      <c r="H549" s="5" t="s">
        <v>23</v>
      </c>
      <c r="I549" s="6" t="s">
        <v>4937</v>
      </c>
      <c r="J549" s="4">
        <v>100.0</v>
      </c>
      <c r="K549" s="5" t="s">
        <v>25</v>
      </c>
      <c r="L549" s="5" t="s">
        <v>4938</v>
      </c>
      <c r="M549" s="5" t="s">
        <v>4939</v>
      </c>
      <c r="N549" s="7" t="s">
        <v>4940</v>
      </c>
      <c r="O549" s="9" t="s">
        <v>4941</v>
      </c>
      <c r="P549" s="19" t="s">
        <v>4942</v>
      </c>
      <c r="Q549" s="5" t="s">
        <v>30</v>
      </c>
    </row>
    <row r="550" ht="21.0" customHeight="1">
      <c r="A550" s="4">
        <v>552.0</v>
      </c>
      <c r="B550" s="5" t="s">
        <v>4943</v>
      </c>
      <c r="C550" s="5" t="s">
        <v>18</v>
      </c>
      <c r="D550" s="5" t="s">
        <v>4944</v>
      </c>
      <c r="E550" s="5" t="s">
        <v>4945</v>
      </c>
      <c r="F550" s="5" t="s">
        <v>4627</v>
      </c>
      <c r="G550" s="5" t="s">
        <v>4946</v>
      </c>
      <c r="H550" s="5" t="s">
        <v>23</v>
      </c>
      <c r="I550" s="6" t="s">
        <v>4947</v>
      </c>
      <c r="J550" s="4">
        <v>100.0</v>
      </c>
      <c r="K550" s="5" t="s">
        <v>165</v>
      </c>
      <c r="L550" s="5" t="s">
        <v>4948</v>
      </c>
      <c r="M550" s="5" t="s">
        <v>4949</v>
      </c>
      <c r="N550" s="7" t="s">
        <v>4950</v>
      </c>
      <c r="O550" s="9" t="s">
        <v>4951</v>
      </c>
      <c r="P550" s="19" t="s">
        <v>4952</v>
      </c>
      <c r="Q550" s="5" t="s">
        <v>30</v>
      </c>
    </row>
    <row r="551" ht="21.0" customHeight="1">
      <c r="A551" s="4">
        <v>553.0</v>
      </c>
      <c r="B551" s="5" t="s">
        <v>4953</v>
      </c>
      <c r="C551" s="5" t="s">
        <v>18</v>
      </c>
      <c r="D551" s="5" t="s">
        <v>4954</v>
      </c>
      <c r="E551" s="5" t="s">
        <v>4955</v>
      </c>
      <c r="F551" s="5" t="s">
        <v>4627</v>
      </c>
      <c r="G551" s="5" t="s">
        <v>4956</v>
      </c>
      <c r="H551" s="5" t="s">
        <v>23</v>
      </c>
      <c r="I551" s="6" t="s">
        <v>4957</v>
      </c>
      <c r="J551" s="4">
        <v>100.0</v>
      </c>
      <c r="K551" s="5" t="s">
        <v>517</v>
      </c>
      <c r="L551" s="5" t="s">
        <v>4958</v>
      </c>
      <c r="M551" s="5" t="s">
        <v>4959</v>
      </c>
      <c r="N551" s="7" t="s">
        <v>4960</v>
      </c>
      <c r="O551" s="9" t="s">
        <v>4961</v>
      </c>
      <c r="P551" s="19" t="s">
        <v>4962</v>
      </c>
      <c r="Q551" s="5" t="s">
        <v>30</v>
      </c>
    </row>
    <row r="552" ht="21.0" customHeight="1">
      <c r="A552" s="4">
        <v>554.0</v>
      </c>
      <c r="B552" s="5" t="s">
        <v>4963</v>
      </c>
      <c r="C552" s="5" t="s">
        <v>4964</v>
      </c>
      <c r="D552" s="5" t="s">
        <v>19</v>
      </c>
      <c r="E552" s="5" t="s">
        <v>4965</v>
      </c>
      <c r="F552" s="5" t="s">
        <v>4627</v>
      </c>
      <c r="G552" s="5" t="s">
        <v>4966</v>
      </c>
      <c r="H552" s="5" t="s">
        <v>23</v>
      </c>
      <c r="I552" s="6" t="s">
        <v>4967</v>
      </c>
      <c r="J552" s="4">
        <v>100.0</v>
      </c>
      <c r="K552" s="5" t="s">
        <v>25</v>
      </c>
      <c r="L552" s="5" t="s">
        <v>4968</v>
      </c>
      <c r="M552" s="5" t="s">
        <v>4969</v>
      </c>
      <c r="N552" s="7" t="s">
        <v>4970</v>
      </c>
      <c r="O552" s="9" t="s">
        <v>4971</v>
      </c>
      <c r="P552" s="5" t="s">
        <v>30</v>
      </c>
      <c r="Q552" s="5" t="s">
        <v>30</v>
      </c>
    </row>
    <row r="553" ht="21.0" customHeight="1">
      <c r="A553" s="4">
        <v>555.0</v>
      </c>
      <c r="B553" s="5" t="s">
        <v>4972</v>
      </c>
      <c r="C553" s="5" t="s">
        <v>18</v>
      </c>
      <c r="D553" s="5" t="s">
        <v>19</v>
      </c>
      <c r="E553" s="5" t="s">
        <v>4973</v>
      </c>
      <c r="F553" s="5" t="s">
        <v>4627</v>
      </c>
      <c r="G553" s="5" t="s">
        <v>4974</v>
      </c>
      <c r="H553" s="5" t="s">
        <v>23</v>
      </c>
      <c r="I553" s="6" t="s">
        <v>4975</v>
      </c>
      <c r="J553" s="4">
        <v>100.0</v>
      </c>
      <c r="K553" s="5" t="s">
        <v>25</v>
      </c>
      <c r="L553" s="5" t="s">
        <v>4976</v>
      </c>
      <c r="M553" s="5" t="s">
        <v>4977</v>
      </c>
      <c r="N553" s="7" t="s">
        <v>4978</v>
      </c>
      <c r="O553" s="9" t="s">
        <v>4979</v>
      </c>
      <c r="P553" s="19" t="s">
        <v>4980</v>
      </c>
      <c r="Q553" s="5" t="s">
        <v>30</v>
      </c>
    </row>
    <row r="554" ht="21.0" customHeight="1">
      <c r="A554" s="4">
        <v>556.0</v>
      </c>
      <c r="B554" s="5" t="s">
        <v>4981</v>
      </c>
      <c r="C554" s="5" t="s">
        <v>18</v>
      </c>
      <c r="D554" s="5" t="s">
        <v>19</v>
      </c>
      <c r="E554" s="5" t="s">
        <v>4982</v>
      </c>
      <c r="F554" s="5" t="s">
        <v>4627</v>
      </c>
      <c r="G554" s="5" t="s">
        <v>4983</v>
      </c>
      <c r="H554" s="5" t="s">
        <v>23</v>
      </c>
      <c r="I554" s="6" t="s">
        <v>4984</v>
      </c>
      <c r="J554" s="4">
        <v>100.0</v>
      </c>
      <c r="K554" s="5" t="s">
        <v>1070</v>
      </c>
      <c r="L554" s="5" t="s">
        <v>4985</v>
      </c>
      <c r="M554" s="5" t="s">
        <v>4986</v>
      </c>
      <c r="N554" s="7" t="s">
        <v>4987</v>
      </c>
      <c r="O554" s="9" t="s">
        <v>4988</v>
      </c>
      <c r="P554" s="19" t="s">
        <v>4989</v>
      </c>
      <c r="Q554" s="5" t="s">
        <v>30</v>
      </c>
    </row>
    <row r="555" ht="21.0" customHeight="1">
      <c r="A555" s="4">
        <v>557.0</v>
      </c>
      <c r="B555" s="5" t="s">
        <v>4990</v>
      </c>
      <c r="C555" s="5" t="s">
        <v>18</v>
      </c>
      <c r="D555" s="5" t="s">
        <v>4991</v>
      </c>
      <c r="E555" s="5" t="s">
        <v>4992</v>
      </c>
      <c r="F555" s="5" t="s">
        <v>4627</v>
      </c>
      <c r="G555" s="5" t="s">
        <v>4993</v>
      </c>
      <c r="H555" s="5" t="s">
        <v>23</v>
      </c>
      <c r="I555" s="6" t="s">
        <v>4994</v>
      </c>
      <c r="J555" s="4">
        <v>100.0</v>
      </c>
      <c r="K555" s="5" t="s">
        <v>93</v>
      </c>
      <c r="L555" s="5" t="s">
        <v>4995</v>
      </c>
      <c r="M555" s="5" t="s">
        <v>4996</v>
      </c>
      <c r="N555" s="7" t="s">
        <v>4997</v>
      </c>
      <c r="O555" s="9" t="s">
        <v>4998</v>
      </c>
      <c r="P555" s="5" t="s">
        <v>30</v>
      </c>
      <c r="Q555" s="5" t="s">
        <v>30</v>
      </c>
    </row>
    <row r="556" ht="21.0" customHeight="1">
      <c r="A556" s="4">
        <v>558.0</v>
      </c>
      <c r="B556" s="5" t="s">
        <v>4999</v>
      </c>
      <c r="C556" s="5" t="s">
        <v>18</v>
      </c>
      <c r="D556" s="5" t="s">
        <v>5000</v>
      </c>
      <c r="E556" s="5" t="s">
        <v>5001</v>
      </c>
      <c r="F556" s="5" t="s">
        <v>4627</v>
      </c>
      <c r="G556" s="5" t="s">
        <v>5002</v>
      </c>
      <c r="H556" s="5" t="s">
        <v>23</v>
      </c>
      <c r="I556" s="6" t="s">
        <v>5003</v>
      </c>
      <c r="J556" s="4">
        <v>100.0</v>
      </c>
      <c r="K556" s="5" t="s">
        <v>84</v>
      </c>
      <c r="L556" s="5" t="s">
        <v>5004</v>
      </c>
      <c r="M556" s="5" t="s">
        <v>5005</v>
      </c>
      <c r="N556" s="7" t="s">
        <v>5006</v>
      </c>
      <c r="O556" s="9" t="s">
        <v>5007</v>
      </c>
      <c r="P556" s="19" t="s">
        <v>5008</v>
      </c>
      <c r="Q556" s="5" t="s">
        <v>30</v>
      </c>
    </row>
    <row r="557" ht="21.0" customHeight="1">
      <c r="A557" s="4">
        <v>559.0</v>
      </c>
      <c r="B557" s="5" t="s">
        <v>5009</v>
      </c>
      <c r="C557" s="5" t="s">
        <v>5010</v>
      </c>
      <c r="D557" s="5" t="s">
        <v>5011</v>
      </c>
      <c r="E557" s="5" t="s">
        <v>5012</v>
      </c>
      <c r="F557" s="5" t="s">
        <v>4627</v>
      </c>
      <c r="G557" s="5" t="s">
        <v>5013</v>
      </c>
      <c r="H557" s="5" t="s">
        <v>23</v>
      </c>
      <c r="I557" s="6" t="s">
        <v>5014</v>
      </c>
      <c r="J557" s="4">
        <v>100.0</v>
      </c>
      <c r="K557" s="5" t="s">
        <v>157</v>
      </c>
      <c r="L557" s="5" t="s">
        <v>5015</v>
      </c>
      <c r="M557" s="5" t="s">
        <v>5016</v>
      </c>
      <c r="N557" s="7" t="s">
        <v>5017</v>
      </c>
      <c r="O557" s="9" t="s">
        <v>5018</v>
      </c>
      <c r="P557" s="19" t="s">
        <v>5019</v>
      </c>
      <c r="Q557" s="5" t="s">
        <v>30</v>
      </c>
    </row>
    <row r="558" ht="21.0" customHeight="1">
      <c r="A558" s="4">
        <v>560.0</v>
      </c>
      <c r="B558" s="5" t="s">
        <v>5020</v>
      </c>
      <c r="C558" s="5" t="s">
        <v>18</v>
      </c>
      <c r="D558" s="5" t="s">
        <v>19</v>
      </c>
      <c r="E558" s="5" t="s">
        <v>5021</v>
      </c>
      <c r="F558" s="5" t="s">
        <v>4627</v>
      </c>
      <c r="G558" s="5" t="s">
        <v>5022</v>
      </c>
      <c r="H558" s="5" t="s">
        <v>23</v>
      </c>
      <c r="I558" s="6" t="s">
        <v>5023</v>
      </c>
      <c r="J558" s="4">
        <v>100.0</v>
      </c>
      <c r="K558" s="5" t="s">
        <v>93</v>
      </c>
      <c r="L558" s="5" t="s">
        <v>5024</v>
      </c>
      <c r="M558" s="5" t="s">
        <v>5025</v>
      </c>
      <c r="N558" s="7" t="s">
        <v>5026</v>
      </c>
      <c r="O558" s="39" t="s">
        <v>5027</v>
      </c>
      <c r="P558" s="19" t="s">
        <v>5028</v>
      </c>
      <c r="Q558" s="5" t="s">
        <v>30</v>
      </c>
    </row>
    <row r="559" ht="21.0" customHeight="1">
      <c r="A559" s="4">
        <v>561.0</v>
      </c>
      <c r="B559" s="5" t="s">
        <v>5029</v>
      </c>
      <c r="C559" s="5" t="s">
        <v>18</v>
      </c>
      <c r="D559" s="5" t="s">
        <v>5030</v>
      </c>
      <c r="E559" s="5" t="s">
        <v>5031</v>
      </c>
      <c r="F559" s="5" t="s">
        <v>4627</v>
      </c>
      <c r="G559" s="5" t="s">
        <v>34</v>
      </c>
      <c r="H559" s="5"/>
      <c r="I559" s="6" t="s">
        <v>5032</v>
      </c>
      <c r="J559" s="4">
        <v>100.0</v>
      </c>
      <c r="K559" s="5" t="s">
        <v>84</v>
      </c>
      <c r="L559" s="5" t="s">
        <v>5033</v>
      </c>
      <c r="M559" s="5" t="s">
        <v>300</v>
      </c>
      <c r="N559" s="7" t="s">
        <v>5034</v>
      </c>
      <c r="O559" s="9" t="s">
        <v>5035</v>
      </c>
      <c r="P559" s="19" t="s">
        <v>5036</v>
      </c>
      <c r="Q559" s="5" t="s">
        <v>30</v>
      </c>
    </row>
    <row r="560" ht="21.0" customHeight="1">
      <c r="A560" s="4">
        <v>562.0</v>
      </c>
      <c r="B560" s="5" t="s">
        <v>5037</v>
      </c>
      <c r="C560" s="5" t="s">
        <v>18</v>
      </c>
      <c r="D560" s="5" t="s">
        <v>5038</v>
      </c>
      <c r="E560" s="5" t="s">
        <v>5039</v>
      </c>
      <c r="F560" s="5" t="s">
        <v>4627</v>
      </c>
      <c r="G560" s="5" t="s">
        <v>34</v>
      </c>
      <c r="H560" s="5" t="s">
        <v>23</v>
      </c>
      <c r="I560" s="6" t="s">
        <v>5040</v>
      </c>
      <c r="J560" s="4">
        <v>100.0</v>
      </c>
      <c r="K560" s="5" t="s">
        <v>84</v>
      </c>
      <c r="L560" s="5" t="s">
        <v>5041</v>
      </c>
      <c r="M560" s="5" t="s">
        <v>5042</v>
      </c>
      <c r="N560" s="7" t="s">
        <v>5043</v>
      </c>
      <c r="O560" s="9" t="s">
        <v>5044</v>
      </c>
      <c r="P560" s="19" t="s">
        <v>5045</v>
      </c>
      <c r="Q560" s="5" t="s">
        <v>30</v>
      </c>
    </row>
    <row r="561" ht="21.0" customHeight="1">
      <c r="A561" s="4">
        <v>563.0</v>
      </c>
      <c r="B561" s="5" t="s">
        <v>5046</v>
      </c>
      <c r="C561" s="5" t="s">
        <v>5047</v>
      </c>
      <c r="D561" s="5" t="s">
        <v>3515</v>
      </c>
      <c r="E561" s="5" t="s">
        <v>5048</v>
      </c>
      <c r="F561" s="5" t="s">
        <v>4627</v>
      </c>
      <c r="G561" s="5" t="s">
        <v>5049</v>
      </c>
      <c r="H561" s="5" t="s">
        <v>23</v>
      </c>
      <c r="I561" s="6" t="s">
        <v>5050</v>
      </c>
      <c r="J561" s="4">
        <v>100.0</v>
      </c>
      <c r="K561" s="5" t="s">
        <v>84</v>
      </c>
      <c r="L561" s="5" t="s">
        <v>5051</v>
      </c>
      <c r="M561" s="5" t="s">
        <v>5052</v>
      </c>
      <c r="N561" s="7" t="s">
        <v>5053</v>
      </c>
      <c r="O561" s="9" t="s">
        <v>5054</v>
      </c>
      <c r="P561" s="19" t="s">
        <v>5055</v>
      </c>
      <c r="Q561" s="5" t="s">
        <v>30</v>
      </c>
    </row>
    <row r="562" ht="21.0" customHeight="1">
      <c r="A562" s="4">
        <v>564.0</v>
      </c>
      <c r="B562" s="5" t="s">
        <v>5056</v>
      </c>
      <c r="C562" s="5" t="s">
        <v>5057</v>
      </c>
      <c r="D562" s="5" t="s">
        <v>19</v>
      </c>
      <c r="E562" s="5" t="s">
        <v>5058</v>
      </c>
      <c r="F562" s="5" t="s">
        <v>4627</v>
      </c>
      <c r="G562" s="5" t="s">
        <v>34</v>
      </c>
      <c r="H562" s="5" t="s">
        <v>23</v>
      </c>
      <c r="I562" s="6" t="s">
        <v>5059</v>
      </c>
      <c r="J562" s="4">
        <v>100.0</v>
      </c>
      <c r="K562" s="5" t="s">
        <v>93</v>
      </c>
      <c r="L562" s="5" t="s">
        <v>1419</v>
      </c>
      <c r="M562" s="5" t="s">
        <v>300</v>
      </c>
      <c r="N562" s="7" t="s">
        <v>5060</v>
      </c>
      <c r="O562" s="9" t="s">
        <v>5061</v>
      </c>
      <c r="P562" s="19" t="s">
        <v>5062</v>
      </c>
      <c r="Q562" s="5" t="s">
        <v>30</v>
      </c>
    </row>
    <row r="563" ht="21.0" customHeight="1">
      <c r="A563" s="4">
        <v>565.0</v>
      </c>
      <c r="B563" s="5" t="s">
        <v>5063</v>
      </c>
      <c r="C563" s="5" t="s">
        <v>18</v>
      </c>
      <c r="D563" s="5" t="s">
        <v>4790</v>
      </c>
      <c r="E563" s="5" t="s">
        <v>5064</v>
      </c>
      <c r="F563" s="5" t="s">
        <v>4627</v>
      </c>
      <c r="G563" s="5" t="s">
        <v>5065</v>
      </c>
      <c r="H563" s="5" t="s">
        <v>50</v>
      </c>
      <c r="I563" s="6" t="s">
        <v>5066</v>
      </c>
      <c r="J563" s="4">
        <v>100.0</v>
      </c>
      <c r="K563" s="5" t="s">
        <v>84</v>
      </c>
      <c r="L563" s="5" t="s">
        <v>5067</v>
      </c>
      <c r="M563" s="5" t="s">
        <v>5068</v>
      </c>
      <c r="N563" s="7" t="s">
        <v>5069</v>
      </c>
      <c r="O563" s="9" t="s">
        <v>5070</v>
      </c>
      <c r="P563" s="19" t="s">
        <v>5071</v>
      </c>
      <c r="Q563" s="5" t="s">
        <v>30</v>
      </c>
    </row>
    <row r="564" ht="21.0" customHeight="1">
      <c r="A564" s="4">
        <v>567.0</v>
      </c>
      <c r="B564" s="5" t="s">
        <v>5072</v>
      </c>
      <c r="C564" s="5" t="s">
        <v>18</v>
      </c>
      <c r="D564" s="5" t="s">
        <v>1121</v>
      </c>
      <c r="E564" s="5" t="s">
        <v>5073</v>
      </c>
      <c r="F564" s="5" t="s">
        <v>4627</v>
      </c>
      <c r="G564" s="5" t="s">
        <v>5074</v>
      </c>
      <c r="H564" s="5" t="s">
        <v>23</v>
      </c>
      <c r="I564" s="6" t="s">
        <v>5075</v>
      </c>
      <c r="J564" s="4">
        <v>100.0</v>
      </c>
      <c r="K564" s="5" t="s">
        <v>84</v>
      </c>
      <c r="L564" s="5" t="s">
        <v>5076</v>
      </c>
      <c r="M564" s="5" t="s">
        <v>5077</v>
      </c>
      <c r="N564" s="7" t="s">
        <v>5078</v>
      </c>
      <c r="O564" s="9" t="s">
        <v>5079</v>
      </c>
      <c r="P564" s="19" t="s">
        <v>5080</v>
      </c>
      <c r="Q564" s="5" t="s">
        <v>30</v>
      </c>
    </row>
    <row r="565" ht="21.0" customHeight="1">
      <c r="A565" s="4">
        <v>568.0</v>
      </c>
      <c r="B565" s="5" t="s">
        <v>5081</v>
      </c>
      <c r="C565" s="5" t="s">
        <v>18</v>
      </c>
      <c r="D565" s="5" t="s">
        <v>5082</v>
      </c>
      <c r="E565" s="5" t="s">
        <v>5083</v>
      </c>
      <c r="F565" s="5" t="s">
        <v>4627</v>
      </c>
      <c r="G565" s="5" t="s">
        <v>5084</v>
      </c>
      <c r="H565" s="5" t="s">
        <v>23</v>
      </c>
      <c r="I565" s="6" t="s">
        <v>5085</v>
      </c>
      <c r="J565" s="4">
        <v>100.0</v>
      </c>
      <c r="K565" s="5" t="s">
        <v>84</v>
      </c>
      <c r="L565" s="5" t="s">
        <v>5086</v>
      </c>
      <c r="M565" s="5" t="s">
        <v>5087</v>
      </c>
      <c r="N565" s="7" t="s">
        <v>5088</v>
      </c>
      <c r="O565" s="9" t="s">
        <v>5089</v>
      </c>
      <c r="P565" s="19" t="s">
        <v>5090</v>
      </c>
      <c r="Q565" s="5" t="s">
        <v>30</v>
      </c>
    </row>
    <row r="566" ht="21.0" customHeight="1">
      <c r="A566" s="4">
        <v>570.0</v>
      </c>
      <c r="B566" s="5" t="s">
        <v>5091</v>
      </c>
      <c r="C566" s="5" t="s">
        <v>18</v>
      </c>
      <c r="D566" s="5" t="s">
        <v>19</v>
      </c>
      <c r="E566" s="5" t="s">
        <v>5092</v>
      </c>
      <c r="F566" s="5" t="s">
        <v>4627</v>
      </c>
      <c r="G566" s="5" t="s">
        <v>5093</v>
      </c>
      <c r="H566" s="5" t="s">
        <v>23</v>
      </c>
      <c r="I566" s="6" t="s">
        <v>5094</v>
      </c>
      <c r="J566" s="4">
        <v>100.0</v>
      </c>
      <c r="K566" s="5" t="s">
        <v>84</v>
      </c>
      <c r="L566" s="5" t="s">
        <v>5095</v>
      </c>
      <c r="M566" s="5" t="s">
        <v>5096</v>
      </c>
      <c r="N566" s="7" t="s">
        <v>5097</v>
      </c>
      <c r="O566" s="9" t="s">
        <v>5098</v>
      </c>
      <c r="P566" s="19" t="s">
        <v>5099</v>
      </c>
      <c r="Q566" s="5" t="s">
        <v>30</v>
      </c>
    </row>
    <row r="567" ht="21.0" customHeight="1">
      <c r="A567" s="4">
        <v>571.0</v>
      </c>
      <c r="B567" s="5" t="s">
        <v>5100</v>
      </c>
      <c r="C567" s="5" t="s">
        <v>18</v>
      </c>
      <c r="D567" s="5" t="s">
        <v>1226</v>
      </c>
      <c r="E567" s="5" t="s">
        <v>5101</v>
      </c>
      <c r="F567" s="5" t="s">
        <v>4627</v>
      </c>
      <c r="G567" s="5" t="s">
        <v>5102</v>
      </c>
      <c r="H567" s="5" t="s">
        <v>50</v>
      </c>
      <c r="I567" s="6" t="s">
        <v>5103</v>
      </c>
      <c r="J567" s="4">
        <v>100.0</v>
      </c>
      <c r="K567" s="5" t="s">
        <v>284</v>
      </c>
      <c r="L567" s="5" t="s">
        <v>5104</v>
      </c>
      <c r="M567" s="5" t="s">
        <v>5105</v>
      </c>
      <c r="N567" s="7" t="s">
        <v>5106</v>
      </c>
      <c r="O567" s="9" t="s">
        <v>5107</v>
      </c>
      <c r="P567" s="19" t="s">
        <v>5108</v>
      </c>
      <c r="Q567" s="5" t="s">
        <v>30</v>
      </c>
    </row>
    <row r="568" ht="21.0" customHeight="1">
      <c r="A568" s="4">
        <v>572.0</v>
      </c>
      <c r="B568" s="5" t="s">
        <v>5109</v>
      </c>
      <c r="C568" s="5" t="s">
        <v>18</v>
      </c>
      <c r="D568" s="5" t="s">
        <v>5110</v>
      </c>
      <c r="E568" s="5" t="s">
        <v>5111</v>
      </c>
      <c r="F568" s="5" t="s">
        <v>4627</v>
      </c>
      <c r="G568" s="5" t="s">
        <v>5112</v>
      </c>
      <c r="H568" s="5" t="s">
        <v>23</v>
      </c>
      <c r="I568" s="6" t="s">
        <v>5113</v>
      </c>
      <c r="J568" s="4">
        <v>100.0</v>
      </c>
      <c r="K568" s="5" t="s">
        <v>165</v>
      </c>
      <c r="L568" s="5" t="s">
        <v>5114</v>
      </c>
      <c r="M568" s="5" t="s">
        <v>5115</v>
      </c>
      <c r="N568" s="7" t="s">
        <v>5116</v>
      </c>
      <c r="O568" s="9" t="s">
        <v>5117</v>
      </c>
      <c r="P568" s="19" t="s">
        <v>5118</v>
      </c>
      <c r="Q568" s="5" t="s">
        <v>30</v>
      </c>
    </row>
    <row r="569" ht="21.0" customHeight="1">
      <c r="A569" s="4">
        <v>573.0</v>
      </c>
      <c r="B569" s="5" t="s">
        <v>5119</v>
      </c>
      <c r="C569" s="5" t="s">
        <v>18</v>
      </c>
      <c r="D569" s="5" t="s">
        <v>5120</v>
      </c>
      <c r="E569" s="5" t="s">
        <v>5121</v>
      </c>
      <c r="F569" s="5" t="s">
        <v>4627</v>
      </c>
      <c r="G569" s="5" t="s">
        <v>5122</v>
      </c>
      <c r="H569" s="5" t="s">
        <v>23</v>
      </c>
      <c r="I569" s="6" t="s">
        <v>5123</v>
      </c>
      <c r="J569" s="4">
        <v>100.0</v>
      </c>
      <c r="K569" s="5" t="s">
        <v>25</v>
      </c>
      <c r="L569" s="5" t="s">
        <v>5124</v>
      </c>
      <c r="M569" s="5" t="s">
        <v>5125</v>
      </c>
      <c r="N569" s="7" t="s">
        <v>5126</v>
      </c>
      <c r="O569" s="9" t="s">
        <v>5127</v>
      </c>
      <c r="P569" s="19" t="s">
        <v>5128</v>
      </c>
      <c r="Q569" s="5" t="s">
        <v>30</v>
      </c>
    </row>
    <row r="570" ht="21.0" customHeight="1">
      <c r="A570" s="4">
        <v>574.0</v>
      </c>
      <c r="B570" s="5" t="s">
        <v>5129</v>
      </c>
      <c r="C570" s="5" t="s">
        <v>5130</v>
      </c>
      <c r="D570" s="5" t="s">
        <v>5131</v>
      </c>
      <c r="E570" s="5" t="s">
        <v>5132</v>
      </c>
      <c r="F570" s="5" t="s">
        <v>4627</v>
      </c>
      <c r="G570" s="5" t="s">
        <v>5133</v>
      </c>
      <c r="H570" s="5" t="s">
        <v>23</v>
      </c>
      <c r="I570" s="6" t="s">
        <v>5134</v>
      </c>
      <c r="J570" s="4">
        <v>100.0</v>
      </c>
      <c r="K570" s="5" t="s">
        <v>25</v>
      </c>
      <c r="L570" s="5" t="s">
        <v>5135</v>
      </c>
      <c r="M570" s="5" t="s">
        <v>5136</v>
      </c>
      <c r="N570" s="7" t="s">
        <v>5137</v>
      </c>
      <c r="O570" s="9" t="s">
        <v>5138</v>
      </c>
      <c r="P570" s="19" t="s">
        <v>5139</v>
      </c>
      <c r="Q570" s="5" t="s">
        <v>30</v>
      </c>
    </row>
    <row r="571" ht="21.0" customHeight="1">
      <c r="A571" s="13">
        <v>575.0</v>
      </c>
      <c r="B571" s="14" t="s">
        <v>5140</v>
      </c>
      <c r="C571" s="14" t="s">
        <v>18</v>
      </c>
      <c r="D571" s="14" t="s">
        <v>19</v>
      </c>
      <c r="E571" s="14" t="s">
        <v>5141</v>
      </c>
      <c r="F571" s="14" t="s">
        <v>5142</v>
      </c>
      <c r="G571" s="14" t="s">
        <v>5143</v>
      </c>
      <c r="H571" s="14" t="s">
        <v>23</v>
      </c>
      <c r="I571" s="15" t="s">
        <v>5144</v>
      </c>
      <c r="J571" s="13">
        <v>100.0</v>
      </c>
      <c r="K571" s="14" t="s">
        <v>110</v>
      </c>
      <c r="L571" s="14" t="s">
        <v>5145</v>
      </c>
      <c r="M571" s="14" t="s">
        <v>5146</v>
      </c>
      <c r="N571" s="16" t="s">
        <v>5147</v>
      </c>
      <c r="O571" s="17" t="s">
        <v>5148</v>
      </c>
      <c r="P571" s="26" t="s">
        <v>5149</v>
      </c>
      <c r="Q571" s="14" t="s">
        <v>30</v>
      </c>
      <c r="R571" s="18"/>
      <c r="S571" s="18"/>
      <c r="T571" s="18"/>
      <c r="U571" s="18"/>
      <c r="V571" s="18"/>
      <c r="W571" s="18"/>
      <c r="X571" s="18"/>
      <c r="Y571" s="18"/>
      <c r="Z571" s="18"/>
    </row>
    <row r="572" ht="21.0" customHeight="1">
      <c r="A572" s="4">
        <v>576.0</v>
      </c>
      <c r="B572" s="5" t="s">
        <v>5150</v>
      </c>
      <c r="C572" s="5" t="s">
        <v>18</v>
      </c>
      <c r="D572" s="5" t="s">
        <v>19</v>
      </c>
      <c r="E572" s="5" t="s">
        <v>5151</v>
      </c>
      <c r="F572" s="5" t="s">
        <v>5142</v>
      </c>
      <c r="G572" s="5" t="s">
        <v>5152</v>
      </c>
      <c r="H572" s="5" t="s">
        <v>23</v>
      </c>
      <c r="I572" s="6" t="s">
        <v>5153</v>
      </c>
      <c r="J572" s="4">
        <v>100.0</v>
      </c>
      <c r="K572" s="5" t="s">
        <v>25</v>
      </c>
      <c r="L572" s="5" t="s">
        <v>5154</v>
      </c>
      <c r="M572" s="5" t="s">
        <v>5155</v>
      </c>
      <c r="N572" s="7" t="s">
        <v>5156</v>
      </c>
      <c r="O572" s="9" t="s">
        <v>5157</v>
      </c>
      <c r="P572" s="19" t="s">
        <v>5158</v>
      </c>
      <c r="Q572" s="5" t="s">
        <v>30</v>
      </c>
    </row>
    <row r="573" ht="21.0" customHeight="1">
      <c r="A573" s="4">
        <v>577.0</v>
      </c>
      <c r="B573" s="5" t="s">
        <v>5159</v>
      </c>
      <c r="C573" s="5" t="s">
        <v>18</v>
      </c>
      <c r="D573" s="5" t="s">
        <v>5160</v>
      </c>
      <c r="E573" s="5" t="s">
        <v>5161</v>
      </c>
      <c r="F573" s="5" t="s">
        <v>5142</v>
      </c>
      <c r="G573" s="5" t="s">
        <v>5162</v>
      </c>
      <c r="H573" s="5" t="s">
        <v>23</v>
      </c>
      <c r="I573" s="6" t="s">
        <v>5163</v>
      </c>
      <c r="J573" s="4">
        <v>100.0</v>
      </c>
      <c r="K573" s="5" t="s">
        <v>25</v>
      </c>
      <c r="L573" s="5" t="s">
        <v>5164</v>
      </c>
      <c r="M573" s="5" t="s">
        <v>5165</v>
      </c>
      <c r="N573" s="7" t="s">
        <v>5166</v>
      </c>
      <c r="O573" s="9" t="s">
        <v>5167</v>
      </c>
      <c r="P573" s="19" t="s">
        <v>5168</v>
      </c>
      <c r="Q573" s="5" t="s">
        <v>30</v>
      </c>
    </row>
    <row r="574" ht="21.0" customHeight="1">
      <c r="A574" s="4">
        <v>578.0</v>
      </c>
      <c r="B574" s="5" t="s">
        <v>5169</v>
      </c>
      <c r="C574" s="5" t="s">
        <v>18</v>
      </c>
      <c r="D574" s="5" t="s">
        <v>19</v>
      </c>
      <c r="E574" s="5" t="s">
        <v>5170</v>
      </c>
      <c r="F574" s="5" t="s">
        <v>5142</v>
      </c>
      <c r="G574" s="5" t="s">
        <v>5171</v>
      </c>
      <c r="H574" s="5" t="s">
        <v>23</v>
      </c>
      <c r="I574" s="6" t="s">
        <v>5172</v>
      </c>
      <c r="J574" s="4">
        <v>100.0</v>
      </c>
      <c r="K574" s="5" t="s">
        <v>93</v>
      </c>
      <c r="L574" s="5" t="s">
        <v>5173</v>
      </c>
      <c r="M574" s="5" t="s">
        <v>5174</v>
      </c>
      <c r="N574" s="7" t="s">
        <v>5175</v>
      </c>
      <c r="O574" s="9" t="s">
        <v>5176</v>
      </c>
      <c r="P574" s="19" t="s">
        <v>5177</v>
      </c>
      <c r="Q574" s="5" t="s">
        <v>30</v>
      </c>
    </row>
    <row r="575" ht="21.0" customHeight="1">
      <c r="A575" s="4">
        <v>579.0</v>
      </c>
      <c r="B575" s="5" t="s">
        <v>5178</v>
      </c>
      <c r="C575" s="5" t="s">
        <v>18</v>
      </c>
      <c r="D575" s="5" t="s">
        <v>5179</v>
      </c>
      <c r="E575" s="5" t="s">
        <v>5180</v>
      </c>
      <c r="F575" s="5" t="s">
        <v>5142</v>
      </c>
      <c r="G575" s="5" t="s">
        <v>5181</v>
      </c>
      <c r="H575" s="5" t="s">
        <v>23</v>
      </c>
      <c r="I575" s="6" t="s">
        <v>5182</v>
      </c>
      <c r="J575" s="4">
        <v>100.0</v>
      </c>
      <c r="K575" s="5" t="s">
        <v>110</v>
      </c>
      <c r="L575" s="5" t="s">
        <v>5183</v>
      </c>
      <c r="M575" s="5" t="s">
        <v>5184</v>
      </c>
      <c r="N575" s="7" t="s">
        <v>5185</v>
      </c>
      <c r="O575" s="9" t="s">
        <v>5186</v>
      </c>
      <c r="P575" s="19" t="s">
        <v>5187</v>
      </c>
      <c r="Q575" s="5" t="s">
        <v>30</v>
      </c>
    </row>
    <row r="576" ht="21.0" customHeight="1">
      <c r="A576" s="4">
        <v>580.0</v>
      </c>
      <c r="B576" s="5" t="s">
        <v>5188</v>
      </c>
      <c r="C576" s="5" t="s">
        <v>5189</v>
      </c>
      <c r="D576" s="5" t="s">
        <v>19</v>
      </c>
      <c r="E576" s="5" t="s">
        <v>5190</v>
      </c>
      <c r="F576" s="5" t="s">
        <v>5142</v>
      </c>
      <c r="G576" s="5" t="s">
        <v>5191</v>
      </c>
      <c r="H576" s="5" t="s">
        <v>23</v>
      </c>
      <c r="I576" s="6" t="s">
        <v>5192</v>
      </c>
      <c r="J576" s="4">
        <v>100.0</v>
      </c>
      <c r="K576" s="5" t="s">
        <v>84</v>
      </c>
      <c r="L576" s="5" t="s">
        <v>5193</v>
      </c>
      <c r="M576" s="5" t="s">
        <v>5194</v>
      </c>
      <c r="N576" s="7" t="s">
        <v>5195</v>
      </c>
      <c r="O576" s="9" t="s">
        <v>5196</v>
      </c>
      <c r="P576" s="19" t="s">
        <v>5197</v>
      </c>
      <c r="Q576" s="5" t="s">
        <v>30</v>
      </c>
    </row>
    <row r="577" ht="21.0" customHeight="1">
      <c r="A577" s="4">
        <v>582.0</v>
      </c>
      <c r="B577" s="5" t="s">
        <v>5198</v>
      </c>
      <c r="C577" s="5" t="s">
        <v>18</v>
      </c>
      <c r="D577" s="5" t="s">
        <v>446</v>
      </c>
      <c r="E577" s="5" t="s">
        <v>5199</v>
      </c>
      <c r="F577" s="5" t="s">
        <v>5142</v>
      </c>
      <c r="G577" s="5" t="s">
        <v>5200</v>
      </c>
      <c r="H577" s="5" t="s">
        <v>23</v>
      </c>
      <c r="I577" s="6" t="s">
        <v>5201</v>
      </c>
      <c r="J577" s="4">
        <v>100.0</v>
      </c>
      <c r="K577" s="5" t="s">
        <v>25</v>
      </c>
      <c r="L577" s="5" t="s">
        <v>5202</v>
      </c>
      <c r="M577" s="5" t="s">
        <v>5203</v>
      </c>
      <c r="N577" s="7" t="s">
        <v>5204</v>
      </c>
      <c r="O577" s="9" t="s">
        <v>5205</v>
      </c>
      <c r="P577" s="19" t="s">
        <v>5206</v>
      </c>
      <c r="Q577" s="5" t="s">
        <v>30</v>
      </c>
    </row>
    <row r="578" ht="21.0" customHeight="1">
      <c r="A578" s="4">
        <v>583.0</v>
      </c>
      <c r="B578" s="5" t="s">
        <v>5207</v>
      </c>
      <c r="C578" s="5" t="s">
        <v>5208</v>
      </c>
      <c r="D578" s="5" t="s">
        <v>5209</v>
      </c>
      <c r="E578" s="5" t="s">
        <v>5210</v>
      </c>
      <c r="F578" s="5" t="s">
        <v>5142</v>
      </c>
      <c r="G578" s="5" t="s">
        <v>5211</v>
      </c>
      <c r="H578" s="5" t="s">
        <v>23</v>
      </c>
      <c r="I578" s="6" t="s">
        <v>5212</v>
      </c>
      <c r="J578" s="4">
        <v>100.0</v>
      </c>
      <c r="K578" s="5" t="s">
        <v>25</v>
      </c>
      <c r="L578" s="5" t="s">
        <v>5213</v>
      </c>
      <c r="M578" s="5" t="s">
        <v>5214</v>
      </c>
      <c r="N578" s="7" t="s">
        <v>30</v>
      </c>
      <c r="O578" s="9" t="s">
        <v>5215</v>
      </c>
      <c r="P578" s="19" t="s">
        <v>5216</v>
      </c>
      <c r="Q578" s="5" t="s">
        <v>30</v>
      </c>
    </row>
    <row r="579" ht="21.0" customHeight="1">
      <c r="A579" s="4">
        <v>584.0</v>
      </c>
      <c r="B579" s="5" t="s">
        <v>5217</v>
      </c>
      <c r="C579" s="5" t="s">
        <v>5218</v>
      </c>
      <c r="D579" s="5" t="s">
        <v>170</v>
      </c>
      <c r="E579" s="5" t="s">
        <v>5219</v>
      </c>
      <c r="F579" s="5" t="s">
        <v>5142</v>
      </c>
      <c r="G579" s="5" t="s">
        <v>5220</v>
      </c>
      <c r="H579" s="5" t="s">
        <v>23</v>
      </c>
      <c r="I579" s="6" t="s">
        <v>5221</v>
      </c>
      <c r="J579" s="4">
        <v>100.0</v>
      </c>
      <c r="K579" s="5" t="s">
        <v>25</v>
      </c>
      <c r="L579" s="5" t="s">
        <v>5222</v>
      </c>
      <c r="M579" s="5" t="s">
        <v>5223</v>
      </c>
      <c r="N579" s="7" t="s">
        <v>5224</v>
      </c>
      <c r="O579" s="9" t="s">
        <v>5225</v>
      </c>
      <c r="P579" s="19" t="s">
        <v>5226</v>
      </c>
      <c r="Q579" s="5" t="s">
        <v>30</v>
      </c>
    </row>
    <row r="580" ht="21.0" customHeight="1">
      <c r="A580" s="4">
        <v>585.0</v>
      </c>
      <c r="B580" s="5" t="s">
        <v>5227</v>
      </c>
      <c r="C580" s="5" t="s">
        <v>18</v>
      </c>
      <c r="D580" s="5" t="s">
        <v>19</v>
      </c>
      <c r="E580" s="5" t="s">
        <v>5228</v>
      </c>
      <c r="F580" s="5" t="s">
        <v>5142</v>
      </c>
      <c r="G580" s="5" t="s">
        <v>5229</v>
      </c>
      <c r="H580" s="5" t="s">
        <v>23</v>
      </c>
      <c r="I580" s="6" t="s">
        <v>5230</v>
      </c>
      <c r="J580" s="4">
        <v>100.0</v>
      </c>
      <c r="K580" s="5" t="s">
        <v>157</v>
      </c>
      <c r="L580" s="5" t="s">
        <v>5231</v>
      </c>
      <c r="M580" s="5" t="s">
        <v>5232</v>
      </c>
      <c r="N580" s="7" t="s">
        <v>5233</v>
      </c>
      <c r="O580" s="9" t="s">
        <v>5234</v>
      </c>
      <c r="P580" s="19" t="s">
        <v>5235</v>
      </c>
      <c r="Q580" s="5" t="s">
        <v>30</v>
      </c>
    </row>
    <row r="581" ht="21.0" customHeight="1">
      <c r="A581" s="4">
        <v>586.0</v>
      </c>
      <c r="B581" s="5" t="s">
        <v>5236</v>
      </c>
      <c r="C581" s="5" t="s">
        <v>18</v>
      </c>
      <c r="D581" s="5" t="s">
        <v>19</v>
      </c>
      <c r="E581" s="5" t="s">
        <v>5237</v>
      </c>
      <c r="F581" s="5" t="s">
        <v>5142</v>
      </c>
      <c r="G581" s="5" t="s">
        <v>5238</v>
      </c>
      <c r="H581" s="5" t="s">
        <v>50</v>
      </c>
      <c r="I581" s="6" t="s">
        <v>5239</v>
      </c>
      <c r="J581" s="4">
        <v>100.0</v>
      </c>
      <c r="K581" s="5" t="s">
        <v>141</v>
      </c>
      <c r="L581" s="5" t="s">
        <v>5240</v>
      </c>
      <c r="M581" s="5" t="s">
        <v>5241</v>
      </c>
      <c r="N581" s="7" t="s">
        <v>5242</v>
      </c>
      <c r="O581" s="9" t="s">
        <v>5243</v>
      </c>
      <c r="P581" s="19" t="s">
        <v>5244</v>
      </c>
      <c r="Q581" s="5" t="s">
        <v>30</v>
      </c>
    </row>
    <row r="582" ht="21.0" customHeight="1">
      <c r="A582" s="4">
        <v>587.0</v>
      </c>
      <c r="B582" s="5" t="s">
        <v>5245</v>
      </c>
      <c r="C582" s="5" t="s">
        <v>18</v>
      </c>
      <c r="D582" s="5" t="s">
        <v>5246</v>
      </c>
      <c r="E582" s="5" t="s">
        <v>5247</v>
      </c>
      <c r="F582" s="5" t="s">
        <v>5142</v>
      </c>
      <c r="G582" s="5" t="s">
        <v>5248</v>
      </c>
      <c r="H582" s="5" t="s">
        <v>23</v>
      </c>
      <c r="I582" s="6" t="s">
        <v>5249</v>
      </c>
      <c r="J582" s="4">
        <v>100.0</v>
      </c>
      <c r="K582" s="5" t="s">
        <v>110</v>
      </c>
      <c r="L582" s="5" t="s">
        <v>5250</v>
      </c>
      <c r="M582" s="5" t="s">
        <v>5251</v>
      </c>
      <c r="N582" s="40" t="s">
        <v>5252</v>
      </c>
      <c r="O582" s="40" t="s">
        <v>5253</v>
      </c>
      <c r="P582" s="5" t="s">
        <v>30</v>
      </c>
      <c r="Q582" s="5" t="s">
        <v>30</v>
      </c>
    </row>
    <row r="583" ht="21.0" customHeight="1">
      <c r="A583" s="4">
        <v>588.0</v>
      </c>
      <c r="B583" s="5" t="s">
        <v>5254</v>
      </c>
      <c r="C583" s="5" t="s">
        <v>18</v>
      </c>
      <c r="D583" s="5" t="s">
        <v>19</v>
      </c>
      <c r="E583" s="5" t="s">
        <v>5255</v>
      </c>
      <c r="F583" s="5" t="s">
        <v>5142</v>
      </c>
      <c r="G583" s="5" t="s">
        <v>5256</v>
      </c>
      <c r="H583" s="5" t="s">
        <v>23</v>
      </c>
      <c r="I583" s="6" t="s">
        <v>5257</v>
      </c>
      <c r="J583" s="4">
        <v>100.0</v>
      </c>
      <c r="K583" s="5" t="s">
        <v>25</v>
      </c>
      <c r="L583" s="5" t="s">
        <v>5258</v>
      </c>
      <c r="M583" s="5" t="s">
        <v>5259</v>
      </c>
      <c r="N583" s="10" t="s">
        <v>5260</v>
      </c>
      <c r="O583" s="9" t="s">
        <v>5261</v>
      </c>
      <c r="P583" s="19" t="s">
        <v>5262</v>
      </c>
      <c r="Q583" s="5" t="s">
        <v>30</v>
      </c>
    </row>
    <row r="584" ht="21.0" customHeight="1">
      <c r="A584" s="4">
        <v>589.0</v>
      </c>
      <c r="B584" s="5" t="s">
        <v>5263</v>
      </c>
      <c r="C584" s="5" t="s">
        <v>18</v>
      </c>
      <c r="D584" s="5" t="s">
        <v>5264</v>
      </c>
      <c r="E584" s="5" t="s">
        <v>5265</v>
      </c>
      <c r="F584" s="5" t="s">
        <v>5142</v>
      </c>
      <c r="G584" s="5" t="s">
        <v>5266</v>
      </c>
      <c r="H584" s="5" t="s">
        <v>23</v>
      </c>
      <c r="I584" s="6" t="s">
        <v>5267</v>
      </c>
      <c r="J584" s="4">
        <v>100.0</v>
      </c>
      <c r="K584" s="5" t="s">
        <v>110</v>
      </c>
      <c r="L584" s="5" t="s">
        <v>5268</v>
      </c>
      <c r="M584" s="5" t="s">
        <v>5269</v>
      </c>
      <c r="N584" s="7" t="s">
        <v>5270</v>
      </c>
      <c r="O584" s="9" t="s">
        <v>5271</v>
      </c>
      <c r="P584" s="19" t="s">
        <v>5272</v>
      </c>
      <c r="Q584" s="5" t="s">
        <v>30</v>
      </c>
    </row>
    <row r="585" ht="21.0" customHeight="1">
      <c r="A585" s="4">
        <v>590.0</v>
      </c>
      <c r="B585" s="5" t="s">
        <v>5273</v>
      </c>
      <c r="C585" s="5" t="s">
        <v>18</v>
      </c>
      <c r="D585" s="5" t="s">
        <v>5274</v>
      </c>
      <c r="E585" s="5" t="s">
        <v>5275</v>
      </c>
      <c r="F585" s="5" t="s">
        <v>5142</v>
      </c>
      <c r="G585" s="5" t="s">
        <v>5276</v>
      </c>
      <c r="H585" s="5" t="s">
        <v>23</v>
      </c>
      <c r="I585" s="6" t="s">
        <v>5277</v>
      </c>
      <c r="J585" s="4">
        <v>100.0</v>
      </c>
      <c r="K585" s="5" t="s">
        <v>165</v>
      </c>
      <c r="L585" s="5" t="s">
        <v>5278</v>
      </c>
      <c r="M585" s="5" t="s">
        <v>5279</v>
      </c>
      <c r="N585" s="7" t="s">
        <v>5280</v>
      </c>
      <c r="O585" s="9" t="s">
        <v>5281</v>
      </c>
      <c r="P585" s="19" t="s">
        <v>5282</v>
      </c>
      <c r="Q585" s="5" t="s">
        <v>30</v>
      </c>
    </row>
    <row r="586" ht="21.0" customHeight="1">
      <c r="A586" s="4">
        <v>591.0</v>
      </c>
      <c r="B586" s="5" t="s">
        <v>5283</v>
      </c>
      <c r="C586" s="5" t="s">
        <v>18</v>
      </c>
      <c r="D586" s="5" t="s">
        <v>5284</v>
      </c>
      <c r="E586" s="5" t="s">
        <v>5285</v>
      </c>
      <c r="F586" s="5" t="s">
        <v>5142</v>
      </c>
      <c r="G586" s="5" t="s">
        <v>5286</v>
      </c>
      <c r="H586" s="5" t="s">
        <v>23</v>
      </c>
      <c r="I586" s="6" t="s">
        <v>5287</v>
      </c>
      <c r="J586" s="4">
        <v>100.0</v>
      </c>
      <c r="K586" s="5" t="s">
        <v>165</v>
      </c>
      <c r="L586" s="5" t="s">
        <v>5288</v>
      </c>
      <c r="M586" s="5" t="s">
        <v>5289</v>
      </c>
      <c r="N586" s="7" t="s">
        <v>5290</v>
      </c>
      <c r="O586" s="9" t="s">
        <v>5291</v>
      </c>
      <c r="P586" s="19" t="s">
        <v>5292</v>
      </c>
      <c r="Q586" s="5" t="s">
        <v>30</v>
      </c>
    </row>
    <row r="587" ht="21.0" customHeight="1">
      <c r="A587" s="4">
        <v>592.0</v>
      </c>
      <c r="B587" s="5" t="s">
        <v>5293</v>
      </c>
      <c r="C587" s="5" t="s">
        <v>18</v>
      </c>
      <c r="D587" s="5" t="s">
        <v>5294</v>
      </c>
      <c r="E587" s="5" t="s">
        <v>5295</v>
      </c>
      <c r="F587" s="5" t="s">
        <v>5142</v>
      </c>
      <c r="G587" s="5" t="s">
        <v>5296</v>
      </c>
      <c r="H587" s="5" t="s">
        <v>23</v>
      </c>
      <c r="I587" s="6" t="s">
        <v>5297</v>
      </c>
      <c r="J587" s="4">
        <v>100.0</v>
      </c>
      <c r="K587" s="5" t="s">
        <v>25</v>
      </c>
      <c r="L587" s="5" t="s">
        <v>5298</v>
      </c>
      <c r="M587" s="5" t="s">
        <v>5299</v>
      </c>
      <c r="N587" s="7" t="s">
        <v>5300</v>
      </c>
      <c r="O587" s="9" t="s">
        <v>5301</v>
      </c>
      <c r="P587" s="19" t="s">
        <v>5302</v>
      </c>
      <c r="Q587" s="5" t="s">
        <v>30</v>
      </c>
    </row>
    <row r="588" ht="21.0" customHeight="1">
      <c r="A588" s="4">
        <v>593.0</v>
      </c>
      <c r="B588" s="5" t="s">
        <v>5303</v>
      </c>
      <c r="C588" s="5" t="s">
        <v>5304</v>
      </c>
      <c r="D588" s="5" t="s">
        <v>19</v>
      </c>
      <c r="E588" s="5" t="s">
        <v>5305</v>
      </c>
      <c r="F588" s="5" t="s">
        <v>5142</v>
      </c>
      <c r="G588" s="5" t="s">
        <v>5306</v>
      </c>
      <c r="H588" s="5" t="s">
        <v>23</v>
      </c>
      <c r="I588" s="6" t="s">
        <v>5307</v>
      </c>
      <c r="J588" s="4">
        <v>100.0</v>
      </c>
      <c r="K588" s="5" t="s">
        <v>1410</v>
      </c>
      <c r="L588" s="5" t="s">
        <v>5308</v>
      </c>
      <c r="M588" s="5" t="s">
        <v>5309</v>
      </c>
      <c r="N588" s="7" t="s">
        <v>5310</v>
      </c>
      <c r="O588" s="9" t="s">
        <v>5311</v>
      </c>
      <c r="P588" s="19" t="s">
        <v>5312</v>
      </c>
      <c r="Q588" s="5" t="s">
        <v>30</v>
      </c>
    </row>
    <row r="589" ht="21.0" customHeight="1">
      <c r="A589" s="4">
        <v>594.0</v>
      </c>
      <c r="B589" s="5" t="s">
        <v>5313</v>
      </c>
      <c r="C589" s="5" t="s">
        <v>18</v>
      </c>
      <c r="D589" s="5" t="s">
        <v>5314</v>
      </c>
      <c r="E589" s="5" t="s">
        <v>5315</v>
      </c>
      <c r="F589" s="5" t="s">
        <v>5142</v>
      </c>
      <c r="G589" s="5" t="s">
        <v>34</v>
      </c>
      <c r="H589" s="5" t="s">
        <v>23</v>
      </c>
      <c r="I589" s="6" t="s">
        <v>5316</v>
      </c>
      <c r="J589" s="4">
        <v>100.0</v>
      </c>
      <c r="K589" s="5" t="s">
        <v>52</v>
      </c>
      <c r="L589" s="5" t="s">
        <v>5317</v>
      </c>
      <c r="M589" s="5" t="s">
        <v>5318</v>
      </c>
      <c r="N589" s="7" t="s">
        <v>5319</v>
      </c>
      <c r="O589" s="9" t="s">
        <v>5320</v>
      </c>
      <c r="P589" s="19" t="s">
        <v>5321</v>
      </c>
      <c r="Q589" s="5" t="s">
        <v>30</v>
      </c>
    </row>
    <row r="590" ht="21.0" customHeight="1">
      <c r="A590" s="4">
        <v>595.0</v>
      </c>
      <c r="B590" s="5" t="s">
        <v>5322</v>
      </c>
      <c r="C590" s="5" t="s">
        <v>5323</v>
      </c>
      <c r="D590" s="5" t="s">
        <v>4752</v>
      </c>
      <c r="E590" s="5" t="s">
        <v>5324</v>
      </c>
      <c r="F590" s="5" t="s">
        <v>5142</v>
      </c>
      <c r="G590" s="5" t="s">
        <v>5325</v>
      </c>
      <c r="H590" s="5" t="s">
        <v>23</v>
      </c>
      <c r="I590" s="6" t="s">
        <v>5326</v>
      </c>
      <c r="J590" s="4">
        <v>100.0</v>
      </c>
      <c r="K590" s="5" t="s">
        <v>84</v>
      </c>
      <c r="L590" s="5" t="s">
        <v>5327</v>
      </c>
      <c r="M590" s="5" t="s">
        <v>5328</v>
      </c>
      <c r="N590" s="7" t="s">
        <v>5329</v>
      </c>
      <c r="O590" s="9" t="s">
        <v>5330</v>
      </c>
      <c r="P590" s="19" t="s">
        <v>5331</v>
      </c>
      <c r="Q590" s="5" t="s">
        <v>30</v>
      </c>
    </row>
    <row r="591" ht="21.0" customHeight="1">
      <c r="A591" s="4">
        <v>596.0</v>
      </c>
      <c r="B591" s="5" t="s">
        <v>5332</v>
      </c>
      <c r="C591" s="5" t="s">
        <v>18</v>
      </c>
      <c r="D591" s="5" t="s">
        <v>5333</v>
      </c>
      <c r="E591" s="5" t="s">
        <v>5334</v>
      </c>
      <c r="F591" s="5" t="s">
        <v>5142</v>
      </c>
      <c r="G591" s="5" t="s">
        <v>5335</v>
      </c>
      <c r="H591" s="5" t="s">
        <v>23</v>
      </c>
      <c r="I591" s="6" t="s">
        <v>5336</v>
      </c>
      <c r="J591" s="4">
        <v>100.0</v>
      </c>
      <c r="K591" s="5" t="s">
        <v>25</v>
      </c>
      <c r="L591" s="5" t="s">
        <v>5337</v>
      </c>
      <c r="M591" s="5" t="s">
        <v>5338</v>
      </c>
      <c r="N591" s="7" t="s">
        <v>5339</v>
      </c>
      <c r="O591" s="9" t="s">
        <v>5340</v>
      </c>
      <c r="P591" s="19" t="s">
        <v>5341</v>
      </c>
      <c r="Q591" s="5" t="s">
        <v>30</v>
      </c>
    </row>
    <row r="592" ht="21.0" customHeight="1">
      <c r="A592" s="4">
        <v>597.0</v>
      </c>
      <c r="B592" s="5" t="s">
        <v>5342</v>
      </c>
      <c r="C592" s="5" t="s">
        <v>5343</v>
      </c>
      <c r="D592" s="5" t="s">
        <v>5344</v>
      </c>
      <c r="E592" s="5" t="s">
        <v>5345</v>
      </c>
      <c r="F592" s="5" t="s">
        <v>5142</v>
      </c>
      <c r="G592" s="5" t="s">
        <v>5346</v>
      </c>
      <c r="H592" s="5" t="s">
        <v>23</v>
      </c>
      <c r="I592" s="6" t="s">
        <v>5347</v>
      </c>
      <c r="J592" s="4">
        <v>100.0</v>
      </c>
      <c r="K592" s="5" t="s">
        <v>165</v>
      </c>
      <c r="L592" s="5" t="s">
        <v>5348</v>
      </c>
      <c r="M592" s="5" t="s">
        <v>5349</v>
      </c>
      <c r="N592" s="7" t="s">
        <v>5350</v>
      </c>
      <c r="O592" s="9" t="s">
        <v>5351</v>
      </c>
      <c r="P592" s="19" t="s">
        <v>5352</v>
      </c>
      <c r="Q592" s="5" t="s">
        <v>30</v>
      </c>
    </row>
    <row r="593" ht="21.0" customHeight="1">
      <c r="A593" s="4">
        <v>598.0</v>
      </c>
      <c r="B593" s="5" t="s">
        <v>5353</v>
      </c>
      <c r="C593" s="5" t="s">
        <v>5354</v>
      </c>
      <c r="D593" s="5" t="s">
        <v>5355</v>
      </c>
      <c r="E593" s="5" t="s">
        <v>5356</v>
      </c>
      <c r="F593" s="5" t="s">
        <v>5142</v>
      </c>
      <c r="G593" s="5" t="s">
        <v>5357</v>
      </c>
      <c r="H593" s="5" t="s">
        <v>23</v>
      </c>
      <c r="I593" s="6" t="s">
        <v>5358</v>
      </c>
      <c r="J593" s="4">
        <v>100.0</v>
      </c>
      <c r="K593" s="5" t="s">
        <v>110</v>
      </c>
      <c r="L593" s="5" t="s">
        <v>5359</v>
      </c>
      <c r="M593" s="5" t="s">
        <v>5360</v>
      </c>
      <c r="N593" s="7" t="s">
        <v>5361</v>
      </c>
      <c r="O593" s="9" t="s">
        <v>5362</v>
      </c>
      <c r="P593" s="19" t="s">
        <v>5363</v>
      </c>
      <c r="Q593" s="5" t="s">
        <v>30</v>
      </c>
    </row>
    <row r="594" ht="21.0" customHeight="1">
      <c r="A594" s="4">
        <v>599.0</v>
      </c>
      <c r="B594" s="5" t="s">
        <v>5364</v>
      </c>
      <c r="C594" s="5" t="s">
        <v>18</v>
      </c>
      <c r="D594" s="5" t="s">
        <v>1121</v>
      </c>
      <c r="E594" s="5" t="s">
        <v>5365</v>
      </c>
      <c r="F594" s="5" t="s">
        <v>5142</v>
      </c>
      <c r="G594" s="5" t="s">
        <v>5366</v>
      </c>
      <c r="H594" s="5" t="s">
        <v>23</v>
      </c>
      <c r="I594" s="6" t="s">
        <v>5367</v>
      </c>
      <c r="J594" s="4">
        <v>100.0</v>
      </c>
      <c r="K594" s="5" t="s">
        <v>386</v>
      </c>
      <c r="L594" s="5" t="s">
        <v>5368</v>
      </c>
      <c r="M594" s="5" t="s">
        <v>5369</v>
      </c>
      <c r="N594" s="7" t="s">
        <v>5370</v>
      </c>
      <c r="O594" s="9" t="s">
        <v>5371</v>
      </c>
      <c r="P594" s="19" t="s">
        <v>5372</v>
      </c>
      <c r="Q594" s="5" t="s">
        <v>30</v>
      </c>
    </row>
    <row r="595" ht="21.0" customHeight="1">
      <c r="A595" s="4">
        <v>600.0</v>
      </c>
      <c r="B595" s="5" t="s">
        <v>5373</v>
      </c>
      <c r="C595" s="5" t="s">
        <v>18</v>
      </c>
      <c r="D595" s="5" t="s">
        <v>5374</v>
      </c>
      <c r="E595" s="5" t="s">
        <v>5375</v>
      </c>
      <c r="F595" s="5" t="s">
        <v>5142</v>
      </c>
      <c r="G595" s="5" t="s">
        <v>5376</v>
      </c>
      <c r="H595" s="5" t="s">
        <v>23</v>
      </c>
      <c r="I595" s="6" t="s">
        <v>5377</v>
      </c>
      <c r="J595" s="4">
        <v>100.0</v>
      </c>
      <c r="K595" s="5" t="s">
        <v>165</v>
      </c>
      <c r="L595" s="5" t="s">
        <v>5378</v>
      </c>
      <c r="M595" s="5" t="s">
        <v>5379</v>
      </c>
      <c r="N595" s="7" t="s">
        <v>5380</v>
      </c>
      <c r="O595" s="9" t="s">
        <v>5381</v>
      </c>
      <c r="P595" s="19" t="s">
        <v>5382</v>
      </c>
      <c r="Q595" s="5" t="s">
        <v>30</v>
      </c>
    </row>
    <row r="596" ht="21.0" customHeight="1">
      <c r="A596" s="4">
        <v>601.0</v>
      </c>
      <c r="B596" s="5" t="s">
        <v>5383</v>
      </c>
      <c r="C596" s="5" t="s">
        <v>18</v>
      </c>
      <c r="D596" s="5" t="s">
        <v>5384</v>
      </c>
      <c r="E596" s="5" t="s">
        <v>5385</v>
      </c>
      <c r="F596" s="5" t="s">
        <v>5142</v>
      </c>
      <c r="G596" s="5" t="s">
        <v>5386</v>
      </c>
      <c r="H596" s="5" t="s">
        <v>50</v>
      </c>
      <c r="I596" s="6" t="s">
        <v>5387</v>
      </c>
      <c r="J596" s="4">
        <v>100.0</v>
      </c>
      <c r="K596" s="5" t="s">
        <v>141</v>
      </c>
      <c r="L596" s="5" t="s">
        <v>5388</v>
      </c>
      <c r="M596" s="5" t="s">
        <v>5389</v>
      </c>
      <c r="N596" s="7" t="s">
        <v>5390</v>
      </c>
      <c r="O596" s="9" t="s">
        <v>5391</v>
      </c>
      <c r="P596" s="19" t="s">
        <v>5392</v>
      </c>
      <c r="Q596" s="5" t="s">
        <v>30</v>
      </c>
    </row>
    <row r="597" ht="21.0" customHeight="1">
      <c r="A597" s="4">
        <v>602.0</v>
      </c>
      <c r="B597" s="5" t="s">
        <v>5393</v>
      </c>
      <c r="C597" s="5" t="s">
        <v>18</v>
      </c>
      <c r="D597" s="5" t="s">
        <v>3515</v>
      </c>
      <c r="E597" s="5" t="s">
        <v>5394</v>
      </c>
      <c r="F597" s="5" t="s">
        <v>5395</v>
      </c>
      <c r="G597" s="5" t="s">
        <v>5396</v>
      </c>
      <c r="H597" s="5" t="s">
        <v>23</v>
      </c>
      <c r="I597" s="6" t="s">
        <v>5397</v>
      </c>
      <c r="J597" s="4">
        <v>100.0</v>
      </c>
      <c r="K597" s="5" t="s">
        <v>25</v>
      </c>
      <c r="L597" s="5" t="s">
        <v>5398</v>
      </c>
      <c r="M597" s="5" t="s">
        <v>5399</v>
      </c>
      <c r="N597" s="7" t="s">
        <v>5400</v>
      </c>
      <c r="O597" s="9" t="s">
        <v>5401</v>
      </c>
      <c r="P597" s="5" t="s">
        <v>30</v>
      </c>
      <c r="Q597" s="5" t="s">
        <v>30</v>
      </c>
    </row>
    <row r="598" ht="21.0" customHeight="1">
      <c r="A598" s="4">
        <v>603.0</v>
      </c>
      <c r="B598" s="5" t="s">
        <v>5402</v>
      </c>
      <c r="C598" s="5" t="s">
        <v>18</v>
      </c>
      <c r="D598" s="5" t="s">
        <v>1121</v>
      </c>
      <c r="E598" s="5" t="s">
        <v>5403</v>
      </c>
      <c r="F598" s="5" t="s">
        <v>5395</v>
      </c>
      <c r="G598" s="5" t="s">
        <v>5404</v>
      </c>
      <c r="H598" s="5" t="s">
        <v>23</v>
      </c>
      <c r="I598" s="6" t="s">
        <v>5405</v>
      </c>
      <c r="J598" s="4">
        <v>100.0</v>
      </c>
      <c r="K598" s="5" t="s">
        <v>25</v>
      </c>
      <c r="L598" s="5" t="s">
        <v>5406</v>
      </c>
      <c r="M598" s="5" t="s">
        <v>5407</v>
      </c>
      <c r="N598" s="7" t="s">
        <v>5408</v>
      </c>
      <c r="O598" s="9" t="s">
        <v>5409</v>
      </c>
      <c r="P598" s="19" t="s">
        <v>5410</v>
      </c>
      <c r="Q598" s="5" t="s">
        <v>30</v>
      </c>
    </row>
    <row r="599" ht="21.0" customHeight="1">
      <c r="A599" s="4">
        <v>604.0</v>
      </c>
      <c r="B599" s="5" t="s">
        <v>5411</v>
      </c>
      <c r="C599" s="5" t="s">
        <v>5412</v>
      </c>
      <c r="D599" s="5" t="s">
        <v>19</v>
      </c>
      <c r="E599" s="5" t="s">
        <v>5413</v>
      </c>
      <c r="F599" s="5" t="s">
        <v>5395</v>
      </c>
      <c r="G599" s="5" t="s">
        <v>5414</v>
      </c>
      <c r="H599" s="5" t="s">
        <v>23</v>
      </c>
      <c r="I599" s="6" t="s">
        <v>5415</v>
      </c>
      <c r="J599" s="4">
        <v>100.0</v>
      </c>
      <c r="K599" s="5" t="s">
        <v>165</v>
      </c>
      <c r="L599" s="5" t="s">
        <v>5416</v>
      </c>
      <c r="M599" s="5" t="s">
        <v>5417</v>
      </c>
      <c r="N599" s="7" t="s">
        <v>5418</v>
      </c>
      <c r="O599" s="9" t="s">
        <v>5419</v>
      </c>
      <c r="P599" s="19" t="s">
        <v>5420</v>
      </c>
      <c r="Q599" s="5" t="s">
        <v>30</v>
      </c>
    </row>
    <row r="600" ht="21.0" customHeight="1">
      <c r="A600" s="4">
        <v>605.0</v>
      </c>
      <c r="B600" s="5" t="s">
        <v>5421</v>
      </c>
      <c r="C600" s="5" t="s">
        <v>5422</v>
      </c>
      <c r="D600" s="5" t="s">
        <v>5423</v>
      </c>
      <c r="E600" s="5" t="s">
        <v>5424</v>
      </c>
      <c r="F600" s="5" t="s">
        <v>5395</v>
      </c>
      <c r="G600" s="5" t="s">
        <v>5425</v>
      </c>
      <c r="H600" s="5" t="s">
        <v>23</v>
      </c>
      <c r="I600" s="6" t="s">
        <v>5426</v>
      </c>
      <c r="J600" s="4">
        <v>100.0</v>
      </c>
      <c r="K600" s="5" t="s">
        <v>25</v>
      </c>
      <c r="L600" s="5" t="s">
        <v>5427</v>
      </c>
      <c r="M600" s="5" t="s">
        <v>5428</v>
      </c>
      <c r="N600" s="7" t="s">
        <v>5429</v>
      </c>
      <c r="O600" s="9" t="s">
        <v>5430</v>
      </c>
      <c r="P600" s="19" t="s">
        <v>5431</v>
      </c>
      <c r="Q600" s="5" t="s">
        <v>30</v>
      </c>
    </row>
    <row r="601" ht="21.0" customHeight="1">
      <c r="A601" s="4">
        <v>606.0</v>
      </c>
      <c r="B601" s="5" t="s">
        <v>5432</v>
      </c>
      <c r="C601" s="5" t="s">
        <v>18</v>
      </c>
      <c r="D601" s="5" t="s">
        <v>19</v>
      </c>
      <c r="E601" s="5" t="s">
        <v>5433</v>
      </c>
      <c r="F601" s="5" t="s">
        <v>5395</v>
      </c>
      <c r="G601" s="5" t="s">
        <v>5434</v>
      </c>
      <c r="H601" s="5" t="s">
        <v>23</v>
      </c>
      <c r="I601" s="6" t="s">
        <v>5435</v>
      </c>
      <c r="J601" s="4">
        <v>100.0</v>
      </c>
      <c r="K601" s="5" t="s">
        <v>110</v>
      </c>
      <c r="L601" s="5" t="s">
        <v>5436</v>
      </c>
      <c r="M601" s="5" t="s">
        <v>5437</v>
      </c>
      <c r="N601" s="7" t="s">
        <v>5438</v>
      </c>
      <c r="O601" s="9" t="s">
        <v>5439</v>
      </c>
      <c r="P601" s="19" t="s">
        <v>5440</v>
      </c>
      <c r="Q601" s="5" t="s">
        <v>30</v>
      </c>
    </row>
    <row r="602" ht="21.0" customHeight="1">
      <c r="A602" s="4">
        <v>607.0</v>
      </c>
      <c r="B602" s="5" t="s">
        <v>5441</v>
      </c>
      <c r="C602" s="5" t="s">
        <v>18</v>
      </c>
      <c r="D602" s="5" t="s">
        <v>19</v>
      </c>
      <c r="E602" s="5" t="s">
        <v>5442</v>
      </c>
      <c r="F602" s="5" t="s">
        <v>5395</v>
      </c>
      <c r="G602" s="5" t="s">
        <v>5443</v>
      </c>
      <c r="H602" s="5" t="s">
        <v>23</v>
      </c>
      <c r="I602" s="6" t="s">
        <v>5444</v>
      </c>
      <c r="J602" s="4">
        <v>100.0</v>
      </c>
      <c r="K602" s="5" t="s">
        <v>165</v>
      </c>
      <c r="L602" s="5" t="s">
        <v>5445</v>
      </c>
      <c r="M602" s="5" t="s">
        <v>5446</v>
      </c>
      <c r="N602" s="7" t="s">
        <v>5447</v>
      </c>
      <c r="O602" s="9" t="s">
        <v>5448</v>
      </c>
      <c r="P602" s="19" t="s">
        <v>5449</v>
      </c>
      <c r="Q602" s="5" t="s">
        <v>30</v>
      </c>
    </row>
    <row r="603" ht="21.0" customHeight="1">
      <c r="A603" s="4">
        <v>608.0</v>
      </c>
      <c r="B603" s="5" t="s">
        <v>5450</v>
      </c>
      <c r="C603" s="5" t="s">
        <v>18</v>
      </c>
      <c r="D603" s="5" t="s">
        <v>5451</v>
      </c>
      <c r="E603" s="5" t="s">
        <v>5452</v>
      </c>
      <c r="F603" s="5" t="s">
        <v>5395</v>
      </c>
      <c r="G603" s="5" t="s">
        <v>5453</v>
      </c>
      <c r="H603" s="5" t="s">
        <v>50</v>
      </c>
      <c r="I603" s="6" t="s">
        <v>5454</v>
      </c>
      <c r="J603" s="4">
        <v>100.0</v>
      </c>
      <c r="K603" s="5" t="s">
        <v>84</v>
      </c>
      <c r="L603" s="5" t="s">
        <v>5455</v>
      </c>
      <c r="M603" s="5" t="s">
        <v>5456</v>
      </c>
      <c r="N603" s="7" t="s">
        <v>5457</v>
      </c>
      <c r="O603" s="9" t="s">
        <v>5458</v>
      </c>
      <c r="P603" s="19" t="s">
        <v>5459</v>
      </c>
      <c r="Q603" s="5" t="s">
        <v>30</v>
      </c>
    </row>
    <row r="604" ht="21.0" customHeight="1">
      <c r="A604" s="4">
        <v>609.0</v>
      </c>
      <c r="B604" s="5" t="s">
        <v>5460</v>
      </c>
      <c r="C604" s="5" t="s">
        <v>18</v>
      </c>
      <c r="D604" s="5" t="s">
        <v>5461</v>
      </c>
      <c r="E604" s="5" t="s">
        <v>5462</v>
      </c>
      <c r="F604" s="5" t="s">
        <v>5395</v>
      </c>
      <c r="G604" s="5" t="s">
        <v>5463</v>
      </c>
      <c r="H604" s="5" t="s">
        <v>23</v>
      </c>
      <c r="I604" s="6" t="s">
        <v>5464</v>
      </c>
      <c r="J604" s="4">
        <v>100.0</v>
      </c>
      <c r="K604" s="5" t="s">
        <v>25</v>
      </c>
      <c r="L604" s="5" t="s">
        <v>5465</v>
      </c>
      <c r="M604" s="5" t="s">
        <v>5466</v>
      </c>
      <c r="N604" s="7" t="s">
        <v>5467</v>
      </c>
      <c r="O604" s="9" t="s">
        <v>5468</v>
      </c>
      <c r="P604" s="19" t="s">
        <v>5469</v>
      </c>
      <c r="Q604" s="5" t="s">
        <v>30</v>
      </c>
    </row>
    <row r="605" ht="21.0" customHeight="1">
      <c r="A605" s="4">
        <v>610.0</v>
      </c>
      <c r="B605" s="5" t="s">
        <v>5470</v>
      </c>
      <c r="C605" s="5" t="s">
        <v>5471</v>
      </c>
      <c r="D605" s="5" t="s">
        <v>5472</v>
      </c>
      <c r="E605" s="5" t="s">
        <v>5473</v>
      </c>
      <c r="F605" s="5" t="s">
        <v>5395</v>
      </c>
      <c r="G605" s="5" t="s">
        <v>5474</v>
      </c>
      <c r="H605" s="5" t="s">
        <v>23</v>
      </c>
      <c r="I605" s="6" t="s">
        <v>5475</v>
      </c>
      <c r="J605" s="4">
        <v>100.0</v>
      </c>
      <c r="K605" s="5" t="s">
        <v>25</v>
      </c>
      <c r="L605" s="5" t="s">
        <v>5476</v>
      </c>
      <c r="M605" s="5" t="s">
        <v>5477</v>
      </c>
      <c r="N605" s="7" t="s">
        <v>5478</v>
      </c>
      <c r="O605" s="9" t="s">
        <v>5479</v>
      </c>
      <c r="P605" s="19" t="s">
        <v>5480</v>
      </c>
      <c r="Q605" s="5" t="s">
        <v>30</v>
      </c>
    </row>
    <row r="606" ht="21.0" customHeight="1">
      <c r="A606" s="4">
        <v>611.0</v>
      </c>
      <c r="B606" s="5" t="s">
        <v>5481</v>
      </c>
      <c r="C606" s="5" t="s">
        <v>18</v>
      </c>
      <c r="D606" s="5" t="s">
        <v>4208</v>
      </c>
      <c r="E606" s="5" t="s">
        <v>5482</v>
      </c>
      <c r="F606" s="5" t="s">
        <v>5395</v>
      </c>
      <c r="G606" s="5" t="s">
        <v>5483</v>
      </c>
      <c r="H606" s="5" t="s">
        <v>50</v>
      </c>
      <c r="I606" s="6" t="s">
        <v>5484</v>
      </c>
      <c r="J606" s="4">
        <v>100.0</v>
      </c>
      <c r="K606" s="5" t="s">
        <v>110</v>
      </c>
      <c r="L606" s="5" t="s">
        <v>4212</v>
      </c>
      <c r="M606" s="5" t="s">
        <v>5485</v>
      </c>
      <c r="N606" s="7" t="s">
        <v>5486</v>
      </c>
      <c r="O606" s="9" t="s">
        <v>5487</v>
      </c>
      <c r="P606" s="19" t="s">
        <v>5488</v>
      </c>
      <c r="Q606" s="5" t="s">
        <v>30</v>
      </c>
    </row>
    <row r="607" ht="21.0" customHeight="1">
      <c r="A607" s="4">
        <v>612.0</v>
      </c>
      <c r="B607" s="5" t="s">
        <v>5489</v>
      </c>
      <c r="C607" s="5" t="s">
        <v>18</v>
      </c>
      <c r="D607" s="5" t="s">
        <v>5490</v>
      </c>
      <c r="E607" s="5" t="s">
        <v>5491</v>
      </c>
      <c r="F607" s="5" t="s">
        <v>5395</v>
      </c>
      <c r="G607" s="5" t="s">
        <v>5492</v>
      </c>
      <c r="H607" s="5" t="s">
        <v>23</v>
      </c>
      <c r="I607" s="6" t="s">
        <v>5493</v>
      </c>
      <c r="J607" s="4">
        <v>100.0</v>
      </c>
      <c r="K607" s="5" t="s">
        <v>165</v>
      </c>
      <c r="L607" s="5" t="s">
        <v>5494</v>
      </c>
      <c r="M607" s="5" t="s">
        <v>5495</v>
      </c>
      <c r="N607" s="7" t="s">
        <v>5496</v>
      </c>
      <c r="O607" s="9" t="s">
        <v>5497</v>
      </c>
      <c r="P607" s="5" t="s">
        <v>30</v>
      </c>
      <c r="Q607" s="5" t="s">
        <v>30</v>
      </c>
    </row>
    <row r="608" ht="21.0" customHeight="1">
      <c r="A608" s="4">
        <v>613.0</v>
      </c>
      <c r="B608" s="5" t="s">
        <v>5498</v>
      </c>
      <c r="C608" s="5" t="s">
        <v>18</v>
      </c>
      <c r="D608" s="5" t="s">
        <v>5499</v>
      </c>
      <c r="E608" s="5" t="s">
        <v>5500</v>
      </c>
      <c r="F608" s="5" t="s">
        <v>5395</v>
      </c>
      <c r="G608" s="5" t="s">
        <v>5501</v>
      </c>
      <c r="H608" s="5" t="s">
        <v>23</v>
      </c>
      <c r="I608" s="6" t="s">
        <v>5502</v>
      </c>
      <c r="J608" s="4">
        <v>100.0</v>
      </c>
      <c r="K608" s="5" t="s">
        <v>110</v>
      </c>
      <c r="L608" s="5" t="s">
        <v>5503</v>
      </c>
      <c r="M608" s="5" t="s">
        <v>5504</v>
      </c>
      <c r="N608" s="7" t="s">
        <v>5505</v>
      </c>
      <c r="O608" s="9" t="s">
        <v>5506</v>
      </c>
      <c r="P608" s="19" t="s">
        <v>5507</v>
      </c>
      <c r="Q608" s="5" t="s">
        <v>30</v>
      </c>
    </row>
    <row r="609" ht="21.0" customHeight="1">
      <c r="A609" s="4">
        <v>614.0</v>
      </c>
      <c r="B609" s="5" t="s">
        <v>5508</v>
      </c>
      <c r="C609" s="5" t="s">
        <v>5509</v>
      </c>
      <c r="D609" s="5" t="s">
        <v>5510</v>
      </c>
      <c r="E609" s="5" t="s">
        <v>5511</v>
      </c>
      <c r="F609" s="5" t="s">
        <v>5395</v>
      </c>
      <c r="G609" s="5" t="s">
        <v>5512</v>
      </c>
      <c r="H609" s="5" t="s">
        <v>23</v>
      </c>
      <c r="I609" s="6" t="s">
        <v>5513</v>
      </c>
      <c r="J609" s="4">
        <v>100.0</v>
      </c>
      <c r="K609" s="5" t="s">
        <v>84</v>
      </c>
      <c r="L609" s="5" t="s">
        <v>5514</v>
      </c>
      <c r="M609" s="5" t="s">
        <v>5515</v>
      </c>
      <c r="N609" s="7" t="s">
        <v>5516</v>
      </c>
      <c r="O609" s="9" t="s">
        <v>5517</v>
      </c>
      <c r="P609" s="19" t="s">
        <v>5518</v>
      </c>
      <c r="Q609" s="5" t="s">
        <v>30</v>
      </c>
    </row>
    <row r="610" ht="21.0" customHeight="1">
      <c r="A610" s="4">
        <v>615.0</v>
      </c>
      <c r="B610" s="5" t="s">
        <v>5519</v>
      </c>
      <c r="C610" s="5" t="s">
        <v>18</v>
      </c>
      <c r="D610" s="5" t="s">
        <v>5520</v>
      </c>
      <c r="E610" s="5" t="s">
        <v>5521</v>
      </c>
      <c r="F610" s="5" t="s">
        <v>5395</v>
      </c>
      <c r="G610" s="5" t="s">
        <v>5522</v>
      </c>
      <c r="H610" s="5" t="s">
        <v>23</v>
      </c>
      <c r="I610" s="6" t="s">
        <v>5523</v>
      </c>
      <c r="J610" s="4">
        <v>100.0</v>
      </c>
      <c r="K610" s="5" t="s">
        <v>141</v>
      </c>
      <c r="L610" s="5" t="s">
        <v>5524</v>
      </c>
      <c r="M610" s="5" t="s">
        <v>5525</v>
      </c>
      <c r="N610" s="7" t="s">
        <v>5526</v>
      </c>
      <c r="O610" s="9" t="s">
        <v>5527</v>
      </c>
      <c r="P610" s="27" t="s">
        <v>5528</v>
      </c>
      <c r="Q610" s="5" t="s">
        <v>30</v>
      </c>
    </row>
    <row r="611" ht="21.0" customHeight="1">
      <c r="A611" s="4">
        <v>616.0</v>
      </c>
      <c r="B611" s="5" t="s">
        <v>5529</v>
      </c>
      <c r="C611" s="5" t="s">
        <v>5530</v>
      </c>
      <c r="D611" s="5" t="s">
        <v>19</v>
      </c>
      <c r="E611" s="5" t="s">
        <v>5531</v>
      </c>
      <c r="F611" s="5" t="s">
        <v>5395</v>
      </c>
      <c r="G611" s="5" t="s">
        <v>5532</v>
      </c>
      <c r="H611" s="5" t="s">
        <v>23</v>
      </c>
      <c r="I611" s="6" t="s">
        <v>5533</v>
      </c>
      <c r="J611" s="4">
        <v>100.0</v>
      </c>
      <c r="K611" s="5" t="s">
        <v>110</v>
      </c>
      <c r="L611" s="5" t="s">
        <v>5534</v>
      </c>
      <c r="M611" s="5" t="s">
        <v>5535</v>
      </c>
      <c r="N611" s="7" t="s">
        <v>5536</v>
      </c>
      <c r="O611" s="9" t="s">
        <v>5537</v>
      </c>
      <c r="P611" s="19" t="s">
        <v>5538</v>
      </c>
      <c r="Q611" s="5" t="s">
        <v>30</v>
      </c>
    </row>
    <row r="612" ht="21.0" customHeight="1">
      <c r="A612" s="4">
        <v>617.0</v>
      </c>
      <c r="B612" s="5" t="s">
        <v>5539</v>
      </c>
      <c r="C612" s="5" t="s">
        <v>18</v>
      </c>
      <c r="D612" s="5" t="s">
        <v>5540</v>
      </c>
      <c r="E612" s="5" t="s">
        <v>5541</v>
      </c>
      <c r="F612" s="5" t="s">
        <v>5395</v>
      </c>
      <c r="G612" s="5" t="s">
        <v>5542</v>
      </c>
      <c r="H612" s="5" t="s">
        <v>23</v>
      </c>
      <c r="I612" s="6" t="s">
        <v>5543</v>
      </c>
      <c r="J612" s="4">
        <v>100.0</v>
      </c>
      <c r="K612" s="5" t="s">
        <v>84</v>
      </c>
      <c r="L612" s="5" t="s">
        <v>5544</v>
      </c>
      <c r="M612" s="5" t="s">
        <v>5545</v>
      </c>
      <c r="N612" s="7" t="s">
        <v>5546</v>
      </c>
      <c r="O612" s="9" t="s">
        <v>5547</v>
      </c>
      <c r="P612" s="5" t="s">
        <v>30</v>
      </c>
      <c r="Q612" s="5" t="s">
        <v>30</v>
      </c>
    </row>
    <row r="613" ht="21.0" customHeight="1">
      <c r="A613" s="4">
        <v>618.0</v>
      </c>
      <c r="B613" s="5" t="s">
        <v>5548</v>
      </c>
      <c r="C613" s="5" t="s">
        <v>5549</v>
      </c>
      <c r="D613" s="5" t="s">
        <v>5550</v>
      </c>
      <c r="E613" s="5" t="s">
        <v>5551</v>
      </c>
      <c r="F613" s="5" t="s">
        <v>5395</v>
      </c>
      <c r="G613" s="5" t="s">
        <v>5552</v>
      </c>
      <c r="H613" s="5" t="s">
        <v>23</v>
      </c>
      <c r="I613" s="6" t="s">
        <v>5553</v>
      </c>
      <c r="J613" s="4">
        <v>100.0</v>
      </c>
      <c r="K613" s="5" t="s">
        <v>25</v>
      </c>
      <c r="L613" s="5" t="s">
        <v>5554</v>
      </c>
      <c r="M613" s="5" t="s">
        <v>5555</v>
      </c>
      <c r="N613" s="7" t="s">
        <v>5556</v>
      </c>
      <c r="O613" s="9" t="s">
        <v>5557</v>
      </c>
      <c r="P613" s="19" t="s">
        <v>5558</v>
      </c>
      <c r="Q613" s="5" t="s">
        <v>30</v>
      </c>
    </row>
    <row r="614" ht="21.0" customHeight="1">
      <c r="A614" s="4">
        <v>619.0</v>
      </c>
      <c r="B614" s="5" t="s">
        <v>5559</v>
      </c>
      <c r="C614" s="5" t="s">
        <v>18</v>
      </c>
      <c r="D614" s="5" t="s">
        <v>5560</v>
      </c>
      <c r="E614" s="5" t="s">
        <v>5561</v>
      </c>
      <c r="F614" s="5" t="s">
        <v>5395</v>
      </c>
      <c r="G614" s="5" t="s">
        <v>5562</v>
      </c>
      <c r="H614" s="5" t="s">
        <v>23</v>
      </c>
      <c r="I614" s="6" t="s">
        <v>5563</v>
      </c>
      <c r="J614" s="4">
        <v>100.0</v>
      </c>
      <c r="K614" s="5" t="s">
        <v>84</v>
      </c>
      <c r="L614" s="5" t="s">
        <v>5564</v>
      </c>
      <c r="M614" s="5" t="s">
        <v>5565</v>
      </c>
      <c r="N614" s="7" t="s">
        <v>5566</v>
      </c>
      <c r="O614" s="9" t="s">
        <v>5567</v>
      </c>
      <c r="P614" s="19" t="s">
        <v>5568</v>
      </c>
      <c r="Q614" s="5" t="s">
        <v>30</v>
      </c>
    </row>
    <row r="615" ht="21.0" customHeight="1">
      <c r="A615" s="4">
        <v>620.0</v>
      </c>
      <c r="B615" s="5" t="s">
        <v>5569</v>
      </c>
      <c r="C615" s="5" t="s">
        <v>18</v>
      </c>
      <c r="D615" s="5" t="s">
        <v>19</v>
      </c>
      <c r="E615" s="5" t="s">
        <v>5570</v>
      </c>
      <c r="F615" s="5" t="s">
        <v>5395</v>
      </c>
      <c r="G615" s="5" t="s">
        <v>34</v>
      </c>
      <c r="H615" s="5" t="s">
        <v>23</v>
      </c>
      <c r="I615" s="6" t="s">
        <v>5571</v>
      </c>
      <c r="J615" s="4">
        <v>100.0</v>
      </c>
      <c r="K615" s="5" t="s">
        <v>52</v>
      </c>
      <c r="L615" s="5" t="s">
        <v>5572</v>
      </c>
      <c r="M615" s="5" t="s">
        <v>5573</v>
      </c>
      <c r="N615" s="7" t="s">
        <v>5574</v>
      </c>
      <c r="O615" s="9" t="s">
        <v>5575</v>
      </c>
      <c r="P615" s="19" t="s">
        <v>5576</v>
      </c>
      <c r="Q615" s="5" t="s">
        <v>30</v>
      </c>
    </row>
    <row r="616" ht="21.0" customHeight="1">
      <c r="A616" s="4">
        <v>621.0</v>
      </c>
      <c r="B616" s="5" t="s">
        <v>5577</v>
      </c>
      <c r="C616" s="5" t="s">
        <v>18</v>
      </c>
      <c r="D616" s="5" t="s">
        <v>5578</v>
      </c>
      <c r="E616" s="5" t="s">
        <v>5579</v>
      </c>
      <c r="F616" s="5" t="s">
        <v>5395</v>
      </c>
      <c r="G616" s="5" t="s">
        <v>5580</v>
      </c>
      <c r="H616" s="5" t="s">
        <v>23</v>
      </c>
      <c r="I616" s="6" t="s">
        <v>5581</v>
      </c>
      <c r="J616" s="4">
        <v>100.0</v>
      </c>
      <c r="K616" s="5" t="s">
        <v>165</v>
      </c>
      <c r="L616" s="5" t="s">
        <v>5582</v>
      </c>
      <c r="M616" s="5" t="s">
        <v>5583</v>
      </c>
      <c r="N616" s="7" t="s">
        <v>5584</v>
      </c>
      <c r="O616" s="9" t="s">
        <v>5585</v>
      </c>
      <c r="P616" s="19" t="s">
        <v>5586</v>
      </c>
      <c r="Q616" s="5" t="s">
        <v>30</v>
      </c>
    </row>
    <row r="617" ht="21.0" customHeight="1">
      <c r="A617" s="4">
        <v>622.0</v>
      </c>
      <c r="B617" s="5" t="s">
        <v>5587</v>
      </c>
      <c r="C617" s="5" t="s">
        <v>18</v>
      </c>
      <c r="D617" s="5" t="s">
        <v>5588</v>
      </c>
      <c r="E617" s="5" t="s">
        <v>5589</v>
      </c>
      <c r="F617" s="5" t="s">
        <v>5395</v>
      </c>
      <c r="G617" s="5" t="s">
        <v>5590</v>
      </c>
      <c r="H617" s="5" t="s">
        <v>23</v>
      </c>
      <c r="I617" s="6" t="s">
        <v>5591</v>
      </c>
      <c r="J617" s="4">
        <v>100.0</v>
      </c>
      <c r="K617" s="5" t="s">
        <v>110</v>
      </c>
      <c r="L617" s="5" t="s">
        <v>5592</v>
      </c>
      <c r="M617" s="5" t="s">
        <v>5593</v>
      </c>
      <c r="N617" s="7" t="s">
        <v>5594</v>
      </c>
      <c r="O617" s="9" t="s">
        <v>5595</v>
      </c>
      <c r="P617" s="19" t="s">
        <v>5596</v>
      </c>
      <c r="Q617" s="5" t="s">
        <v>30</v>
      </c>
    </row>
    <row r="618" ht="21.0" customHeight="1">
      <c r="A618" s="4">
        <v>623.0</v>
      </c>
      <c r="B618" s="5" t="s">
        <v>5597</v>
      </c>
      <c r="C618" s="5" t="s">
        <v>5598</v>
      </c>
      <c r="D618" s="5" t="s">
        <v>5599</v>
      </c>
      <c r="E618" s="5" t="s">
        <v>5600</v>
      </c>
      <c r="F618" s="5" t="s">
        <v>5395</v>
      </c>
      <c r="G618" s="5" t="s">
        <v>5601</v>
      </c>
      <c r="H618" s="5" t="s">
        <v>23</v>
      </c>
      <c r="I618" s="6" t="s">
        <v>5602</v>
      </c>
      <c r="J618" s="4">
        <v>100.0</v>
      </c>
      <c r="K618" s="5" t="s">
        <v>517</v>
      </c>
      <c r="L618" s="5" t="s">
        <v>5603</v>
      </c>
      <c r="M618" s="5" t="s">
        <v>5604</v>
      </c>
      <c r="N618" s="7" t="s">
        <v>5605</v>
      </c>
      <c r="O618" s="9" t="s">
        <v>5606</v>
      </c>
      <c r="P618" s="19" t="s">
        <v>5607</v>
      </c>
      <c r="Q618" s="5" t="s">
        <v>30</v>
      </c>
    </row>
    <row r="619" ht="21.0" customHeight="1">
      <c r="A619" s="4">
        <v>624.0</v>
      </c>
      <c r="B619" s="5" t="s">
        <v>5608</v>
      </c>
      <c r="C619" s="5" t="s">
        <v>18</v>
      </c>
      <c r="D619" s="5" t="s">
        <v>5609</v>
      </c>
      <c r="E619" s="5" t="s">
        <v>5610</v>
      </c>
      <c r="F619" s="5" t="s">
        <v>5395</v>
      </c>
      <c r="G619" s="5" t="s">
        <v>5611</v>
      </c>
      <c r="H619" s="5" t="s">
        <v>23</v>
      </c>
      <c r="I619" s="6" t="s">
        <v>5612</v>
      </c>
      <c r="J619" s="4">
        <v>100.0</v>
      </c>
      <c r="K619" s="5" t="s">
        <v>25</v>
      </c>
      <c r="L619" s="5" t="s">
        <v>5613</v>
      </c>
      <c r="M619" s="5" t="s">
        <v>5614</v>
      </c>
      <c r="N619" s="7" t="s">
        <v>5607</v>
      </c>
      <c r="O619" s="9" t="s">
        <v>5615</v>
      </c>
      <c r="P619" s="19" t="s">
        <v>5616</v>
      </c>
      <c r="Q619" s="5" t="s">
        <v>30</v>
      </c>
    </row>
    <row r="620" ht="21.0" customHeight="1">
      <c r="A620" s="4">
        <v>625.0</v>
      </c>
      <c r="B620" s="5" t="s">
        <v>5617</v>
      </c>
      <c r="C620" s="5" t="s">
        <v>18</v>
      </c>
      <c r="D620" s="5" t="s">
        <v>5618</v>
      </c>
      <c r="E620" s="5" t="s">
        <v>5619</v>
      </c>
      <c r="F620" s="5" t="s">
        <v>5395</v>
      </c>
      <c r="G620" s="5" t="s">
        <v>5620</v>
      </c>
      <c r="H620" s="5" t="s">
        <v>23</v>
      </c>
      <c r="I620" s="6" t="s">
        <v>5621</v>
      </c>
      <c r="J620" s="4">
        <v>100.0</v>
      </c>
      <c r="K620" s="5" t="s">
        <v>84</v>
      </c>
      <c r="L620" s="5" t="s">
        <v>5622</v>
      </c>
      <c r="M620" s="5" t="s">
        <v>5623</v>
      </c>
      <c r="N620" s="7" t="s">
        <v>5624</v>
      </c>
      <c r="O620" s="9" t="s">
        <v>5625</v>
      </c>
      <c r="P620" s="19" t="s">
        <v>5626</v>
      </c>
      <c r="Q620" s="5" t="s">
        <v>30</v>
      </c>
    </row>
    <row r="621" ht="21.0" customHeight="1">
      <c r="A621" s="4">
        <v>626.0</v>
      </c>
      <c r="B621" s="5" t="s">
        <v>5627</v>
      </c>
      <c r="C621" s="5" t="s">
        <v>18</v>
      </c>
      <c r="D621" s="5" t="s">
        <v>2738</v>
      </c>
      <c r="E621" s="5" t="s">
        <v>5628</v>
      </c>
      <c r="F621" s="5" t="s">
        <v>5395</v>
      </c>
      <c r="G621" s="5" t="s">
        <v>5629</v>
      </c>
      <c r="H621" s="5" t="s">
        <v>23</v>
      </c>
      <c r="I621" s="6" t="s">
        <v>5630</v>
      </c>
      <c r="J621" s="4">
        <v>100.0</v>
      </c>
      <c r="K621" s="5" t="s">
        <v>517</v>
      </c>
      <c r="L621" s="5" t="s">
        <v>5631</v>
      </c>
      <c r="M621" s="5" t="s">
        <v>5632</v>
      </c>
      <c r="N621" s="7" t="s">
        <v>5633</v>
      </c>
      <c r="O621" s="9" t="s">
        <v>5634</v>
      </c>
      <c r="P621" s="19" t="s">
        <v>5635</v>
      </c>
      <c r="Q621" s="5" t="s">
        <v>30</v>
      </c>
    </row>
    <row r="622" ht="21.0" customHeight="1">
      <c r="A622" s="4">
        <v>627.0</v>
      </c>
      <c r="B622" s="5" t="s">
        <v>5636</v>
      </c>
      <c r="C622" s="5" t="s">
        <v>18</v>
      </c>
      <c r="D622" s="5" t="s">
        <v>5637</v>
      </c>
      <c r="E622" s="5" t="s">
        <v>5638</v>
      </c>
      <c r="F622" s="5" t="s">
        <v>5395</v>
      </c>
      <c r="G622" s="5" t="s">
        <v>5639</v>
      </c>
      <c r="H622" s="5" t="s">
        <v>23</v>
      </c>
      <c r="I622" s="6" t="s">
        <v>5640</v>
      </c>
      <c r="J622" s="4">
        <v>100.0</v>
      </c>
      <c r="K622" s="5" t="s">
        <v>517</v>
      </c>
      <c r="L622" s="5" t="s">
        <v>5641</v>
      </c>
      <c r="M622" s="5" t="s">
        <v>5642</v>
      </c>
      <c r="N622" s="7" t="s">
        <v>5643</v>
      </c>
      <c r="O622" s="9" t="s">
        <v>5644</v>
      </c>
      <c r="P622" s="19" t="s">
        <v>5645</v>
      </c>
      <c r="Q622" s="5" t="s">
        <v>30</v>
      </c>
    </row>
    <row r="623" ht="21.0" customHeight="1">
      <c r="A623" s="4">
        <v>628.0</v>
      </c>
      <c r="B623" s="5" t="s">
        <v>5646</v>
      </c>
      <c r="C623" s="5" t="s">
        <v>18</v>
      </c>
      <c r="D623" s="5" t="s">
        <v>4915</v>
      </c>
      <c r="E623" s="5" t="s">
        <v>5647</v>
      </c>
      <c r="F623" s="5" t="s">
        <v>5395</v>
      </c>
      <c r="G623" s="5" t="s">
        <v>5648</v>
      </c>
      <c r="H623" s="5" t="s">
        <v>23</v>
      </c>
      <c r="I623" s="6" t="s">
        <v>5649</v>
      </c>
      <c r="J623" s="4">
        <v>100.0</v>
      </c>
      <c r="K623" s="5" t="s">
        <v>25</v>
      </c>
      <c r="L623" s="5" t="s">
        <v>5650</v>
      </c>
      <c r="M623" s="5" t="s">
        <v>5651</v>
      </c>
      <c r="N623" s="7" t="s">
        <v>5652</v>
      </c>
      <c r="O623" s="9" t="s">
        <v>5653</v>
      </c>
      <c r="P623" s="19" t="s">
        <v>5654</v>
      </c>
      <c r="Q623" s="5" t="s">
        <v>30</v>
      </c>
    </row>
    <row r="624" ht="21.0" customHeight="1">
      <c r="A624" s="4">
        <v>629.0</v>
      </c>
      <c r="B624" s="5" t="s">
        <v>5655</v>
      </c>
      <c r="C624" s="5" t="s">
        <v>18</v>
      </c>
      <c r="D624" s="5" t="s">
        <v>5656</v>
      </c>
      <c r="E624" s="5" t="s">
        <v>5657</v>
      </c>
      <c r="F624" s="5" t="s">
        <v>5395</v>
      </c>
      <c r="G624" s="5" t="s">
        <v>5658</v>
      </c>
      <c r="H624" s="5" t="s">
        <v>23</v>
      </c>
      <c r="I624" s="6" t="s">
        <v>5659</v>
      </c>
      <c r="J624" s="4">
        <v>100.0</v>
      </c>
      <c r="K624" s="5" t="s">
        <v>25</v>
      </c>
      <c r="L624" s="5" t="s">
        <v>5660</v>
      </c>
      <c r="M624" s="5" t="s">
        <v>5661</v>
      </c>
      <c r="N624" s="7" t="s">
        <v>5662</v>
      </c>
      <c r="O624" s="9" t="s">
        <v>5663</v>
      </c>
      <c r="P624" s="19" t="s">
        <v>5664</v>
      </c>
      <c r="Q624" s="5" t="s">
        <v>30</v>
      </c>
    </row>
    <row r="625" ht="21.0" customHeight="1">
      <c r="A625" s="4">
        <v>630.0</v>
      </c>
      <c r="B625" s="5" t="s">
        <v>5665</v>
      </c>
      <c r="C625" s="5" t="s">
        <v>18</v>
      </c>
      <c r="D625" s="5" t="s">
        <v>5666</v>
      </c>
      <c r="E625" s="5" t="s">
        <v>5667</v>
      </c>
      <c r="F625" s="5" t="s">
        <v>5395</v>
      </c>
      <c r="G625" s="5" t="s">
        <v>5668</v>
      </c>
      <c r="H625" s="5" t="s">
        <v>23</v>
      </c>
      <c r="I625" s="6" t="s">
        <v>5669</v>
      </c>
      <c r="J625" s="4">
        <v>100.0</v>
      </c>
      <c r="K625" s="5" t="s">
        <v>216</v>
      </c>
      <c r="L625" s="5" t="s">
        <v>5670</v>
      </c>
      <c r="M625" s="5" t="s">
        <v>5671</v>
      </c>
      <c r="N625" s="7" t="s">
        <v>5672</v>
      </c>
      <c r="O625" s="9" t="s">
        <v>5673</v>
      </c>
      <c r="P625" s="19" t="s">
        <v>5674</v>
      </c>
      <c r="Q625" s="5" t="s">
        <v>30</v>
      </c>
    </row>
    <row r="626" ht="21.0" customHeight="1">
      <c r="A626" s="4">
        <v>631.0</v>
      </c>
      <c r="B626" s="5" t="s">
        <v>5675</v>
      </c>
      <c r="C626" s="5" t="s">
        <v>5676</v>
      </c>
      <c r="D626" s="5" t="s">
        <v>5677</v>
      </c>
      <c r="E626" s="5" t="s">
        <v>5678</v>
      </c>
      <c r="F626" s="5" t="s">
        <v>5395</v>
      </c>
      <c r="G626" s="5" t="s">
        <v>5679</v>
      </c>
      <c r="H626" s="5" t="s">
        <v>23</v>
      </c>
      <c r="I626" s="6" t="s">
        <v>5680</v>
      </c>
      <c r="J626" s="4">
        <v>100.0</v>
      </c>
      <c r="K626" s="5" t="s">
        <v>110</v>
      </c>
      <c r="L626" s="5" t="s">
        <v>5681</v>
      </c>
      <c r="M626" s="5" t="s">
        <v>5682</v>
      </c>
      <c r="N626" s="7" t="s">
        <v>5683</v>
      </c>
      <c r="O626" s="9" t="s">
        <v>5684</v>
      </c>
      <c r="P626" s="19" t="s">
        <v>5685</v>
      </c>
      <c r="Q626" s="5" t="s">
        <v>30</v>
      </c>
    </row>
    <row r="627" ht="21.0" customHeight="1">
      <c r="A627" s="4">
        <v>632.0</v>
      </c>
      <c r="B627" s="5" t="s">
        <v>5686</v>
      </c>
      <c r="C627" s="5" t="s">
        <v>18</v>
      </c>
      <c r="D627" s="5" t="s">
        <v>5687</v>
      </c>
      <c r="E627" s="5" t="s">
        <v>5688</v>
      </c>
      <c r="F627" s="5" t="s">
        <v>5395</v>
      </c>
      <c r="G627" s="5" t="s">
        <v>5689</v>
      </c>
      <c r="H627" s="5" t="s">
        <v>23</v>
      </c>
      <c r="I627" s="6" t="s">
        <v>5690</v>
      </c>
      <c r="J627" s="4">
        <v>100.0</v>
      </c>
      <c r="K627" s="5" t="s">
        <v>110</v>
      </c>
      <c r="L627" s="5" t="s">
        <v>5691</v>
      </c>
      <c r="M627" s="5" t="s">
        <v>5692</v>
      </c>
      <c r="N627" s="7" t="s">
        <v>5693</v>
      </c>
      <c r="O627" s="9" t="s">
        <v>5694</v>
      </c>
      <c r="P627" s="19" t="s">
        <v>5695</v>
      </c>
      <c r="Q627" s="5" t="s">
        <v>30</v>
      </c>
    </row>
    <row r="628" ht="21.0" customHeight="1">
      <c r="A628" s="4">
        <v>633.0</v>
      </c>
      <c r="B628" s="5" t="s">
        <v>5696</v>
      </c>
      <c r="C628" s="5" t="s">
        <v>18</v>
      </c>
      <c r="D628" s="5" t="s">
        <v>19</v>
      </c>
      <c r="E628" s="5" t="s">
        <v>5697</v>
      </c>
      <c r="F628" s="5" t="s">
        <v>5395</v>
      </c>
      <c r="G628" s="5" t="s">
        <v>5698</v>
      </c>
      <c r="H628" s="5" t="s">
        <v>23</v>
      </c>
      <c r="I628" s="6" t="s">
        <v>5699</v>
      </c>
      <c r="J628" s="4">
        <v>100.0</v>
      </c>
      <c r="K628" s="5" t="s">
        <v>316</v>
      </c>
      <c r="L628" s="5" t="s">
        <v>5700</v>
      </c>
      <c r="M628" s="5" t="s">
        <v>5701</v>
      </c>
      <c r="N628" s="7" t="s">
        <v>5702</v>
      </c>
      <c r="O628" s="9" t="s">
        <v>5703</v>
      </c>
      <c r="P628" s="19" t="s">
        <v>5704</v>
      </c>
      <c r="Q628" s="5" t="s">
        <v>30</v>
      </c>
    </row>
    <row r="629" ht="21.0" customHeight="1">
      <c r="A629" s="4">
        <v>634.0</v>
      </c>
      <c r="B629" s="5" t="s">
        <v>5705</v>
      </c>
      <c r="C629" s="5" t="s">
        <v>18</v>
      </c>
      <c r="D629" s="5" t="s">
        <v>19</v>
      </c>
      <c r="E629" s="5" t="s">
        <v>5706</v>
      </c>
      <c r="F629" s="5" t="s">
        <v>5395</v>
      </c>
      <c r="G629" s="5" t="s">
        <v>5707</v>
      </c>
      <c r="H629" s="5" t="s">
        <v>23</v>
      </c>
      <c r="I629" s="6" t="s">
        <v>5708</v>
      </c>
      <c r="J629" s="4">
        <v>100.0</v>
      </c>
      <c r="K629" s="5" t="s">
        <v>110</v>
      </c>
      <c r="L629" s="5" t="s">
        <v>5709</v>
      </c>
      <c r="M629" s="5" t="s">
        <v>5710</v>
      </c>
      <c r="N629" s="7" t="s">
        <v>5711</v>
      </c>
      <c r="O629" s="9" t="s">
        <v>5712</v>
      </c>
      <c r="P629" s="19" t="s">
        <v>5713</v>
      </c>
      <c r="Q629" s="5" t="s">
        <v>30</v>
      </c>
    </row>
    <row r="630" ht="21.0" customHeight="1">
      <c r="A630" s="4">
        <v>635.0</v>
      </c>
      <c r="B630" s="5" t="s">
        <v>5714</v>
      </c>
      <c r="C630" s="5" t="s">
        <v>5715</v>
      </c>
      <c r="D630" s="5" t="s">
        <v>19</v>
      </c>
      <c r="E630" s="5" t="s">
        <v>5716</v>
      </c>
      <c r="F630" s="5" t="s">
        <v>5395</v>
      </c>
      <c r="G630" s="5" t="s">
        <v>34</v>
      </c>
      <c r="H630" s="5" t="s">
        <v>23</v>
      </c>
      <c r="I630" s="6" t="s">
        <v>5717</v>
      </c>
      <c r="J630" s="4">
        <v>100.0</v>
      </c>
      <c r="K630" s="5" t="s">
        <v>25</v>
      </c>
      <c r="L630" s="5" t="s">
        <v>5718</v>
      </c>
      <c r="M630" s="5" t="s">
        <v>5719</v>
      </c>
      <c r="N630" s="40" t="s">
        <v>5720</v>
      </c>
      <c r="O630" s="40" t="s">
        <v>30</v>
      </c>
      <c r="P630" s="5" t="s">
        <v>30</v>
      </c>
      <c r="Q630" s="5" t="s">
        <v>30</v>
      </c>
    </row>
    <row r="631" ht="21.0" customHeight="1">
      <c r="A631" s="4">
        <v>636.0</v>
      </c>
      <c r="B631" s="5" t="s">
        <v>5721</v>
      </c>
      <c r="C631" s="5" t="s">
        <v>18</v>
      </c>
      <c r="D631" s="5" t="s">
        <v>19</v>
      </c>
      <c r="E631" s="5" t="s">
        <v>5722</v>
      </c>
      <c r="F631" s="5" t="s">
        <v>5395</v>
      </c>
      <c r="G631" s="5" t="s">
        <v>5723</v>
      </c>
      <c r="H631" s="5" t="s">
        <v>50</v>
      </c>
      <c r="I631" s="6" t="s">
        <v>5724</v>
      </c>
      <c r="J631" s="4">
        <v>100.0</v>
      </c>
      <c r="K631" s="5" t="s">
        <v>84</v>
      </c>
      <c r="L631" s="5" t="s">
        <v>5725</v>
      </c>
      <c r="M631" s="5" t="s">
        <v>5726</v>
      </c>
      <c r="N631" s="7" t="s">
        <v>5727</v>
      </c>
      <c r="O631" s="9" t="s">
        <v>5728</v>
      </c>
      <c r="P631" s="19" t="s">
        <v>5729</v>
      </c>
      <c r="Q631" s="5" t="s">
        <v>30</v>
      </c>
    </row>
    <row r="632" ht="21.0" customHeight="1">
      <c r="A632" s="4">
        <v>637.0</v>
      </c>
      <c r="B632" s="5" t="s">
        <v>5730</v>
      </c>
      <c r="C632" s="5" t="s">
        <v>18</v>
      </c>
      <c r="D632" s="5" t="s">
        <v>19</v>
      </c>
      <c r="E632" s="5" t="s">
        <v>5731</v>
      </c>
      <c r="F632" s="5" t="s">
        <v>5395</v>
      </c>
      <c r="G632" s="5" t="s">
        <v>5732</v>
      </c>
      <c r="H632" s="5" t="s">
        <v>23</v>
      </c>
      <c r="I632" s="6" t="s">
        <v>5733</v>
      </c>
      <c r="J632" s="4">
        <v>100.0</v>
      </c>
      <c r="K632" s="5" t="s">
        <v>316</v>
      </c>
      <c r="L632" s="5" t="s">
        <v>5734</v>
      </c>
      <c r="M632" s="5" t="s">
        <v>5735</v>
      </c>
      <c r="N632" s="7" t="s">
        <v>5736</v>
      </c>
      <c r="O632" s="9" t="s">
        <v>5737</v>
      </c>
      <c r="P632" s="19" t="s">
        <v>5738</v>
      </c>
      <c r="Q632" s="5" t="s">
        <v>30</v>
      </c>
    </row>
    <row r="633" ht="21.0" customHeight="1">
      <c r="A633" s="4">
        <v>638.0</v>
      </c>
      <c r="B633" s="5" t="s">
        <v>5739</v>
      </c>
      <c r="C633" s="5" t="s">
        <v>5740</v>
      </c>
      <c r="D633" s="5" t="s">
        <v>19</v>
      </c>
      <c r="E633" s="5" t="s">
        <v>5741</v>
      </c>
      <c r="F633" s="5" t="s">
        <v>5395</v>
      </c>
      <c r="G633" s="5" t="s">
        <v>5742</v>
      </c>
      <c r="H633" s="5" t="s">
        <v>23</v>
      </c>
      <c r="I633" s="6" t="s">
        <v>5743</v>
      </c>
      <c r="J633" s="4">
        <v>100.0</v>
      </c>
      <c r="K633" s="5" t="s">
        <v>165</v>
      </c>
      <c r="L633" s="5" t="s">
        <v>5744</v>
      </c>
      <c r="M633" s="5" t="s">
        <v>5745</v>
      </c>
      <c r="N633" s="7" t="s">
        <v>5746</v>
      </c>
      <c r="O633" s="9" t="s">
        <v>5747</v>
      </c>
      <c r="P633" s="19" t="s">
        <v>5748</v>
      </c>
      <c r="Q633" s="5" t="s">
        <v>30</v>
      </c>
    </row>
    <row r="634" ht="21.0" customHeight="1">
      <c r="A634" s="4">
        <v>639.0</v>
      </c>
      <c r="B634" s="5" t="s">
        <v>5749</v>
      </c>
      <c r="C634" s="5" t="s">
        <v>18</v>
      </c>
      <c r="D634" s="5" t="s">
        <v>2307</v>
      </c>
      <c r="E634" s="5" t="s">
        <v>5750</v>
      </c>
      <c r="F634" s="5" t="s">
        <v>5395</v>
      </c>
      <c r="G634" s="5" t="s">
        <v>5751</v>
      </c>
      <c r="H634" s="5" t="s">
        <v>23</v>
      </c>
      <c r="I634" s="6" t="s">
        <v>5752</v>
      </c>
      <c r="J634" s="4">
        <v>100.0</v>
      </c>
      <c r="K634" s="5" t="s">
        <v>25</v>
      </c>
      <c r="L634" s="5" t="s">
        <v>5753</v>
      </c>
      <c r="M634" s="5" t="s">
        <v>5754</v>
      </c>
      <c r="N634" s="7" t="s">
        <v>5755</v>
      </c>
      <c r="O634" s="9" t="s">
        <v>5756</v>
      </c>
      <c r="P634" s="19" t="s">
        <v>5757</v>
      </c>
      <c r="Q634" s="5" t="s">
        <v>30</v>
      </c>
    </row>
    <row r="635" ht="21.0" customHeight="1">
      <c r="A635" s="4">
        <v>640.0</v>
      </c>
      <c r="B635" s="5" t="s">
        <v>5758</v>
      </c>
      <c r="C635" s="5" t="s">
        <v>18</v>
      </c>
      <c r="D635" s="5" t="s">
        <v>5759</v>
      </c>
      <c r="E635" s="5" t="s">
        <v>5760</v>
      </c>
      <c r="F635" s="5" t="s">
        <v>5395</v>
      </c>
      <c r="G635" s="5" t="s">
        <v>5761</v>
      </c>
      <c r="H635" s="5" t="s">
        <v>23</v>
      </c>
      <c r="I635" s="6" t="s">
        <v>5762</v>
      </c>
      <c r="J635" s="4">
        <v>100.0</v>
      </c>
      <c r="K635" s="5" t="s">
        <v>557</v>
      </c>
      <c r="L635" s="5" t="s">
        <v>5763</v>
      </c>
      <c r="M635" s="5" t="s">
        <v>5764</v>
      </c>
      <c r="N635" s="7" t="s">
        <v>5765</v>
      </c>
      <c r="O635" s="9" t="s">
        <v>5766</v>
      </c>
      <c r="P635" s="19" t="s">
        <v>5767</v>
      </c>
      <c r="Q635" s="5" t="s">
        <v>30</v>
      </c>
    </row>
    <row r="636" ht="21.0" customHeight="1">
      <c r="A636" s="4">
        <v>641.0</v>
      </c>
      <c r="B636" s="5" t="s">
        <v>5768</v>
      </c>
      <c r="C636" s="5" t="s">
        <v>18</v>
      </c>
      <c r="D636" s="5" t="s">
        <v>5769</v>
      </c>
      <c r="E636" s="5" t="s">
        <v>5770</v>
      </c>
      <c r="F636" s="5" t="s">
        <v>5395</v>
      </c>
      <c r="G636" s="5" t="s">
        <v>5771</v>
      </c>
      <c r="H636" s="5" t="s">
        <v>23</v>
      </c>
      <c r="I636" s="6" t="s">
        <v>5772</v>
      </c>
      <c r="J636" s="4">
        <v>100.0</v>
      </c>
      <c r="K636" s="5" t="s">
        <v>25</v>
      </c>
      <c r="L636" s="5" t="s">
        <v>5773</v>
      </c>
      <c r="M636" s="5" t="s">
        <v>5774</v>
      </c>
      <c r="N636" s="7" t="s">
        <v>5775</v>
      </c>
      <c r="O636" s="9" t="s">
        <v>5776</v>
      </c>
      <c r="P636" s="19" t="s">
        <v>5777</v>
      </c>
      <c r="Q636" s="5" t="s">
        <v>30</v>
      </c>
    </row>
    <row r="637" ht="21.0" customHeight="1">
      <c r="A637" s="4">
        <v>642.0</v>
      </c>
      <c r="B637" s="5" t="s">
        <v>5778</v>
      </c>
      <c r="C637" s="5" t="s">
        <v>18</v>
      </c>
      <c r="D637" s="5" t="s">
        <v>5779</v>
      </c>
      <c r="E637" s="5" t="s">
        <v>5780</v>
      </c>
      <c r="F637" s="5" t="s">
        <v>5395</v>
      </c>
      <c r="G637" s="5" t="s">
        <v>5781</v>
      </c>
      <c r="H637" s="5" t="s">
        <v>50</v>
      </c>
      <c r="I637" s="6" t="s">
        <v>5782</v>
      </c>
      <c r="J637" s="4">
        <v>100.0</v>
      </c>
      <c r="K637" s="5" t="s">
        <v>316</v>
      </c>
      <c r="L637" s="5" t="s">
        <v>5783</v>
      </c>
      <c r="M637" s="5" t="s">
        <v>5784</v>
      </c>
      <c r="N637" s="7" t="s">
        <v>5785</v>
      </c>
      <c r="O637" s="9" t="s">
        <v>5786</v>
      </c>
      <c r="P637" s="19" t="s">
        <v>5787</v>
      </c>
      <c r="Q637" s="5" t="s">
        <v>30</v>
      </c>
    </row>
    <row r="638" ht="21.0" customHeight="1">
      <c r="A638" s="4">
        <v>643.0</v>
      </c>
      <c r="B638" s="5" t="s">
        <v>5788</v>
      </c>
      <c r="C638" s="5" t="s">
        <v>18</v>
      </c>
      <c r="D638" s="5" t="s">
        <v>19</v>
      </c>
      <c r="E638" s="5" t="s">
        <v>5789</v>
      </c>
      <c r="F638" s="5" t="s">
        <v>5395</v>
      </c>
      <c r="G638" s="5" t="s">
        <v>5790</v>
      </c>
      <c r="H638" s="5" t="s">
        <v>23</v>
      </c>
      <c r="I638" s="6" t="s">
        <v>5791</v>
      </c>
      <c r="J638" s="4">
        <v>100.0</v>
      </c>
      <c r="K638" s="5" t="s">
        <v>110</v>
      </c>
      <c r="L638" s="5" t="s">
        <v>5792</v>
      </c>
      <c r="M638" s="5" t="s">
        <v>5793</v>
      </c>
      <c r="N638" s="7" t="s">
        <v>5794</v>
      </c>
      <c r="O638" s="9" t="s">
        <v>5795</v>
      </c>
      <c r="P638" s="19" t="s">
        <v>5796</v>
      </c>
      <c r="Q638" s="5" t="s">
        <v>30</v>
      </c>
    </row>
    <row r="639" ht="21.0" customHeight="1">
      <c r="A639" s="4">
        <v>644.0</v>
      </c>
      <c r="B639" s="5" t="s">
        <v>5797</v>
      </c>
      <c r="C639" s="5" t="s">
        <v>5798</v>
      </c>
      <c r="D639" s="5" t="s">
        <v>4235</v>
      </c>
      <c r="E639" s="5" t="s">
        <v>5799</v>
      </c>
      <c r="F639" s="5" t="s">
        <v>5395</v>
      </c>
      <c r="G639" s="5" t="s">
        <v>5800</v>
      </c>
      <c r="H639" s="5" t="s">
        <v>23</v>
      </c>
      <c r="I639" s="6" t="s">
        <v>5801</v>
      </c>
      <c r="J639" s="4">
        <v>100.0</v>
      </c>
      <c r="K639" s="5" t="s">
        <v>110</v>
      </c>
      <c r="L639" s="5" t="s">
        <v>5802</v>
      </c>
      <c r="M639" s="5" t="s">
        <v>5803</v>
      </c>
      <c r="N639" s="7" t="s">
        <v>5804</v>
      </c>
      <c r="O639" s="9" t="s">
        <v>5805</v>
      </c>
      <c r="P639" s="19" t="s">
        <v>5806</v>
      </c>
      <c r="Q639" s="5" t="s">
        <v>30</v>
      </c>
    </row>
    <row r="640" ht="21.0" customHeight="1">
      <c r="A640" s="4">
        <v>645.0</v>
      </c>
      <c r="B640" s="5" t="s">
        <v>5807</v>
      </c>
      <c r="C640" s="5" t="s">
        <v>18</v>
      </c>
      <c r="D640" s="5" t="s">
        <v>5808</v>
      </c>
      <c r="E640" s="5" t="s">
        <v>5809</v>
      </c>
      <c r="F640" s="5" t="s">
        <v>5395</v>
      </c>
      <c r="G640" s="5" t="s">
        <v>5810</v>
      </c>
      <c r="H640" s="5" t="s">
        <v>50</v>
      </c>
      <c r="I640" s="6" t="s">
        <v>5811</v>
      </c>
      <c r="J640" s="4">
        <v>100.0</v>
      </c>
      <c r="K640" s="5" t="s">
        <v>557</v>
      </c>
      <c r="L640" s="5" t="s">
        <v>5812</v>
      </c>
      <c r="M640" s="5" t="s">
        <v>5813</v>
      </c>
      <c r="N640" s="7" t="s">
        <v>5814</v>
      </c>
      <c r="O640" s="9" t="s">
        <v>5815</v>
      </c>
      <c r="P640" s="19" t="s">
        <v>5816</v>
      </c>
      <c r="Q640" s="5" t="s">
        <v>30</v>
      </c>
    </row>
    <row r="641" ht="21.0" customHeight="1">
      <c r="A641" s="4">
        <v>647.0</v>
      </c>
      <c r="B641" s="5" t="s">
        <v>5817</v>
      </c>
      <c r="C641" s="5" t="s">
        <v>18</v>
      </c>
      <c r="D641" s="5" t="s">
        <v>5818</v>
      </c>
      <c r="E641" s="5" t="s">
        <v>5819</v>
      </c>
      <c r="F641" s="5" t="s">
        <v>5395</v>
      </c>
      <c r="G641" s="5" t="s">
        <v>5820</v>
      </c>
      <c r="H641" s="5" t="s">
        <v>23</v>
      </c>
      <c r="I641" s="6" t="s">
        <v>5821</v>
      </c>
      <c r="J641" s="4">
        <v>100.0</v>
      </c>
      <c r="K641" s="5" t="s">
        <v>216</v>
      </c>
      <c r="L641" s="5" t="s">
        <v>5822</v>
      </c>
      <c r="M641" s="5" t="s">
        <v>5823</v>
      </c>
      <c r="N641" s="7" t="s">
        <v>5824</v>
      </c>
      <c r="O641" s="9" t="s">
        <v>5825</v>
      </c>
      <c r="P641" s="19" t="s">
        <v>5826</v>
      </c>
      <c r="Q641" s="5" t="s">
        <v>30</v>
      </c>
    </row>
    <row r="642" ht="21.0" customHeight="1">
      <c r="A642" s="4">
        <v>648.0</v>
      </c>
      <c r="B642" s="5" t="s">
        <v>5827</v>
      </c>
      <c r="C642" s="5" t="s">
        <v>18</v>
      </c>
      <c r="D642" s="5" t="s">
        <v>5828</v>
      </c>
      <c r="E642" s="5" t="s">
        <v>5829</v>
      </c>
      <c r="F642" s="5" t="s">
        <v>5395</v>
      </c>
      <c r="G642" s="5" t="s">
        <v>5830</v>
      </c>
      <c r="H642" s="5" t="s">
        <v>50</v>
      </c>
      <c r="I642" s="6" t="s">
        <v>5831</v>
      </c>
      <c r="J642" s="4">
        <v>100.0</v>
      </c>
      <c r="K642" s="5" t="s">
        <v>517</v>
      </c>
      <c r="L642" s="5" t="s">
        <v>5832</v>
      </c>
      <c r="M642" s="5" t="s">
        <v>5833</v>
      </c>
      <c r="N642" s="7" t="s">
        <v>5834</v>
      </c>
      <c r="O642" s="9" t="s">
        <v>5835</v>
      </c>
      <c r="P642" s="19" t="s">
        <v>5836</v>
      </c>
      <c r="Q642" s="5" t="s">
        <v>30</v>
      </c>
    </row>
    <row r="643" ht="21.0" customHeight="1">
      <c r="A643" s="4">
        <v>649.0</v>
      </c>
      <c r="B643" s="5" t="s">
        <v>5837</v>
      </c>
      <c r="C643" s="5" t="s">
        <v>18</v>
      </c>
      <c r="D643" s="5" t="s">
        <v>5838</v>
      </c>
      <c r="E643" s="5" t="s">
        <v>5839</v>
      </c>
      <c r="F643" s="5" t="s">
        <v>5395</v>
      </c>
      <c r="G643" s="5" t="s">
        <v>34</v>
      </c>
      <c r="H643" s="5" t="s">
        <v>5840</v>
      </c>
      <c r="I643" s="6" t="s">
        <v>5841</v>
      </c>
      <c r="J643" s="4">
        <v>100.0</v>
      </c>
      <c r="K643" s="5" t="s">
        <v>25</v>
      </c>
      <c r="L643" s="5" t="s">
        <v>5842</v>
      </c>
      <c r="M643" s="5" t="s">
        <v>5843</v>
      </c>
      <c r="N643" s="7" t="s">
        <v>5844</v>
      </c>
      <c r="O643" s="9" t="s">
        <v>5845</v>
      </c>
      <c r="P643" s="19" t="s">
        <v>5846</v>
      </c>
      <c r="Q643" s="5" t="s">
        <v>30</v>
      </c>
    </row>
    <row r="644" ht="21.0" customHeight="1">
      <c r="A644" s="4">
        <v>651.0</v>
      </c>
      <c r="B644" s="5" t="s">
        <v>5847</v>
      </c>
      <c r="C644" s="5" t="s">
        <v>18</v>
      </c>
      <c r="D644" s="5" t="s">
        <v>446</v>
      </c>
      <c r="E644" s="5" t="s">
        <v>5848</v>
      </c>
      <c r="F644" s="5" t="s">
        <v>5395</v>
      </c>
      <c r="G644" s="5" t="s">
        <v>5849</v>
      </c>
      <c r="H644" s="5" t="s">
        <v>23</v>
      </c>
      <c r="I644" s="6" t="s">
        <v>5850</v>
      </c>
      <c r="J644" s="4">
        <v>100.0</v>
      </c>
      <c r="K644" s="5" t="s">
        <v>25</v>
      </c>
      <c r="L644" s="5" t="s">
        <v>5851</v>
      </c>
      <c r="M644" s="5" t="s">
        <v>5852</v>
      </c>
      <c r="N644" s="7" t="s">
        <v>5853</v>
      </c>
      <c r="O644" s="9" t="s">
        <v>5854</v>
      </c>
      <c r="P644" s="19" t="s">
        <v>5855</v>
      </c>
      <c r="Q644" s="5" t="s">
        <v>30</v>
      </c>
    </row>
    <row r="645" ht="21.0" customHeight="1">
      <c r="A645" s="4">
        <v>652.0</v>
      </c>
      <c r="B645" s="5" t="s">
        <v>5856</v>
      </c>
      <c r="C645" s="5" t="s">
        <v>18</v>
      </c>
      <c r="D645" s="5" t="s">
        <v>5857</v>
      </c>
      <c r="E645" s="5" t="s">
        <v>5858</v>
      </c>
      <c r="F645" s="5" t="s">
        <v>5395</v>
      </c>
      <c r="G645" s="5" t="s">
        <v>5859</v>
      </c>
      <c r="H645" s="5" t="s">
        <v>23</v>
      </c>
      <c r="I645" s="6" t="s">
        <v>5860</v>
      </c>
      <c r="J645" s="4">
        <v>100.0</v>
      </c>
      <c r="K645" s="5" t="s">
        <v>25</v>
      </c>
      <c r="L645" s="5" t="s">
        <v>5861</v>
      </c>
      <c r="M645" s="5" t="s">
        <v>5862</v>
      </c>
      <c r="N645" s="7" t="s">
        <v>5863</v>
      </c>
      <c r="O645" s="9" t="s">
        <v>5864</v>
      </c>
      <c r="P645" s="19" t="s">
        <v>5865</v>
      </c>
      <c r="Q645" s="5" t="s">
        <v>30</v>
      </c>
    </row>
    <row r="646" ht="21.0" customHeight="1">
      <c r="A646" s="4">
        <v>653.0</v>
      </c>
      <c r="B646" s="5" t="s">
        <v>5866</v>
      </c>
      <c r="C646" s="5" t="s">
        <v>18</v>
      </c>
      <c r="D646" s="5" t="s">
        <v>5867</v>
      </c>
      <c r="E646" s="5" t="s">
        <v>5868</v>
      </c>
      <c r="F646" s="5" t="s">
        <v>5395</v>
      </c>
      <c r="G646" s="5" t="s">
        <v>5869</v>
      </c>
      <c r="H646" s="5" t="s">
        <v>23</v>
      </c>
      <c r="I646" s="6" t="s">
        <v>5870</v>
      </c>
      <c r="J646" s="4">
        <v>100.0</v>
      </c>
      <c r="K646" s="5" t="s">
        <v>316</v>
      </c>
      <c r="L646" s="5" t="s">
        <v>5871</v>
      </c>
      <c r="M646" s="5" t="s">
        <v>5872</v>
      </c>
      <c r="N646" s="7" t="s">
        <v>5873</v>
      </c>
      <c r="O646" s="9" t="s">
        <v>5874</v>
      </c>
      <c r="P646" s="19" t="s">
        <v>5875</v>
      </c>
      <c r="Q646" s="5" t="s">
        <v>30</v>
      </c>
    </row>
    <row r="647" ht="21.0" customHeight="1">
      <c r="A647" s="4">
        <v>654.0</v>
      </c>
      <c r="B647" s="5" t="s">
        <v>5876</v>
      </c>
      <c r="C647" s="5" t="s">
        <v>18</v>
      </c>
      <c r="D647" s="5" t="s">
        <v>5877</v>
      </c>
      <c r="E647" s="5" t="s">
        <v>5878</v>
      </c>
      <c r="F647" s="5" t="s">
        <v>5395</v>
      </c>
      <c r="G647" s="5" t="s">
        <v>5879</v>
      </c>
      <c r="H647" s="5" t="s">
        <v>23</v>
      </c>
      <c r="I647" s="6" t="s">
        <v>5880</v>
      </c>
      <c r="J647" s="4">
        <v>100.0</v>
      </c>
      <c r="K647" s="5" t="s">
        <v>25</v>
      </c>
      <c r="L647" s="5" t="s">
        <v>5881</v>
      </c>
      <c r="M647" s="5" t="s">
        <v>5882</v>
      </c>
      <c r="N647" s="7" t="s">
        <v>5883</v>
      </c>
      <c r="O647" s="9" t="s">
        <v>5884</v>
      </c>
      <c r="P647" s="19" t="s">
        <v>5885</v>
      </c>
      <c r="Q647" s="5" t="s">
        <v>30</v>
      </c>
    </row>
    <row r="648" ht="21.0" customHeight="1">
      <c r="A648" s="4">
        <v>655.0</v>
      </c>
      <c r="B648" s="5" t="s">
        <v>5886</v>
      </c>
      <c r="C648" s="5" t="s">
        <v>18</v>
      </c>
      <c r="D648" s="5" t="s">
        <v>19</v>
      </c>
      <c r="E648" s="5" t="s">
        <v>5887</v>
      </c>
      <c r="F648" s="5" t="s">
        <v>5395</v>
      </c>
      <c r="G648" s="5" t="s">
        <v>5888</v>
      </c>
      <c r="H648" s="5" t="s">
        <v>23</v>
      </c>
      <c r="I648" s="6" t="s">
        <v>5889</v>
      </c>
      <c r="J648" s="4">
        <v>100.0</v>
      </c>
      <c r="K648" s="5" t="s">
        <v>110</v>
      </c>
      <c r="L648" s="5" t="s">
        <v>5890</v>
      </c>
      <c r="M648" s="5" t="s">
        <v>5891</v>
      </c>
      <c r="N648" s="7" t="s">
        <v>5892</v>
      </c>
      <c r="O648" s="9" t="s">
        <v>5893</v>
      </c>
      <c r="P648" s="19" t="s">
        <v>5894</v>
      </c>
      <c r="Q648" s="5" t="s">
        <v>30</v>
      </c>
    </row>
    <row r="649" ht="21.0" customHeight="1">
      <c r="A649" s="4">
        <v>656.0</v>
      </c>
      <c r="B649" s="5" t="s">
        <v>5895</v>
      </c>
      <c r="C649" s="5" t="s">
        <v>5896</v>
      </c>
      <c r="D649" s="5" t="s">
        <v>5897</v>
      </c>
      <c r="E649" s="5" t="s">
        <v>5898</v>
      </c>
      <c r="F649" s="5" t="s">
        <v>5395</v>
      </c>
      <c r="G649" s="5" t="s">
        <v>5899</v>
      </c>
      <c r="H649" s="5" t="s">
        <v>23</v>
      </c>
      <c r="I649" s="6" t="s">
        <v>5900</v>
      </c>
      <c r="J649" s="4">
        <v>100.0</v>
      </c>
      <c r="K649" s="5" t="s">
        <v>25</v>
      </c>
      <c r="L649" s="5" t="s">
        <v>5901</v>
      </c>
      <c r="M649" s="5" t="s">
        <v>5902</v>
      </c>
      <c r="N649" s="7" t="s">
        <v>5903</v>
      </c>
      <c r="O649" s="9" t="s">
        <v>5904</v>
      </c>
      <c r="P649" s="19" t="s">
        <v>5905</v>
      </c>
      <c r="Q649" s="5" t="s">
        <v>30</v>
      </c>
    </row>
    <row r="650" ht="21.0" customHeight="1">
      <c r="A650" s="4">
        <v>657.0</v>
      </c>
      <c r="B650" s="5" t="s">
        <v>5906</v>
      </c>
      <c r="C650" s="5" t="s">
        <v>18</v>
      </c>
      <c r="D650" s="5" t="s">
        <v>19</v>
      </c>
      <c r="E650" s="5" t="s">
        <v>5907</v>
      </c>
      <c r="F650" s="5" t="s">
        <v>5395</v>
      </c>
      <c r="G650" s="5" t="s">
        <v>5908</v>
      </c>
      <c r="H650" s="5" t="s">
        <v>23</v>
      </c>
      <c r="I650" s="6" t="s">
        <v>5909</v>
      </c>
      <c r="J650" s="4">
        <v>100.0</v>
      </c>
      <c r="K650" s="5" t="s">
        <v>110</v>
      </c>
      <c r="L650" s="5" t="s">
        <v>5910</v>
      </c>
      <c r="M650" s="5" t="s">
        <v>5911</v>
      </c>
      <c r="N650" s="7" t="s">
        <v>5912</v>
      </c>
      <c r="O650" s="9" t="s">
        <v>5913</v>
      </c>
      <c r="P650" s="19" t="s">
        <v>5914</v>
      </c>
      <c r="Q650" s="5" t="s">
        <v>30</v>
      </c>
    </row>
    <row r="651" ht="21.0" customHeight="1">
      <c r="A651" s="4">
        <v>658.0</v>
      </c>
      <c r="B651" s="5" t="s">
        <v>5915</v>
      </c>
      <c r="C651" s="5" t="s">
        <v>18</v>
      </c>
      <c r="D651" s="5" t="s">
        <v>19</v>
      </c>
      <c r="E651" s="5" t="s">
        <v>5916</v>
      </c>
      <c r="F651" s="5" t="s">
        <v>5395</v>
      </c>
      <c r="G651" s="5" t="s">
        <v>5917</v>
      </c>
      <c r="H651" s="5" t="s">
        <v>23</v>
      </c>
      <c r="I651" s="6" t="s">
        <v>5918</v>
      </c>
      <c r="J651" s="4">
        <v>100.0</v>
      </c>
      <c r="K651" s="5" t="s">
        <v>84</v>
      </c>
      <c r="L651" s="5" t="s">
        <v>5919</v>
      </c>
      <c r="M651" s="5" t="s">
        <v>5920</v>
      </c>
      <c r="N651" s="7" t="s">
        <v>5921</v>
      </c>
      <c r="O651" s="9" t="s">
        <v>5922</v>
      </c>
      <c r="P651" s="19" t="s">
        <v>5923</v>
      </c>
      <c r="Q651" s="5" t="s">
        <v>30</v>
      </c>
    </row>
    <row r="652" ht="21.0" customHeight="1">
      <c r="A652" s="4">
        <v>659.0</v>
      </c>
      <c r="B652" s="5" t="s">
        <v>5924</v>
      </c>
      <c r="C652" s="5" t="s">
        <v>5925</v>
      </c>
      <c r="D652" s="5" t="s">
        <v>19</v>
      </c>
      <c r="E652" s="5" t="s">
        <v>5926</v>
      </c>
      <c r="F652" s="5" t="s">
        <v>5395</v>
      </c>
      <c r="G652" s="5" t="s">
        <v>5927</v>
      </c>
      <c r="H652" s="5" t="s">
        <v>23</v>
      </c>
      <c r="I652" s="6" t="s">
        <v>5928</v>
      </c>
      <c r="J652" s="4">
        <v>100.0</v>
      </c>
      <c r="K652" s="5" t="s">
        <v>25</v>
      </c>
      <c r="L652" s="5" t="s">
        <v>5929</v>
      </c>
      <c r="M652" s="5" t="s">
        <v>5930</v>
      </c>
      <c r="N652" s="7" t="s">
        <v>5931</v>
      </c>
      <c r="O652" s="9" t="s">
        <v>5932</v>
      </c>
      <c r="P652" s="19" t="s">
        <v>5933</v>
      </c>
      <c r="Q652" s="5" t="s">
        <v>30</v>
      </c>
    </row>
    <row r="653" ht="21.0" customHeight="1">
      <c r="A653" s="13">
        <v>660.0</v>
      </c>
      <c r="B653" s="14" t="s">
        <v>5934</v>
      </c>
      <c r="C653" s="14" t="s">
        <v>5935</v>
      </c>
      <c r="D653" s="14" t="s">
        <v>5936</v>
      </c>
      <c r="E653" s="14" t="s">
        <v>5937</v>
      </c>
      <c r="F653" s="14" t="s">
        <v>5938</v>
      </c>
      <c r="G653" s="14" t="s">
        <v>5939</v>
      </c>
      <c r="H653" s="14" t="s">
        <v>23</v>
      </c>
      <c r="I653" s="15" t="s">
        <v>5940</v>
      </c>
      <c r="J653" s="13">
        <v>100.0</v>
      </c>
      <c r="K653" s="14" t="s">
        <v>216</v>
      </c>
      <c r="L653" s="14" t="s">
        <v>5941</v>
      </c>
      <c r="M653" s="14" t="s">
        <v>5942</v>
      </c>
      <c r="N653" s="16" t="s">
        <v>5943</v>
      </c>
      <c r="O653" s="17" t="s">
        <v>5944</v>
      </c>
      <c r="P653" s="26" t="s">
        <v>5945</v>
      </c>
      <c r="Q653" s="14" t="s">
        <v>30</v>
      </c>
      <c r="R653" s="18"/>
      <c r="S653" s="18"/>
      <c r="T653" s="18"/>
      <c r="U653" s="18"/>
      <c r="V653" s="18"/>
      <c r="W653" s="18"/>
      <c r="X653" s="18"/>
      <c r="Y653" s="18"/>
      <c r="Z653" s="18"/>
    </row>
    <row r="654" ht="21.0" customHeight="1">
      <c r="A654" s="4">
        <v>661.0</v>
      </c>
      <c r="B654" s="5" t="s">
        <v>5946</v>
      </c>
      <c r="C654" s="5" t="s">
        <v>18</v>
      </c>
      <c r="D654" s="5" t="s">
        <v>19</v>
      </c>
      <c r="E654" s="5" t="s">
        <v>5947</v>
      </c>
      <c r="F654" s="5" t="s">
        <v>5938</v>
      </c>
      <c r="G654" s="5" t="s">
        <v>5948</v>
      </c>
      <c r="H654" s="5" t="s">
        <v>23</v>
      </c>
      <c r="I654" s="6" t="s">
        <v>5949</v>
      </c>
      <c r="J654" s="4">
        <v>100.0</v>
      </c>
      <c r="K654" s="5" t="s">
        <v>25</v>
      </c>
      <c r="L654" s="5" t="s">
        <v>5950</v>
      </c>
      <c r="M654" s="5" t="s">
        <v>5951</v>
      </c>
      <c r="N654" s="7" t="s">
        <v>5952</v>
      </c>
      <c r="O654" s="9" t="s">
        <v>5953</v>
      </c>
      <c r="P654" s="19" t="s">
        <v>5954</v>
      </c>
      <c r="Q654" s="5" t="s">
        <v>30</v>
      </c>
    </row>
    <row r="655" ht="21.0" customHeight="1">
      <c r="A655" s="4">
        <v>662.0</v>
      </c>
      <c r="B655" s="5" t="s">
        <v>5955</v>
      </c>
      <c r="C655" s="5" t="s">
        <v>18</v>
      </c>
      <c r="D655" s="5" t="s">
        <v>5956</v>
      </c>
      <c r="E655" s="5" t="s">
        <v>5957</v>
      </c>
      <c r="F655" s="5" t="s">
        <v>5938</v>
      </c>
      <c r="G655" s="5" t="s">
        <v>5958</v>
      </c>
      <c r="H655" s="5" t="s">
        <v>50</v>
      </c>
      <c r="I655" s="6" t="s">
        <v>5959</v>
      </c>
      <c r="J655" s="4">
        <v>100.0</v>
      </c>
      <c r="K655" s="5" t="s">
        <v>292</v>
      </c>
      <c r="L655" s="5" t="s">
        <v>5960</v>
      </c>
      <c r="M655" s="5" t="s">
        <v>5961</v>
      </c>
      <c r="N655" s="7" t="s">
        <v>5962</v>
      </c>
      <c r="O655" s="9" t="s">
        <v>5963</v>
      </c>
      <c r="P655" s="19" t="s">
        <v>5964</v>
      </c>
      <c r="Q655" s="5" t="s">
        <v>30</v>
      </c>
    </row>
    <row r="656" ht="21.0" customHeight="1">
      <c r="A656" s="4">
        <v>663.0</v>
      </c>
      <c r="B656" s="5" t="s">
        <v>5965</v>
      </c>
      <c r="C656" s="5" t="s">
        <v>5966</v>
      </c>
      <c r="D656" s="5" t="s">
        <v>5967</v>
      </c>
      <c r="E656" s="5" t="s">
        <v>5968</v>
      </c>
      <c r="F656" s="5" t="s">
        <v>5938</v>
      </c>
      <c r="G656" s="5" t="s">
        <v>5969</v>
      </c>
      <c r="H656" s="5" t="s">
        <v>23</v>
      </c>
      <c r="I656" s="6" t="s">
        <v>5970</v>
      </c>
      <c r="J656" s="4">
        <v>100.0</v>
      </c>
      <c r="K656" s="5" t="s">
        <v>84</v>
      </c>
      <c r="L656" s="5" t="s">
        <v>5971</v>
      </c>
      <c r="M656" s="5" t="s">
        <v>5972</v>
      </c>
      <c r="N656" s="7" t="s">
        <v>5973</v>
      </c>
      <c r="O656" s="9" t="s">
        <v>5974</v>
      </c>
      <c r="P656" s="19" t="s">
        <v>5975</v>
      </c>
      <c r="Q656" s="5" t="s">
        <v>30</v>
      </c>
    </row>
    <row r="657" ht="21.0" customHeight="1">
      <c r="A657" s="4">
        <v>664.0</v>
      </c>
      <c r="B657" s="5" t="s">
        <v>5976</v>
      </c>
      <c r="C657" s="5" t="s">
        <v>18</v>
      </c>
      <c r="D657" s="5" t="s">
        <v>5977</v>
      </c>
      <c r="E657" s="5" t="s">
        <v>5978</v>
      </c>
      <c r="F657" s="5" t="s">
        <v>5938</v>
      </c>
      <c r="G657" s="5" t="s">
        <v>5979</v>
      </c>
      <c r="H657" s="5" t="s">
        <v>23</v>
      </c>
      <c r="I657" s="6" t="s">
        <v>5980</v>
      </c>
      <c r="J657" s="4">
        <v>100.0</v>
      </c>
      <c r="K657" s="5" t="s">
        <v>25</v>
      </c>
      <c r="L657" s="5" t="s">
        <v>5981</v>
      </c>
      <c r="M657" s="5" t="s">
        <v>5982</v>
      </c>
      <c r="N657" s="7" t="s">
        <v>5983</v>
      </c>
      <c r="O657" s="9" t="s">
        <v>5984</v>
      </c>
      <c r="P657" s="19" t="s">
        <v>5985</v>
      </c>
      <c r="Q657" s="5" t="s">
        <v>30</v>
      </c>
    </row>
    <row r="658" ht="21.0" customHeight="1">
      <c r="A658" s="4">
        <v>665.0</v>
      </c>
      <c r="B658" s="5" t="s">
        <v>5986</v>
      </c>
      <c r="C658" s="5" t="s">
        <v>18</v>
      </c>
      <c r="D658" s="5" t="s">
        <v>5987</v>
      </c>
      <c r="E658" s="5" t="s">
        <v>5988</v>
      </c>
      <c r="F658" s="5" t="s">
        <v>5938</v>
      </c>
      <c r="G658" s="5" t="s">
        <v>5989</v>
      </c>
      <c r="H658" s="5" t="s">
        <v>23</v>
      </c>
      <c r="I658" s="6" t="s">
        <v>5990</v>
      </c>
      <c r="J658" s="4">
        <v>100.0</v>
      </c>
      <c r="K658" s="5" t="s">
        <v>110</v>
      </c>
      <c r="L658" s="5" t="s">
        <v>5991</v>
      </c>
      <c r="M658" s="5" t="s">
        <v>5992</v>
      </c>
      <c r="N658" s="7" t="s">
        <v>5993</v>
      </c>
      <c r="O658" s="9" t="s">
        <v>5994</v>
      </c>
      <c r="P658" s="19" t="s">
        <v>5995</v>
      </c>
      <c r="Q658" s="5" t="s">
        <v>30</v>
      </c>
    </row>
    <row r="659" ht="21.0" customHeight="1">
      <c r="A659" s="4">
        <v>666.0</v>
      </c>
      <c r="B659" s="5" t="s">
        <v>5996</v>
      </c>
      <c r="C659" s="5" t="s">
        <v>5997</v>
      </c>
      <c r="D659" s="5" t="s">
        <v>5998</v>
      </c>
      <c r="E659" s="5" t="s">
        <v>5999</v>
      </c>
      <c r="F659" s="5" t="s">
        <v>5938</v>
      </c>
      <c r="G659" s="5" t="s">
        <v>6000</v>
      </c>
      <c r="H659" s="5" t="s">
        <v>23</v>
      </c>
      <c r="I659" s="6" t="s">
        <v>6001</v>
      </c>
      <c r="J659" s="4">
        <v>100.0</v>
      </c>
      <c r="K659" s="5" t="s">
        <v>68</v>
      </c>
      <c r="L659" s="5" t="s">
        <v>6002</v>
      </c>
      <c r="M659" s="5" t="s">
        <v>6003</v>
      </c>
      <c r="N659" s="7" t="s">
        <v>6004</v>
      </c>
      <c r="O659" s="9" t="s">
        <v>6005</v>
      </c>
      <c r="P659" s="19" t="s">
        <v>6006</v>
      </c>
      <c r="Q659" s="5" t="s">
        <v>30</v>
      </c>
    </row>
    <row r="660" ht="21.0" customHeight="1">
      <c r="A660" s="4">
        <v>667.0</v>
      </c>
      <c r="B660" s="5" t="s">
        <v>6007</v>
      </c>
      <c r="C660" s="5" t="s">
        <v>18</v>
      </c>
      <c r="D660" s="5" t="s">
        <v>6008</v>
      </c>
      <c r="E660" s="5" t="s">
        <v>6009</v>
      </c>
      <c r="F660" s="5" t="s">
        <v>5938</v>
      </c>
      <c r="G660" s="5" t="s">
        <v>6010</v>
      </c>
      <c r="H660" s="5" t="s">
        <v>23</v>
      </c>
      <c r="I660" s="6" t="s">
        <v>6011</v>
      </c>
      <c r="J660" s="4">
        <v>100.0</v>
      </c>
      <c r="K660" s="5" t="s">
        <v>25</v>
      </c>
      <c r="L660" s="5" t="s">
        <v>6012</v>
      </c>
      <c r="M660" s="5" t="s">
        <v>6013</v>
      </c>
      <c r="N660" s="7" t="s">
        <v>6014</v>
      </c>
      <c r="O660" s="9" t="s">
        <v>6015</v>
      </c>
      <c r="P660" s="19" t="s">
        <v>6016</v>
      </c>
      <c r="Q660" s="5" t="s">
        <v>30</v>
      </c>
    </row>
    <row r="661" ht="21.0" customHeight="1">
      <c r="A661" s="4">
        <v>668.0</v>
      </c>
      <c r="B661" s="5" t="s">
        <v>6017</v>
      </c>
      <c r="C661" s="5" t="s">
        <v>18</v>
      </c>
      <c r="D661" s="5" t="s">
        <v>6018</v>
      </c>
      <c r="E661" s="5" t="s">
        <v>6019</v>
      </c>
      <c r="F661" s="5" t="s">
        <v>5938</v>
      </c>
      <c r="G661" s="5" t="s">
        <v>6020</v>
      </c>
      <c r="H661" s="5" t="s">
        <v>23</v>
      </c>
      <c r="I661" s="6" t="s">
        <v>6021</v>
      </c>
      <c r="J661" s="4">
        <v>100.0</v>
      </c>
      <c r="K661" s="5" t="s">
        <v>110</v>
      </c>
      <c r="L661" s="5" t="s">
        <v>6022</v>
      </c>
      <c r="M661" s="5" t="s">
        <v>6023</v>
      </c>
      <c r="N661" s="7" t="s">
        <v>6024</v>
      </c>
      <c r="O661" s="9" t="s">
        <v>6025</v>
      </c>
      <c r="P661" s="19" t="s">
        <v>6026</v>
      </c>
      <c r="Q661" s="5" t="s">
        <v>30</v>
      </c>
    </row>
    <row r="662" ht="21.0" customHeight="1">
      <c r="A662" s="4">
        <v>669.0</v>
      </c>
      <c r="B662" s="5" t="s">
        <v>6027</v>
      </c>
      <c r="C662" s="5" t="s">
        <v>18</v>
      </c>
      <c r="D662" s="5" t="s">
        <v>446</v>
      </c>
      <c r="E662" s="5" t="s">
        <v>6028</v>
      </c>
      <c r="F662" s="5" t="s">
        <v>5938</v>
      </c>
      <c r="G662" s="5" t="s">
        <v>6029</v>
      </c>
      <c r="H662" s="5" t="s">
        <v>23</v>
      </c>
      <c r="I662" s="6" t="s">
        <v>6030</v>
      </c>
      <c r="J662" s="4">
        <v>100.0</v>
      </c>
      <c r="K662" s="5" t="s">
        <v>84</v>
      </c>
      <c r="L662" s="5" t="s">
        <v>6031</v>
      </c>
      <c r="M662" s="5" t="s">
        <v>6032</v>
      </c>
      <c r="N662" s="7" t="s">
        <v>6033</v>
      </c>
      <c r="O662" s="9" t="s">
        <v>6034</v>
      </c>
      <c r="P662" s="19" t="s">
        <v>6035</v>
      </c>
      <c r="Q662" s="5" t="s">
        <v>30</v>
      </c>
    </row>
    <row r="663" ht="21.0" customHeight="1">
      <c r="A663" s="4">
        <v>670.0</v>
      </c>
      <c r="B663" s="5" t="s">
        <v>6036</v>
      </c>
      <c r="C663" s="5" t="s">
        <v>18</v>
      </c>
      <c r="D663" s="5" t="s">
        <v>6037</v>
      </c>
      <c r="E663" s="5" t="s">
        <v>6038</v>
      </c>
      <c r="F663" s="5" t="s">
        <v>5938</v>
      </c>
      <c r="G663" s="5" t="s">
        <v>6039</v>
      </c>
      <c r="H663" s="5" t="s">
        <v>23</v>
      </c>
      <c r="I663" s="6" t="s">
        <v>6040</v>
      </c>
      <c r="J663" s="4">
        <v>100.0</v>
      </c>
      <c r="K663" s="5" t="s">
        <v>110</v>
      </c>
      <c r="L663" s="5" t="s">
        <v>6041</v>
      </c>
      <c r="M663" s="5" t="s">
        <v>6042</v>
      </c>
      <c r="N663" s="7" t="s">
        <v>6043</v>
      </c>
      <c r="O663" s="9" t="s">
        <v>6044</v>
      </c>
      <c r="P663" s="19" t="s">
        <v>6045</v>
      </c>
      <c r="Q663" s="5" t="s">
        <v>30</v>
      </c>
    </row>
    <row r="664" ht="21.0" customHeight="1">
      <c r="A664" s="4">
        <v>671.0</v>
      </c>
      <c r="B664" s="5" t="s">
        <v>6046</v>
      </c>
      <c r="C664" s="5" t="s">
        <v>6047</v>
      </c>
      <c r="D664" s="5" t="s">
        <v>4605</v>
      </c>
      <c r="E664" s="5" t="s">
        <v>6048</v>
      </c>
      <c r="F664" s="5" t="s">
        <v>5938</v>
      </c>
      <c r="G664" s="5" t="s">
        <v>6049</v>
      </c>
      <c r="H664" s="5" t="s">
        <v>23</v>
      </c>
      <c r="I664" s="6" t="s">
        <v>6050</v>
      </c>
      <c r="J664" s="4">
        <v>100.0</v>
      </c>
      <c r="K664" s="5" t="s">
        <v>25</v>
      </c>
      <c r="L664" s="5" t="s">
        <v>6051</v>
      </c>
      <c r="M664" s="5" t="s">
        <v>6052</v>
      </c>
      <c r="N664" s="7" t="s">
        <v>6053</v>
      </c>
      <c r="O664" s="9" t="s">
        <v>6054</v>
      </c>
      <c r="P664" s="19" t="s">
        <v>6055</v>
      </c>
      <c r="Q664" s="5" t="s">
        <v>30</v>
      </c>
    </row>
    <row r="665" ht="21.0" customHeight="1">
      <c r="A665" s="4">
        <v>672.0</v>
      </c>
      <c r="B665" s="5" t="s">
        <v>6056</v>
      </c>
      <c r="C665" s="5" t="s">
        <v>18</v>
      </c>
      <c r="D665" s="5" t="s">
        <v>6057</v>
      </c>
      <c r="E665" s="5" t="s">
        <v>6058</v>
      </c>
      <c r="F665" s="5" t="s">
        <v>6059</v>
      </c>
      <c r="G665" s="5" t="s">
        <v>6060</v>
      </c>
      <c r="H665" s="5" t="s">
        <v>23</v>
      </c>
      <c r="I665" s="6" t="s">
        <v>6061</v>
      </c>
      <c r="J665" s="4">
        <v>100.0</v>
      </c>
      <c r="K665" s="5" t="s">
        <v>25</v>
      </c>
      <c r="L665" s="5" t="s">
        <v>6062</v>
      </c>
      <c r="M665" s="5" t="s">
        <v>6063</v>
      </c>
      <c r="N665" s="7" t="s">
        <v>6064</v>
      </c>
      <c r="O665" s="9" t="s">
        <v>6065</v>
      </c>
      <c r="P665" s="19" t="s">
        <v>6066</v>
      </c>
      <c r="Q665" s="5" t="s">
        <v>30</v>
      </c>
    </row>
    <row r="666" ht="21.0" customHeight="1">
      <c r="A666" s="4">
        <v>673.0</v>
      </c>
      <c r="B666" s="5" t="s">
        <v>6067</v>
      </c>
      <c r="C666" s="5" t="s">
        <v>18</v>
      </c>
      <c r="D666" s="5" t="s">
        <v>6068</v>
      </c>
      <c r="E666" s="5" t="s">
        <v>6069</v>
      </c>
      <c r="F666" s="5" t="s">
        <v>6059</v>
      </c>
      <c r="G666" s="5" t="s">
        <v>6070</v>
      </c>
      <c r="H666" s="5" t="s">
        <v>23</v>
      </c>
      <c r="I666" s="6" t="s">
        <v>6071</v>
      </c>
      <c r="J666" s="4">
        <v>100.0</v>
      </c>
      <c r="K666" s="5" t="s">
        <v>316</v>
      </c>
      <c r="L666" s="5" t="s">
        <v>6072</v>
      </c>
      <c r="M666" s="5" t="s">
        <v>6073</v>
      </c>
      <c r="N666" s="7" t="s">
        <v>6074</v>
      </c>
      <c r="O666" s="9" t="s">
        <v>6075</v>
      </c>
      <c r="P666" s="19" t="s">
        <v>6076</v>
      </c>
      <c r="Q666" s="5" t="s">
        <v>30</v>
      </c>
    </row>
    <row r="667" ht="21.0" customHeight="1">
      <c r="A667" s="4">
        <v>674.0</v>
      </c>
      <c r="B667" s="5" t="s">
        <v>6077</v>
      </c>
      <c r="C667" s="5" t="s">
        <v>6078</v>
      </c>
      <c r="D667" s="5" t="s">
        <v>6079</v>
      </c>
      <c r="E667" s="5" t="s">
        <v>6080</v>
      </c>
      <c r="F667" s="5" t="s">
        <v>6059</v>
      </c>
      <c r="G667" s="5" t="s">
        <v>34</v>
      </c>
      <c r="H667" s="5" t="s">
        <v>23</v>
      </c>
      <c r="I667" s="6" t="s">
        <v>6081</v>
      </c>
      <c r="J667" s="4">
        <v>100.0</v>
      </c>
      <c r="K667" s="5" t="s">
        <v>292</v>
      </c>
      <c r="L667" s="5" t="s">
        <v>6082</v>
      </c>
      <c r="M667" s="5" t="s">
        <v>6083</v>
      </c>
      <c r="N667" s="7" t="s">
        <v>6084</v>
      </c>
      <c r="O667" s="9" t="s">
        <v>6085</v>
      </c>
      <c r="P667" s="19" t="s">
        <v>6086</v>
      </c>
      <c r="Q667" s="5" t="s">
        <v>30</v>
      </c>
    </row>
    <row r="668" ht="21.0" customHeight="1">
      <c r="A668" s="4">
        <v>675.0</v>
      </c>
      <c r="B668" s="5" t="s">
        <v>6087</v>
      </c>
      <c r="C668" s="5" t="s">
        <v>6088</v>
      </c>
      <c r="D668" s="5" t="s">
        <v>19</v>
      </c>
      <c r="E668" s="5" t="s">
        <v>6089</v>
      </c>
      <c r="F668" s="5" t="s">
        <v>6059</v>
      </c>
      <c r="G668" s="5" t="s">
        <v>6090</v>
      </c>
      <c r="H668" s="5" t="s">
        <v>23</v>
      </c>
      <c r="I668" s="6" t="s">
        <v>6091</v>
      </c>
      <c r="J668" s="4">
        <v>100.0</v>
      </c>
      <c r="K668" s="5" t="s">
        <v>110</v>
      </c>
      <c r="L668" s="5" t="s">
        <v>6092</v>
      </c>
      <c r="M668" s="5" t="s">
        <v>6093</v>
      </c>
      <c r="N668" s="7" t="s">
        <v>6094</v>
      </c>
      <c r="O668" s="9" t="s">
        <v>6095</v>
      </c>
      <c r="P668" s="19" t="s">
        <v>6096</v>
      </c>
      <c r="Q668" s="5" t="s">
        <v>30</v>
      </c>
    </row>
    <row r="669" ht="21.0" customHeight="1">
      <c r="A669" s="4">
        <v>676.0</v>
      </c>
      <c r="B669" s="5" t="s">
        <v>6097</v>
      </c>
      <c r="C669" s="5" t="s">
        <v>18</v>
      </c>
      <c r="D669" s="5" t="s">
        <v>6098</v>
      </c>
      <c r="E669" s="5" t="s">
        <v>6099</v>
      </c>
      <c r="F669" s="5" t="s">
        <v>6059</v>
      </c>
      <c r="G669" s="5" t="s">
        <v>6100</v>
      </c>
      <c r="H669" s="5" t="s">
        <v>23</v>
      </c>
      <c r="I669" s="6" t="s">
        <v>6101</v>
      </c>
      <c r="J669" s="4">
        <v>100.0</v>
      </c>
      <c r="K669" s="5" t="s">
        <v>316</v>
      </c>
      <c r="L669" s="5" t="s">
        <v>6102</v>
      </c>
      <c r="M669" s="5" t="s">
        <v>6103</v>
      </c>
      <c r="N669" s="7" t="s">
        <v>6104</v>
      </c>
      <c r="O669" s="9" t="s">
        <v>6105</v>
      </c>
      <c r="P669" s="19" t="s">
        <v>6106</v>
      </c>
      <c r="Q669" s="5" t="s">
        <v>30</v>
      </c>
    </row>
    <row r="670" ht="21.0" customHeight="1">
      <c r="A670" s="4">
        <v>677.0</v>
      </c>
      <c r="B670" s="5" t="s">
        <v>6107</v>
      </c>
      <c r="C670" s="5" t="s">
        <v>6108</v>
      </c>
      <c r="D670" s="5" t="s">
        <v>3437</v>
      </c>
      <c r="E670" s="5" t="s">
        <v>6109</v>
      </c>
      <c r="F670" s="5" t="s">
        <v>6059</v>
      </c>
      <c r="G670" s="5" t="s">
        <v>6110</v>
      </c>
      <c r="H670" s="5" t="s">
        <v>23</v>
      </c>
      <c r="I670" s="6" t="s">
        <v>6111</v>
      </c>
      <c r="J670" s="4">
        <v>100.0</v>
      </c>
      <c r="K670" s="5" t="s">
        <v>25</v>
      </c>
      <c r="L670" s="5" t="s">
        <v>6112</v>
      </c>
      <c r="M670" s="5" t="s">
        <v>6113</v>
      </c>
      <c r="N670" s="7" t="s">
        <v>6114</v>
      </c>
      <c r="O670" s="9" t="s">
        <v>6115</v>
      </c>
      <c r="P670" s="19" t="s">
        <v>6116</v>
      </c>
      <c r="Q670" s="5" t="s">
        <v>30</v>
      </c>
    </row>
    <row r="671" ht="21.0" customHeight="1">
      <c r="A671" s="4">
        <v>678.0</v>
      </c>
      <c r="B671" s="5" t="s">
        <v>6117</v>
      </c>
      <c r="C671" s="5" t="s">
        <v>6118</v>
      </c>
      <c r="D671" s="5" t="s">
        <v>4915</v>
      </c>
      <c r="E671" s="5" t="s">
        <v>6119</v>
      </c>
      <c r="F671" s="5" t="s">
        <v>6059</v>
      </c>
      <c r="G671" s="5" t="s">
        <v>6120</v>
      </c>
      <c r="H671" s="5" t="s">
        <v>23</v>
      </c>
      <c r="I671" s="6" t="s">
        <v>6121</v>
      </c>
      <c r="J671" s="4">
        <v>100.0</v>
      </c>
      <c r="K671" s="5" t="s">
        <v>25</v>
      </c>
      <c r="L671" s="5" t="s">
        <v>6122</v>
      </c>
      <c r="M671" s="5" t="s">
        <v>6123</v>
      </c>
      <c r="N671" s="7" t="s">
        <v>6124</v>
      </c>
      <c r="O671" s="9" t="s">
        <v>6125</v>
      </c>
      <c r="P671" s="19" t="s">
        <v>6126</v>
      </c>
      <c r="Q671" s="5" t="s">
        <v>30</v>
      </c>
    </row>
    <row r="672" ht="21.0" customHeight="1">
      <c r="A672" s="4">
        <v>679.0</v>
      </c>
      <c r="B672" s="5" t="s">
        <v>6127</v>
      </c>
      <c r="C672" s="5" t="s">
        <v>6128</v>
      </c>
      <c r="D672" s="5" t="s">
        <v>6129</v>
      </c>
      <c r="E672" s="5" t="s">
        <v>6130</v>
      </c>
      <c r="F672" s="5" t="s">
        <v>6059</v>
      </c>
      <c r="G672" s="5" t="s">
        <v>6131</v>
      </c>
      <c r="H672" s="5" t="s">
        <v>23</v>
      </c>
      <c r="I672" s="6" t="s">
        <v>6132</v>
      </c>
      <c r="J672" s="4">
        <v>100.0</v>
      </c>
      <c r="K672" s="5" t="s">
        <v>68</v>
      </c>
      <c r="L672" s="5" t="s">
        <v>6133</v>
      </c>
      <c r="M672" s="5" t="s">
        <v>6134</v>
      </c>
      <c r="N672" s="7" t="s">
        <v>6135</v>
      </c>
      <c r="O672" s="9" t="s">
        <v>6136</v>
      </c>
      <c r="P672" s="19" t="s">
        <v>6137</v>
      </c>
      <c r="Q672" s="5" t="s">
        <v>30</v>
      </c>
    </row>
    <row r="673" ht="21.0" customHeight="1">
      <c r="A673" s="4">
        <v>680.0</v>
      </c>
      <c r="B673" s="5" t="s">
        <v>6138</v>
      </c>
      <c r="C673" s="5" t="s">
        <v>6139</v>
      </c>
      <c r="D673" s="5" t="s">
        <v>6140</v>
      </c>
      <c r="E673" s="5" t="s">
        <v>6141</v>
      </c>
      <c r="F673" s="5" t="s">
        <v>6059</v>
      </c>
      <c r="G673" s="5" t="s">
        <v>34</v>
      </c>
      <c r="H673" s="5" t="s">
        <v>3537</v>
      </c>
      <c r="I673" s="6" t="s">
        <v>6142</v>
      </c>
      <c r="J673" s="4">
        <v>100.0</v>
      </c>
      <c r="K673" s="5" t="s">
        <v>157</v>
      </c>
      <c r="L673" s="5" t="s">
        <v>6143</v>
      </c>
      <c r="M673" s="5" t="s">
        <v>6144</v>
      </c>
      <c r="N673" s="40" t="s">
        <v>6145</v>
      </c>
      <c r="O673" s="40" t="s">
        <v>6146</v>
      </c>
      <c r="P673" s="5" t="s">
        <v>30</v>
      </c>
      <c r="Q673" s="5" t="s">
        <v>30</v>
      </c>
    </row>
    <row r="674" ht="21.0" customHeight="1">
      <c r="A674" s="4">
        <v>682.0</v>
      </c>
      <c r="B674" s="5" t="s">
        <v>6147</v>
      </c>
      <c r="C674" s="5" t="s">
        <v>6148</v>
      </c>
      <c r="D674" s="5" t="s">
        <v>6149</v>
      </c>
      <c r="E674" s="5" t="s">
        <v>6150</v>
      </c>
      <c r="F674" s="5" t="s">
        <v>6059</v>
      </c>
      <c r="G674" s="5" t="s">
        <v>6151</v>
      </c>
      <c r="H674" s="5" t="s">
        <v>23</v>
      </c>
      <c r="I674" s="6" t="s">
        <v>6152</v>
      </c>
      <c r="J674" s="4">
        <v>100.0</v>
      </c>
      <c r="K674" s="5" t="s">
        <v>25</v>
      </c>
      <c r="L674" s="5" t="s">
        <v>6153</v>
      </c>
      <c r="M674" s="5" t="s">
        <v>6154</v>
      </c>
      <c r="N674" s="7" t="s">
        <v>6155</v>
      </c>
      <c r="O674" s="9" t="s">
        <v>6156</v>
      </c>
      <c r="P674" s="19" t="s">
        <v>6157</v>
      </c>
      <c r="Q674" s="5" t="s">
        <v>30</v>
      </c>
    </row>
    <row r="675" ht="21.0" customHeight="1">
      <c r="A675" s="4">
        <v>683.0</v>
      </c>
      <c r="B675" s="5" t="s">
        <v>6158</v>
      </c>
      <c r="C675" s="5" t="s">
        <v>6159</v>
      </c>
      <c r="D675" s="5" t="s">
        <v>6160</v>
      </c>
      <c r="E675" s="5" t="s">
        <v>6161</v>
      </c>
      <c r="F675" s="5" t="s">
        <v>6059</v>
      </c>
      <c r="G675" s="5" t="s">
        <v>6162</v>
      </c>
      <c r="H675" s="5" t="s">
        <v>23</v>
      </c>
      <c r="I675" s="6" t="s">
        <v>6163</v>
      </c>
      <c r="J675" s="4">
        <v>100.0</v>
      </c>
      <c r="K675" s="5" t="s">
        <v>25</v>
      </c>
      <c r="L675" s="5" t="s">
        <v>6164</v>
      </c>
      <c r="M675" s="5" t="s">
        <v>6165</v>
      </c>
      <c r="N675" s="7" t="s">
        <v>6166</v>
      </c>
      <c r="O675" s="9" t="s">
        <v>6167</v>
      </c>
      <c r="P675" s="19" t="s">
        <v>6168</v>
      </c>
      <c r="Q675" s="5" t="s">
        <v>30</v>
      </c>
    </row>
    <row r="676" ht="21.0" customHeight="1">
      <c r="A676" s="4">
        <v>684.0</v>
      </c>
      <c r="B676" s="5" t="s">
        <v>6169</v>
      </c>
      <c r="C676" s="5" t="s">
        <v>18</v>
      </c>
      <c r="D676" s="5" t="s">
        <v>446</v>
      </c>
      <c r="E676" s="5" t="s">
        <v>6170</v>
      </c>
      <c r="F676" s="5" t="s">
        <v>6059</v>
      </c>
      <c r="G676" s="5" t="s">
        <v>34</v>
      </c>
      <c r="H676" s="5" t="s">
        <v>50</v>
      </c>
      <c r="I676" s="6" t="s">
        <v>6171</v>
      </c>
      <c r="J676" s="4">
        <v>100.0</v>
      </c>
      <c r="K676" s="5" t="s">
        <v>68</v>
      </c>
      <c r="L676" s="5" t="s">
        <v>6172</v>
      </c>
      <c r="M676" s="5" t="s">
        <v>6173</v>
      </c>
      <c r="N676" s="7" t="s">
        <v>6174</v>
      </c>
      <c r="O676" s="9" t="s">
        <v>6175</v>
      </c>
      <c r="P676" s="19" t="s">
        <v>6176</v>
      </c>
      <c r="Q676" s="5" t="s">
        <v>30</v>
      </c>
    </row>
    <row r="677" ht="21.0" customHeight="1">
      <c r="A677" s="4">
        <v>685.0</v>
      </c>
      <c r="B677" s="5" t="s">
        <v>6177</v>
      </c>
      <c r="C677" s="5" t="s">
        <v>18</v>
      </c>
      <c r="D677" s="5" t="s">
        <v>6178</v>
      </c>
      <c r="E677" s="5" t="s">
        <v>6179</v>
      </c>
      <c r="F677" s="5" t="s">
        <v>6059</v>
      </c>
      <c r="G677" s="5" t="s">
        <v>6180</v>
      </c>
      <c r="H677" s="5" t="s">
        <v>23</v>
      </c>
      <c r="I677" s="6" t="s">
        <v>6181</v>
      </c>
      <c r="J677" s="4">
        <v>100.0</v>
      </c>
      <c r="K677" s="5" t="s">
        <v>110</v>
      </c>
      <c r="L677" s="5" t="s">
        <v>6182</v>
      </c>
      <c r="M677" s="5" t="s">
        <v>6183</v>
      </c>
      <c r="N677" s="7" t="s">
        <v>6184</v>
      </c>
      <c r="O677" s="9" t="s">
        <v>6185</v>
      </c>
      <c r="P677" s="19" t="s">
        <v>6186</v>
      </c>
      <c r="Q677" s="5" t="s">
        <v>30</v>
      </c>
    </row>
    <row r="678" ht="21.0" customHeight="1">
      <c r="A678" s="4">
        <v>686.0</v>
      </c>
      <c r="B678" s="5" t="s">
        <v>6187</v>
      </c>
      <c r="C678" s="5" t="s">
        <v>18</v>
      </c>
      <c r="D678" s="5" t="s">
        <v>1682</v>
      </c>
      <c r="E678" s="5" t="s">
        <v>6188</v>
      </c>
      <c r="F678" s="5" t="s">
        <v>6059</v>
      </c>
      <c r="G678" s="5" t="s">
        <v>6189</v>
      </c>
      <c r="H678" s="5" t="s">
        <v>23</v>
      </c>
      <c r="I678" s="6" t="s">
        <v>6190</v>
      </c>
      <c r="J678" s="4">
        <v>100.0</v>
      </c>
      <c r="K678" s="5" t="s">
        <v>165</v>
      </c>
      <c r="L678" s="5" t="s">
        <v>6191</v>
      </c>
      <c r="M678" s="5" t="s">
        <v>6192</v>
      </c>
      <c r="N678" s="7" t="s">
        <v>6193</v>
      </c>
      <c r="O678" s="9" t="s">
        <v>6194</v>
      </c>
      <c r="P678" s="19" t="s">
        <v>6195</v>
      </c>
      <c r="Q678" s="5" t="s">
        <v>30</v>
      </c>
    </row>
    <row r="679" ht="21.0" customHeight="1">
      <c r="A679" s="4">
        <v>688.0</v>
      </c>
      <c r="B679" s="5" t="s">
        <v>6196</v>
      </c>
      <c r="C679" s="5" t="s">
        <v>18</v>
      </c>
      <c r="D679" s="5" t="s">
        <v>6197</v>
      </c>
      <c r="E679" s="5" t="s">
        <v>6198</v>
      </c>
      <c r="F679" s="5" t="s">
        <v>6059</v>
      </c>
      <c r="G679" s="5" t="s">
        <v>34</v>
      </c>
      <c r="H679" s="5" t="s">
        <v>5840</v>
      </c>
      <c r="I679" s="6" t="s">
        <v>6199</v>
      </c>
      <c r="J679" s="4">
        <v>100.0</v>
      </c>
      <c r="K679" s="5" t="s">
        <v>216</v>
      </c>
      <c r="L679" s="5" t="s">
        <v>6200</v>
      </c>
      <c r="M679" s="5"/>
      <c r="N679" s="40" t="s">
        <v>6201</v>
      </c>
      <c r="O679" s="40" t="s">
        <v>6202</v>
      </c>
      <c r="P679" s="5" t="s">
        <v>30</v>
      </c>
      <c r="Q679" s="5" t="s">
        <v>30</v>
      </c>
    </row>
    <row r="680" ht="21.0" customHeight="1">
      <c r="A680" s="4">
        <v>689.0</v>
      </c>
      <c r="B680" s="5" t="s">
        <v>6203</v>
      </c>
      <c r="C680" s="5" t="s">
        <v>6204</v>
      </c>
      <c r="D680" s="5" t="s">
        <v>19</v>
      </c>
      <c r="E680" s="5" t="s">
        <v>6205</v>
      </c>
      <c r="F680" s="5" t="s">
        <v>6059</v>
      </c>
      <c r="G680" s="5" t="s">
        <v>6206</v>
      </c>
      <c r="H680" s="5" t="s">
        <v>23</v>
      </c>
      <c r="I680" s="6" t="s">
        <v>6207</v>
      </c>
      <c r="J680" s="4">
        <v>100.0</v>
      </c>
      <c r="K680" s="5" t="s">
        <v>25</v>
      </c>
      <c r="L680" s="5" t="s">
        <v>6208</v>
      </c>
      <c r="M680" s="5" t="s">
        <v>6209</v>
      </c>
      <c r="N680" s="7" t="s">
        <v>6210</v>
      </c>
      <c r="O680" s="9" t="s">
        <v>6211</v>
      </c>
      <c r="P680" s="19" t="s">
        <v>6212</v>
      </c>
      <c r="Q680" s="5" t="s">
        <v>30</v>
      </c>
    </row>
    <row r="681" ht="21.0" customHeight="1">
      <c r="A681" s="4">
        <v>690.0</v>
      </c>
      <c r="B681" s="5" t="s">
        <v>6213</v>
      </c>
      <c r="C681" s="5" t="s">
        <v>18</v>
      </c>
      <c r="D681" s="5" t="s">
        <v>19</v>
      </c>
      <c r="E681" s="5" t="s">
        <v>6214</v>
      </c>
      <c r="F681" s="5" t="s">
        <v>6059</v>
      </c>
      <c r="G681" s="5" t="s">
        <v>34</v>
      </c>
      <c r="H681" s="5" t="s">
        <v>50</v>
      </c>
      <c r="I681" s="6" t="s">
        <v>6215</v>
      </c>
      <c r="J681" s="4">
        <v>100.0</v>
      </c>
      <c r="K681" s="5" t="s">
        <v>284</v>
      </c>
      <c r="L681" s="5" t="s">
        <v>6216</v>
      </c>
      <c r="M681" s="5" t="s">
        <v>6217</v>
      </c>
      <c r="N681" s="7" t="s">
        <v>6218</v>
      </c>
      <c r="O681" s="9" t="s">
        <v>6219</v>
      </c>
      <c r="P681" s="19" t="s">
        <v>6220</v>
      </c>
      <c r="Q681" s="5" t="s">
        <v>30</v>
      </c>
    </row>
    <row r="682" ht="21.0" customHeight="1">
      <c r="A682" s="4">
        <v>691.0</v>
      </c>
      <c r="B682" s="5" t="s">
        <v>6221</v>
      </c>
      <c r="C682" s="5" t="s">
        <v>6222</v>
      </c>
      <c r="D682" s="5" t="s">
        <v>19</v>
      </c>
      <c r="E682" s="5" t="s">
        <v>6223</v>
      </c>
      <c r="F682" s="5" t="s">
        <v>6059</v>
      </c>
      <c r="G682" s="5" t="s">
        <v>6224</v>
      </c>
      <c r="H682" s="5" t="s">
        <v>23</v>
      </c>
      <c r="I682" s="6" t="s">
        <v>6225</v>
      </c>
      <c r="J682" s="4">
        <v>100.0</v>
      </c>
      <c r="K682" s="5" t="s">
        <v>165</v>
      </c>
      <c r="L682" s="5" t="s">
        <v>6226</v>
      </c>
      <c r="M682" s="5" t="s">
        <v>6227</v>
      </c>
      <c r="N682" s="7" t="s">
        <v>6228</v>
      </c>
      <c r="O682" s="9" t="s">
        <v>6229</v>
      </c>
      <c r="P682" s="19" t="s">
        <v>6230</v>
      </c>
      <c r="Q682" s="5" t="s">
        <v>30</v>
      </c>
    </row>
    <row r="683" ht="21.0" customHeight="1">
      <c r="A683" s="4">
        <v>693.0</v>
      </c>
      <c r="B683" s="5" t="s">
        <v>6231</v>
      </c>
      <c r="C683" s="5" t="s">
        <v>18</v>
      </c>
      <c r="D683" s="5" t="s">
        <v>6232</v>
      </c>
      <c r="E683" s="5" t="s">
        <v>6233</v>
      </c>
      <c r="F683" s="5" t="s">
        <v>6059</v>
      </c>
      <c r="G683" s="5" t="s">
        <v>6234</v>
      </c>
      <c r="H683" s="5" t="s">
        <v>23</v>
      </c>
      <c r="I683" s="6" t="s">
        <v>6235</v>
      </c>
      <c r="J683" s="4">
        <v>100.0</v>
      </c>
      <c r="K683" s="5" t="s">
        <v>84</v>
      </c>
      <c r="L683" s="5" t="s">
        <v>6236</v>
      </c>
      <c r="M683" s="5" t="s">
        <v>6237</v>
      </c>
      <c r="N683" s="7" t="s">
        <v>6238</v>
      </c>
      <c r="O683" s="9" t="s">
        <v>6239</v>
      </c>
      <c r="P683" s="19" t="s">
        <v>6240</v>
      </c>
      <c r="Q683" s="5" t="s">
        <v>30</v>
      </c>
    </row>
    <row r="684" ht="21.0" customHeight="1">
      <c r="A684" s="4">
        <v>694.0</v>
      </c>
      <c r="B684" s="5" t="s">
        <v>6241</v>
      </c>
      <c r="C684" s="5" t="s">
        <v>18</v>
      </c>
      <c r="D684" s="5" t="s">
        <v>6242</v>
      </c>
      <c r="E684" s="5" t="s">
        <v>6243</v>
      </c>
      <c r="F684" s="5" t="s">
        <v>6059</v>
      </c>
      <c r="G684" s="5" t="s">
        <v>6244</v>
      </c>
      <c r="H684" s="5" t="s">
        <v>5840</v>
      </c>
      <c r="I684" s="6" t="s">
        <v>6245</v>
      </c>
      <c r="J684" s="4">
        <v>100.0</v>
      </c>
      <c r="K684" s="5" t="s">
        <v>6246</v>
      </c>
      <c r="L684" s="5" t="s">
        <v>6247</v>
      </c>
      <c r="M684" s="5" t="s">
        <v>6248</v>
      </c>
      <c r="N684" s="7" t="s">
        <v>6249</v>
      </c>
      <c r="O684" s="9" t="s">
        <v>6250</v>
      </c>
      <c r="P684" s="19" t="s">
        <v>6251</v>
      </c>
      <c r="Q684" s="5" t="s">
        <v>30</v>
      </c>
    </row>
    <row r="685" ht="21.0" customHeight="1">
      <c r="A685" s="4">
        <v>695.0</v>
      </c>
      <c r="B685" s="5" t="s">
        <v>6252</v>
      </c>
      <c r="C685" s="5" t="s">
        <v>18</v>
      </c>
      <c r="D685" s="5" t="s">
        <v>6253</v>
      </c>
      <c r="E685" s="5" t="s">
        <v>6254</v>
      </c>
      <c r="F685" s="5" t="s">
        <v>6059</v>
      </c>
      <c r="G685" s="5" t="s">
        <v>6255</v>
      </c>
      <c r="H685" s="5" t="s">
        <v>23</v>
      </c>
      <c r="I685" s="6" t="s">
        <v>6256</v>
      </c>
      <c r="J685" s="4">
        <v>100.0</v>
      </c>
      <c r="K685" s="5" t="s">
        <v>84</v>
      </c>
      <c r="L685" s="5" t="s">
        <v>6257</v>
      </c>
      <c r="M685" s="5" t="s">
        <v>6258</v>
      </c>
      <c r="N685" s="7" t="s">
        <v>6259</v>
      </c>
      <c r="O685" s="9" t="s">
        <v>6260</v>
      </c>
      <c r="P685" s="19" t="s">
        <v>6261</v>
      </c>
      <c r="Q685" s="5" t="s">
        <v>30</v>
      </c>
    </row>
    <row r="686" ht="21.0" customHeight="1">
      <c r="A686" s="4">
        <v>696.0</v>
      </c>
      <c r="B686" s="5" t="s">
        <v>6262</v>
      </c>
      <c r="C686" s="5" t="s">
        <v>6263</v>
      </c>
      <c r="D686" s="5" t="s">
        <v>1293</v>
      </c>
      <c r="E686" s="5" t="s">
        <v>6264</v>
      </c>
      <c r="F686" s="5" t="s">
        <v>6059</v>
      </c>
      <c r="G686" s="5" t="s">
        <v>6265</v>
      </c>
      <c r="H686" s="5" t="s">
        <v>23</v>
      </c>
      <c r="I686" s="6" t="s">
        <v>6266</v>
      </c>
      <c r="J686" s="4">
        <v>100.0</v>
      </c>
      <c r="K686" s="5" t="s">
        <v>25</v>
      </c>
      <c r="L686" s="5" t="s">
        <v>6267</v>
      </c>
      <c r="M686" s="5" t="s">
        <v>6268</v>
      </c>
      <c r="N686" s="7" t="s">
        <v>6269</v>
      </c>
      <c r="O686" s="9" t="s">
        <v>6270</v>
      </c>
      <c r="P686" s="19" t="s">
        <v>6271</v>
      </c>
      <c r="Q686" s="5" t="s">
        <v>30</v>
      </c>
    </row>
    <row r="687" ht="21.0" customHeight="1">
      <c r="A687" s="4">
        <v>697.0</v>
      </c>
      <c r="B687" s="5" t="s">
        <v>6272</v>
      </c>
      <c r="C687" s="5" t="s">
        <v>18</v>
      </c>
      <c r="D687" s="5" t="s">
        <v>6273</v>
      </c>
      <c r="E687" s="5" t="s">
        <v>6274</v>
      </c>
      <c r="F687" s="5" t="s">
        <v>6059</v>
      </c>
      <c r="G687" s="5" t="s">
        <v>6275</v>
      </c>
      <c r="H687" s="5" t="s">
        <v>23</v>
      </c>
      <c r="I687" s="6" t="s">
        <v>6276</v>
      </c>
      <c r="J687" s="4">
        <v>100.0</v>
      </c>
      <c r="K687" s="5" t="s">
        <v>84</v>
      </c>
      <c r="L687" s="5" t="s">
        <v>6277</v>
      </c>
      <c r="M687" s="5" t="s">
        <v>6278</v>
      </c>
      <c r="N687" s="7" t="s">
        <v>6279</v>
      </c>
      <c r="O687" s="9" t="s">
        <v>6280</v>
      </c>
      <c r="P687" s="19" t="s">
        <v>6281</v>
      </c>
      <c r="Q687" s="5" t="s">
        <v>30</v>
      </c>
    </row>
    <row r="688" ht="21.0" customHeight="1">
      <c r="A688" s="4">
        <v>698.0</v>
      </c>
      <c r="B688" s="5" t="s">
        <v>6282</v>
      </c>
      <c r="C688" s="5" t="s">
        <v>18</v>
      </c>
      <c r="D688" s="5" t="s">
        <v>6283</v>
      </c>
      <c r="E688" s="5" t="s">
        <v>6284</v>
      </c>
      <c r="F688" s="5" t="s">
        <v>6059</v>
      </c>
      <c r="G688" s="5" t="s">
        <v>6285</v>
      </c>
      <c r="H688" s="5" t="s">
        <v>23</v>
      </c>
      <c r="I688" s="6" t="s">
        <v>6286</v>
      </c>
      <c r="J688" s="4">
        <v>100.0</v>
      </c>
      <c r="K688" s="5" t="s">
        <v>25</v>
      </c>
      <c r="L688" s="5" t="s">
        <v>6287</v>
      </c>
      <c r="M688" s="5" t="s">
        <v>6288</v>
      </c>
      <c r="N688" s="7" t="s">
        <v>6289</v>
      </c>
      <c r="O688" s="9" t="s">
        <v>6290</v>
      </c>
      <c r="P688" s="19" t="s">
        <v>6291</v>
      </c>
      <c r="Q688" s="5" t="s">
        <v>30</v>
      </c>
    </row>
    <row r="689" ht="21.0" customHeight="1">
      <c r="A689" s="4">
        <v>699.0</v>
      </c>
      <c r="B689" s="5" t="s">
        <v>6292</v>
      </c>
      <c r="C689" s="5" t="s">
        <v>18</v>
      </c>
      <c r="D689" s="5" t="s">
        <v>6293</v>
      </c>
      <c r="E689" s="5" t="s">
        <v>6294</v>
      </c>
      <c r="F689" s="5" t="s">
        <v>6059</v>
      </c>
      <c r="G689" s="5" t="s">
        <v>6295</v>
      </c>
      <c r="H689" s="5" t="s">
        <v>23</v>
      </c>
      <c r="I689" s="6" t="s">
        <v>6296</v>
      </c>
      <c r="J689" s="4">
        <v>100.0</v>
      </c>
      <c r="K689" s="5" t="s">
        <v>84</v>
      </c>
      <c r="L689" s="5" t="s">
        <v>6297</v>
      </c>
      <c r="M689" s="5" t="s">
        <v>6298</v>
      </c>
      <c r="N689" s="20" t="s">
        <v>6299</v>
      </c>
      <c r="O689" s="9" t="s">
        <v>6300</v>
      </c>
      <c r="P689" s="5" t="s">
        <v>6301</v>
      </c>
      <c r="Q689" s="5" t="s">
        <v>30</v>
      </c>
    </row>
    <row r="690" ht="21.0" customHeight="1">
      <c r="A690" s="4">
        <v>700.0</v>
      </c>
      <c r="B690" s="5" t="s">
        <v>6302</v>
      </c>
      <c r="C690" s="5" t="s">
        <v>18</v>
      </c>
      <c r="D690" s="5" t="s">
        <v>6303</v>
      </c>
      <c r="E690" s="5" t="s">
        <v>6304</v>
      </c>
      <c r="F690" s="5" t="s">
        <v>6059</v>
      </c>
      <c r="G690" s="5" t="s">
        <v>6305</v>
      </c>
      <c r="H690" s="5" t="s">
        <v>23</v>
      </c>
      <c r="I690" s="6" t="s">
        <v>6306</v>
      </c>
      <c r="J690" s="4">
        <v>100.0</v>
      </c>
      <c r="K690" s="5" t="s">
        <v>84</v>
      </c>
      <c r="L690" s="5" t="s">
        <v>6307</v>
      </c>
      <c r="M690" s="5" t="s">
        <v>6308</v>
      </c>
      <c r="N690" s="7" t="s">
        <v>6309</v>
      </c>
      <c r="O690" s="9" t="s">
        <v>6310</v>
      </c>
      <c r="P690" s="19" t="s">
        <v>6311</v>
      </c>
      <c r="Q690" s="5" t="s">
        <v>30</v>
      </c>
    </row>
    <row r="691" ht="21.0" customHeight="1">
      <c r="A691" s="4">
        <v>701.0</v>
      </c>
      <c r="B691" s="5" t="s">
        <v>6312</v>
      </c>
      <c r="C691" s="5" t="s">
        <v>18</v>
      </c>
      <c r="D691" s="5" t="s">
        <v>6313</v>
      </c>
      <c r="E691" s="5" t="s">
        <v>6314</v>
      </c>
      <c r="F691" s="5" t="s">
        <v>6059</v>
      </c>
      <c r="G691" s="5" t="s">
        <v>6315</v>
      </c>
      <c r="H691" s="5" t="s">
        <v>23</v>
      </c>
      <c r="I691" s="6" t="s">
        <v>6316</v>
      </c>
      <c r="J691" s="4">
        <v>100.0</v>
      </c>
      <c r="K691" s="5" t="s">
        <v>25</v>
      </c>
      <c r="L691" s="5" t="s">
        <v>6317</v>
      </c>
      <c r="M691" s="5" t="s">
        <v>6318</v>
      </c>
      <c r="N691" s="7" t="s">
        <v>6319</v>
      </c>
      <c r="O691" s="9" t="s">
        <v>6320</v>
      </c>
      <c r="P691" s="19" t="s">
        <v>6321</v>
      </c>
      <c r="Q691" s="5" t="s">
        <v>30</v>
      </c>
    </row>
    <row r="692" ht="21.0" customHeight="1">
      <c r="A692" s="4">
        <v>702.0</v>
      </c>
      <c r="B692" s="5" t="s">
        <v>6322</v>
      </c>
      <c r="C692" s="5" t="s">
        <v>18</v>
      </c>
      <c r="D692" s="5" t="s">
        <v>5687</v>
      </c>
      <c r="E692" s="5" t="s">
        <v>6323</v>
      </c>
      <c r="F692" s="5" t="s">
        <v>6059</v>
      </c>
      <c r="G692" s="5" t="s">
        <v>6324</v>
      </c>
      <c r="H692" s="5" t="s">
        <v>23</v>
      </c>
      <c r="I692" s="6" t="s">
        <v>6325</v>
      </c>
      <c r="J692" s="4">
        <v>100.0</v>
      </c>
      <c r="K692" s="5" t="s">
        <v>25</v>
      </c>
      <c r="L692" s="5" t="s">
        <v>6326</v>
      </c>
      <c r="M692" s="5" t="s">
        <v>6327</v>
      </c>
      <c r="N692" s="7" t="s">
        <v>6328</v>
      </c>
      <c r="O692" s="9" t="s">
        <v>6329</v>
      </c>
      <c r="P692" s="19" t="s">
        <v>6330</v>
      </c>
      <c r="Q692" s="5" t="s">
        <v>30</v>
      </c>
    </row>
    <row r="693" ht="21.0" customHeight="1">
      <c r="A693" s="4">
        <v>703.0</v>
      </c>
      <c r="B693" s="5" t="s">
        <v>6331</v>
      </c>
      <c r="C693" s="5" t="s">
        <v>18</v>
      </c>
      <c r="D693" s="5" t="s">
        <v>6332</v>
      </c>
      <c r="E693" s="5" t="s">
        <v>6333</v>
      </c>
      <c r="F693" s="5" t="s">
        <v>6059</v>
      </c>
      <c r="G693" s="5" t="s">
        <v>6334</v>
      </c>
      <c r="H693" s="5" t="s">
        <v>23</v>
      </c>
      <c r="I693" s="6" t="s">
        <v>6335</v>
      </c>
      <c r="J693" s="4">
        <v>100.0</v>
      </c>
      <c r="K693" s="5" t="s">
        <v>25</v>
      </c>
      <c r="L693" s="5" t="s">
        <v>6336</v>
      </c>
      <c r="M693" s="5" t="s">
        <v>6337</v>
      </c>
      <c r="N693" s="7" t="s">
        <v>6338</v>
      </c>
      <c r="O693" s="41" t="s">
        <v>6339</v>
      </c>
      <c r="P693" s="27" t="s">
        <v>6340</v>
      </c>
      <c r="Q693" s="5" t="s">
        <v>30</v>
      </c>
    </row>
    <row r="694" ht="21.0" customHeight="1">
      <c r="A694" s="4">
        <v>704.0</v>
      </c>
      <c r="B694" s="5" t="s">
        <v>6341</v>
      </c>
      <c r="C694" s="5" t="s">
        <v>18</v>
      </c>
      <c r="D694" s="5" t="s">
        <v>6342</v>
      </c>
      <c r="E694" s="5" t="s">
        <v>6343</v>
      </c>
      <c r="F694" s="5" t="s">
        <v>6059</v>
      </c>
      <c r="G694" s="5" t="s">
        <v>6344</v>
      </c>
      <c r="H694" s="5" t="s">
        <v>23</v>
      </c>
      <c r="I694" s="6" t="s">
        <v>6345</v>
      </c>
      <c r="J694" s="4">
        <v>100.0</v>
      </c>
      <c r="K694" s="5" t="s">
        <v>110</v>
      </c>
      <c r="L694" s="5" t="s">
        <v>6346</v>
      </c>
      <c r="M694" s="5" t="s">
        <v>6347</v>
      </c>
      <c r="N694" s="7" t="s">
        <v>6348</v>
      </c>
      <c r="O694" s="9" t="s">
        <v>6349</v>
      </c>
      <c r="P694" s="19" t="s">
        <v>6350</v>
      </c>
      <c r="Q694" s="5" t="s">
        <v>30</v>
      </c>
    </row>
    <row r="695" ht="21.0" customHeight="1">
      <c r="A695" s="4">
        <v>705.0</v>
      </c>
      <c r="B695" s="5" t="s">
        <v>6351</v>
      </c>
      <c r="C695" s="5" t="s">
        <v>6352</v>
      </c>
      <c r="D695" s="5" t="s">
        <v>6353</v>
      </c>
      <c r="E695" s="5" t="s">
        <v>6354</v>
      </c>
      <c r="F695" s="5" t="s">
        <v>6059</v>
      </c>
      <c r="G695" s="5" t="s">
        <v>6355</v>
      </c>
      <c r="H695" s="5" t="s">
        <v>23</v>
      </c>
      <c r="I695" s="6" t="s">
        <v>6356</v>
      </c>
      <c r="J695" s="4">
        <v>100.0</v>
      </c>
      <c r="K695" s="5" t="s">
        <v>25</v>
      </c>
      <c r="L695" s="5" t="s">
        <v>6357</v>
      </c>
      <c r="M695" s="5" t="s">
        <v>6358</v>
      </c>
      <c r="N695" s="42" t="s">
        <v>6359</v>
      </c>
      <c r="O695" s="5" t="s">
        <v>30</v>
      </c>
      <c r="P695" s="5" t="s">
        <v>30</v>
      </c>
      <c r="Q695" s="5" t="s">
        <v>30</v>
      </c>
    </row>
    <row r="696" ht="21.0" customHeight="1">
      <c r="A696" s="4">
        <v>706.0</v>
      </c>
      <c r="B696" s="5" t="s">
        <v>6360</v>
      </c>
      <c r="C696" s="5" t="s">
        <v>18</v>
      </c>
      <c r="D696" s="5" t="s">
        <v>19</v>
      </c>
      <c r="E696" s="5" t="s">
        <v>6361</v>
      </c>
      <c r="F696" s="5" t="s">
        <v>6059</v>
      </c>
      <c r="G696" s="5" t="s">
        <v>6362</v>
      </c>
      <c r="H696" s="5" t="s">
        <v>23</v>
      </c>
      <c r="I696" s="6" t="s">
        <v>6363</v>
      </c>
      <c r="J696" s="4">
        <v>100.0</v>
      </c>
      <c r="K696" s="5" t="s">
        <v>25</v>
      </c>
      <c r="L696" s="5" t="s">
        <v>6364</v>
      </c>
      <c r="M696" s="5" t="s">
        <v>6365</v>
      </c>
      <c r="N696" s="7" t="s">
        <v>6366</v>
      </c>
      <c r="O696" s="9" t="s">
        <v>6367</v>
      </c>
      <c r="P696" s="19" t="s">
        <v>6368</v>
      </c>
      <c r="Q696" s="5" t="s">
        <v>30</v>
      </c>
    </row>
    <row r="697" ht="21.0" customHeight="1">
      <c r="A697" s="4">
        <v>707.0</v>
      </c>
      <c r="B697" s="5" t="s">
        <v>6369</v>
      </c>
      <c r="C697" s="5" t="s">
        <v>18</v>
      </c>
      <c r="D697" s="5" t="s">
        <v>6370</v>
      </c>
      <c r="E697" s="5" t="s">
        <v>6371</v>
      </c>
      <c r="F697" s="5" t="s">
        <v>6059</v>
      </c>
      <c r="G697" s="5" t="s">
        <v>6372</v>
      </c>
      <c r="H697" s="5" t="s">
        <v>23</v>
      </c>
      <c r="I697" s="6" t="s">
        <v>6373</v>
      </c>
      <c r="J697" s="4">
        <v>100.0</v>
      </c>
      <c r="K697" s="5" t="s">
        <v>25</v>
      </c>
      <c r="L697" s="5" t="s">
        <v>6374</v>
      </c>
      <c r="M697" s="5" t="s">
        <v>6375</v>
      </c>
      <c r="N697" s="7" t="s">
        <v>6376</v>
      </c>
      <c r="O697" s="9" t="s">
        <v>6377</v>
      </c>
      <c r="P697" s="19" t="s">
        <v>6378</v>
      </c>
      <c r="Q697" s="5" t="s">
        <v>30</v>
      </c>
    </row>
    <row r="698" ht="21.0" customHeight="1">
      <c r="A698" s="4">
        <v>708.0</v>
      </c>
      <c r="B698" s="5" t="s">
        <v>6379</v>
      </c>
      <c r="C698" s="5" t="s">
        <v>18</v>
      </c>
      <c r="D698" s="5" t="s">
        <v>5828</v>
      </c>
      <c r="E698" s="5" t="s">
        <v>6380</v>
      </c>
      <c r="F698" s="5" t="s">
        <v>6059</v>
      </c>
      <c r="G698" s="5" t="s">
        <v>6381</v>
      </c>
      <c r="H698" s="5" t="s">
        <v>50</v>
      </c>
      <c r="I698" s="6" t="s">
        <v>6382</v>
      </c>
      <c r="J698" s="4">
        <v>100.0</v>
      </c>
      <c r="K698" s="5" t="s">
        <v>84</v>
      </c>
      <c r="L698" s="5" t="s">
        <v>6383</v>
      </c>
      <c r="M698" s="5" t="s">
        <v>6384</v>
      </c>
      <c r="N698" s="7" t="s">
        <v>6385</v>
      </c>
      <c r="O698" s="9" t="s">
        <v>6386</v>
      </c>
      <c r="P698" s="19" t="s">
        <v>6387</v>
      </c>
      <c r="Q698" s="5" t="s">
        <v>30</v>
      </c>
    </row>
    <row r="699" ht="21.0" customHeight="1">
      <c r="A699" s="4">
        <v>709.0</v>
      </c>
      <c r="B699" s="5" t="s">
        <v>6388</v>
      </c>
      <c r="C699" s="5" t="s">
        <v>18</v>
      </c>
      <c r="D699" s="5" t="s">
        <v>19</v>
      </c>
      <c r="E699" s="5" t="s">
        <v>6389</v>
      </c>
      <c r="F699" s="5" t="s">
        <v>6059</v>
      </c>
      <c r="G699" s="5" t="s">
        <v>6390</v>
      </c>
      <c r="H699" s="5" t="s">
        <v>23</v>
      </c>
      <c r="I699" s="6" t="s">
        <v>6391</v>
      </c>
      <c r="J699" s="4">
        <v>100.0</v>
      </c>
      <c r="K699" s="5" t="s">
        <v>517</v>
      </c>
      <c r="L699" s="5" t="s">
        <v>6392</v>
      </c>
      <c r="M699" s="5" t="s">
        <v>6393</v>
      </c>
      <c r="N699" s="7" t="s">
        <v>6394</v>
      </c>
      <c r="O699" s="9" t="s">
        <v>6395</v>
      </c>
      <c r="P699" s="19" t="s">
        <v>6396</v>
      </c>
      <c r="Q699" s="5" t="s">
        <v>30</v>
      </c>
    </row>
    <row r="700" ht="21.0" customHeight="1">
      <c r="A700" s="4">
        <v>710.0</v>
      </c>
      <c r="B700" s="5" t="s">
        <v>6397</v>
      </c>
      <c r="C700" s="5" t="s">
        <v>18</v>
      </c>
      <c r="D700" s="5" t="s">
        <v>19</v>
      </c>
      <c r="E700" s="5" t="s">
        <v>6398</v>
      </c>
      <c r="F700" s="5" t="s">
        <v>6059</v>
      </c>
      <c r="G700" s="5" t="s">
        <v>6399</v>
      </c>
      <c r="H700" s="5" t="s">
        <v>23</v>
      </c>
      <c r="I700" s="6" t="s">
        <v>6400</v>
      </c>
      <c r="J700" s="4">
        <v>100.0</v>
      </c>
      <c r="K700" s="5" t="s">
        <v>25</v>
      </c>
      <c r="L700" s="5" t="s">
        <v>6401</v>
      </c>
      <c r="M700" s="5" t="s">
        <v>6402</v>
      </c>
      <c r="N700" s="7" t="s">
        <v>6403</v>
      </c>
      <c r="O700" s="9" t="s">
        <v>6404</v>
      </c>
      <c r="P700" s="19" t="s">
        <v>6405</v>
      </c>
      <c r="Q700" s="5" t="s">
        <v>30</v>
      </c>
    </row>
    <row r="701" ht="21.0" customHeight="1">
      <c r="A701" s="4">
        <v>711.0</v>
      </c>
      <c r="B701" s="5" t="s">
        <v>6406</v>
      </c>
      <c r="C701" s="5" t="s">
        <v>18</v>
      </c>
      <c r="D701" s="5" t="s">
        <v>19</v>
      </c>
      <c r="E701" s="5" t="s">
        <v>6407</v>
      </c>
      <c r="F701" s="5" t="s">
        <v>6059</v>
      </c>
      <c r="G701" s="5" t="s">
        <v>34</v>
      </c>
      <c r="H701" s="5" t="s">
        <v>23</v>
      </c>
      <c r="I701" s="6" t="s">
        <v>6408</v>
      </c>
      <c r="J701" s="4">
        <v>100.0</v>
      </c>
      <c r="K701" s="5" t="s">
        <v>1070</v>
      </c>
      <c r="L701" s="5" t="s">
        <v>6409</v>
      </c>
      <c r="M701" s="5" t="s">
        <v>6410</v>
      </c>
      <c r="N701" s="20" t="s">
        <v>6411</v>
      </c>
      <c r="O701" s="9" t="s">
        <v>6412</v>
      </c>
      <c r="P701" s="5" t="s">
        <v>30</v>
      </c>
      <c r="Q701" s="5" t="s">
        <v>30</v>
      </c>
    </row>
    <row r="702" ht="21.0" customHeight="1">
      <c r="A702" s="4">
        <v>712.0</v>
      </c>
      <c r="B702" s="5" t="s">
        <v>6413</v>
      </c>
      <c r="C702" s="5" t="s">
        <v>6414</v>
      </c>
      <c r="D702" s="5" t="s">
        <v>6415</v>
      </c>
      <c r="E702" s="5" t="s">
        <v>6416</v>
      </c>
      <c r="F702" s="5" t="s">
        <v>6059</v>
      </c>
      <c r="G702" s="5" t="s">
        <v>6417</v>
      </c>
      <c r="H702" s="5" t="s">
        <v>23</v>
      </c>
      <c r="I702" s="6" t="s">
        <v>6418</v>
      </c>
      <c r="J702" s="4">
        <v>100.0</v>
      </c>
      <c r="K702" s="5" t="s">
        <v>25</v>
      </c>
      <c r="L702" s="5" t="s">
        <v>6419</v>
      </c>
      <c r="M702" s="5" t="s">
        <v>6420</v>
      </c>
      <c r="N702" s="7" t="s">
        <v>6421</v>
      </c>
      <c r="O702" s="9" t="s">
        <v>6422</v>
      </c>
      <c r="P702" s="19" t="s">
        <v>6423</v>
      </c>
      <c r="Q702" s="5" t="s">
        <v>30</v>
      </c>
    </row>
    <row r="703" ht="21.0" customHeight="1">
      <c r="A703" s="4">
        <v>713.0</v>
      </c>
      <c r="B703" s="5" t="s">
        <v>6424</v>
      </c>
      <c r="C703" s="5" t="s">
        <v>18</v>
      </c>
      <c r="D703" s="5" t="s">
        <v>19</v>
      </c>
      <c r="E703" s="5" t="s">
        <v>6425</v>
      </c>
      <c r="F703" s="5" t="s">
        <v>6059</v>
      </c>
      <c r="G703" s="5" t="s">
        <v>6426</v>
      </c>
      <c r="H703" s="5" t="s">
        <v>23</v>
      </c>
      <c r="I703" s="6" t="s">
        <v>6427</v>
      </c>
      <c r="J703" s="4">
        <v>100.0</v>
      </c>
      <c r="K703" s="5" t="s">
        <v>165</v>
      </c>
      <c r="L703" s="5" t="s">
        <v>6428</v>
      </c>
      <c r="M703" s="5" t="s">
        <v>6429</v>
      </c>
      <c r="N703" s="7" t="s">
        <v>6430</v>
      </c>
      <c r="O703" s="9" t="s">
        <v>6431</v>
      </c>
      <c r="P703" s="19" t="s">
        <v>6432</v>
      </c>
      <c r="Q703" s="5" t="s">
        <v>30</v>
      </c>
    </row>
    <row r="704" ht="21.0" customHeight="1">
      <c r="A704" s="4">
        <v>714.0</v>
      </c>
      <c r="B704" s="5" t="s">
        <v>6433</v>
      </c>
      <c r="C704" s="5" t="s">
        <v>6434</v>
      </c>
      <c r="D704" s="5" t="s">
        <v>6435</v>
      </c>
      <c r="E704" s="5" t="s">
        <v>6436</v>
      </c>
      <c r="F704" s="5" t="s">
        <v>6059</v>
      </c>
      <c r="G704" s="5" t="s">
        <v>6437</v>
      </c>
      <c r="H704" s="5" t="s">
        <v>23</v>
      </c>
      <c r="I704" s="6" t="s">
        <v>6438</v>
      </c>
      <c r="J704" s="4">
        <v>100.0</v>
      </c>
      <c r="K704" s="5" t="s">
        <v>517</v>
      </c>
      <c r="L704" s="5" t="s">
        <v>6439</v>
      </c>
      <c r="M704" s="5" t="s">
        <v>6440</v>
      </c>
      <c r="N704" s="7" t="s">
        <v>6441</v>
      </c>
      <c r="O704" s="9" t="s">
        <v>6442</v>
      </c>
      <c r="P704" s="19" t="s">
        <v>6443</v>
      </c>
      <c r="Q704" s="5" t="s">
        <v>30</v>
      </c>
    </row>
    <row r="705" ht="21.0" customHeight="1">
      <c r="A705" s="4">
        <v>715.0</v>
      </c>
      <c r="B705" s="5" t="s">
        <v>6444</v>
      </c>
      <c r="C705" s="5" t="s">
        <v>18</v>
      </c>
      <c r="D705" s="5" t="s">
        <v>6445</v>
      </c>
      <c r="E705" s="5" t="s">
        <v>6446</v>
      </c>
      <c r="F705" s="5" t="s">
        <v>6059</v>
      </c>
      <c r="G705" s="5" t="s">
        <v>6447</v>
      </c>
      <c r="H705" s="5" t="s">
        <v>23</v>
      </c>
      <c r="I705" s="6" t="s">
        <v>6448</v>
      </c>
      <c r="J705" s="4">
        <v>100.0</v>
      </c>
      <c r="K705" s="5" t="s">
        <v>216</v>
      </c>
      <c r="L705" s="5" t="s">
        <v>6449</v>
      </c>
      <c r="M705" s="5" t="s">
        <v>6450</v>
      </c>
      <c r="N705" s="7" t="s">
        <v>6451</v>
      </c>
      <c r="O705" s="9" t="s">
        <v>6452</v>
      </c>
      <c r="P705" s="19" t="s">
        <v>6453</v>
      </c>
      <c r="Q705" s="5" t="s">
        <v>30</v>
      </c>
    </row>
    <row r="706" ht="21.0" customHeight="1">
      <c r="A706" s="4">
        <v>716.0</v>
      </c>
      <c r="B706" s="5" t="s">
        <v>6454</v>
      </c>
      <c r="C706" s="5" t="s">
        <v>6455</v>
      </c>
      <c r="D706" s="5" t="s">
        <v>6456</v>
      </c>
      <c r="E706" s="5" t="s">
        <v>6457</v>
      </c>
      <c r="F706" s="5" t="s">
        <v>6059</v>
      </c>
      <c r="G706" s="5" t="s">
        <v>6458</v>
      </c>
      <c r="H706" s="5" t="s">
        <v>23</v>
      </c>
      <c r="I706" s="6" t="s">
        <v>6459</v>
      </c>
      <c r="J706" s="4">
        <v>100.0</v>
      </c>
      <c r="K706" s="5" t="s">
        <v>165</v>
      </c>
      <c r="L706" s="5" t="s">
        <v>6460</v>
      </c>
      <c r="M706" s="5" t="s">
        <v>6461</v>
      </c>
      <c r="N706" s="7" t="s">
        <v>6462</v>
      </c>
      <c r="O706" s="9" t="s">
        <v>6463</v>
      </c>
      <c r="P706" s="19" t="s">
        <v>6464</v>
      </c>
      <c r="Q706" s="5" t="s">
        <v>30</v>
      </c>
    </row>
    <row r="707" ht="21.0" customHeight="1">
      <c r="A707" s="4">
        <v>717.0</v>
      </c>
      <c r="B707" s="5" t="s">
        <v>6465</v>
      </c>
      <c r="C707" s="5" t="s">
        <v>18</v>
      </c>
      <c r="D707" s="5" t="s">
        <v>6466</v>
      </c>
      <c r="E707" s="5" t="s">
        <v>6467</v>
      </c>
      <c r="F707" s="5" t="s">
        <v>6059</v>
      </c>
      <c r="G707" s="5" t="s">
        <v>6468</v>
      </c>
      <c r="H707" s="5" t="s">
        <v>23</v>
      </c>
      <c r="I707" s="6" t="s">
        <v>6469</v>
      </c>
      <c r="J707" s="4">
        <v>100.0</v>
      </c>
      <c r="K707" s="5" t="s">
        <v>68</v>
      </c>
      <c r="L707" s="5" t="s">
        <v>6470</v>
      </c>
      <c r="M707" s="5" t="s">
        <v>6471</v>
      </c>
      <c r="N707" s="20" t="s">
        <v>6472</v>
      </c>
      <c r="O707" s="9" t="s">
        <v>6473</v>
      </c>
      <c r="P707" s="5" t="s">
        <v>30</v>
      </c>
      <c r="Q707" s="5" t="s">
        <v>30</v>
      </c>
    </row>
    <row r="708" ht="21.0" customHeight="1">
      <c r="A708" s="13">
        <v>718.0</v>
      </c>
      <c r="B708" s="14" t="s">
        <v>6474</v>
      </c>
      <c r="C708" s="14" t="s">
        <v>18</v>
      </c>
      <c r="D708" s="14" t="s">
        <v>6475</v>
      </c>
      <c r="E708" s="14" t="s">
        <v>6476</v>
      </c>
      <c r="F708" s="14" t="s">
        <v>6477</v>
      </c>
      <c r="G708" s="14" t="s">
        <v>6478</v>
      </c>
      <c r="H708" s="14" t="s">
        <v>23</v>
      </c>
      <c r="I708" s="15" t="s">
        <v>6479</v>
      </c>
      <c r="J708" s="13">
        <v>100.0</v>
      </c>
      <c r="K708" s="14" t="s">
        <v>25</v>
      </c>
      <c r="L708" s="14" t="s">
        <v>6480</v>
      </c>
      <c r="M708" s="14" t="s">
        <v>6481</v>
      </c>
      <c r="N708" s="16" t="s">
        <v>6482</v>
      </c>
      <c r="O708" s="17" t="s">
        <v>6483</v>
      </c>
      <c r="P708" s="26" t="s">
        <v>6484</v>
      </c>
      <c r="Q708" s="14" t="s">
        <v>30</v>
      </c>
      <c r="R708" s="18"/>
      <c r="S708" s="18"/>
      <c r="T708" s="18"/>
      <c r="U708" s="18"/>
      <c r="V708" s="18"/>
      <c r="W708" s="18"/>
      <c r="X708" s="18"/>
      <c r="Y708" s="18"/>
      <c r="Z708" s="18"/>
    </row>
    <row r="709" ht="21.0" customHeight="1">
      <c r="A709" s="4">
        <v>719.0</v>
      </c>
      <c r="B709" s="5" t="s">
        <v>6485</v>
      </c>
      <c r="C709" s="5" t="s">
        <v>18</v>
      </c>
      <c r="D709" s="5" t="s">
        <v>19</v>
      </c>
      <c r="E709" s="5" t="s">
        <v>6486</v>
      </c>
      <c r="F709" s="5" t="s">
        <v>6477</v>
      </c>
      <c r="G709" s="5" t="s">
        <v>6487</v>
      </c>
      <c r="H709" s="5" t="s">
        <v>23</v>
      </c>
      <c r="I709" s="6" t="s">
        <v>6488</v>
      </c>
      <c r="J709" s="4">
        <v>100.0</v>
      </c>
      <c r="K709" s="5" t="s">
        <v>165</v>
      </c>
      <c r="L709" s="5" t="s">
        <v>6489</v>
      </c>
      <c r="M709" s="5" t="s">
        <v>6490</v>
      </c>
      <c r="N709" s="7" t="s">
        <v>6491</v>
      </c>
      <c r="O709" s="9" t="s">
        <v>6492</v>
      </c>
      <c r="P709" s="19" t="s">
        <v>6493</v>
      </c>
      <c r="Q709" s="5" t="s">
        <v>30</v>
      </c>
    </row>
    <row r="710" ht="21.0" customHeight="1">
      <c r="A710" s="4">
        <v>720.0</v>
      </c>
      <c r="B710" s="5" t="s">
        <v>6494</v>
      </c>
      <c r="C710" s="5" t="s">
        <v>18</v>
      </c>
      <c r="D710" s="5" t="s">
        <v>1293</v>
      </c>
      <c r="E710" s="5" t="s">
        <v>6495</v>
      </c>
      <c r="F710" s="5" t="s">
        <v>6477</v>
      </c>
      <c r="G710" s="5" t="s">
        <v>6496</v>
      </c>
      <c r="H710" s="5" t="s">
        <v>23</v>
      </c>
      <c r="I710" s="6" t="s">
        <v>6497</v>
      </c>
      <c r="J710" s="4">
        <v>100.0</v>
      </c>
      <c r="K710" s="5" t="s">
        <v>25</v>
      </c>
      <c r="L710" s="5" t="s">
        <v>6498</v>
      </c>
      <c r="M710" s="5" t="s">
        <v>6499</v>
      </c>
      <c r="N710" s="7" t="s">
        <v>6500</v>
      </c>
      <c r="O710" s="9" t="s">
        <v>6501</v>
      </c>
      <c r="P710" s="19" t="s">
        <v>6502</v>
      </c>
      <c r="Q710" s="5" t="s">
        <v>30</v>
      </c>
    </row>
    <row r="711" ht="21.0" customHeight="1">
      <c r="A711" s="4">
        <v>721.0</v>
      </c>
      <c r="B711" s="5" t="s">
        <v>6503</v>
      </c>
      <c r="C711" s="5" t="s">
        <v>6504</v>
      </c>
      <c r="D711" s="5" t="s">
        <v>6505</v>
      </c>
      <c r="E711" s="5" t="s">
        <v>6506</v>
      </c>
      <c r="F711" s="5" t="s">
        <v>6477</v>
      </c>
      <c r="G711" s="5" t="s">
        <v>6507</v>
      </c>
      <c r="H711" s="5" t="s">
        <v>23</v>
      </c>
      <c r="I711" s="6" t="s">
        <v>6508</v>
      </c>
      <c r="J711" s="4">
        <v>100.0</v>
      </c>
      <c r="K711" s="5" t="s">
        <v>25</v>
      </c>
      <c r="L711" s="5" t="s">
        <v>6509</v>
      </c>
      <c r="M711" s="5" t="s">
        <v>6510</v>
      </c>
      <c r="N711" s="7" t="s">
        <v>6511</v>
      </c>
      <c r="O711" s="9" t="s">
        <v>6512</v>
      </c>
      <c r="P711" s="19" t="s">
        <v>6513</v>
      </c>
      <c r="Q711" s="5" t="s">
        <v>30</v>
      </c>
    </row>
    <row r="712" ht="21.0" customHeight="1">
      <c r="A712" s="4">
        <v>722.0</v>
      </c>
      <c r="B712" s="5" t="s">
        <v>6514</v>
      </c>
      <c r="C712" s="5" t="s">
        <v>18</v>
      </c>
      <c r="D712" s="5" t="s">
        <v>6515</v>
      </c>
      <c r="E712" s="5" t="s">
        <v>6516</v>
      </c>
      <c r="F712" s="5" t="s">
        <v>6477</v>
      </c>
      <c r="G712" s="5" t="s">
        <v>6517</v>
      </c>
      <c r="H712" s="5" t="s">
        <v>23</v>
      </c>
      <c r="I712" s="6" t="s">
        <v>6518</v>
      </c>
      <c r="J712" s="4">
        <v>100.0</v>
      </c>
      <c r="K712" s="5" t="s">
        <v>216</v>
      </c>
      <c r="L712" s="5" t="s">
        <v>6519</v>
      </c>
      <c r="M712" s="5" t="s">
        <v>6520</v>
      </c>
      <c r="N712" s="7" t="s">
        <v>6521</v>
      </c>
      <c r="O712" s="9" t="s">
        <v>6522</v>
      </c>
      <c r="P712" s="19" t="s">
        <v>6523</v>
      </c>
      <c r="Q712" s="5" t="s">
        <v>30</v>
      </c>
    </row>
    <row r="713" ht="21.0" customHeight="1">
      <c r="A713" s="4">
        <v>723.0</v>
      </c>
      <c r="B713" s="5" t="s">
        <v>6524</v>
      </c>
      <c r="C713" s="5" t="s">
        <v>18</v>
      </c>
      <c r="D713" s="5" t="s">
        <v>6525</v>
      </c>
      <c r="E713" s="5" t="s">
        <v>6526</v>
      </c>
      <c r="F713" s="5" t="s">
        <v>6477</v>
      </c>
      <c r="G713" s="5" t="s">
        <v>6527</v>
      </c>
      <c r="H713" s="5" t="s">
        <v>23</v>
      </c>
      <c r="I713" s="6" t="s">
        <v>6528</v>
      </c>
      <c r="J713" s="4">
        <v>100.0</v>
      </c>
      <c r="K713" s="5" t="s">
        <v>110</v>
      </c>
      <c r="L713" s="5" t="s">
        <v>6529</v>
      </c>
      <c r="M713" s="5" t="s">
        <v>6530</v>
      </c>
      <c r="N713" s="20" t="s">
        <v>6531</v>
      </c>
      <c r="O713" s="9" t="s">
        <v>6532</v>
      </c>
      <c r="P713" s="5" t="s">
        <v>30</v>
      </c>
      <c r="Q713" s="5" t="s">
        <v>30</v>
      </c>
    </row>
    <row r="714" ht="21.0" customHeight="1">
      <c r="A714" s="4">
        <v>724.0</v>
      </c>
      <c r="B714" s="5" t="s">
        <v>6533</v>
      </c>
      <c r="C714" s="5" t="s">
        <v>18</v>
      </c>
      <c r="D714" s="5" t="s">
        <v>6534</v>
      </c>
      <c r="E714" s="5" t="s">
        <v>6535</v>
      </c>
      <c r="F714" s="5" t="s">
        <v>6477</v>
      </c>
      <c r="G714" s="5" t="s">
        <v>6536</v>
      </c>
      <c r="H714" s="5" t="s">
        <v>23</v>
      </c>
      <c r="I714" s="6" t="s">
        <v>6537</v>
      </c>
      <c r="J714" s="4">
        <v>100.0</v>
      </c>
      <c r="K714" s="5" t="s">
        <v>517</v>
      </c>
      <c r="L714" s="5" t="s">
        <v>6538</v>
      </c>
      <c r="M714" s="5" t="s">
        <v>6539</v>
      </c>
      <c r="N714" s="7" t="s">
        <v>6540</v>
      </c>
      <c r="O714" s="9" t="s">
        <v>6541</v>
      </c>
      <c r="P714" s="5" t="s">
        <v>30</v>
      </c>
      <c r="Q714" s="5" t="s">
        <v>30</v>
      </c>
    </row>
    <row r="715" ht="21.0" customHeight="1">
      <c r="A715" s="4">
        <v>725.0</v>
      </c>
      <c r="B715" s="5" t="s">
        <v>6542</v>
      </c>
      <c r="C715" s="5" t="s">
        <v>6543</v>
      </c>
      <c r="D715" s="5" t="s">
        <v>5520</v>
      </c>
      <c r="E715" s="5" t="s">
        <v>6544</v>
      </c>
      <c r="F715" s="5" t="s">
        <v>6477</v>
      </c>
      <c r="G715" s="5" t="s">
        <v>6545</v>
      </c>
      <c r="H715" s="5" t="s">
        <v>23</v>
      </c>
      <c r="I715" s="6" t="s">
        <v>6546</v>
      </c>
      <c r="J715" s="4">
        <v>100.0</v>
      </c>
      <c r="K715" s="5" t="s">
        <v>93</v>
      </c>
      <c r="L715" s="5" t="s">
        <v>6547</v>
      </c>
      <c r="M715" s="5" t="s">
        <v>6548</v>
      </c>
      <c r="N715" s="7" t="s">
        <v>6549</v>
      </c>
      <c r="O715" s="9" t="s">
        <v>6550</v>
      </c>
      <c r="P715" s="19" t="s">
        <v>6551</v>
      </c>
      <c r="Q715" s="5" t="s">
        <v>30</v>
      </c>
    </row>
    <row r="716" ht="21.0" customHeight="1">
      <c r="A716" s="4">
        <v>726.0</v>
      </c>
      <c r="B716" s="5" t="s">
        <v>6552</v>
      </c>
      <c r="C716" s="5" t="s">
        <v>6553</v>
      </c>
      <c r="D716" s="5" t="s">
        <v>6554</v>
      </c>
      <c r="E716" s="5" t="s">
        <v>6555</v>
      </c>
      <c r="F716" s="5" t="s">
        <v>6477</v>
      </c>
      <c r="G716" s="5" t="s">
        <v>6556</v>
      </c>
      <c r="H716" s="5" t="s">
        <v>23</v>
      </c>
      <c r="I716" s="6" t="s">
        <v>6557</v>
      </c>
      <c r="J716" s="4">
        <v>100.0</v>
      </c>
      <c r="K716" s="5" t="s">
        <v>84</v>
      </c>
      <c r="L716" s="5" t="s">
        <v>6558</v>
      </c>
      <c r="M716" s="5" t="s">
        <v>6559</v>
      </c>
      <c r="N716" s="7" t="s">
        <v>6560</v>
      </c>
      <c r="O716" s="9" t="s">
        <v>6561</v>
      </c>
      <c r="P716" s="19" t="s">
        <v>6562</v>
      </c>
      <c r="Q716" s="5" t="s">
        <v>30</v>
      </c>
    </row>
    <row r="717" ht="21.0" customHeight="1">
      <c r="A717" s="4">
        <v>727.0</v>
      </c>
      <c r="B717" s="5" t="s">
        <v>6563</v>
      </c>
      <c r="C717" s="5" t="s">
        <v>18</v>
      </c>
      <c r="D717" s="5" t="s">
        <v>6564</v>
      </c>
      <c r="E717" s="5" t="s">
        <v>6565</v>
      </c>
      <c r="F717" s="5" t="s">
        <v>6477</v>
      </c>
      <c r="G717" s="5" t="s">
        <v>6566</v>
      </c>
      <c r="H717" s="5" t="s">
        <v>23</v>
      </c>
      <c r="I717" s="6" t="s">
        <v>6567</v>
      </c>
      <c r="J717" s="4">
        <v>100.0</v>
      </c>
      <c r="K717" s="5" t="s">
        <v>25</v>
      </c>
      <c r="L717" s="5" t="s">
        <v>6568</v>
      </c>
      <c r="M717" s="5" t="s">
        <v>6569</v>
      </c>
      <c r="N717" s="7" t="s">
        <v>6570</v>
      </c>
      <c r="O717" s="9" t="s">
        <v>6571</v>
      </c>
      <c r="P717" s="19" t="s">
        <v>6572</v>
      </c>
      <c r="Q717" s="5" t="s">
        <v>30</v>
      </c>
    </row>
    <row r="718" ht="21.0" customHeight="1">
      <c r="A718" s="4">
        <v>728.0</v>
      </c>
      <c r="B718" s="5" t="s">
        <v>6573</v>
      </c>
      <c r="C718" s="5" t="s">
        <v>18</v>
      </c>
      <c r="D718" s="5" t="s">
        <v>6574</v>
      </c>
      <c r="E718" s="5" t="s">
        <v>6575</v>
      </c>
      <c r="F718" s="5" t="s">
        <v>6477</v>
      </c>
      <c r="G718" s="5" t="s">
        <v>6576</v>
      </c>
      <c r="H718" s="5" t="s">
        <v>50</v>
      </c>
      <c r="I718" s="6" t="s">
        <v>6577</v>
      </c>
      <c r="J718" s="4">
        <v>100.0</v>
      </c>
      <c r="K718" s="5" t="s">
        <v>316</v>
      </c>
      <c r="L718" s="5" t="s">
        <v>6578</v>
      </c>
      <c r="M718" s="5" t="s">
        <v>6579</v>
      </c>
      <c r="N718" s="7" t="s">
        <v>6580</v>
      </c>
      <c r="O718" s="9" t="s">
        <v>6581</v>
      </c>
      <c r="P718" s="19" t="s">
        <v>6582</v>
      </c>
      <c r="Q718" s="5" t="s">
        <v>30</v>
      </c>
    </row>
    <row r="719" ht="21.0" customHeight="1">
      <c r="A719" s="4">
        <v>729.0</v>
      </c>
      <c r="B719" s="5" t="s">
        <v>6583</v>
      </c>
      <c r="C719" s="5" t="s">
        <v>18</v>
      </c>
      <c r="D719" s="5" t="s">
        <v>170</v>
      </c>
      <c r="E719" s="5" t="s">
        <v>6584</v>
      </c>
      <c r="F719" s="5" t="s">
        <v>6477</v>
      </c>
      <c r="G719" s="5" t="s">
        <v>6585</v>
      </c>
      <c r="H719" s="5" t="s">
        <v>23</v>
      </c>
      <c r="I719" s="6" t="s">
        <v>6586</v>
      </c>
      <c r="J719" s="4">
        <v>100.0</v>
      </c>
      <c r="K719" s="5" t="s">
        <v>25</v>
      </c>
      <c r="L719" s="5" t="s">
        <v>6587</v>
      </c>
      <c r="M719" s="5" t="s">
        <v>6588</v>
      </c>
      <c r="N719" s="7" t="s">
        <v>6589</v>
      </c>
      <c r="O719" s="9" t="s">
        <v>6590</v>
      </c>
      <c r="P719" s="19" t="s">
        <v>6591</v>
      </c>
      <c r="Q719" s="5" t="s">
        <v>30</v>
      </c>
    </row>
    <row r="720" ht="21.0" customHeight="1">
      <c r="A720" s="4">
        <v>730.0</v>
      </c>
      <c r="B720" s="5" t="s">
        <v>6592</v>
      </c>
      <c r="C720" s="5" t="s">
        <v>18</v>
      </c>
      <c r="D720" s="5" t="s">
        <v>170</v>
      </c>
      <c r="E720" s="5" t="s">
        <v>6593</v>
      </c>
      <c r="F720" s="5" t="s">
        <v>6477</v>
      </c>
      <c r="G720" s="5" t="s">
        <v>34</v>
      </c>
      <c r="H720" s="5" t="s">
        <v>23</v>
      </c>
      <c r="I720" s="6" t="s">
        <v>6594</v>
      </c>
      <c r="J720" s="4">
        <v>100.0</v>
      </c>
      <c r="K720" s="5" t="s">
        <v>25</v>
      </c>
      <c r="L720" s="5" t="s">
        <v>6595</v>
      </c>
      <c r="M720" s="5" t="s">
        <v>6596</v>
      </c>
      <c r="N720" s="7" t="s">
        <v>6597</v>
      </c>
      <c r="O720" s="9" t="s">
        <v>6598</v>
      </c>
      <c r="P720" s="19" t="s">
        <v>6599</v>
      </c>
      <c r="Q720" s="5" t="s">
        <v>30</v>
      </c>
    </row>
    <row r="721" ht="21.0" customHeight="1">
      <c r="A721" s="4">
        <v>731.0</v>
      </c>
      <c r="B721" s="5" t="s">
        <v>6600</v>
      </c>
      <c r="C721" s="5" t="s">
        <v>6601</v>
      </c>
      <c r="D721" s="5" t="s">
        <v>6602</v>
      </c>
      <c r="E721" s="5" t="s">
        <v>6603</v>
      </c>
      <c r="F721" s="5" t="s">
        <v>6477</v>
      </c>
      <c r="G721" s="5" t="s">
        <v>6604</v>
      </c>
      <c r="H721" s="5" t="s">
        <v>23</v>
      </c>
      <c r="I721" s="6" t="s">
        <v>6605</v>
      </c>
      <c r="J721" s="4">
        <v>100.0</v>
      </c>
      <c r="K721" s="5" t="s">
        <v>165</v>
      </c>
      <c r="L721" s="5" t="s">
        <v>6606</v>
      </c>
      <c r="M721" s="5" t="s">
        <v>6607</v>
      </c>
      <c r="N721" s="7" t="s">
        <v>6608</v>
      </c>
      <c r="O721" s="9" t="s">
        <v>6609</v>
      </c>
      <c r="P721" s="19" t="s">
        <v>6610</v>
      </c>
      <c r="Q721" s="5" t="s">
        <v>30</v>
      </c>
    </row>
    <row r="722" ht="21.0" customHeight="1">
      <c r="A722" s="4">
        <v>732.0</v>
      </c>
      <c r="B722" s="5" t="s">
        <v>6611</v>
      </c>
      <c r="C722" s="5" t="s">
        <v>18</v>
      </c>
      <c r="D722" s="5" t="s">
        <v>6068</v>
      </c>
      <c r="E722" s="5" t="s">
        <v>6612</v>
      </c>
      <c r="F722" s="5" t="s">
        <v>6477</v>
      </c>
      <c r="G722" s="5" t="s">
        <v>6613</v>
      </c>
      <c r="H722" s="5" t="s">
        <v>23</v>
      </c>
      <c r="I722" s="6" t="s">
        <v>6614</v>
      </c>
      <c r="J722" s="4">
        <v>100.0</v>
      </c>
      <c r="K722" s="5" t="s">
        <v>275</v>
      </c>
      <c r="L722" s="5" t="s">
        <v>6615</v>
      </c>
      <c r="M722" s="5" t="s">
        <v>6616</v>
      </c>
      <c r="N722" s="7" t="s">
        <v>6617</v>
      </c>
      <c r="O722" s="9" t="s">
        <v>6618</v>
      </c>
      <c r="P722" s="19" t="s">
        <v>6619</v>
      </c>
      <c r="Q722" s="5" t="s">
        <v>30</v>
      </c>
    </row>
    <row r="723" ht="21.0" customHeight="1">
      <c r="A723" s="4">
        <v>733.0</v>
      </c>
      <c r="B723" s="5" t="s">
        <v>6620</v>
      </c>
      <c r="C723" s="5" t="s">
        <v>18</v>
      </c>
      <c r="D723" s="5" t="s">
        <v>6621</v>
      </c>
      <c r="E723" s="5" t="s">
        <v>6622</v>
      </c>
      <c r="F723" s="5" t="s">
        <v>6477</v>
      </c>
      <c r="G723" s="5" t="s">
        <v>6623</v>
      </c>
      <c r="H723" s="5" t="s">
        <v>23</v>
      </c>
      <c r="I723" s="6" t="s">
        <v>6624</v>
      </c>
      <c r="J723" s="4">
        <v>100.0</v>
      </c>
      <c r="K723" s="5" t="s">
        <v>25</v>
      </c>
      <c r="L723" s="5" t="s">
        <v>6625</v>
      </c>
      <c r="M723" s="5" t="s">
        <v>6626</v>
      </c>
      <c r="N723" s="7" t="s">
        <v>6627</v>
      </c>
      <c r="O723" s="9" t="s">
        <v>6628</v>
      </c>
      <c r="P723" s="19" t="s">
        <v>6629</v>
      </c>
      <c r="Q723" s="5" t="s">
        <v>30</v>
      </c>
    </row>
    <row r="724" ht="21.0" customHeight="1">
      <c r="A724" s="4">
        <v>734.0</v>
      </c>
      <c r="B724" s="5" t="s">
        <v>6630</v>
      </c>
      <c r="C724" s="5" t="s">
        <v>18</v>
      </c>
      <c r="D724" s="5" t="s">
        <v>6631</v>
      </c>
      <c r="E724" s="5" t="s">
        <v>6632</v>
      </c>
      <c r="F724" s="5" t="s">
        <v>6477</v>
      </c>
      <c r="G724" s="5" t="s">
        <v>6633</v>
      </c>
      <c r="H724" s="5" t="s">
        <v>23</v>
      </c>
      <c r="I724" s="6" t="s">
        <v>6634</v>
      </c>
      <c r="J724" s="4">
        <v>100.0</v>
      </c>
      <c r="K724" s="5" t="s">
        <v>25</v>
      </c>
      <c r="L724" s="5" t="s">
        <v>6635</v>
      </c>
      <c r="M724" s="5" t="s">
        <v>6636</v>
      </c>
      <c r="N724" s="7" t="s">
        <v>6637</v>
      </c>
      <c r="O724" s="9" t="s">
        <v>6638</v>
      </c>
      <c r="P724" s="19" t="s">
        <v>6639</v>
      </c>
      <c r="Q724" s="5" t="s">
        <v>30</v>
      </c>
    </row>
    <row r="725" ht="21.0" customHeight="1">
      <c r="A725" s="4">
        <v>735.0</v>
      </c>
      <c r="B725" s="5" t="s">
        <v>6640</v>
      </c>
      <c r="C725" s="5" t="s">
        <v>18</v>
      </c>
      <c r="D725" s="5" t="s">
        <v>6641</v>
      </c>
      <c r="E725" s="5" t="s">
        <v>6642</v>
      </c>
      <c r="F725" s="5" t="s">
        <v>6477</v>
      </c>
      <c r="G725" s="5" t="s">
        <v>6643</v>
      </c>
      <c r="H725" s="5" t="s">
        <v>23</v>
      </c>
      <c r="I725" s="6" t="s">
        <v>6644</v>
      </c>
      <c r="J725" s="4">
        <v>100.0</v>
      </c>
      <c r="K725" s="5" t="s">
        <v>84</v>
      </c>
      <c r="L725" s="5" t="s">
        <v>6645</v>
      </c>
      <c r="M725" s="5" t="s">
        <v>6646</v>
      </c>
      <c r="N725" s="7" t="s">
        <v>6647</v>
      </c>
      <c r="O725" s="9" t="s">
        <v>6648</v>
      </c>
      <c r="P725" s="19" t="s">
        <v>6649</v>
      </c>
      <c r="Q725" s="5" t="s">
        <v>30</v>
      </c>
    </row>
    <row r="726" ht="21.0" customHeight="1">
      <c r="A726" s="4">
        <v>736.0</v>
      </c>
      <c r="B726" s="5" t="s">
        <v>6650</v>
      </c>
      <c r="C726" s="5" t="s">
        <v>18</v>
      </c>
      <c r="D726" s="5" t="s">
        <v>2307</v>
      </c>
      <c r="E726" s="5" t="s">
        <v>6651</v>
      </c>
      <c r="F726" s="5" t="s">
        <v>6477</v>
      </c>
      <c r="G726" s="5" t="s">
        <v>6652</v>
      </c>
      <c r="H726" s="5" t="s">
        <v>23</v>
      </c>
      <c r="I726" s="6" t="s">
        <v>6653</v>
      </c>
      <c r="J726" s="4">
        <v>100.0</v>
      </c>
      <c r="K726" s="5" t="s">
        <v>165</v>
      </c>
      <c r="L726" s="5" t="s">
        <v>6654</v>
      </c>
      <c r="M726" s="5" t="s">
        <v>6655</v>
      </c>
      <c r="N726" s="7" t="s">
        <v>6656</v>
      </c>
      <c r="O726" s="9" t="s">
        <v>6657</v>
      </c>
      <c r="P726" s="5" t="s">
        <v>30</v>
      </c>
      <c r="Q726" s="5" t="s">
        <v>30</v>
      </c>
    </row>
    <row r="727" ht="21.0" customHeight="1">
      <c r="A727" s="4">
        <v>737.0</v>
      </c>
      <c r="B727" s="5" t="s">
        <v>6658</v>
      </c>
      <c r="C727" s="5" t="s">
        <v>6659</v>
      </c>
      <c r="D727" s="5" t="s">
        <v>6660</v>
      </c>
      <c r="E727" s="5" t="s">
        <v>6661</v>
      </c>
      <c r="F727" s="5" t="s">
        <v>6477</v>
      </c>
      <c r="G727" s="5" t="s">
        <v>6662</v>
      </c>
      <c r="H727" s="5" t="s">
        <v>23</v>
      </c>
      <c r="I727" s="6" t="s">
        <v>6663</v>
      </c>
      <c r="J727" s="4">
        <v>100.0</v>
      </c>
      <c r="K727" s="5" t="s">
        <v>6246</v>
      </c>
      <c r="L727" s="5" t="s">
        <v>6664</v>
      </c>
      <c r="M727" s="5" t="s">
        <v>6665</v>
      </c>
      <c r="N727" s="7" t="s">
        <v>6666</v>
      </c>
      <c r="O727" s="9" t="s">
        <v>6667</v>
      </c>
      <c r="P727" s="19" t="s">
        <v>6668</v>
      </c>
      <c r="Q727" s="5" t="s">
        <v>30</v>
      </c>
    </row>
    <row r="728" ht="21.0" customHeight="1">
      <c r="A728" s="4">
        <v>738.0</v>
      </c>
      <c r="B728" s="5" t="s">
        <v>6669</v>
      </c>
      <c r="C728" s="5" t="s">
        <v>18</v>
      </c>
      <c r="D728" s="5" t="s">
        <v>6670</v>
      </c>
      <c r="E728" s="5" t="s">
        <v>6671</v>
      </c>
      <c r="F728" s="5" t="s">
        <v>6672</v>
      </c>
      <c r="G728" s="5" t="s">
        <v>6673</v>
      </c>
      <c r="H728" s="5" t="s">
        <v>50</v>
      </c>
      <c r="I728" s="6" t="s">
        <v>6674</v>
      </c>
      <c r="J728" s="4">
        <v>100.0</v>
      </c>
      <c r="K728" s="5" t="s">
        <v>1410</v>
      </c>
      <c r="L728" s="5" t="s">
        <v>6675</v>
      </c>
      <c r="M728" s="5" t="s">
        <v>6676</v>
      </c>
      <c r="N728" s="7" t="s">
        <v>6677</v>
      </c>
      <c r="O728" s="9" t="s">
        <v>6678</v>
      </c>
      <c r="P728" s="19" t="s">
        <v>6679</v>
      </c>
      <c r="Q728" s="5" t="s">
        <v>30</v>
      </c>
    </row>
    <row r="729" ht="21.0" customHeight="1">
      <c r="A729" s="4">
        <v>739.0</v>
      </c>
      <c r="B729" s="5" t="s">
        <v>6680</v>
      </c>
      <c r="C729" s="5" t="s">
        <v>18</v>
      </c>
      <c r="D729" s="5" t="s">
        <v>6445</v>
      </c>
      <c r="E729" s="5" t="s">
        <v>6681</v>
      </c>
      <c r="F729" s="5" t="s">
        <v>6672</v>
      </c>
      <c r="G729" s="5" t="s">
        <v>6682</v>
      </c>
      <c r="H729" s="5" t="s">
        <v>23</v>
      </c>
      <c r="I729" s="6" t="s">
        <v>6683</v>
      </c>
      <c r="J729" s="4">
        <v>100.0</v>
      </c>
      <c r="K729" s="5" t="s">
        <v>316</v>
      </c>
      <c r="L729" s="5" t="s">
        <v>6684</v>
      </c>
      <c r="M729" s="5" t="s">
        <v>6685</v>
      </c>
      <c r="N729" s="7" t="s">
        <v>6686</v>
      </c>
      <c r="O729" s="9" t="s">
        <v>6687</v>
      </c>
      <c r="P729" s="19" t="s">
        <v>6688</v>
      </c>
      <c r="Q729" s="5" t="s">
        <v>30</v>
      </c>
    </row>
    <row r="730" ht="21.0" customHeight="1">
      <c r="A730" s="4">
        <v>740.0</v>
      </c>
      <c r="B730" s="5" t="s">
        <v>6689</v>
      </c>
      <c r="C730" s="5" t="s">
        <v>6690</v>
      </c>
      <c r="D730" s="5" t="s">
        <v>446</v>
      </c>
      <c r="E730" s="5" t="s">
        <v>6691</v>
      </c>
      <c r="F730" s="5" t="s">
        <v>6672</v>
      </c>
      <c r="G730" s="5" t="s">
        <v>6692</v>
      </c>
      <c r="H730" s="5" t="s">
        <v>23</v>
      </c>
      <c r="I730" s="6" t="s">
        <v>6693</v>
      </c>
      <c r="J730" s="4">
        <v>100.0</v>
      </c>
      <c r="K730" s="5" t="s">
        <v>93</v>
      </c>
      <c r="L730" s="5" t="s">
        <v>6694</v>
      </c>
      <c r="M730" s="5" t="s">
        <v>6695</v>
      </c>
      <c r="N730" s="7" t="s">
        <v>6696</v>
      </c>
      <c r="O730" s="9" t="s">
        <v>6697</v>
      </c>
      <c r="P730" s="19" t="s">
        <v>6698</v>
      </c>
      <c r="Q730" s="5" t="s">
        <v>30</v>
      </c>
    </row>
    <row r="731" ht="21.0" customHeight="1">
      <c r="A731" s="4">
        <v>741.0</v>
      </c>
      <c r="B731" s="5" t="s">
        <v>6699</v>
      </c>
      <c r="C731" s="5" t="s">
        <v>18</v>
      </c>
      <c r="D731" s="5" t="s">
        <v>6700</v>
      </c>
      <c r="E731" s="5" t="s">
        <v>6701</v>
      </c>
      <c r="F731" s="5" t="s">
        <v>6672</v>
      </c>
      <c r="G731" s="5" t="s">
        <v>6702</v>
      </c>
      <c r="H731" s="5" t="s">
        <v>23</v>
      </c>
      <c r="I731" s="6" t="s">
        <v>6703</v>
      </c>
      <c r="J731" s="4">
        <v>100.0</v>
      </c>
      <c r="K731" s="5" t="s">
        <v>84</v>
      </c>
      <c r="L731" s="5" t="s">
        <v>6704</v>
      </c>
      <c r="M731" s="5" t="s">
        <v>6705</v>
      </c>
      <c r="N731" s="7" t="s">
        <v>6706</v>
      </c>
      <c r="O731" s="9" t="s">
        <v>6707</v>
      </c>
      <c r="P731" s="19" t="s">
        <v>6708</v>
      </c>
      <c r="Q731" s="5" t="s">
        <v>30</v>
      </c>
    </row>
    <row r="732" ht="21.0" customHeight="1">
      <c r="A732" s="4">
        <v>743.0</v>
      </c>
      <c r="B732" s="5" t="s">
        <v>6709</v>
      </c>
      <c r="C732" s="5" t="s">
        <v>18</v>
      </c>
      <c r="D732" s="5" t="s">
        <v>6293</v>
      </c>
      <c r="E732" s="5" t="s">
        <v>6710</v>
      </c>
      <c r="F732" s="5" t="s">
        <v>6672</v>
      </c>
      <c r="G732" s="5" t="s">
        <v>6711</v>
      </c>
      <c r="H732" s="5" t="s">
        <v>23</v>
      </c>
      <c r="I732" s="6" t="s">
        <v>6712</v>
      </c>
      <c r="J732" s="4">
        <v>100.0</v>
      </c>
      <c r="K732" s="5" t="s">
        <v>25</v>
      </c>
      <c r="L732" s="5" t="s">
        <v>6713</v>
      </c>
      <c r="M732" s="5" t="s">
        <v>6714</v>
      </c>
      <c r="N732" s="7" t="s">
        <v>6715</v>
      </c>
      <c r="O732" s="9" t="s">
        <v>6716</v>
      </c>
      <c r="P732" s="19" t="s">
        <v>6717</v>
      </c>
      <c r="Q732" s="5" t="s">
        <v>30</v>
      </c>
    </row>
    <row r="733" ht="21.0" customHeight="1">
      <c r="A733" s="4">
        <v>744.0</v>
      </c>
      <c r="B733" s="5" t="s">
        <v>6718</v>
      </c>
      <c r="C733" s="5" t="s">
        <v>18</v>
      </c>
      <c r="D733" s="5" t="s">
        <v>6719</v>
      </c>
      <c r="E733" s="5" t="s">
        <v>6720</v>
      </c>
      <c r="F733" s="5" t="s">
        <v>6672</v>
      </c>
      <c r="G733" s="5" t="s">
        <v>6721</v>
      </c>
      <c r="H733" s="5" t="s">
        <v>23</v>
      </c>
      <c r="I733" s="6" t="s">
        <v>6722</v>
      </c>
      <c r="J733" s="4">
        <v>100.0</v>
      </c>
      <c r="K733" s="5" t="s">
        <v>25</v>
      </c>
      <c r="L733" s="5" t="s">
        <v>6723</v>
      </c>
      <c r="M733" s="5" t="s">
        <v>6724</v>
      </c>
      <c r="N733" s="7" t="s">
        <v>6725</v>
      </c>
      <c r="O733" s="9" t="s">
        <v>6726</v>
      </c>
      <c r="P733" s="19" t="s">
        <v>6727</v>
      </c>
      <c r="Q733" s="5" t="s">
        <v>30</v>
      </c>
    </row>
    <row r="734" ht="21.0" customHeight="1">
      <c r="A734" s="4">
        <v>745.0</v>
      </c>
      <c r="B734" s="5" t="s">
        <v>6728</v>
      </c>
      <c r="C734" s="5" t="s">
        <v>6729</v>
      </c>
      <c r="D734" s="5" t="s">
        <v>19</v>
      </c>
      <c r="E734" s="5" t="s">
        <v>6730</v>
      </c>
      <c r="F734" s="5" t="s">
        <v>6672</v>
      </c>
      <c r="G734" s="5" t="s">
        <v>6731</v>
      </c>
      <c r="H734" s="5" t="s">
        <v>23</v>
      </c>
      <c r="I734" s="6" t="s">
        <v>6732</v>
      </c>
      <c r="J734" s="4">
        <v>100.0</v>
      </c>
      <c r="K734" s="5" t="s">
        <v>93</v>
      </c>
      <c r="L734" s="5" t="s">
        <v>6733</v>
      </c>
      <c r="M734" s="5" t="s">
        <v>6734</v>
      </c>
      <c r="N734" s="7" t="s">
        <v>6735</v>
      </c>
      <c r="O734" s="9" t="s">
        <v>6736</v>
      </c>
      <c r="P734" s="5" t="s">
        <v>30</v>
      </c>
      <c r="Q734" s="5" t="s">
        <v>30</v>
      </c>
    </row>
    <row r="735" ht="21.0" customHeight="1">
      <c r="A735" s="4">
        <v>746.0</v>
      </c>
      <c r="B735" s="5" t="s">
        <v>6737</v>
      </c>
      <c r="C735" s="5" t="s">
        <v>18</v>
      </c>
      <c r="D735" s="5" t="s">
        <v>19</v>
      </c>
      <c r="E735" s="5" t="s">
        <v>6738</v>
      </c>
      <c r="F735" s="5" t="s">
        <v>6672</v>
      </c>
      <c r="G735" s="5" t="s">
        <v>6739</v>
      </c>
      <c r="H735" s="5" t="s">
        <v>23</v>
      </c>
      <c r="I735" s="6" t="s">
        <v>6740</v>
      </c>
      <c r="J735" s="4">
        <v>100.0</v>
      </c>
      <c r="K735" s="5" t="s">
        <v>165</v>
      </c>
      <c r="L735" s="5" t="s">
        <v>6741</v>
      </c>
      <c r="M735" s="5" t="s">
        <v>6742</v>
      </c>
      <c r="N735" s="7" t="s">
        <v>6743</v>
      </c>
      <c r="O735" s="9" t="s">
        <v>6744</v>
      </c>
      <c r="P735" s="19" t="s">
        <v>6745</v>
      </c>
      <c r="Q735" s="5" t="s">
        <v>30</v>
      </c>
    </row>
    <row r="736" ht="21.0" customHeight="1">
      <c r="A736" s="4">
        <v>747.0</v>
      </c>
      <c r="B736" s="5" t="s">
        <v>6746</v>
      </c>
      <c r="C736" s="5" t="s">
        <v>18</v>
      </c>
      <c r="D736" s="5" t="s">
        <v>19</v>
      </c>
      <c r="E736" s="5" t="s">
        <v>6747</v>
      </c>
      <c r="F736" s="5" t="s">
        <v>6672</v>
      </c>
      <c r="G736" s="5" t="s">
        <v>6748</v>
      </c>
      <c r="H736" s="5" t="s">
        <v>50</v>
      </c>
      <c r="I736" s="6" t="s">
        <v>6749</v>
      </c>
      <c r="J736" s="4">
        <v>100.0</v>
      </c>
      <c r="K736" s="5" t="s">
        <v>110</v>
      </c>
      <c r="L736" s="5" t="s">
        <v>6750</v>
      </c>
      <c r="M736" s="5" t="s">
        <v>6751</v>
      </c>
      <c r="N736" s="7" t="s">
        <v>6752</v>
      </c>
      <c r="O736" s="9" t="s">
        <v>6753</v>
      </c>
      <c r="P736" s="19" t="s">
        <v>6754</v>
      </c>
      <c r="Q736" s="5" t="s">
        <v>30</v>
      </c>
    </row>
    <row r="737" ht="21.0" customHeight="1">
      <c r="A737" s="4">
        <v>748.0</v>
      </c>
      <c r="B737" s="5" t="s">
        <v>6755</v>
      </c>
      <c r="C737" s="5" t="s">
        <v>18</v>
      </c>
      <c r="D737" s="5" t="s">
        <v>6756</v>
      </c>
      <c r="E737" s="5" t="s">
        <v>6757</v>
      </c>
      <c r="F737" s="5" t="s">
        <v>6672</v>
      </c>
      <c r="G737" s="5" t="s">
        <v>6758</v>
      </c>
      <c r="H737" s="5" t="s">
        <v>23</v>
      </c>
      <c r="I737" s="6" t="s">
        <v>6759</v>
      </c>
      <c r="J737" s="4">
        <v>100.0</v>
      </c>
      <c r="K737" s="5" t="s">
        <v>25</v>
      </c>
      <c r="L737" s="5" t="s">
        <v>6760</v>
      </c>
      <c r="M737" s="5" t="s">
        <v>6761</v>
      </c>
      <c r="N737" s="7" t="s">
        <v>6762</v>
      </c>
      <c r="O737" s="9" t="s">
        <v>6763</v>
      </c>
      <c r="P737" s="19" t="s">
        <v>6764</v>
      </c>
      <c r="Q737" s="5" t="s">
        <v>30</v>
      </c>
    </row>
    <row r="738" ht="21.0" customHeight="1">
      <c r="A738" s="4">
        <v>749.0</v>
      </c>
      <c r="B738" s="5" t="s">
        <v>6765</v>
      </c>
      <c r="C738" s="5" t="s">
        <v>18</v>
      </c>
      <c r="D738" s="5" t="s">
        <v>19</v>
      </c>
      <c r="E738" s="5" t="s">
        <v>6766</v>
      </c>
      <c r="F738" s="5" t="s">
        <v>6672</v>
      </c>
      <c r="G738" s="5" t="s">
        <v>6767</v>
      </c>
      <c r="H738" s="5" t="s">
        <v>23</v>
      </c>
      <c r="I738" s="6" t="s">
        <v>6768</v>
      </c>
      <c r="J738" s="4">
        <v>100.0</v>
      </c>
      <c r="K738" s="5" t="s">
        <v>292</v>
      </c>
      <c r="L738" s="5" t="s">
        <v>6769</v>
      </c>
      <c r="M738" s="5" t="s">
        <v>6770</v>
      </c>
      <c r="N738" s="7" t="s">
        <v>6771</v>
      </c>
      <c r="O738" s="9" t="s">
        <v>6772</v>
      </c>
      <c r="P738" s="19" t="s">
        <v>6773</v>
      </c>
      <c r="Q738" s="5" t="s">
        <v>30</v>
      </c>
    </row>
    <row r="739" ht="21.0" customHeight="1">
      <c r="A739" s="4">
        <v>750.0</v>
      </c>
      <c r="B739" s="5" t="s">
        <v>6774</v>
      </c>
      <c r="C739" s="5" t="s">
        <v>18</v>
      </c>
      <c r="D739" s="5" t="s">
        <v>6775</v>
      </c>
      <c r="E739" s="5" t="s">
        <v>6776</v>
      </c>
      <c r="F739" s="5" t="s">
        <v>6672</v>
      </c>
      <c r="G739" s="5" t="s">
        <v>6777</v>
      </c>
      <c r="H739" s="5" t="s">
        <v>23</v>
      </c>
      <c r="I739" s="6" t="s">
        <v>6778</v>
      </c>
      <c r="J739" s="4">
        <v>100.0</v>
      </c>
      <c r="K739" s="5" t="s">
        <v>284</v>
      </c>
      <c r="L739" s="5" t="s">
        <v>6779</v>
      </c>
      <c r="M739" s="5" t="s">
        <v>6780</v>
      </c>
      <c r="N739" s="7" t="s">
        <v>6781</v>
      </c>
      <c r="O739" s="9" t="s">
        <v>6782</v>
      </c>
      <c r="P739" s="19" t="s">
        <v>6783</v>
      </c>
      <c r="Q739" s="5" t="s">
        <v>30</v>
      </c>
    </row>
    <row r="740" ht="21.0" customHeight="1">
      <c r="A740" s="4">
        <v>751.0</v>
      </c>
      <c r="B740" s="5" t="s">
        <v>6784</v>
      </c>
      <c r="C740" s="5" t="s">
        <v>6785</v>
      </c>
      <c r="D740" s="5" t="s">
        <v>6786</v>
      </c>
      <c r="E740" s="5" t="s">
        <v>6787</v>
      </c>
      <c r="F740" s="5" t="s">
        <v>6672</v>
      </c>
      <c r="G740" s="5" t="s">
        <v>6788</v>
      </c>
      <c r="H740" s="5" t="s">
        <v>23</v>
      </c>
      <c r="I740" s="6" t="s">
        <v>6789</v>
      </c>
      <c r="J740" s="4">
        <v>100.0</v>
      </c>
      <c r="K740" s="5" t="s">
        <v>110</v>
      </c>
      <c r="L740" s="5" t="s">
        <v>6790</v>
      </c>
      <c r="M740" s="5" t="s">
        <v>6791</v>
      </c>
      <c r="N740" s="7" t="s">
        <v>6792</v>
      </c>
      <c r="O740" s="9" t="s">
        <v>6793</v>
      </c>
      <c r="P740" s="19" t="s">
        <v>6794</v>
      </c>
      <c r="Q740" s="5" t="s">
        <v>30</v>
      </c>
    </row>
    <row r="741" ht="21.0" customHeight="1">
      <c r="A741" s="4">
        <v>752.0</v>
      </c>
      <c r="B741" s="5" t="s">
        <v>6795</v>
      </c>
      <c r="C741" s="5" t="s">
        <v>18</v>
      </c>
      <c r="D741" s="5" t="s">
        <v>6796</v>
      </c>
      <c r="E741" s="5" t="s">
        <v>6797</v>
      </c>
      <c r="F741" s="5" t="s">
        <v>6672</v>
      </c>
      <c r="G741" s="5" t="s">
        <v>34</v>
      </c>
      <c r="H741" s="5" t="s">
        <v>23</v>
      </c>
      <c r="I741" s="6" t="s">
        <v>6798</v>
      </c>
      <c r="J741" s="4">
        <v>100.0</v>
      </c>
      <c r="K741" s="5" t="s">
        <v>84</v>
      </c>
      <c r="L741" s="5" t="s">
        <v>6799</v>
      </c>
      <c r="M741" s="5" t="s">
        <v>6800</v>
      </c>
      <c r="N741" s="7" t="s">
        <v>6801</v>
      </c>
      <c r="O741" s="9" t="s">
        <v>6802</v>
      </c>
      <c r="P741" s="19" t="s">
        <v>6803</v>
      </c>
      <c r="Q741" s="5" t="s">
        <v>30</v>
      </c>
    </row>
    <row r="742" ht="21.0" customHeight="1">
      <c r="A742" s="4">
        <v>753.0</v>
      </c>
      <c r="B742" s="5" t="s">
        <v>6804</v>
      </c>
      <c r="C742" s="5" t="s">
        <v>18</v>
      </c>
      <c r="D742" s="5" t="s">
        <v>6805</v>
      </c>
      <c r="E742" s="5" t="s">
        <v>6806</v>
      </c>
      <c r="F742" s="5" t="s">
        <v>6672</v>
      </c>
      <c r="G742" s="5" t="s">
        <v>6807</v>
      </c>
      <c r="H742" s="5" t="s">
        <v>23</v>
      </c>
      <c r="I742" s="6" t="s">
        <v>6808</v>
      </c>
      <c r="J742" s="4">
        <v>100.0</v>
      </c>
      <c r="K742" s="5" t="s">
        <v>25</v>
      </c>
      <c r="L742" s="5" t="s">
        <v>6809</v>
      </c>
      <c r="M742" s="5" t="s">
        <v>6810</v>
      </c>
      <c r="N742" s="7" t="s">
        <v>6811</v>
      </c>
      <c r="O742" s="9" t="s">
        <v>6812</v>
      </c>
      <c r="P742" s="19" t="s">
        <v>6813</v>
      </c>
      <c r="Q742" s="5" t="s">
        <v>30</v>
      </c>
    </row>
    <row r="743" ht="21.0" customHeight="1">
      <c r="A743" s="4">
        <v>754.0</v>
      </c>
      <c r="B743" s="5" t="s">
        <v>6814</v>
      </c>
      <c r="C743" s="5" t="s">
        <v>18</v>
      </c>
      <c r="D743" s="5" t="s">
        <v>3398</v>
      </c>
      <c r="E743" s="5" t="s">
        <v>6815</v>
      </c>
      <c r="F743" s="5" t="s">
        <v>6672</v>
      </c>
      <c r="G743" s="5" t="s">
        <v>6816</v>
      </c>
      <c r="H743" s="5" t="s">
        <v>23</v>
      </c>
      <c r="I743" s="6" t="s">
        <v>6817</v>
      </c>
      <c r="J743" s="4">
        <v>100.0</v>
      </c>
      <c r="K743" s="5" t="s">
        <v>316</v>
      </c>
      <c r="L743" s="5" t="s">
        <v>6818</v>
      </c>
      <c r="M743" s="5" t="s">
        <v>6819</v>
      </c>
      <c r="N743" s="7" t="s">
        <v>6820</v>
      </c>
      <c r="O743" s="9" t="s">
        <v>6821</v>
      </c>
      <c r="P743" s="19" t="s">
        <v>6822</v>
      </c>
      <c r="Q743" s="5" t="s">
        <v>30</v>
      </c>
    </row>
    <row r="744" ht="21.0" customHeight="1">
      <c r="A744" s="4">
        <v>755.0</v>
      </c>
      <c r="B744" s="5" t="s">
        <v>6823</v>
      </c>
      <c r="C744" s="5" t="s">
        <v>18</v>
      </c>
      <c r="D744" s="5" t="s">
        <v>6824</v>
      </c>
      <c r="E744" s="5" t="s">
        <v>6825</v>
      </c>
      <c r="F744" s="5" t="s">
        <v>6672</v>
      </c>
      <c r="G744" s="5" t="s">
        <v>6826</v>
      </c>
      <c r="H744" s="5" t="s">
        <v>23</v>
      </c>
      <c r="I744" s="6" t="s">
        <v>6827</v>
      </c>
      <c r="J744" s="4">
        <v>100.0</v>
      </c>
      <c r="K744" s="5" t="s">
        <v>84</v>
      </c>
      <c r="L744" s="5" t="s">
        <v>6828</v>
      </c>
      <c r="M744" s="5" t="s">
        <v>6829</v>
      </c>
      <c r="N744" s="7" t="s">
        <v>6830</v>
      </c>
      <c r="O744" s="9" t="s">
        <v>6831</v>
      </c>
      <c r="P744" s="19" t="s">
        <v>6832</v>
      </c>
      <c r="Q744" s="5" t="s">
        <v>30</v>
      </c>
    </row>
    <row r="745" ht="21.0" customHeight="1">
      <c r="A745" s="4">
        <v>756.0</v>
      </c>
      <c r="B745" s="5" t="s">
        <v>6833</v>
      </c>
      <c r="C745" s="5" t="s">
        <v>6834</v>
      </c>
      <c r="D745" s="5" t="s">
        <v>6835</v>
      </c>
      <c r="E745" s="5" t="s">
        <v>6836</v>
      </c>
      <c r="F745" s="5" t="s">
        <v>6672</v>
      </c>
      <c r="G745" s="5" t="s">
        <v>6837</v>
      </c>
      <c r="H745" s="5" t="s">
        <v>23</v>
      </c>
      <c r="I745" s="6" t="s">
        <v>6838</v>
      </c>
      <c r="J745" s="4">
        <v>100.0</v>
      </c>
      <c r="K745" s="5" t="s">
        <v>25</v>
      </c>
      <c r="L745" s="5" t="s">
        <v>6839</v>
      </c>
      <c r="M745" s="5" t="s">
        <v>6840</v>
      </c>
      <c r="N745" s="7" t="s">
        <v>6841</v>
      </c>
      <c r="O745" s="9" t="s">
        <v>6842</v>
      </c>
      <c r="P745" s="19" t="s">
        <v>6843</v>
      </c>
      <c r="Q745" s="5" t="s">
        <v>30</v>
      </c>
    </row>
    <row r="746" ht="21.0" customHeight="1">
      <c r="A746" s="4">
        <v>757.0</v>
      </c>
      <c r="B746" s="5" t="s">
        <v>6844</v>
      </c>
      <c r="C746" s="5" t="s">
        <v>18</v>
      </c>
      <c r="D746" s="5" t="s">
        <v>19</v>
      </c>
      <c r="E746" s="5" t="s">
        <v>6845</v>
      </c>
      <c r="F746" s="5" t="s">
        <v>6672</v>
      </c>
      <c r="G746" s="5" t="s">
        <v>6846</v>
      </c>
      <c r="H746" s="5" t="s">
        <v>23</v>
      </c>
      <c r="I746" s="6" t="s">
        <v>6847</v>
      </c>
      <c r="J746" s="4">
        <v>100.0</v>
      </c>
      <c r="K746" s="5" t="s">
        <v>165</v>
      </c>
      <c r="L746" s="5" t="s">
        <v>6848</v>
      </c>
      <c r="M746" s="5" t="s">
        <v>6849</v>
      </c>
      <c r="N746" s="7" t="s">
        <v>6850</v>
      </c>
      <c r="O746" s="9" t="s">
        <v>6851</v>
      </c>
      <c r="P746" s="19" t="s">
        <v>6852</v>
      </c>
      <c r="Q746" s="5" t="s">
        <v>30</v>
      </c>
    </row>
    <row r="747" ht="21.0" customHeight="1">
      <c r="A747" s="4">
        <v>758.0</v>
      </c>
      <c r="B747" s="5" t="s">
        <v>6853</v>
      </c>
      <c r="C747" s="5" t="s">
        <v>18</v>
      </c>
      <c r="D747" s="5" t="s">
        <v>6293</v>
      </c>
      <c r="E747" s="5" t="s">
        <v>6854</v>
      </c>
      <c r="F747" s="5" t="s">
        <v>6672</v>
      </c>
      <c r="G747" s="5" t="s">
        <v>6855</v>
      </c>
      <c r="H747" s="5" t="s">
        <v>23</v>
      </c>
      <c r="I747" s="6" t="s">
        <v>6856</v>
      </c>
      <c r="J747" s="4">
        <v>100.0</v>
      </c>
      <c r="K747" s="5" t="s">
        <v>316</v>
      </c>
      <c r="L747" s="5" t="s">
        <v>6857</v>
      </c>
      <c r="M747" s="5" t="s">
        <v>6858</v>
      </c>
      <c r="N747" s="7" t="s">
        <v>6859</v>
      </c>
      <c r="O747" s="9" t="s">
        <v>6860</v>
      </c>
      <c r="P747" s="29" t="s">
        <v>6861</v>
      </c>
      <c r="Q747" s="5" t="s">
        <v>30</v>
      </c>
    </row>
    <row r="748" ht="21.0" customHeight="1">
      <c r="A748" s="4">
        <v>759.0</v>
      </c>
      <c r="B748" s="5" t="s">
        <v>6862</v>
      </c>
      <c r="C748" s="5" t="s">
        <v>18</v>
      </c>
      <c r="D748" s="5" t="s">
        <v>6863</v>
      </c>
      <c r="E748" s="5" t="s">
        <v>6864</v>
      </c>
      <c r="F748" s="5" t="s">
        <v>6672</v>
      </c>
      <c r="G748" s="5" t="s">
        <v>6865</v>
      </c>
      <c r="H748" s="5" t="s">
        <v>23</v>
      </c>
      <c r="I748" s="6" t="s">
        <v>6866</v>
      </c>
      <c r="J748" s="4">
        <v>100.0</v>
      </c>
      <c r="K748" s="5" t="s">
        <v>84</v>
      </c>
      <c r="L748" s="5" t="s">
        <v>6867</v>
      </c>
      <c r="M748" s="5" t="s">
        <v>6868</v>
      </c>
      <c r="N748" s="7" t="s">
        <v>6869</v>
      </c>
      <c r="O748" s="9" t="s">
        <v>6870</v>
      </c>
      <c r="P748" s="19" t="s">
        <v>6871</v>
      </c>
      <c r="Q748" s="5" t="s">
        <v>30</v>
      </c>
    </row>
    <row r="749" ht="21.0" customHeight="1">
      <c r="A749" s="4">
        <v>760.0</v>
      </c>
      <c r="B749" s="5" t="s">
        <v>6872</v>
      </c>
      <c r="C749" s="5" t="s">
        <v>18</v>
      </c>
      <c r="D749" s="5" t="s">
        <v>6873</v>
      </c>
      <c r="E749" s="5" t="s">
        <v>6874</v>
      </c>
      <c r="F749" s="5" t="s">
        <v>6672</v>
      </c>
      <c r="G749" s="5" t="s">
        <v>6875</v>
      </c>
      <c r="H749" s="5" t="s">
        <v>23</v>
      </c>
      <c r="I749" s="6" t="s">
        <v>6876</v>
      </c>
      <c r="J749" s="4">
        <v>100.0</v>
      </c>
      <c r="K749" s="5" t="s">
        <v>275</v>
      </c>
      <c r="L749" s="5" t="s">
        <v>6877</v>
      </c>
      <c r="M749" s="5" t="s">
        <v>6878</v>
      </c>
      <c r="N749" s="7" t="s">
        <v>6879</v>
      </c>
      <c r="O749" s="9" t="s">
        <v>6880</v>
      </c>
      <c r="P749" s="19" t="s">
        <v>6881</v>
      </c>
      <c r="Q749" s="5" t="s">
        <v>30</v>
      </c>
    </row>
    <row r="750" ht="21.0" customHeight="1">
      <c r="A750" s="4">
        <v>761.0</v>
      </c>
      <c r="B750" s="5" t="s">
        <v>6882</v>
      </c>
      <c r="C750" s="5" t="s">
        <v>18</v>
      </c>
      <c r="D750" s="5" t="s">
        <v>19</v>
      </c>
      <c r="E750" s="5" t="s">
        <v>6883</v>
      </c>
      <c r="F750" s="5" t="s">
        <v>6672</v>
      </c>
      <c r="G750" s="5" t="s">
        <v>34</v>
      </c>
      <c r="H750" s="5" t="s">
        <v>23</v>
      </c>
      <c r="I750" s="6" t="s">
        <v>6884</v>
      </c>
      <c r="J750" s="4">
        <v>100.0</v>
      </c>
      <c r="K750" s="5" t="s">
        <v>141</v>
      </c>
      <c r="L750" s="5" t="s">
        <v>6885</v>
      </c>
      <c r="M750" s="5" t="s">
        <v>6886</v>
      </c>
      <c r="N750" s="7" t="s">
        <v>6887</v>
      </c>
      <c r="O750" s="9" t="s">
        <v>6888</v>
      </c>
      <c r="P750" s="19" t="s">
        <v>6889</v>
      </c>
      <c r="Q750" s="5" t="s">
        <v>30</v>
      </c>
    </row>
    <row r="751" ht="21.0" customHeight="1">
      <c r="A751" s="4">
        <v>762.0</v>
      </c>
      <c r="B751" s="5" t="s">
        <v>6890</v>
      </c>
      <c r="C751" s="5" t="s">
        <v>18</v>
      </c>
      <c r="D751" s="5" t="s">
        <v>6891</v>
      </c>
      <c r="E751" s="5" t="s">
        <v>6892</v>
      </c>
      <c r="F751" s="5" t="s">
        <v>6672</v>
      </c>
      <c r="G751" s="5" t="s">
        <v>6893</v>
      </c>
      <c r="H751" s="5" t="s">
        <v>23</v>
      </c>
      <c r="I751" s="6" t="s">
        <v>6894</v>
      </c>
      <c r="J751" s="4">
        <v>100.0</v>
      </c>
      <c r="K751" s="5" t="s">
        <v>25</v>
      </c>
      <c r="L751" s="5" t="s">
        <v>6895</v>
      </c>
      <c r="M751" s="5" t="s">
        <v>6896</v>
      </c>
      <c r="N751" s="7" t="s">
        <v>6897</v>
      </c>
      <c r="O751" s="9" t="s">
        <v>6898</v>
      </c>
      <c r="P751" s="19" t="s">
        <v>6899</v>
      </c>
      <c r="Q751" s="5" t="s">
        <v>30</v>
      </c>
    </row>
    <row r="752" ht="21.0" customHeight="1">
      <c r="A752" s="4">
        <v>763.0</v>
      </c>
      <c r="B752" s="5" t="s">
        <v>6900</v>
      </c>
      <c r="C752" s="5" t="s">
        <v>18</v>
      </c>
      <c r="D752" s="5" t="s">
        <v>19</v>
      </c>
      <c r="E752" s="5" t="s">
        <v>6901</v>
      </c>
      <c r="F752" s="5" t="s">
        <v>6672</v>
      </c>
      <c r="G752" s="5" t="s">
        <v>34</v>
      </c>
      <c r="H752" s="5" t="s">
        <v>23</v>
      </c>
      <c r="I752" s="6" t="s">
        <v>6902</v>
      </c>
      <c r="J752" s="4">
        <v>100.0</v>
      </c>
      <c r="K752" s="5" t="s">
        <v>110</v>
      </c>
      <c r="L752" s="5" t="s">
        <v>6903</v>
      </c>
      <c r="M752" s="5" t="s">
        <v>6904</v>
      </c>
      <c r="N752" s="20" t="s">
        <v>6905</v>
      </c>
      <c r="O752" s="9" t="s">
        <v>6906</v>
      </c>
      <c r="P752" s="5" t="s">
        <v>30</v>
      </c>
      <c r="Q752" s="5" t="s">
        <v>30</v>
      </c>
    </row>
    <row r="753" ht="21.0" customHeight="1">
      <c r="A753" s="4">
        <v>764.0</v>
      </c>
      <c r="B753" s="5" t="s">
        <v>6907</v>
      </c>
      <c r="C753" s="5" t="s">
        <v>6908</v>
      </c>
      <c r="D753" s="5" t="s">
        <v>19</v>
      </c>
      <c r="E753" s="5" t="s">
        <v>6909</v>
      </c>
      <c r="F753" s="5" t="s">
        <v>6672</v>
      </c>
      <c r="G753" s="5" t="s">
        <v>6910</v>
      </c>
      <c r="H753" s="5" t="s">
        <v>23</v>
      </c>
      <c r="I753" s="6" t="s">
        <v>6911</v>
      </c>
      <c r="J753" s="4">
        <v>100.0</v>
      </c>
      <c r="K753" s="5" t="s">
        <v>25</v>
      </c>
      <c r="L753" s="5" t="s">
        <v>6912</v>
      </c>
      <c r="M753" s="5" t="s">
        <v>6913</v>
      </c>
      <c r="N753" s="7" t="s">
        <v>6914</v>
      </c>
      <c r="O753" s="9" t="s">
        <v>6915</v>
      </c>
      <c r="P753" s="19" t="s">
        <v>6916</v>
      </c>
      <c r="Q753" s="5" t="s">
        <v>30</v>
      </c>
    </row>
    <row r="754" ht="21.0" customHeight="1">
      <c r="A754" s="4">
        <v>765.0</v>
      </c>
      <c r="B754" s="5" t="s">
        <v>6917</v>
      </c>
      <c r="C754" s="5" t="s">
        <v>18</v>
      </c>
      <c r="D754" s="5" t="s">
        <v>6918</v>
      </c>
      <c r="E754" s="5" t="s">
        <v>6919</v>
      </c>
      <c r="F754" s="5" t="s">
        <v>6672</v>
      </c>
      <c r="G754" s="5" t="s">
        <v>6920</v>
      </c>
      <c r="H754" s="5" t="s">
        <v>23</v>
      </c>
      <c r="I754" s="6" t="s">
        <v>6921</v>
      </c>
      <c r="J754" s="4">
        <v>100.0</v>
      </c>
      <c r="K754" s="5" t="s">
        <v>517</v>
      </c>
      <c r="L754" s="5" t="s">
        <v>6922</v>
      </c>
      <c r="M754" s="5" t="s">
        <v>6923</v>
      </c>
      <c r="N754" s="7" t="s">
        <v>6924</v>
      </c>
      <c r="O754" s="9" t="s">
        <v>6925</v>
      </c>
      <c r="P754" s="19" t="s">
        <v>6926</v>
      </c>
      <c r="Q754" s="5" t="s">
        <v>30</v>
      </c>
    </row>
    <row r="755" ht="21.0" customHeight="1">
      <c r="A755" s="4">
        <v>766.0</v>
      </c>
      <c r="B755" s="5" t="s">
        <v>6927</v>
      </c>
      <c r="C755" s="5" t="s">
        <v>18</v>
      </c>
      <c r="D755" s="5" t="s">
        <v>6928</v>
      </c>
      <c r="E755" s="5" t="s">
        <v>6929</v>
      </c>
      <c r="F755" s="5" t="s">
        <v>6672</v>
      </c>
      <c r="G755" s="5" t="s">
        <v>6930</v>
      </c>
      <c r="H755" s="5" t="s">
        <v>23</v>
      </c>
      <c r="I755" s="6" t="s">
        <v>6931</v>
      </c>
      <c r="J755" s="4">
        <v>100.0</v>
      </c>
      <c r="K755" s="5" t="s">
        <v>84</v>
      </c>
      <c r="L755" s="5" t="s">
        <v>6932</v>
      </c>
      <c r="M755" s="5" t="s">
        <v>6933</v>
      </c>
      <c r="N755" s="7" t="s">
        <v>6934</v>
      </c>
      <c r="O755" s="9" t="s">
        <v>6935</v>
      </c>
      <c r="P755" s="19" t="s">
        <v>6936</v>
      </c>
      <c r="Q755" s="5" t="s">
        <v>30</v>
      </c>
    </row>
    <row r="756" ht="21.0" customHeight="1">
      <c r="A756" s="4">
        <v>767.0</v>
      </c>
      <c r="B756" s="5" t="s">
        <v>6937</v>
      </c>
      <c r="C756" s="5" t="s">
        <v>18</v>
      </c>
      <c r="D756" s="5" t="s">
        <v>6938</v>
      </c>
      <c r="E756" s="5" t="s">
        <v>6939</v>
      </c>
      <c r="F756" s="5" t="s">
        <v>6672</v>
      </c>
      <c r="G756" s="5" t="s">
        <v>6940</v>
      </c>
      <c r="H756" s="5" t="s">
        <v>23</v>
      </c>
      <c r="I756" s="6" t="s">
        <v>6941</v>
      </c>
      <c r="J756" s="4">
        <v>100.0</v>
      </c>
      <c r="K756" s="5" t="s">
        <v>25</v>
      </c>
      <c r="L756" s="5" t="s">
        <v>6942</v>
      </c>
      <c r="M756" s="5" t="s">
        <v>6943</v>
      </c>
      <c r="N756" s="7" t="s">
        <v>6944</v>
      </c>
      <c r="O756" s="9" t="s">
        <v>6945</v>
      </c>
      <c r="P756" s="19" t="s">
        <v>6946</v>
      </c>
      <c r="Q756" s="5" t="s">
        <v>30</v>
      </c>
    </row>
    <row r="757" ht="21.0" customHeight="1">
      <c r="A757" s="4">
        <v>769.0</v>
      </c>
      <c r="B757" s="5" t="s">
        <v>6947</v>
      </c>
      <c r="C757" s="5" t="s">
        <v>18</v>
      </c>
      <c r="D757" s="5" t="s">
        <v>6948</v>
      </c>
      <c r="E757" s="5" t="s">
        <v>6949</v>
      </c>
      <c r="F757" s="5" t="s">
        <v>6672</v>
      </c>
      <c r="G757" s="5" t="s">
        <v>6950</v>
      </c>
      <c r="H757" s="5" t="s">
        <v>23</v>
      </c>
      <c r="I757" s="6" t="s">
        <v>6951</v>
      </c>
      <c r="J757" s="4">
        <v>100.0</v>
      </c>
      <c r="K757" s="5" t="s">
        <v>110</v>
      </c>
      <c r="L757" s="5" t="s">
        <v>6952</v>
      </c>
      <c r="M757" s="5" t="s">
        <v>6953</v>
      </c>
      <c r="N757" s="7" t="s">
        <v>6954</v>
      </c>
      <c r="O757" s="9" t="s">
        <v>6955</v>
      </c>
      <c r="P757" s="19" t="s">
        <v>6956</v>
      </c>
      <c r="Q757" s="5" t="s">
        <v>30</v>
      </c>
    </row>
    <row r="758" ht="21.0" customHeight="1">
      <c r="A758" s="4">
        <v>770.0</v>
      </c>
      <c r="B758" s="5" t="s">
        <v>6957</v>
      </c>
      <c r="C758" s="5" t="s">
        <v>6958</v>
      </c>
      <c r="D758" s="5" t="s">
        <v>6959</v>
      </c>
      <c r="E758" s="5" t="s">
        <v>6544</v>
      </c>
      <c r="F758" s="5" t="s">
        <v>6672</v>
      </c>
      <c r="G758" s="5" t="s">
        <v>6960</v>
      </c>
      <c r="H758" s="5" t="s">
        <v>23</v>
      </c>
      <c r="I758" s="6" t="s">
        <v>6961</v>
      </c>
      <c r="J758" s="4">
        <v>100.0</v>
      </c>
      <c r="K758" s="5" t="s">
        <v>93</v>
      </c>
      <c r="L758" s="5" t="s">
        <v>6962</v>
      </c>
      <c r="M758" s="5" t="s">
        <v>6963</v>
      </c>
      <c r="N758" s="7" t="s">
        <v>6964</v>
      </c>
      <c r="O758" s="9" t="s">
        <v>6965</v>
      </c>
      <c r="P758" s="19" t="s">
        <v>6966</v>
      </c>
      <c r="Q758" s="5" t="s">
        <v>30</v>
      </c>
    </row>
    <row r="759" ht="21.0" customHeight="1">
      <c r="A759" s="4">
        <v>771.0</v>
      </c>
      <c r="B759" s="5" t="s">
        <v>6967</v>
      </c>
      <c r="C759" s="5" t="s">
        <v>18</v>
      </c>
      <c r="D759" s="5" t="s">
        <v>6968</v>
      </c>
      <c r="E759" s="5" t="s">
        <v>6969</v>
      </c>
      <c r="F759" s="5" t="s">
        <v>6672</v>
      </c>
      <c r="G759" s="5" t="s">
        <v>6970</v>
      </c>
      <c r="H759" s="5" t="s">
        <v>23</v>
      </c>
      <c r="I759" s="6" t="s">
        <v>6971</v>
      </c>
      <c r="J759" s="4">
        <v>100.0</v>
      </c>
      <c r="K759" s="5" t="s">
        <v>110</v>
      </c>
      <c r="L759" s="5" t="s">
        <v>6972</v>
      </c>
      <c r="M759" s="5" t="s">
        <v>6973</v>
      </c>
      <c r="N759" s="7" t="s">
        <v>6974</v>
      </c>
      <c r="O759" s="9" t="s">
        <v>6975</v>
      </c>
      <c r="P759" s="19" t="s">
        <v>6976</v>
      </c>
      <c r="Q759" s="5" t="s">
        <v>30</v>
      </c>
    </row>
    <row r="760" ht="21.0" customHeight="1">
      <c r="A760" s="4">
        <v>772.0</v>
      </c>
      <c r="B760" s="5" t="s">
        <v>6977</v>
      </c>
      <c r="C760" s="5" t="s">
        <v>18</v>
      </c>
      <c r="D760" s="5" t="s">
        <v>6978</v>
      </c>
      <c r="E760" s="5" t="s">
        <v>6979</v>
      </c>
      <c r="F760" s="5" t="s">
        <v>6672</v>
      </c>
      <c r="G760" s="5" t="s">
        <v>6980</v>
      </c>
      <c r="H760" s="5" t="s">
        <v>23</v>
      </c>
      <c r="I760" s="6" t="s">
        <v>6981</v>
      </c>
      <c r="J760" s="4">
        <v>100.0</v>
      </c>
      <c r="K760" s="5" t="s">
        <v>25</v>
      </c>
      <c r="L760" s="5" t="s">
        <v>6267</v>
      </c>
      <c r="M760" s="5" t="s">
        <v>6982</v>
      </c>
      <c r="N760" s="7" t="s">
        <v>6983</v>
      </c>
      <c r="O760" s="9" t="s">
        <v>6984</v>
      </c>
      <c r="P760" s="19" t="s">
        <v>6985</v>
      </c>
      <c r="Q760" s="5" t="s">
        <v>30</v>
      </c>
    </row>
    <row r="761" ht="21.0" customHeight="1">
      <c r="A761" s="4">
        <v>773.0</v>
      </c>
      <c r="B761" s="5" t="s">
        <v>6986</v>
      </c>
      <c r="C761" s="5" t="s">
        <v>18</v>
      </c>
      <c r="D761" s="5" t="s">
        <v>6293</v>
      </c>
      <c r="E761" s="5" t="s">
        <v>6987</v>
      </c>
      <c r="F761" s="5" t="s">
        <v>6672</v>
      </c>
      <c r="G761" s="5" t="s">
        <v>6988</v>
      </c>
      <c r="H761" s="5" t="s">
        <v>23</v>
      </c>
      <c r="I761" s="6" t="s">
        <v>6989</v>
      </c>
      <c r="J761" s="4">
        <v>100.0</v>
      </c>
      <c r="K761" s="5" t="s">
        <v>84</v>
      </c>
      <c r="L761" s="5" t="s">
        <v>6990</v>
      </c>
      <c r="M761" s="5" t="s">
        <v>6991</v>
      </c>
      <c r="N761" s="7" t="s">
        <v>6992</v>
      </c>
      <c r="O761" s="9" t="s">
        <v>6993</v>
      </c>
      <c r="P761" s="19" t="s">
        <v>6994</v>
      </c>
      <c r="Q761" s="5" t="s">
        <v>30</v>
      </c>
    </row>
    <row r="762" ht="21.0" customHeight="1">
      <c r="A762" s="4">
        <v>774.0</v>
      </c>
      <c r="B762" s="5" t="s">
        <v>6995</v>
      </c>
      <c r="C762" s="5" t="s">
        <v>6996</v>
      </c>
      <c r="D762" s="5" t="s">
        <v>19</v>
      </c>
      <c r="E762" s="5" t="s">
        <v>6997</v>
      </c>
      <c r="F762" s="5" t="s">
        <v>6672</v>
      </c>
      <c r="G762" s="5" t="s">
        <v>6998</v>
      </c>
      <c r="H762" s="5" t="s">
        <v>23</v>
      </c>
      <c r="I762" s="6" t="s">
        <v>6999</v>
      </c>
      <c r="J762" s="4">
        <v>100.0</v>
      </c>
      <c r="K762" s="5" t="s">
        <v>517</v>
      </c>
      <c r="L762" s="5" t="s">
        <v>7000</v>
      </c>
      <c r="M762" s="5" t="s">
        <v>7001</v>
      </c>
      <c r="N762" s="7" t="s">
        <v>7002</v>
      </c>
      <c r="O762" s="9" t="s">
        <v>7003</v>
      </c>
      <c r="P762" s="19" t="s">
        <v>7004</v>
      </c>
      <c r="Q762" s="5" t="s">
        <v>30</v>
      </c>
    </row>
    <row r="763" ht="21.0" customHeight="1">
      <c r="A763" s="4">
        <v>775.0</v>
      </c>
      <c r="B763" s="5" t="s">
        <v>7005</v>
      </c>
      <c r="C763" s="5" t="s">
        <v>18</v>
      </c>
      <c r="D763" s="5" t="s">
        <v>7006</v>
      </c>
      <c r="E763" s="5" t="s">
        <v>7007</v>
      </c>
      <c r="F763" s="5" t="s">
        <v>6672</v>
      </c>
      <c r="G763" s="5" t="s">
        <v>7008</v>
      </c>
      <c r="H763" s="5" t="s">
        <v>23</v>
      </c>
      <c r="I763" s="6" t="s">
        <v>7009</v>
      </c>
      <c r="J763" s="4">
        <v>100.0</v>
      </c>
      <c r="K763" s="5" t="s">
        <v>84</v>
      </c>
      <c r="L763" s="5" t="s">
        <v>5033</v>
      </c>
      <c r="M763" s="5" t="s">
        <v>7010</v>
      </c>
      <c r="N763" s="7" t="s">
        <v>7011</v>
      </c>
      <c r="O763" s="9" t="s">
        <v>7012</v>
      </c>
      <c r="P763" s="19" t="s">
        <v>7013</v>
      </c>
      <c r="Q763" s="5" t="s">
        <v>30</v>
      </c>
    </row>
    <row r="764" ht="21.0" customHeight="1">
      <c r="A764" s="4">
        <v>776.0</v>
      </c>
      <c r="B764" s="5" t="s">
        <v>7014</v>
      </c>
      <c r="C764" s="5" t="s">
        <v>18</v>
      </c>
      <c r="D764" s="5" t="s">
        <v>7015</v>
      </c>
      <c r="E764" s="5" t="s">
        <v>7016</v>
      </c>
      <c r="F764" s="5" t="s">
        <v>6672</v>
      </c>
      <c r="G764" s="5" t="s">
        <v>34</v>
      </c>
      <c r="H764" s="5" t="s">
        <v>23</v>
      </c>
      <c r="I764" s="6" t="s">
        <v>7017</v>
      </c>
      <c r="J764" s="4">
        <v>100.0</v>
      </c>
      <c r="K764" s="5" t="s">
        <v>25</v>
      </c>
      <c r="L764" s="5" t="s">
        <v>7018</v>
      </c>
      <c r="M764" s="5" t="s">
        <v>7019</v>
      </c>
      <c r="N764" s="7" t="s">
        <v>7020</v>
      </c>
      <c r="O764" s="9" t="s">
        <v>7021</v>
      </c>
      <c r="P764" s="19" t="s">
        <v>7022</v>
      </c>
      <c r="Q764" s="5" t="s">
        <v>30</v>
      </c>
    </row>
    <row r="765" ht="21.0" customHeight="1">
      <c r="A765" s="4">
        <v>777.0</v>
      </c>
      <c r="B765" s="5" t="s">
        <v>7023</v>
      </c>
      <c r="C765" s="5" t="s">
        <v>18</v>
      </c>
      <c r="D765" s="5" t="s">
        <v>19</v>
      </c>
      <c r="E765" s="5" t="s">
        <v>7024</v>
      </c>
      <c r="F765" s="5" t="s">
        <v>6672</v>
      </c>
      <c r="G765" s="5" t="s">
        <v>7025</v>
      </c>
      <c r="H765" s="5" t="s">
        <v>23</v>
      </c>
      <c r="I765" s="6" t="s">
        <v>7026</v>
      </c>
      <c r="J765" s="4">
        <v>100.0</v>
      </c>
      <c r="K765" s="5" t="s">
        <v>141</v>
      </c>
      <c r="L765" s="5" t="s">
        <v>7027</v>
      </c>
      <c r="M765" s="5" t="s">
        <v>7028</v>
      </c>
      <c r="N765" s="7" t="s">
        <v>7029</v>
      </c>
      <c r="O765" s="9" t="s">
        <v>7030</v>
      </c>
      <c r="P765" s="19" t="s">
        <v>7031</v>
      </c>
      <c r="Q765" s="5" t="s">
        <v>30</v>
      </c>
    </row>
    <row r="766" ht="21.0" customHeight="1">
      <c r="A766" s="4">
        <v>778.0</v>
      </c>
      <c r="B766" s="5" t="s">
        <v>7032</v>
      </c>
      <c r="C766" s="5" t="s">
        <v>7033</v>
      </c>
      <c r="D766" s="5" t="s">
        <v>7034</v>
      </c>
      <c r="E766" s="5" t="s">
        <v>7035</v>
      </c>
      <c r="F766" s="5" t="s">
        <v>6672</v>
      </c>
      <c r="G766" s="5" t="s">
        <v>34</v>
      </c>
      <c r="H766" s="5" t="s">
        <v>23</v>
      </c>
      <c r="I766" s="6" t="s">
        <v>7036</v>
      </c>
      <c r="J766" s="4">
        <v>100.0</v>
      </c>
      <c r="K766" s="5" t="s">
        <v>284</v>
      </c>
      <c r="L766" s="5" t="s">
        <v>7037</v>
      </c>
      <c r="M766" s="5" t="s">
        <v>7038</v>
      </c>
      <c r="N766" s="7" t="s">
        <v>7039</v>
      </c>
      <c r="O766" s="9" t="s">
        <v>7040</v>
      </c>
      <c r="P766" s="19" t="s">
        <v>7041</v>
      </c>
      <c r="Q766" s="5" t="s">
        <v>30</v>
      </c>
    </row>
    <row r="767" ht="21.0" customHeight="1">
      <c r="A767" s="4">
        <v>779.0</v>
      </c>
      <c r="B767" s="5" t="s">
        <v>7042</v>
      </c>
      <c r="C767" s="5" t="s">
        <v>7043</v>
      </c>
      <c r="D767" s="5" t="s">
        <v>7044</v>
      </c>
      <c r="E767" s="5" t="s">
        <v>7045</v>
      </c>
      <c r="F767" s="5" t="s">
        <v>6672</v>
      </c>
      <c r="G767" s="5" t="s">
        <v>7046</v>
      </c>
      <c r="H767" s="5" t="s">
        <v>3537</v>
      </c>
      <c r="I767" s="6" t="s">
        <v>7047</v>
      </c>
      <c r="J767" s="4">
        <v>100.0</v>
      </c>
      <c r="K767" s="5" t="s">
        <v>25</v>
      </c>
      <c r="L767" s="5" t="s">
        <v>7048</v>
      </c>
      <c r="M767" s="5" t="s">
        <v>7049</v>
      </c>
      <c r="N767" s="7" t="s">
        <v>7050</v>
      </c>
      <c r="O767" s="9" t="s">
        <v>7051</v>
      </c>
      <c r="P767" s="19" t="s">
        <v>7052</v>
      </c>
      <c r="Q767" s="5" t="s">
        <v>30</v>
      </c>
    </row>
    <row r="768" ht="21.0" customHeight="1">
      <c r="A768" s="4">
        <v>780.0</v>
      </c>
      <c r="B768" s="5" t="s">
        <v>7053</v>
      </c>
      <c r="C768" s="5" t="s">
        <v>7054</v>
      </c>
      <c r="D768" s="5" t="s">
        <v>170</v>
      </c>
      <c r="E768" s="5" t="s">
        <v>7055</v>
      </c>
      <c r="F768" s="5" t="s">
        <v>6672</v>
      </c>
      <c r="G768" s="5" t="s">
        <v>7056</v>
      </c>
      <c r="H768" s="5" t="s">
        <v>23</v>
      </c>
      <c r="I768" s="6" t="s">
        <v>7057</v>
      </c>
      <c r="J768" s="4">
        <v>100.0</v>
      </c>
      <c r="K768" s="5" t="s">
        <v>25</v>
      </c>
      <c r="L768" s="5" t="s">
        <v>7058</v>
      </c>
      <c r="M768" s="5" t="s">
        <v>7059</v>
      </c>
      <c r="N768" s="7" t="s">
        <v>7060</v>
      </c>
      <c r="O768" s="9" t="s">
        <v>7061</v>
      </c>
      <c r="P768" s="19" t="s">
        <v>7062</v>
      </c>
      <c r="Q768" s="5" t="s">
        <v>30</v>
      </c>
    </row>
    <row r="769" ht="21.0" customHeight="1">
      <c r="A769" s="4">
        <v>781.0</v>
      </c>
      <c r="B769" s="5" t="s">
        <v>7063</v>
      </c>
      <c r="C769" s="5" t="s">
        <v>7064</v>
      </c>
      <c r="D769" s="5" t="s">
        <v>7065</v>
      </c>
      <c r="E769" s="5" t="s">
        <v>7066</v>
      </c>
      <c r="F769" s="5" t="s">
        <v>6672</v>
      </c>
      <c r="G769" s="5" t="s">
        <v>7067</v>
      </c>
      <c r="H769" s="5" t="s">
        <v>23</v>
      </c>
      <c r="I769" s="6" t="s">
        <v>7068</v>
      </c>
      <c r="J769" s="4">
        <v>100.0</v>
      </c>
      <c r="K769" s="5" t="s">
        <v>25</v>
      </c>
      <c r="L769" s="5" t="s">
        <v>7069</v>
      </c>
      <c r="M769" s="5" t="s">
        <v>7070</v>
      </c>
      <c r="N769" s="7" t="s">
        <v>7071</v>
      </c>
      <c r="O769" s="9" t="s">
        <v>7072</v>
      </c>
      <c r="P769" s="19" t="s">
        <v>7073</v>
      </c>
      <c r="Q769" s="5" t="s">
        <v>30</v>
      </c>
    </row>
    <row r="770" ht="21.0" customHeight="1">
      <c r="A770" s="4">
        <v>782.0</v>
      </c>
      <c r="B770" s="5" t="s">
        <v>7074</v>
      </c>
      <c r="C770" s="5" t="s">
        <v>18</v>
      </c>
      <c r="D770" s="5" t="s">
        <v>7075</v>
      </c>
      <c r="E770" s="5" t="s">
        <v>7076</v>
      </c>
      <c r="F770" s="5" t="s">
        <v>6672</v>
      </c>
      <c r="G770" s="5" t="s">
        <v>7077</v>
      </c>
      <c r="H770" s="5" t="s">
        <v>23</v>
      </c>
      <c r="I770" s="6" t="s">
        <v>7078</v>
      </c>
      <c r="J770" s="4">
        <v>100.0</v>
      </c>
      <c r="K770" s="5" t="s">
        <v>68</v>
      </c>
      <c r="L770" s="5" t="s">
        <v>7079</v>
      </c>
      <c r="M770" s="5" t="s">
        <v>7080</v>
      </c>
      <c r="N770" s="7" t="s">
        <v>7081</v>
      </c>
      <c r="O770" s="9" t="s">
        <v>7082</v>
      </c>
      <c r="P770" s="19" t="s">
        <v>7083</v>
      </c>
      <c r="Q770" s="5" t="s">
        <v>30</v>
      </c>
    </row>
    <row r="771" ht="21.0" customHeight="1">
      <c r="A771" s="4">
        <v>783.0</v>
      </c>
      <c r="B771" s="5" t="s">
        <v>7084</v>
      </c>
      <c r="C771" s="5" t="s">
        <v>18</v>
      </c>
      <c r="D771" s="5" t="s">
        <v>7085</v>
      </c>
      <c r="E771" s="5" t="s">
        <v>7086</v>
      </c>
      <c r="F771" s="5" t="s">
        <v>6672</v>
      </c>
      <c r="G771" s="5" t="s">
        <v>7087</v>
      </c>
      <c r="H771" s="5" t="s">
        <v>23</v>
      </c>
      <c r="I771" s="6" t="s">
        <v>7088</v>
      </c>
      <c r="J771" s="4">
        <v>100.0</v>
      </c>
      <c r="K771" s="5" t="s">
        <v>110</v>
      </c>
      <c r="L771" s="5" t="s">
        <v>7089</v>
      </c>
      <c r="M771" s="5" t="s">
        <v>7090</v>
      </c>
      <c r="N771" s="7" t="s">
        <v>7091</v>
      </c>
      <c r="O771" s="9" t="s">
        <v>7092</v>
      </c>
      <c r="P771" s="5" t="s">
        <v>30</v>
      </c>
      <c r="Q771" s="5" t="s">
        <v>30</v>
      </c>
    </row>
    <row r="772" ht="21.0" customHeight="1">
      <c r="A772" s="4">
        <v>784.0</v>
      </c>
      <c r="B772" s="5" t="s">
        <v>7093</v>
      </c>
      <c r="C772" s="5" t="s">
        <v>7094</v>
      </c>
      <c r="D772" s="5" t="s">
        <v>1406</v>
      </c>
      <c r="E772" s="5" t="s">
        <v>7095</v>
      </c>
      <c r="F772" s="5" t="s">
        <v>6672</v>
      </c>
      <c r="G772" s="5" t="s">
        <v>7096</v>
      </c>
      <c r="H772" s="5" t="s">
        <v>23</v>
      </c>
      <c r="I772" s="6" t="s">
        <v>7097</v>
      </c>
      <c r="J772" s="4">
        <v>100.0</v>
      </c>
      <c r="K772" s="5" t="s">
        <v>25</v>
      </c>
      <c r="L772" s="5" t="s">
        <v>7098</v>
      </c>
      <c r="M772" s="5" t="s">
        <v>7099</v>
      </c>
      <c r="N772" s="7" t="s">
        <v>7100</v>
      </c>
      <c r="O772" s="9" t="s">
        <v>7101</v>
      </c>
      <c r="P772" s="19" t="s">
        <v>7102</v>
      </c>
      <c r="Q772" s="5" t="s">
        <v>30</v>
      </c>
    </row>
    <row r="773" ht="21.0" customHeight="1">
      <c r="A773" s="4">
        <v>785.0</v>
      </c>
      <c r="B773" s="5" t="s">
        <v>7103</v>
      </c>
      <c r="C773" s="5" t="s">
        <v>18</v>
      </c>
      <c r="D773" s="5" t="s">
        <v>19</v>
      </c>
      <c r="E773" s="5" t="s">
        <v>7104</v>
      </c>
      <c r="F773" s="5" t="s">
        <v>6672</v>
      </c>
      <c r="G773" s="5" t="s">
        <v>7105</v>
      </c>
      <c r="H773" s="5" t="s">
        <v>23</v>
      </c>
      <c r="I773" s="6" t="s">
        <v>7106</v>
      </c>
      <c r="J773" s="4">
        <v>100.0</v>
      </c>
      <c r="K773" s="5" t="s">
        <v>517</v>
      </c>
      <c r="L773" s="5" t="s">
        <v>7107</v>
      </c>
      <c r="M773" s="5" t="s">
        <v>7108</v>
      </c>
      <c r="N773" s="7" t="s">
        <v>7109</v>
      </c>
      <c r="O773" s="9" t="s">
        <v>7110</v>
      </c>
      <c r="P773" s="19" t="s">
        <v>7111</v>
      </c>
      <c r="Q773" s="5" t="s">
        <v>30</v>
      </c>
    </row>
    <row r="774" ht="21.0" customHeight="1">
      <c r="A774" s="4">
        <v>786.0</v>
      </c>
      <c r="B774" s="5" t="s">
        <v>7112</v>
      </c>
      <c r="C774" s="5" t="s">
        <v>7113</v>
      </c>
      <c r="D774" s="5" t="s">
        <v>7114</v>
      </c>
      <c r="E774" s="5" t="s">
        <v>7115</v>
      </c>
      <c r="F774" s="5" t="s">
        <v>6672</v>
      </c>
      <c r="G774" s="5" t="s">
        <v>7116</v>
      </c>
      <c r="H774" s="5" t="s">
        <v>23</v>
      </c>
      <c r="I774" s="6" t="s">
        <v>7117</v>
      </c>
      <c r="J774" s="4">
        <v>100.0</v>
      </c>
      <c r="K774" s="5" t="s">
        <v>25</v>
      </c>
      <c r="L774" s="5" t="s">
        <v>7118</v>
      </c>
      <c r="M774" s="5" t="s">
        <v>7119</v>
      </c>
      <c r="N774" s="7" t="s">
        <v>7120</v>
      </c>
      <c r="O774" s="9" t="s">
        <v>7121</v>
      </c>
      <c r="P774" s="19" t="s">
        <v>7122</v>
      </c>
      <c r="Q774" s="5" t="s">
        <v>30</v>
      </c>
    </row>
    <row r="775" ht="21.0" customHeight="1">
      <c r="A775" s="4">
        <v>787.0</v>
      </c>
      <c r="B775" s="5" t="s">
        <v>7123</v>
      </c>
      <c r="C775" s="5" t="s">
        <v>7124</v>
      </c>
      <c r="D775" s="5" t="s">
        <v>7125</v>
      </c>
      <c r="E775" s="5" t="s">
        <v>7126</v>
      </c>
      <c r="F775" s="5" t="s">
        <v>6672</v>
      </c>
      <c r="G775" s="5" t="s">
        <v>7127</v>
      </c>
      <c r="H775" s="5" t="s">
        <v>23</v>
      </c>
      <c r="I775" s="6" t="s">
        <v>7128</v>
      </c>
      <c r="J775" s="4">
        <v>100.0</v>
      </c>
      <c r="K775" s="5" t="s">
        <v>25</v>
      </c>
      <c r="L775" s="5" t="s">
        <v>7129</v>
      </c>
      <c r="M775" s="5" t="s">
        <v>7130</v>
      </c>
      <c r="N775" s="7" t="s">
        <v>7131</v>
      </c>
      <c r="O775" s="9" t="s">
        <v>7132</v>
      </c>
      <c r="P775" s="5" t="s">
        <v>30</v>
      </c>
      <c r="Q775" s="5" t="s">
        <v>30</v>
      </c>
    </row>
    <row r="776" ht="21.0" customHeight="1">
      <c r="A776" s="4">
        <v>788.0</v>
      </c>
      <c r="B776" s="5" t="s">
        <v>7133</v>
      </c>
      <c r="C776" s="5" t="s">
        <v>7134</v>
      </c>
      <c r="D776" s="5" t="s">
        <v>3398</v>
      </c>
      <c r="E776" s="5" t="s">
        <v>7135</v>
      </c>
      <c r="F776" s="5" t="s">
        <v>6672</v>
      </c>
      <c r="G776" s="5" t="s">
        <v>7136</v>
      </c>
      <c r="H776" s="5" t="s">
        <v>3537</v>
      </c>
      <c r="I776" s="6" t="s">
        <v>7137</v>
      </c>
      <c r="J776" s="4">
        <v>100.0</v>
      </c>
      <c r="K776" s="5" t="s">
        <v>25</v>
      </c>
      <c r="L776" s="5" t="s">
        <v>7138</v>
      </c>
      <c r="M776" s="5" t="s">
        <v>7139</v>
      </c>
      <c r="N776" s="7" t="s">
        <v>7140</v>
      </c>
      <c r="O776" s="9" t="s">
        <v>7141</v>
      </c>
      <c r="P776" s="5" t="s">
        <v>30</v>
      </c>
      <c r="Q776" s="5" t="s">
        <v>30</v>
      </c>
    </row>
    <row r="777" ht="21.0" customHeight="1">
      <c r="A777" s="4">
        <v>789.0</v>
      </c>
      <c r="B777" s="5" t="s">
        <v>7142</v>
      </c>
      <c r="C777" s="5" t="s">
        <v>18</v>
      </c>
      <c r="D777" s="5" t="s">
        <v>7143</v>
      </c>
      <c r="E777" s="5" t="s">
        <v>7144</v>
      </c>
      <c r="F777" s="5" t="s">
        <v>6672</v>
      </c>
      <c r="G777" s="5" t="s">
        <v>34</v>
      </c>
      <c r="H777" s="5" t="s">
        <v>5840</v>
      </c>
      <c r="I777" s="6" t="s">
        <v>7145</v>
      </c>
      <c r="J777" s="4">
        <v>100.0</v>
      </c>
      <c r="K777" s="5" t="s">
        <v>25</v>
      </c>
      <c r="L777" s="5" t="s">
        <v>7146</v>
      </c>
      <c r="M777" s="5" t="s">
        <v>7147</v>
      </c>
      <c r="N777" s="7" t="s">
        <v>7148</v>
      </c>
      <c r="O777" s="9" t="s">
        <v>7149</v>
      </c>
      <c r="P777" s="19" t="s">
        <v>7150</v>
      </c>
      <c r="Q777" s="5" t="s">
        <v>30</v>
      </c>
    </row>
    <row r="778" ht="21.0" customHeight="1">
      <c r="A778" s="4">
        <v>790.0</v>
      </c>
      <c r="B778" s="5" t="s">
        <v>7151</v>
      </c>
      <c r="C778" s="5" t="s">
        <v>18</v>
      </c>
      <c r="D778" s="5" t="s">
        <v>19</v>
      </c>
      <c r="E778" s="5" t="s">
        <v>7152</v>
      </c>
      <c r="F778" s="5" t="s">
        <v>6672</v>
      </c>
      <c r="G778" s="5" t="s">
        <v>7153</v>
      </c>
      <c r="H778" s="5" t="s">
        <v>23</v>
      </c>
      <c r="I778" s="6" t="s">
        <v>7154</v>
      </c>
      <c r="J778" s="4">
        <v>100.0</v>
      </c>
      <c r="K778" s="5" t="s">
        <v>165</v>
      </c>
      <c r="L778" s="5" t="s">
        <v>7155</v>
      </c>
      <c r="M778" s="5" t="s">
        <v>7156</v>
      </c>
      <c r="N778" s="7" t="s">
        <v>7157</v>
      </c>
      <c r="O778" s="9" t="s">
        <v>7158</v>
      </c>
      <c r="P778" s="19" t="s">
        <v>7159</v>
      </c>
      <c r="Q778" s="5" t="s">
        <v>30</v>
      </c>
    </row>
    <row r="779" ht="21.0" customHeight="1">
      <c r="A779" s="13">
        <v>791.0</v>
      </c>
      <c r="B779" s="14" t="s">
        <v>7160</v>
      </c>
      <c r="C779" s="14" t="s">
        <v>18</v>
      </c>
      <c r="D779" s="14" t="s">
        <v>7161</v>
      </c>
      <c r="E779" s="14" t="s">
        <v>7162</v>
      </c>
      <c r="F779" s="14" t="s">
        <v>7163</v>
      </c>
      <c r="G779" s="14" t="s">
        <v>7164</v>
      </c>
      <c r="H779" s="14" t="s">
        <v>23</v>
      </c>
      <c r="I779" s="15" t="s">
        <v>7165</v>
      </c>
      <c r="J779" s="13">
        <v>100.0</v>
      </c>
      <c r="K779" s="14" t="s">
        <v>110</v>
      </c>
      <c r="L779" s="14" t="s">
        <v>7166</v>
      </c>
      <c r="M779" s="14" t="s">
        <v>7167</v>
      </c>
      <c r="N779" s="43" t="s">
        <v>7168</v>
      </c>
      <c r="O779" s="17" t="s">
        <v>7169</v>
      </c>
      <c r="P779" s="14" t="s">
        <v>30</v>
      </c>
      <c r="Q779" s="14" t="s">
        <v>30</v>
      </c>
      <c r="R779" s="44"/>
      <c r="S779" s="18"/>
      <c r="T779" s="18"/>
      <c r="U779" s="18"/>
      <c r="V779" s="18"/>
      <c r="W779" s="18"/>
      <c r="X779" s="18"/>
      <c r="Y779" s="18"/>
      <c r="Z779" s="18"/>
    </row>
    <row r="780" ht="21.0" customHeight="1">
      <c r="A780" s="4">
        <v>792.0</v>
      </c>
      <c r="B780" s="5" t="s">
        <v>7170</v>
      </c>
      <c r="C780" s="5" t="s">
        <v>18</v>
      </c>
      <c r="D780" s="5" t="s">
        <v>170</v>
      </c>
      <c r="E780" s="5" t="s">
        <v>7171</v>
      </c>
      <c r="F780" s="5" t="s">
        <v>7163</v>
      </c>
      <c r="G780" s="5" t="s">
        <v>7172</v>
      </c>
      <c r="H780" s="5" t="s">
        <v>23</v>
      </c>
      <c r="I780" s="6" t="s">
        <v>7173</v>
      </c>
      <c r="J780" s="4">
        <v>100.0</v>
      </c>
      <c r="K780" s="5" t="s">
        <v>157</v>
      </c>
      <c r="L780" s="5" t="s">
        <v>7174</v>
      </c>
      <c r="M780" s="5" t="s">
        <v>7175</v>
      </c>
      <c r="N780" s="7" t="s">
        <v>7176</v>
      </c>
      <c r="O780" s="9" t="s">
        <v>7177</v>
      </c>
      <c r="P780" s="19" t="s">
        <v>7178</v>
      </c>
      <c r="Q780" s="5" t="s">
        <v>30</v>
      </c>
    </row>
    <row r="781" ht="21.0" customHeight="1">
      <c r="A781" s="4">
        <v>793.0</v>
      </c>
      <c r="B781" s="5" t="s">
        <v>7179</v>
      </c>
      <c r="C781" s="5" t="s">
        <v>18</v>
      </c>
      <c r="D781" s="5" t="s">
        <v>19</v>
      </c>
      <c r="E781" s="5" t="s">
        <v>7180</v>
      </c>
      <c r="F781" s="5" t="s">
        <v>7163</v>
      </c>
      <c r="G781" s="5" t="s">
        <v>7181</v>
      </c>
      <c r="H781" s="5" t="s">
        <v>23</v>
      </c>
      <c r="I781" s="6" t="s">
        <v>7182</v>
      </c>
      <c r="J781" s="4">
        <v>100.0</v>
      </c>
      <c r="K781" s="5" t="s">
        <v>25</v>
      </c>
      <c r="L781" s="5" t="s">
        <v>7183</v>
      </c>
      <c r="M781" s="5" t="s">
        <v>7184</v>
      </c>
      <c r="N781" s="7" t="s">
        <v>7185</v>
      </c>
      <c r="O781" s="9" t="s">
        <v>7186</v>
      </c>
      <c r="P781" s="19" t="s">
        <v>7187</v>
      </c>
      <c r="Q781" s="5" t="s">
        <v>30</v>
      </c>
    </row>
    <row r="782" ht="21.0" customHeight="1">
      <c r="A782" s="4">
        <v>794.0</v>
      </c>
      <c r="B782" s="5" t="s">
        <v>7188</v>
      </c>
      <c r="C782" s="5" t="s">
        <v>7189</v>
      </c>
      <c r="D782" s="5" t="s">
        <v>5520</v>
      </c>
      <c r="E782" s="5" t="s">
        <v>7190</v>
      </c>
      <c r="F782" s="5" t="s">
        <v>7163</v>
      </c>
      <c r="G782" s="5" t="s">
        <v>7191</v>
      </c>
      <c r="H782" s="5" t="s">
        <v>3537</v>
      </c>
      <c r="I782" s="6" t="s">
        <v>7192</v>
      </c>
      <c r="J782" s="4">
        <v>100.0</v>
      </c>
      <c r="K782" s="5" t="s">
        <v>25</v>
      </c>
      <c r="L782" s="5" t="s">
        <v>7193</v>
      </c>
      <c r="M782" s="5" t="s">
        <v>7194</v>
      </c>
      <c r="N782" s="7" t="s">
        <v>7195</v>
      </c>
      <c r="O782" s="9" t="s">
        <v>7196</v>
      </c>
      <c r="P782" s="19" t="s">
        <v>7197</v>
      </c>
      <c r="Q782" s="5" t="s">
        <v>30</v>
      </c>
    </row>
    <row r="783" ht="21.0" customHeight="1">
      <c r="A783" s="4">
        <v>795.0</v>
      </c>
      <c r="B783" s="5" t="s">
        <v>7198</v>
      </c>
      <c r="C783" s="5" t="s">
        <v>18</v>
      </c>
      <c r="D783" s="5" t="s">
        <v>7199</v>
      </c>
      <c r="E783" s="5" t="s">
        <v>7200</v>
      </c>
      <c r="F783" s="5" t="s">
        <v>7163</v>
      </c>
      <c r="G783" s="5" t="s">
        <v>7201</v>
      </c>
      <c r="H783" s="5" t="s">
        <v>23</v>
      </c>
      <c r="I783" s="6" t="s">
        <v>7202</v>
      </c>
      <c r="J783" s="4">
        <v>100.0</v>
      </c>
      <c r="K783" s="5" t="s">
        <v>165</v>
      </c>
      <c r="L783" s="5" t="s">
        <v>7203</v>
      </c>
      <c r="M783" s="5" t="s">
        <v>7204</v>
      </c>
      <c r="N783" s="7" t="s">
        <v>7205</v>
      </c>
      <c r="O783" s="9" t="s">
        <v>7206</v>
      </c>
      <c r="P783" s="19" t="s">
        <v>7207</v>
      </c>
      <c r="Q783" s="5" t="s">
        <v>30</v>
      </c>
    </row>
    <row r="784" ht="21.0" customHeight="1">
      <c r="A784" s="4">
        <v>796.0</v>
      </c>
      <c r="B784" s="5" t="s">
        <v>7208</v>
      </c>
      <c r="C784" s="5" t="s">
        <v>18</v>
      </c>
      <c r="D784" s="5" t="s">
        <v>7209</v>
      </c>
      <c r="E784" s="5" t="s">
        <v>7210</v>
      </c>
      <c r="F784" s="5" t="s">
        <v>7163</v>
      </c>
      <c r="G784" s="5" t="s">
        <v>7211</v>
      </c>
      <c r="H784" s="5" t="s">
        <v>23</v>
      </c>
      <c r="I784" s="6" t="s">
        <v>7212</v>
      </c>
      <c r="J784" s="4">
        <v>100.0</v>
      </c>
      <c r="K784" s="5" t="s">
        <v>68</v>
      </c>
      <c r="L784" s="5" t="s">
        <v>7213</v>
      </c>
      <c r="M784" s="5" t="s">
        <v>7214</v>
      </c>
      <c r="N784" s="7" t="s">
        <v>7215</v>
      </c>
      <c r="O784" s="9" t="s">
        <v>7216</v>
      </c>
      <c r="P784" s="19" t="s">
        <v>7217</v>
      </c>
      <c r="Q784" s="5" t="s">
        <v>30</v>
      </c>
    </row>
    <row r="785" ht="21.0" customHeight="1">
      <c r="A785" s="4">
        <v>797.0</v>
      </c>
      <c r="B785" s="5" t="s">
        <v>7218</v>
      </c>
      <c r="C785" s="5" t="s">
        <v>18</v>
      </c>
      <c r="D785" s="5" t="s">
        <v>6293</v>
      </c>
      <c r="E785" s="5" t="s">
        <v>7219</v>
      </c>
      <c r="F785" s="5" t="s">
        <v>7163</v>
      </c>
      <c r="G785" s="5" t="s">
        <v>34</v>
      </c>
      <c r="H785" s="5" t="s">
        <v>23</v>
      </c>
      <c r="I785" s="6" t="s">
        <v>7220</v>
      </c>
      <c r="J785" s="4">
        <v>100.0</v>
      </c>
      <c r="K785" s="5" t="s">
        <v>216</v>
      </c>
      <c r="L785" s="5" t="s">
        <v>7221</v>
      </c>
      <c r="M785" s="5" t="s">
        <v>300</v>
      </c>
      <c r="N785" s="7" t="s">
        <v>7222</v>
      </c>
      <c r="O785" s="9" t="s">
        <v>7223</v>
      </c>
      <c r="P785" s="19" t="s">
        <v>7224</v>
      </c>
      <c r="Q785" s="5" t="s">
        <v>30</v>
      </c>
    </row>
    <row r="786" ht="21.0" customHeight="1">
      <c r="A786" s="4">
        <v>798.0</v>
      </c>
      <c r="B786" s="5" t="s">
        <v>7225</v>
      </c>
      <c r="C786" s="5" t="s">
        <v>18</v>
      </c>
      <c r="D786" s="5" t="s">
        <v>7226</v>
      </c>
      <c r="E786" s="5" t="s">
        <v>7227</v>
      </c>
      <c r="F786" s="5" t="s">
        <v>7163</v>
      </c>
      <c r="G786" s="5" t="s">
        <v>7228</v>
      </c>
      <c r="H786" s="5" t="s">
        <v>23</v>
      </c>
      <c r="I786" s="6" t="s">
        <v>7229</v>
      </c>
      <c r="J786" s="4">
        <v>100.0</v>
      </c>
      <c r="K786" s="5" t="s">
        <v>110</v>
      </c>
      <c r="L786" s="5" t="s">
        <v>7230</v>
      </c>
      <c r="M786" s="5" t="s">
        <v>7231</v>
      </c>
      <c r="N786" s="7" t="s">
        <v>7232</v>
      </c>
      <c r="O786" s="9" t="s">
        <v>7233</v>
      </c>
      <c r="P786" s="19" t="s">
        <v>7234</v>
      </c>
      <c r="Q786" s="5" t="s">
        <v>30</v>
      </c>
    </row>
    <row r="787" ht="21.0" customHeight="1">
      <c r="A787" s="4">
        <v>799.0</v>
      </c>
      <c r="B787" s="5" t="s">
        <v>7235</v>
      </c>
      <c r="C787" s="5" t="s">
        <v>18</v>
      </c>
      <c r="D787" s="5" t="s">
        <v>7236</v>
      </c>
      <c r="E787" s="5" t="s">
        <v>7237</v>
      </c>
      <c r="F787" s="5" t="s">
        <v>7163</v>
      </c>
      <c r="G787" s="5" t="s">
        <v>7238</v>
      </c>
      <c r="H787" s="5" t="s">
        <v>23</v>
      </c>
      <c r="I787" s="6" t="s">
        <v>7239</v>
      </c>
      <c r="J787" s="4">
        <v>100.0</v>
      </c>
      <c r="K787" s="5" t="s">
        <v>25</v>
      </c>
      <c r="L787" s="5" t="s">
        <v>7240</v>
      </c>
      <c r="M787" s="5" t="s">
        <v>7241</v>
      </c>
      <c r="N787" s="7" t="s">
        <v>7242</v>
      </c>
      <c r="O787" s="9" t="s">
        <v>7243</v>
      </c>
      <c r="P787" s="19" t="s">
        <v>7244</v>
      </c>
      <c r="Q787" s="5" t="s">
        <v>30</v>
      </c>
    </row>
    <row r="788" ht="21.0" customHeight="1">
      <c r="A788" s="4">
        <v>801.0</v>
      </c>
      <c r="B788" s="5" t="s">
        <v>7245</v>
      </c>
      <c r="C788" s="5" t="s">
        <v>18</v>
      </c>
      <c r="D788" s="5" t="s">
        <v>7246</v>
      </c>
      <c r="E788" s="5" t="s">
        <v>7247</v>
      </c>
      <c r="F788" s="5" t="s">
        <v>7163</v>
      </c>
      <c r="G788" s="5" t="s">
        <v>7248</v>
      </c>
      <c r="H788" s="5" t="s">
        <v>23</v>
      </c>
      <c r="I788" s="6" t="s">
        <v>7249</v>
      </c>
      <c r="J788" s="4">
        <v>100.0</v>
      </c>
      <c r="K788" s="5" t="s">
        <v>110</v>
      </c>
      <c r="L788" s="5" t="s">
        <v>7250</v>
      </c>
      <c r="M788" s="5" t="s">
        <v>7251</v>
      </c>
      <c r="N788" s="7" t="s">
        <v>7252</v>
      </c>
      <c r="O788" s="9" t="s">
        <v>7253</v>
      </c>
      <c r="P788" s="19" t="s">
        <v>7254</v>
      </c>
      <c r="Q788" s="5" t="s">
        <v>30</v>
      </c>
    </row>
    <row r="789" ht="21.0" customHeight="1">
      <c r="A789" s="4">
        <v>802.0</v>
      </c>
      <c r="B789" s="5" t="s">
        <v>7255</v>
      </c>
      <c r="C789" s="5" t="s">
        <v>18</v>
      </c>
      <c r="D789" s="5" t="s">
        <v>4694</v>
      </c>
      <c r="E789" s="5" t="s">
        <v>7256</v>
      </c>
      <c r="F789" s="5" t="s">
        <v>7163</v>
      </c>
      <c r="G789" s="5" t="s">
        <v>7257</v>
      </c>
      <c r="H789" s="5" t="s">
        <v>23</v>
      </c>
      <c r="I789" s="6" t="s">
        <v>7258</v>
      </c>
      <c r="J789" s="4">
        <v>100.0</v>
      </c>
      <c r="K789" s="5" t="s">
        <v>25</v>
      </c>
      <c r="L789" s="5" t="s">
        <v>7259</v>
      </c>
      <c r="M789" s="5" t="s">
        <v>7260</v>
      </c>
      <c r="N789" s="7" t="s">
        <v>7261</v>
      </c>
      <c r="O789" s="9" t="s">
        <v>7262</v>
      </c>
      <c r="P789" s="19" t="s">
        <v>7263</v>
      </c>
      <c r="Q789" s="5" t="s">
        <v>30</v>
      </c>
    </row>
    <row r="790" ht="21.0" customHeight="1">
      <c r="A790" s="4">
        <v>803.0</v>
      </c>
      <c r="B790" s="5" t="s">
        <v>7264</v>
      </c>
      <c r="C790" s="5" t="s">
        <v>18</v>
      </c>
      <c r="D790" s="5" t="s">
        <v>19</v>
      </c>
      <c r="E790" s="5" t="s">
        <v>7265</v>
      </c>
      <c r="F790" s="5" t="s">
        <v>7163</v>
      </c>
      <c r="G790" s="5" t="s">
        <v>7266</v>
      </c>
      <c r="H790" s="5" t="s">
        <v>23</v>
      </c>
      <c r="I790" s="6" t="s">
        <v>7267</v>
      </c>
      <c r="J790" s="4">
        <v>100.0</v>
      </c>
      <c r="K790" s="5" t="s">
        <v>110</v>
      </c>
      <c r="L790" s="5" t="s">
        <v>7268</v>
      </c>
      <c r="M790" s="5" t="s">
        <v>7269</v>
      </c>
      <c r="N790" s="7" t="s">
        <v>7270</v>
      </c>
      <c r="O790" s="9" t="s">
        <v>7271</v>
      </c>
      <c r="P790" s="19" t="s">
        <v>7272</v>
      </c>
      <c r="Q790" s="5" t="s">
        <v>30</v>
      </c>
    </row>
    <row r="791" ht="21.0" customHeight="1">
      <c r="A791" s="4">
        <v>804.0</v>
      </c>
      <c r="B791" s="5" t="s">
        <v>7273</v>
      </c>
      <c r="C791" s="5" t="s">
        <v>18</v>
      </c>
      <c r="D791" s="5" t="s">
        <v>19</v>
      </c>
      <c r="E791" s="5" t="s">
        <v>7274</v>
      </c>
      <c r="F791" s="5" t="s">
        <v>7163</v>
      </c>
      <c r="G791" s="5" t="s">
        <v>7275</v>
      </c>
      <c r="H791" s="5" t="s">
        <v>23</v>
      </c>
      <c r="I791" s="6" t="s">
        <v>7276</v>
      </c>
      <c r="J791" s="4">
        <v>100.0</v>
      </c>
      <c r="K791" s="5" t="s">
        <v>110</v>
      </c>
      <c r="L791" s="5" t="s">
        <v>7277</v>
      </c>
      <c r="M791" s="5" t="s">
        <v>7278</v>
      </c>
      <c r="N791" s="7" t="s">
        <v>7279</v>
      </c>
      <c r="O791" s="9" t="s">
        <v>7280</v>
      </c>
      <c r="P791" s="19" t="s">
        <v>7281</v>
      </c>
      <c r="Q791" s="5" t="s">
        <v>30</v>
      </c>
    </row>
    <row r="792" ht="21.0" customHeight="1">
      <c r="A792" s="4">
        <v>805.0</v>
      </c>
      <c r="B792" s="5" t="s">
        <v>7282</v>
      </c>
      <c r="C792" s="5" t="s">
        <v>18</v>
      </c>
      <c r="D792" s="5" t="s">
        <v>7283</v>
      </c>
      <c r="E792" s="5" t="s">
        <v>7284</v>
      </c>
      <c r="F792" s="5" t="s">
        <v>7163</v>
      </c>
      <c r="G792" s="5" t="s">
        <v>7285</v>
      </c>
      <c r="H792" s="5" t="s">
        <v>23</v>
      </c>
      <c r="I792" s="6" t="s">
        <v>7286</v>
      </c>
      <c r="J792" s="4">
        <v>100.0</v>
      </c>
      <c r="K792" s="5" t="s">
        <v>25</v>
      </c>
      <c r="L792" s="5" t="s">
        <v>7287</v>
      </c>
      <c r="M792" s="5" t="s">
        <v>7288</v>
      </c>
      <c r="N792" s="7" t="s">
        <v>7289</v>
      </c>
      <c r="O792" s="9" t="s">
        <v>7290</v>
      </c>
      <c r="P792" s="19" t="s">
        <v>7291</v>
      </c>
      <c r="Q792" s="5" t="s">
        <v>30</v>
      </c>
    </row>
    <row r="793" ht="21.0" customHeight="1">
      <c r="A793" s="4">
        <v>806.0</v>
      </c>
      <c r="B793" s="5" t="s">
        <v>7292</v>
      </c>
      <c r="C793" s="5" t="s">
        <v>7293</v>
      </c>
      <c r="D793" s="5" t="s">
        <v>7294</v>
      </c>
      <c r="E793" s="5" t="s">
        <v>7295</v>
      </c>
      <c r="F793" s="5" t="s">
        <v>7163</v>
      </c>
      <c r="G793" s="5" t="s">
        <v>7296</v>
      </c>
      <c r="H793" s="5" t="s">
        <v>23</v>
      </c>
      <c r="I793" s="6" t="s">
        <v>7297</v>
      </c>
      <c r="J793" s="4">
        <v>100.0</v>
      </c>
      <c r="K793" s="5" t="s">
        <v>557</v>
      </c>
      <c r="L793" s="5" t="s">
        <v>7298</v>
      </c>
      <c r="M793" s="5" t="s">
        <v>7299</v>
      </c>
      <c r="N793" s="7" t="s">
        <v>7300</v>
      </c>
      <c r="O793" s="9" t="s">
        <v>7301</v>
      </c>
      <c r="P793" s="19" t="s">
        <v>7302</v>
      </c>
      <c r="Q793" s="5" t="s">
        <v>30</v>
      </c>
    </row>
    <row r="794" ht="21.0" customHeight="1">
      <c r="A794" s="4">
        <v>807.0</v>
      </c>
      <c r="B794" s="5" t="s">
        <v>7303</v>
      </c>
      <c r="C794" s="5" t="s">
        <v>7304</v>
      </c>
      <c r="D794" s="5" t="s">
        <v>7305</v>
      </c>
      <c r="E794" s="5" t="s">
        <v>7306</v>
      </c>
      <c r="F794" s="5" t="s">
        <v>7163</v>
      </c>
      <c r="G794" s="5" t="s">
        <v>7307</v>
      </c>
      <c r="H794" s="5" t="s">
        <v>3537</v>
      </c>
      <c r="I794" s="6" t="s">
        <v>7308</v>
      </c>
      <c r="J794" s="4">
        <v>100.0</v>
      </c>
      <c r="K794" s="5" t="s">
        <v>84</v>
      </c>
      <c r="L794" s="5" t="s">
        <v>7309</v>
      </c>
      <c r="M794" s="5" t="s">
        <v>7310</v>
      </c>
      <c r="N794" s="7" t="s">
        <v>7311</v>
      </c>
      <c r="O794" s="9" t="s">
        <v>7312</v>
      </c>
      <c r="P794" s="19" t="s">
        <v>7313</v>
      </c>
      <c r="Q794" s="5" t="s">
        <v>30</v>
      </c>
    </row>
    <row r="795" ht="21.0" customHeight="1">
      <c r="A795" s="4">
        <v>808.0</v>
      </c>
      <c r="B795" s="5" t="s">
        <v>7314</v>
      </c>
      <c r="C795" s="5" t="s">
        <v>7315</v>
      </c>
      <c r="D795" s="5" t="s">
        <v>7316</v>
      </c>
      <c r="E795" s="5" t="s">
        <v>7317</v>
      </c>
      <c r="F795" s="5" t="s">
        <v>7163</v>
      </c>
      <c r="G795" s="5" t="s">
        <v>34</v>
      </c>
      <c r="H795" s="5" t="s">
        <v>3537</v>
      </c>
      <c r="I795" s="6" t="s">
        <v>7318</v>
      </c>
      <c r="J795" s="4">
        <v>100.0</v>
      </c>
      <c r="K795" s="5" t="s">
        <v>25</v>
      </c>
      <c r="L795" s="5" t="s">
        <v>7319</v>
      </c>
      <c r="M795" s="5" t="s">
        <v>7320</v>
      </c>
      <c r="N795" s="7" t="s">
        <v>7321</v>
      </c>
      <c r="O795" s="9" t="s">
        <v>7322</v>
      </c>
      <c r="P795" s="19" t="s">
        <v>7323</v>
      </c>
      <c r="Q795" s="5" t="s">
        <v>30</v>
      </c>
    </row>
    <row r="796" ht="21.0" customHeight="1">
      <c r="A796" s="4">
        <v>809.0</v>
      </c>
      <c r="B796" s="5" t="s">
        <v>7324</v>
      </c>
      <c r="C796" s="5" t="s">
        <v>18</v>
      </c>
      <c r="D796" s="5" t="s">
        <v>19</v>
      </c>
      <c r="E796" s="5" t="s">
        <v>7325</v>
      </c>
      <c r="F796" s="5" t="s">
        <v>7163</v>
      </c>
      <c r="G796" s="5" t="s">
        <v>7326</v>
      </c>
      <c r="H796" s="5" t="s">
        <v>23</v>
      </c>
      <c r="I796" s="6" t="s">
        <v>7327</v>
      </c>
      <c r="J796" s="4">
        <v>100.0</v>
      </c>
      <c r="K796" s="5" t="s">
        <v>93</v>
      </c>
      <c r="L796" s="5" t="s">
        <v>7328</v>
      </c>
      <c r="M796" s="5" t="s">
        <v>7329</v>
      </c>
      <c r="N796" s="7" t="s">
        <v>7330</v>
      </c>
      <c r="O796" s="9" t="s">
        <v>7331</v>
      </c>
      <c r="P796" s="19" t="s">
        <v>7332</v>
      </c>
      <c r="Q796" s="5" t="s">
        <v>30</v>
      </c>
    </row>
    <row r="797" ht="21.0" customHeight="1">
      <c r="A797" s="4">
        <v>810.0</v>
      </c>
      <c r="B797" s="5" t="s">
        <v>7333</v>
      </c>
      <c r="C797" s="5" t="s">
        <v>18</v>
      </c>
      <c r="D797" s="5" t="s">
        <v>7334</v>
      </c>
      <c r="E797" s="5" t="s">
        <v>7335</v>
      </c>
      <c r="F797" s="5" t="s">
        <v>7163</v>
      </c>
      <c r="G797" s="5" t="s">
        <v>7336</v>
      </c>
      <c r="H797" s="5" t="s">
        <v>23</v>
      </c>
      <c r="I797" s="6" t="s">
        <v>7337</v>
      </c>
      <c r="J797" s="4">
        <v>100.0</v>
      </c>
      <c r="K797" s="5" t="s">
        <v>25</v>
      </c>
      <c r="L797" s="5" t="s">
        <v>7338</v>
      </c>
      <c r="M797" s="5" t="s">
        <v>7339</v>
      </c>
      <c r="N797" s="7" t="s">
        <v>7340</v>
      </c>
      <c r="O797" s="9" t="s">
        <v>7341</v>
      </c>
      <c r="P797" s="19" t="s">
        <v>7342</v>
      </c>
      <c r="Q797" s="5" t="s">
        <v>30</v>
      </c>
    </row>
    <row r="798" ht="21.0" customHeight="1">
      <c r="A798" s="4">
        <v>811.0</v>
      </c>
      <c r="B798" s="5" t="s">
        <v>7343</v>
      </c>
      <c r="C798" s="5" t="s">
        <v>18</v>
      </c>
      <c r="D798" s="5" t="s">
        <v>7344</v>
      </c>
      <c r="E798" s="5" t="s">
        <v>7345</v>
      </c>
      <c r="F798" s="5" t="s">
        <v>7163</v>
      </c>
      <c r="G798" s="5" t="s">
        <v>7346</v>
      </c>
      <c r="H798" s="5" t="s">
        <v>23</v>
      </c>
      <c r="I798" s="6" t="s">
        <v>7347</v>
      </c>
      <c r="J798" s="4">
        <v>100.0</v>
      </c>
      <c r="K798" s="5" t="s">
        <v>84</v>
      </c>
      <c r="L798" s="5" t="s">
        <v>7348</v>
      </c>
      <c r="M798" s="5" t="s">
        <v>7349</v>
      </c>
      <c r="N798" s="7" t="s">
        <v>7350</v>
      </c>
      <c r="O798" s="9" t="s">
        <v>7351</v>
      </c>
      <c r="P798" s="19" t="s">
        <v>7352</v>
      </c>
      <c r="Q798" s="5" t="s">
        <v>30</v>
      </c>
    </row>
    <row r="799" ht="21.0" customHeight="1">
      <c r="A799" s="4">
        <v>812.0</v>
      </c>
      <c r="B799" s="5" t="s">
        <v>7353</v>
      </c>
      <c r="C799" s="5" t="s">
        <v>18</v>
      </c>
      <c r="D799" s="5" t="s">
        <v>5588</v>
      </c>
      <c r="E799" s="5" t="s">
        <v>7354</v>
      </c>
      <c r="F799" s="5" t="s">
        <v>7163</v>
      </c>
      <c r="G799" s="5" t="s">
        <v>7355</v>
      </c>
      <c r="H799" s="5" t="s">
        <v>23</v>
      </c>
      <c r="I799" s="6" t="s">
        <v>7356</v>
      </c>
      <c r="J799" s="4">
        <v>100.0</v>
      </c>
      <c r="K799" s="5" t="s">
        <v>25</v>
      </c>
      <c r="L799" s="5" t="s">
        <v>7357</v>
      </c>
      <c r="M799" s="5" t="s">
        <v>7358</v>
      </c>
      <c r="N799" s="7" t="s">
        <v>7359</v>
      </c>
      <c r="O799" s="9" t="s">
        <v>7360</v>
      </c>
      <c r="P799" s="19" t="s">
        <v>7361</v>
      </c>
      <c r="Q799" s="5" t="s">
        <v>30</v>
      </c>
    </row>
    <row r="800" ht="21.0" customHeight="1">
      <c r="A800" s="4">
        <v>813.0</v>
      </c>
      <c r="B800" s="5" t="s">
        <v>7362</v>
      </c>
      <c r="C800" s="5" t="s">
        <v>7363</v>
      </c>
      <c r="D800" s="5" t="s">
        <v>7364</v>
      </c>
      <c r="E800" s="5" t="s">
        <v>7365</v>
      </c>
      <c r="F800" s="5" t="s">
        <v>7163</v>
      </c>
      <c r="G800" s="5" t="s">
        <v>7366</v>
      </c>
      <c r="H800" s="5" t="s">
        <v>23</v>
      </c>
      <c r="I800" s="6" t="s">
        <v>7367</v>
      </c>
      <c r="J800" s="4">
        <v>100.0</v>
      </c>
      <c r="K800" s="5" t="s">
        <v>25</v>
      </c>
      <c r="L800" s="5" t="s">
        <v>7368</v>
      </c>
      <c r="M800" s="5" t="s">
        <v>7369</v>
      </c>
      <c r="N800" s="7" t="s">
        <v>7370</v>
      </c>
      <c r="O800" s="9" t="s">
        <v>7371</v>
      </c>
      <c r="P800" s="19" t="s">
        <v>7372</v>
      </c>
      <c r="Q800" s="5" t="s">
        <v>30</v>
      </c>
    </row>
    <row r="801" ht="21.0" customHeight="1">
      <c r="A801" s="4">
        <v>814.0</v>
      </c>
      <c r="B801" s="5" t="s">
        <v>7373</v>
      </c>
      <c r="C801" s="5" t="s">
        <v>18</v>
      </c>
      <c r="D801" s="5" t="s">
        <v>7374</v>
      </c>
      <c r="E801" s="5" t="s">
        <v>7375</v>
      </c>
      <c r="F801" s="5" t="s">
        <v>7163</v>
      </c>
      <c r="G801" s="5" t="s">
        <v>7376</v>
      </c>
      <c r="H801" s="5" t="s">
        <v>23</v>
      </c>
      <c r="I801" s="6" t="s">
        <v>7377</v>
      </c>
      <c r="J801" s="4">
        <v>100.0</v>
      </c>
      <c r="K801" s="5" t="s">
        <v>84</v>
      </c>
      <c r="L801" s="5" t="s">
        <v>7378</v>
      </c>
      <c r="M801" s="5" t="s">
        <v>7379</v>
      </c>
      <c r="N801" s="7" t="s">
        <v>7380</v>
      </c>
      <c r="O801" s="9" t="s">
        <v>7381</v>
      </c>
      <c r="P801" s="19" t="s">
        <v>7382</v>
      </c>
      <c r="Q801" s="5" t="s">
        <v>30</v>
      </c>
    </row>
    <row r="802" ht="21.0" customHeight="1">
      <c r="A802" s="4">
        <v>815.0</v>
      </c>
      <c r="B802" s="5" t="s">
        <v>7383</v>
      </c>
      <c r="C802" s="5" t="s">
        <v>18</v>
      </c>
      <c r="D802" s="5" t="s">
        <v>19</v>
      </c>
      <c r="E802" s="5" t="s">
        <v>7384</v>
      </c>
      <c r="F802" s="5" t="s">
        <v>7163</v>
      </c>
      <c r="G802" s="5" t="s">
        <v>7385</v>
      </c>
      <c r="H802" s="5" t="s">
        <v>23</v>
      </c>
      <c r="I802" s="6" t="s">
        <v>7386</v>
      </c>
      <c r="J802" s="4">
        <v>100.0</v>
      </c>
      <c r="K802" s="5" t="s">
        <v>84</v>
      </c>
      <c r="L802" s="5" t="s">
        <v>7387</v>
      </c>
      <c r="M802" s="5" t="s">
        <v>7388</v>
      </c>
      <c r="N802" s="7" t="s">
        <v>7389</v>
      </c>
      <c r="O802" s="9" t="s">
        <v>7390</v>
      </c>
      <c r="P802" s="19" t="s">
        <v>7391</v>
      </c>
      <c r="Q802" s="5" t="s">
        <v>30</v>
      </c>
    </row>
    <row r="803" ht="21.0" customHeight="1">
      <c r="A803" s="4">
        <v>816.0</v>
      </c>
      <c r="B803" s="5" t="s">
        <v>7392</v>
      </c>
      <c r="C803" s="5" t="s">
        <v>18</v>
      </c>
      <c r="D803" s="5" t="s">
        <v>4752</v>
      </c>
      <c r="E803" s="5" t="s">
        <v>7393</v>
      </c>
      <c r="F803" s="5" t="s">
        <v>7163</v>
      </c>
      <c r="G803" s="5" t="s">
        <v>7394</v>
      </c>
      <c r="H803" s="5" t="s">
        <v>23</v>
      </c>
      <c r="I803" s="6" t="s">
        <v>7395</v>
      </c>
      <c r="J803" s="4">
        <v>100.0</v>
      </c>
      <c r="K803" s="5" t="s">
        <v>84</v>
      </c>
      <c r="L803" s="5" t="s">
        <v>7396</v>
      </c>
      <c r="M803" s="5" t="s">
        <v>7397</v>
      </c>
      <c r="N803" s="7" t="s">
        <v>7398</v>
      </c>
      <c r="O803" s="9" t="s">
        <v>7399</v>
      </c>
      <c r="P803" s="19" t="s">
        <v>7400</v>
      </c>
      <c r="Q803" s="5" t="s">
        <v>30</v>
      </c>
    </row>
    <row r="804" ht="21.0" customHeight="1">
      <c r="A804" s="4">
        <v>817.0</v>
      </c>
      <c r="B804" s="5" t="s">
        <v>7401</v>
      </c>
      <c r="C804" s="5" t="s">
        <v>18</v>
      </c>
      <c r="D804" s="5" t="s">
        <v>7402</v>
      </c>
      <c r="E804" s="5" t="s">
        <v>7403</v>
      </c>
      <c r="F804" s="5" t="s">
        <v>7163</v>
      </c>
      <c r="G804" s="5" t="s">
        <v>7404</v>
      </c>
      <c r="H804" s="5" t="s">
        <v>23</v>
      </c>
      <c r="I804" s="6" t="s">
        <v>7405</v>
      </c>
      <c r="J804" s="4">
        <v>100.0</v>
      </c>
      <c r="K804" s="5" t="s">
        <v>110</v>
      </c>
      <c r="L804" s="5" t="s">
        <v>7406</v>
      </c>
      <c r="M804" s="5" t="s">
        <v>7407</v>
      </c>
      <c r="N804" s="7" t="s">
        <v>7408</v>
      </c>
      <c r="O804" s="9" t="s">
        <v>7409</v>
      </c>
      <c r="P804" s="19" t="s">
        <v>7410</v>
      </c>
      <c r="Q804" s="5" t="s">
        <v>30</v>
      </c>
    </row>
    <row r="805" ht="21.0" customHeight="1">
      <c r="A805" s="4">
        <v>818.0</v>
      </c>
      <c r="B805" s="5" t="s">
        <v>7411</v>
      </c>
      <c r="C805" s="5" t="s">
        <v>18</v>
      </c>
      <c r="D805" s="5" t="s">
        <v>7412</v>
      </c>
      <c r="E805" s="5" t="s">
        <v>7413</v>
      </c>
      <c r="F805" s="5" t="s">
        <v>7163</v>
      </c>
      <c r="G805" s="5" t="s">
        <v>7414</v>
      </c>
      <c r="H805" s="5" t="s">
        <v>23</v>
      </c>
      <c r="I805" s="6" t="s">
        <v>7415</v>
      </c>
      <c r="J805" s="4">
        <v>100.0</v>
      </c>
      <c r="K805" s="5" t="s">
        <v>25</v>
      </c>
      <c r="L805" s="5" t="s">
        <v>7416</v>
      </c>
      <c r="M805" s="5" t="s">
        <v>7417</v>
      </c>
      <c r="N805" s="7" t="s">
        <v>7418</v>
      </c>
      <c r="O805" s="9" t="s">
        <v>7419</v>
      </c>
      <c r="P805" s="19" t="s">
        <v>7420</v>
      </c>
      <c r="Q805" s="5" t="s">
        <v>30</v>
      </c>
    </row>
    <row r="806" ht="21.0" customHeight="1">
      <c r="A806" s="4">
        <v>819.0</v>
      </c>
      <c r="B806" s="5" t="s">
        <v>7421</v>
      </c>
      <c r="C806" s="5" t="s">
        <v>18</v>
      </c>
      <c r="D806" s="5" t="s">
        <v>7422</v>
      </c>
      <c r="E806" s="5" t="s">
        <v>7423</v>
      </c>
      <c r="F806" s="5" t="s">
        <v>7163</v>
      </c>
      <c r="G806" s="5" t="s">
        <v>7424</v>
      </c>
      <c r="H806" s="5" t="s">
        <v>23</v>
      </c>
      <c r="I806" s="6" t="s">
        <v>7425</v>
      </c>
      <c r="J806" s="4">
        <v>100.0</v>
      </c>
      <c r="K806" s="5" t="s">
        <v>25</v>
      </c>
      <c r="L806" s="5" t="s">
        <v>7426</v>
      </c>
      <c r="M806" s="5" t="s">
        <v>7427</v>
      </c>
      <c r="N806" s="7" t="s">
        <v>7428</v>
      </c>
      <c r="O806" s="9" t="s">
        <v>7429</v>
      </c>
      <c r="P806" s="19" t="s">
        <v>7430</v>
      </c>
      <c r="Q806" s="5" t="s">
        <v>30</v>
      </c>
    </row>
    <row r="807" ht="21.0" customHeight="1">
      <c r="A807" s="4">
        <v>820.0</v>
      </c>
      <c r="B807" s="5" t="s">
        <v>7431</v>
      </c>
      <c r="C807" s="5" t="s">
        <v>7432</v>
      </c>
      <c r="D807" s="5" t="s">
        <v>7433</v>
      </c>
      <c r="E807" s="5" t="s">
        <v>7434</v>
      </c>
      <c r="F807" s="5" t="s">
        <v>7163</v>
      </c>
      <c r="G807" s="5" t="s">
        <v>7435</v>
      </c>
      <c r="H807" s="5" t="s">
        <v>5840</v>
      </c>
      <c r="I807" s="6" t="s">
        <v>7436</v>
      </c>
      <c r="J807" s="4">
        <v>100.0</v>
      </c>
      <c r="K807" s="5" t="s">
        <v>25</v>
      </c>
      <c r="L807" s="5" t="s">
        <v>7437</v>
      </c>
      <c r="M807" s="5" t="s">
        <v>7438</v>
      </c>
      <c r="N807" s="7" t="s">
        <v>7439</v>
      </c>
      <c r="O807" s="9" t="s">
        <v>7440</v>
      </c>
      <c r="P807" s="19" t="s">
        <v>7441</v>
      </c>
      <c r="Q807" s="5" t="s">
        <v>30</v>
      </c>
    </row>
    <row r="808" ht="21.0" customHeight="1">
      <c r="A808" s="4">
        <v>821.0</v>
      </c>
      <c r="B808" s="5" t="s">
        <v>7442</v>
      </c>
      <c r="C808" s="5" t="s">
        <v>7443</v>
      </c>
      <c r="D808" s="5" t="s">
        <v>6621</v>
      </c>
      <c r="E808" s="5" t="s">
        <v>7444</v>
      </c>
      <c r="F808" s="5" t="s">
        <v>7163</v>
      </c>
      <c r="G808" s="5" t="s">
        <v>7445</v>
      </c>
      <c r="H808" s="5" t="s">
        <v>23</v>
      </c>
      <c r="I808" s="6" t="s">
        <v>7446</v>
      </c>
      <c r="J808" s="4">
        <v>100.0</v>
      </c>
      <c r="K808" s="5" t="s">
        <v>25</v>
      </c>
      <c r="L808" s="5" t="s">
        <v>7447</v>
      </c>
      <c r="M808" s="5" t="s">
        <v>7448</v>
      </c>
      <c r="N808" s="7" t="s">
        <v>7449</v>
      </c>
      <c r="O808" s="9" t="s">
        <v>7450</v>
      </c>
      <c r="P808" s="19" t="s">
        <v>7451</v>
      </c>
      <c r="Q808" s="5" t="s">
        <v>30</v>
      </c>
    </row>
    <row r="809" ht="21.0" customHeight="1">
      <c r="A809" s="4">
        <v>822.0</v>
      </c>
      <c r="B809" s="5" t="s">
        <v>7452</v>
      </c>
      <c r="C809" s="5" t="s">
        <v>7453</v>
      </c>
      <c r="D809" s="5" t="s">
        <v>7454</v>
      </c>
      <c r="E809" s="5" t="s">
        <v>7455</v>
      </c>
      <c r="F809" s="5" t="s">
        <v>7163</v>
      </c>
      <c r="G809" s="5" t="s">
        <v>7456</v>
      </c>
      <c r="H809" s="5" t="s">
        <v>23</v>
      </c>
      <c r="I809" s="6" t="s">
        <v>7457</v>
      </c>
      <c r="J809" s="4">
        <v>100.0</v>
      </c>
      <c r="K809" s="5" t="s">
        <v>25</v>
      </c>
      <c r="L809" s="5" t="s">
        <v>7458</v>
      </c>
      <c r="M809" s="5" t="s">
        <v>7459</v>
      </c>
      <c r="N809" s="7" t="s">
        <v>7460</v>
      </c>
      <c r="O809" s="9" t="s">
        <v>7461</v>
      </c>
      <c r="P809" s="19" t="s">
        <v>7462</v>
      </c>
      <c r="Q809" s="5" t="s">
        <v>30</v>
      </c>
    </row>
    <row r="810" ht="21.0" customHeight="1">
      <c r="A810" s="4">
        <v>823.0</v>
      </c>
      <c r="B810" s="5" t="s">
        <v>7463</v>
      </c>
      <c r="C810" s="5" t="s">
        <v>18</v>
      </c>
      <c r="D810" s="5" t="s">
        <v>7464</v>
      </c>
      <c r="E810" s="5" t="s">
        <v>7465</v>
      </c>
      <c r="F810" s="5" t="s">
        <v>7163</v>
      </c>
      <c r="G810" s="5" t="s">
        <v>7466</v>
      </c>
      <c r="H810" s="5" t="s">
        <v>23</v>
      </c>
      <c r="I810" s="6" t="s">
        <v>7467</v>
      </c>
      <c r="J810" s="4">
        <v>100.0</v>
      </c>
      <c r="K810" s="5" t="s">
        <v>25</v>
      </c>
      <c r="L810" s="5" t="s">
        <v>7468</v>
      </c>
      <c r="M810" s="5" t="s">
        <v>7469</v>
      </c>
      <c r="N810" s="7" t="s">
        <v>7470</v>
      </c>
      <c r="O810" s="9" t="s">
        <v>7471</v>
      </c>
      <c r="P810" s="19" t="s">
        <v>7472</v>
      </c>
      <c r="Q810" s="5" t="s">
        <v>30</v>
      </c>
    </row>
    <row r="811" ht="21.0" customHeight="1">
      <c r="A811" s="4">
        <v>824.0</v>
      </c>
      <c r="B811" s="5" t="s">
        <v>7473</v>
      </c>
      <c r="C811" s="5" t="s">
        <v>7474</v>
      </c>
      <c r="D811" s="5" t="s">
        <v>5769</v>
      </c>
      <c r="E811" s="5" t="s">
        <v>7475</v>
      </c>
      <c r="F811" s="5" t="s">
        <v>7163</v>
      </c>
      <c r="G811" s="5" t="s">
        <v>7476</v>
      </c>
      <c r="H811" s="5" t="s">
        <v>23</v>
      </c>
      <c r="I811" s="6" t="s">
        <v>7477</v>
      </c>
      <c r="J811" s="4">
        <v>100.0</v>
      </c>
      <c r="K811" s="5" t="s">
        <v>25</v>
      </c>
      <c r="L811" s="5" t="s">
        <v>7478</v>
      </c>
      <c r="M811" s="5" t="s">
        <v>7479</v>
      </c>
      <c r="N811" s="7" t="s">
        <v>7480</v>
      </c>
      <c r="O811" s="9" t="s">
        <v>7481</v>
      </c>
      <c r="P811" s="19" t="s">
        <v>7482</v>
      </c>
      <c r="Q811" s="5" t="s">
        <v>30</v>
      </c>
    </row>
    <row r="812" ht="21.0" customHeight="1">
      <c r="A812" s="4">
        <v>825.0</v>
      </c>
      <c r="B812" s="5" t="s">
        <v>7483</v>
      </c>
      <c r="C812" s="5" t="s">
        <v>18</v>
      </c>
      <c r="D812" s="5" t="s">
        <v>7484</v>
      </c>
      <c r="E812" s="5" t="s">
        <v>7485</v>
      </c>
      <c r="F812" s="5" t="s">
        <v>7163</v>
      </c>
      <c r="G812" s="5" t="s">
        <v>7486</v>
      </c>
      <c r="H812" s="5" t="s">
        <v>23</v>
      </c>
      <c r="I812" s="6" t="s">
        <v>7487</v>
      </c>
      <c r="J812" s="4">
        <v>100.0</v>
      </c>
      <c r="K812" s="5" t="s">
        <v>84</v>
      </c>
      <c r="L812" s="5" t="s">
        <v>7488</v>
      </c>
      <c r="M812" s="5" t="s">
        <v>7489</v>
      </c>
      <c r="N812" s="7" t="s">
        <v>7490</v>
      </c>
      <c r="O812" s="9" t="s">
        <v>7491</v>
      </c>
      <c r="P812" s="19" t="s">
        <v>7492</v>
      </c>
      <c r="Q812" s="5" t="s">
        <v>30</v>
      </c>
    </row>
    <row r="813" ht="21.0" customHeight="1">
      <c r="A813" s="4">
        <v>826.0</v>
      </c>
      <c r="B813" s="5" t="s">
        <v>7493</v>
      </c>
      <c r="C813" s="5" t="s">
        <v>18</v>
      </c>
      <c r="D813" s="5" t="s">
        <v>5355</v>
      </c>
      <c r="E813" s="5" t="s">
        <v>7494</v>
      </c>
      <c r="F813" s="5" t="s">
        <v>7163</v>
      </c>
      <c r="G813" s="5" t="s">
        <v>7495</v>
      </c>
      <c r="H813" s="5" t="s">
        <v>23</v>
      </c>
      <c r="I813" s="6" t="s">
        <v>7496</v>
      </c>
      <c r="J813" s="4">
        <v>100.0</v>
      </c>
      <c r="K813" s="5" t="s">
        <v>25</v>
      </c>
      <c r="L813" s="5" t="s">
        <v>7497</v>
      </c>
      <c r="M813" s="5" t="s">
        <v>7498</v>
      </c>
      <c r="N813" s="7" t="s">
        <v>7499</v>
      </c>
      <c r="O813" s="9" t="s">
        <v>7500</v>
      </c>
      <c r="P813" s="19" t="s">
        <v>7501</v>
      </c>
      <c r="Q813" s="5" t="s">
        <v>30</v>
      </c>
    </row>
    <row r="814" ht="21.0" customHeight="1">
      <c r="A814" s="4">
        <v>827.0</v>
      </c>
      <c r="B814" s="5" t="s">
        <v>7502</v>
      </c>
      <c r="C814" s="5" t="s">
        <v>18</v>
      </c>
      <c r="D814" s="5" t="s">
        <v>7503</v>
      </c>
      <c r="E814" s="5" t="s">
        <v>7504</v>
      </c>
      <c r="F814" s="5" t="s">
        <v>7163</v>
      </c>
      <c r="G814" s="5" t="s">
        <v>7505</v>
      </c>
      <c r="H814" s="5" t="s">
        <v>50</v>
      </c>
      <c r="I814" s="6" t="s">
        <v>7506</v>
      </c>
      <c r="J814" s="4">
        <v>100.0</v>
      </c>
      <c r="K814" s="5" t="s">
        <v>165</v>
      </c>
      <c r="L814" s="5" t="s">
        <v>7507</v>
      </c>
      <c r="M814" s="5" t="s">
        <v>7508</v>
      </c>
      <c r="N814" s="7" t="s">
        <v>7509</v>
      </c>
      <c r="O814" s="9" t="s">
        <v>7510</v>
      </c>
      <c r="P814" s="19" t="s">
        <v>7511</v>
      </c>
      <c r="Q814" s="5" t="s">
        <v>30</v>
      </c>
    </row>
    <row r="815" ht="21.0" customHeight="1">
      <c r="A815" s="4">
        <v>828.0</v>
      </c>
      <c r="B815" s="5" t="s">
        <v>7512</v>
      </c>
      <c r="C815" s="5" t="s">
        <v>18</v>
      </c>
      <c r="D815" s="5" t="s">
        <v>7513</v>
      </c>
      <c r="E815" s="5" t="s">
        <v>7514</v>
      </c>
      <c r="F815" s="5" t="s">
        <v>7163</v>
      </c>
      <c r="G815" s="5" t="s">
        <v>7515</v>
      </c>
      <c r="H815" s="5" t="s">
        <v>3537</v>
      </c>
      <c r="I815" s="6" t="s">
        <v>7516</v>
      </c>
      <c r="J815" s="4">
        <v>100.0</v>
      </c>
      <c r="K815" s="5" t="s">
        <v>25</v>
      </c>
      <c r="L815" s="5" t="s">
        <v>7517</v>
      </c>
      <c r="M815" s="5" t="s">
        <v>7518</v>
      </c>
      <c r="N815" s="7" t="s">
        <v>7519</v>
      </c>
      <c r="O815" s="9" t="s">
        <v>7520</v>
      </c>
      <c r="P815" s="19" t="s">
        <v>7521</v>
      </c>
      <c r="Q815" s="5" t="s">
        <v>30</v>
      </c>
    </row>
    <row r="816" ht="21.0" customHeight="1">
      <c r="A816" s="4">
        <v>829.0</v>
      </c>
      <c r="B816" s="5" t="s">
        <v>7522</v>
      </c>
      <c r="C816" s="5" t="s">
        <v>18</v>
      </c>
      <c r="D816" s="5" t="s">
        <v>7523</v>
      </c>
      <c r="E816" s="5" t="s">
        <v>7524</v>
      </c>
      <c r="F816" s="5" t="s">
        <v>7163</v>
      </c>
      <c r="G816" s="5" t="s">
        <v>7525</v>
      </c>
      <c r="H816" s="5" t="s">
        <v>23</v>
      </c>
      <c r="I816" s="6" t="s">
        <v>7526</v>
      </c>
      <c r="J816" s="4">
        <v>100.0</v>
      </c>
      <c r="K816" s="5" t="s">
        <v>110</v>
      </c>
      <c r="L816" s="5" t="s">
        <v>7527</v>
      </c>
      <c r="M816" s="5" t="s">
        <v>7528</v>
      </c>
      <c r="N816" s="45" t="s">
        <v>7529</v>
      </c>
      <c r="O816" s="46" t="s">
        <v>7530</v>
      </c>
      <c r="P816" s="47" t="s">
        <v>7531</v>
      </c>
      <c r="Q816" s="5" t="s">
        <v>30</v>
      </c>
    </row>
    <row r="817" ht="21.0" customHeight="1">
      <c r="A817" s="4">
        <v>830.0</v>
      </c>
      <c r="B817" s="5" t="s">
        <v>7532</v>
      </c>
      <c r="C817" s="5" t="s">
        <v>18</v>
      </c>
      <c r="D817" s="5" t="s">
        <v>7513</v>
      </c>
      <c r="E817" s="5" t="s">
        <v>7533</v>
      </c>
      <c r="F817" s="5" t="s">
        <v>7163</v>
      </c>
      <c r="G817" s="5" t="s">
        <v>7534</v>
      </c>
      <c r="H817" s="5" t="s">
        <v>23</v>
      </c>
      <c r="I817" s="6" t="s">
        <v>7535</v>
      </c>
      <c r="J817" s="4">
        <v>100.0</v>
      </c>
      <c r="K817" s="5" t="s">
        <v>52</v>
      </c>
      <c r="L817" s="5" t="s">
        <v>7536</v>
      </c>
      <c r="M817" s="5" t="s">
        <v>7537</v>
      </c>
      <c r="N817" s="46" t="s">
        <v>7538</v>
      </c>
      <c r="O817" s="46" t="s">
        <v>7539</v>
      </c>
      <c r="P817" s="47" t="s">
        <v>7540</v>
      </c>
      <c r="Q817" s="5" t="s">
        <v>30</v>
      </c>
    </row>
    <row r="818" ht="21.0" customHeight="1">
      <c r="A818" s="4">
        <v>831.0</v>
      </c>
      <c r="B818" s="5" t="s">
        <v>7541</v>
      </c>
      <c r="C818" s="5" t="s">
        <v>18</v>
      </c>
      <c r="D818" s="5" t="s">
        <v>7542</v>
      </c>
      <c r="E818" s="5" t="s">
        <v>7543</v>
      </c>
      <c r="F818" s="5" t="s">
        <v>7163</v>
      </c>
      <c r="G818" s="5" t="s">
        <v>7544</v>
      </c>
      <c r="H818" s="5" t="s">
        <v>23</v>
      </c>
      <c r="I818" s="6" t="s">
        <v>7545</v>
      </c>
      <c r="J818" s="4">
        <v>100.0</v>
      </c>
      <c r="K818" s="5" t="s">
        <v>25</v>
      </c>
      <c r="L818" s="5" t="s">
        <v>7546</v>
      </c>
      <c r="M818" s="5" t="s">
        <v>7547</v>
      </c>
      <c r="N818" s="48" t="s">
        <v>7548</v>
      </c>
      <c r="O818" s="48"/>
      <c r="P818" s="19" t="s">
        <v>7549</v>
      </c>
      <c r="Q818" s="5" t="s">
        <v>30</v>
      </c>
    </row>
    <row r="819" ht="21.0" customHeight="1">
      <c r="A819" s="4">
        <v>832.0</v>
      </c>
      <c r="B819" s="5" t="s">
        <v>7550</v>
      </c>
      <c r="C819" s="5" t="s">
        <v>7551</v>
      </c>
      <c r="D819" s="5" t="s">
        <v>7552</v>
      </c>
      <c r="E819" s="5" t="s">
        <v>7553</v>
      </c>
      <c r="F819" s="5" t="s">
        <v>7163</v>
      </c>
      <c r="G819" s="5" t="s">
        <v>7554</v>
      </c>
      <c r="H819" s="5" t="s">
        <v>23</v>
      </c>
      <c r="I819" s="6" t="s">
        <v>7555</v>
      </c>
      <c r="J819" s="4">
        <v>100.0</v>
      </c>
      <c r="K819" s="5" t="s">
        <v>25</v>
      </c>
      <c r="L819" s="5" t="s">
        <v>7556</v>
      </c>
      <c r="M819" s="5" t="s">
        <v>7557</v>
      </c>
      <c r="N819" s="48" t="s">
        <v>7558</v>
      </c>
      <c r="O819" s="48" t="s">
        <v>7559</v>
      </c>
      <c r="P819" s="19" t="s">
        <v>7560</v>
      </c>
      <c r="Q819" s="5" t="s">
        <v>30</v>
      </c>
    </row>
    <row r="820" ht="21.0" customHeight="1">
      <c r="A820" s="4">
        <v>833.0</v>
      </c>
      <c r="B820" s="5" t="s">
        <v>7561</v>
      </c>
      <c r="C820" s="5" t="s">
        <v>18</v>
      </c>
      <c r="D820" s="5" t="s">
        <v>7562</v>
      </c>
      <c r="E820" s="5" t="s">
        <v>7563</v>
      </c>
      <c r="F820" s="5" t="s">
        <v>7564</v>
      </c>
      <c r="G820" s="5" t="s">
        <v>7565</v>
      </c>
      <c r="H820" s="5" t="s">
        <v>23</v>
      </c>
      <c r="I820" s="6" t="s">
        <v>7566</v>
      </c>
      <c r="J820" s="4">
        <v>100.0</v>
      </c>
      <c r="K820" s="5" t="s">
        <v>165</v>
      </c>
      <c r="L820" s="5" t="s">
        <v>7567</v>
      </c>
      <c r="M820" s="5" t="s">
        <v>7568</v>
      </c>
      <c r="N820" s="48" t="s">
        <v>7569</v>
      </c>
      <c r="O820" s="48" t="s">
        <v>7570</v>
      </c>
      <c r="P820" s="19" t="s">
        <v>7571</v>
      </c>
      <c r="Q820" s="5" t="s">
        <v>30</v>
      </c>
    </row>
    <row r="821" ht="21.0" customHeight="1">
      <c r="A821" s="4">
        <v>834.0</v>
      </c>
      <c r="B821" s="5" t="s">
        <v>7572</v>
      </c>
      <c r="C821" s="5" t="s">
        <v>18</v>
      </c>
      <c r="D821" s="5" t="s">
        <v>7573</v>
      </c>
      <c r="E821" s="5" t="s">
        <v>7574</v>
      </c>
      <c r="F821" s="5" t="s">
        <v>7564</v>
      </c>
      <c r="G821" s="5" t="s">
        <v>7575</v>
      </c>
      <c r="H821" s="5" t="s">
        <v>23</v>
      </c>
      <c r="I821" s="6" t="s">
        <v>7576</v>
      </c>
      <c r="J821" s="4">
        <v>100.0</v>
      </c>
      <c r="K821" s="5" t="s">
        <v>25</v>
      </c>
      <c r="L821" s="5" t="s">
        <v>7577</v>
      </c>
      <c r="M821" s="5" t="s">
        <v>7578</v>
      </c>
      <c r="N821" s="48" t="s">
        <v>7579</v>
      </c>
      <c r="O821" s="48" t="s">
        <v>7580</v>
      </c>
      <c r="P821" s="19" t="s">
        <v>7581</v>
      </c>
      <c r="Q821" s="5" t="s">
        <v>30</v>
      </c>
    </row>
    <row r="822" ht="21.0" customHeight="1">
      <c r="A822" s="4">
        <v>835.0</v>
      </c>
      <c r="B822" s="5" t="s">
        <v>7582</v>
      </c>
      <c r="C822" s="5" t="s">
        <v>18</v>
      </c>
      <c r="D822" s="5" t="s">
        <v>7583</v>
      </c>
      <c r="E822" s="5" t="s">
        <v>7584</v>
      </c>
      <c r="F822" s="5" t="s">
        <v>7564</v>
      </c>
      <c r="G822" s="5" t="s">
        <v>7585</v>
      </c>
      <c r="H822" s="5" t="s">
        <v>23</v>
      </c>
      <c r="I822" s="6" t="s">
        <v>7586</v>
      </c>
      <c r="J822" s="4">
        <v>100.0</v>
      </c>
      <c r="K822" s="5" t="s">
        <v>84</v>
      </c>
      <c r="L822" s="5" t="s">
        <v>7587</v>
      </c>
      <c r="M822" s="5" t="s">
        <v>7588</v>
      </c>
      <c r="N822" s="48" t="s">
        <v>7589</v>
      </c>
      <c r="O822" s="48" t="s">
        <v>7590</v>
      </c>
      <c r="P822" s="19" t="s">
        <v>7591</v>
      </c>
      <c r="Q822" s="5" t="s">
        <v>30</v>
      </c>
    </row>
    <row r="823" ht="21.0" customHeight="1">
      <c r="A823" s="4">
        <v>836.0</v>
      </c>
      <c r="B823" s="5" t="s">
        <v>7592</v>
      </c>
      <c r="C823" s="5" t="s">
        <v>7593</v>
      </c>
      <c r="D823" s="5" t="s">
        <v>170</v>
      </c>
      <c r="E823" s="5" t="s">
        <v>7594</v>
      </c>
      <c r="F823" s="5" t="s">
        <v>7564</v>
      </c>
      <c r="G823" s="5" t="s">
        <v>7595</v>
      </c>
      <c r="H823" s="5" t="s">
        <v>23</v>
      </c>
      <c r="I823" s="6" t="s">
        <v>7596</v>
      </c>
      <c r="J823" s="4">
        <v>100.0</v>
      </c>
      <c r="K823" s="5" t="s">
        <v>25</v>
      </c>
      <c r="L823" s="5" t="s">
        <v>7597</v>
      </c>
      <c r="M823" s="5" t="s">
        <v>7598</v>
      </c>
      <c r="N823" s="48" t="s">
        <v>7599</v>
      </c>
      <c r="O823" s="48" t="s">
        <v>7600</v>
      </c>
      <c r="P823" s="19" t="s">
        <v>7601</v>
      </c>
      <c r="Q823" s="5" t="s">
        <v>30</v>
      </c>
    </row>
    <row r="824" ht="21.0" customHeight="1">
      <c r="A824" s="4">
        <v>837.0</v>
      </c>
      <c r="B824" s="5" t="s">
        <v>7602</v>
      </c>
      <c r="C824" s="5" t="s">
        <v>7603</v>
      </c>
      <c r="D824" s="5" t="s">
        <v>7604</v>
      </c>
      <c r="E824" s="5" t="s">
        <v>7605</v>
      </c>
      <c r="F824" s="5" t="s">
        <v>7564</v>
      </c>
      <c r="G824" s="5" t="s">
        <v>7606</v>
      </c>
      <c r="H824" s="5" t="s">
        <v>23</v>
      </c>
      <c r="I824" s="6" t="s">
        <v>7607</v>
      </c>
      <c r="J824" s="4">
        <v>100.0</v>
      </c>
      <c r="K824" s="5" t="s">
        <v>157</v>
      </c>
      <c r="L824" s="5" t="s">
        <v>7608</v>
      </c>
      <c r="M824" s="5" t="s">
        <v>7609</v>
      </c>
      <c r="N824" s="48" t="s">
        <v>7610</v>
      </c>
      <c r="O824" s="48" t="s">
        <v>7611</v>
      </c>
      <c r="P824" s="19" t="s">
        <v>7612</v>
      </c>
      <c r="Q824" s="5" t="s">
        <v>30</v>
      </c>
    </row>
    <row r="825" ht="21.0" customHeight="1">
      <c r="A825" s="4">
        <v>838.0</v>
      </c>
      <c r="B825" s="5" t="s">
        <v>7613</v>
      </c>
      <c r="C825" s="5" t="s">
        <v>18</v>
      </c>
      <c r="D825" s="5" t="s">
        <v>7614</v>
      </c>
      <c r="E825" s="5" t="s">
        <v>7615</v>
      </c>
      <c r="F825" s="5" t="s">
        <v>7564</v>
      </c>
      <c r="G825" s="5" t="s">
        <v>7616</v>
      </c>
      <c r="H825" s="5" t="s">
        <v>23</v>
      </c>
      <c r="I825" s="6" t="s">
        <v>7617</v>
      </c>
      <c r="J825" s="4">
        <v>100.0</v>
      </c>
      <c r="K825" s="5" t="s">
        <v>216</v>
      </c>
      <c r="L825" s="5" t="s">
        <v>7618</v>
      </c>
      <c r="M825" s="5" t="s">
        <v>7619</v>
      </c>
      <c r="N825" s="48" t="s">
        <v>7620</v>
      </c>
      <c r="O825" s="48" t="s">
        <v>7621</v>
      </c>
      <c r="P825" s="19" t="s">
        <v>7622</v>
      </c>
      <c r="Q825" s="5" t="s">
        <v>30</v>
      </c>
    </row>
    <row r="826" ht="21.0" customHeight="1">
      <c r="A826" s="4">
        <v>839.0</v>
      </c>
      <c r="B826" s="5" t="s">
        <v>7623</v>
      </c>
      <c r="C826" s="5" t="s">
        <v>7624</v>
      </c>
      <c r="D826" s="5" t="s">
        <v>7625</v>
      </c>
      <c r="E826" s="5" t="s">
        <v>7626</v>
      </c>
      <c r="F826" s="5" t="s">
        <v>7564</v>
      </c>
      <c r="G826" s="5" t="s">
        <v>7627</v>
      </c>
      <c r="H826" s="5" t="s">
        <v>23</v>
      </c>
      <c r="I826" s="6" t="s">
        <v>7628</v>
      </c>
      <c r="J826" s="4">
        <v>100.0</v>
      </c>
      <c r="K826" s="5" t="s">
        <v>25</v>
      </c>
      <c r="L826" s="5" t="s">
        <v>7629</v>
      </c>
      <c r="M826" s="5" t="s">
        <v>7630</v>
      </c>
      <c r="N826" s="48" t="s">
        <v>7631</v>
      </c>
      <c r="O826" s="48" t="s">
        <v>7632</v>
      </c>
      <c r="P826" s="19" t="s">
        <v>7633</v>
      </c>
      <c r="Q826" s="5" t="s">
        <v>30</v>
      </c>
    </row>
    <row r="827" ht="21.0" customHeight="1">
      <c r="A827" s="4">
        <v>840.0</v>
      </c>
      <c r="B827" s="5" t="s">
        <v>7634</v>
      </c>
      <c r="C827" s="5" t="s">
        <v>18</v>
      </c>
      <c r="D827" s="5" t="s">
        <v>7635</v>
      </c>
      <c r="E827" s="5" t="s">
        <v>7636</v>
      </c>
      <c r="F827" s="5" t="s">
        <v>7564</v>
      </c>
      <c r="G827" s="5" t="s">
        <v>7637</v>
      </c>
      <c r="H827" s="5" t="s">
        <v>23</v>
      </c>
      <c r="I827" s="6" t="s">
        <v>7638</v>
      </c>
      <c r="J827" s="4">
        <v>100.0</v>
      </c>
      <c r="K827" s="5" t="s">
        <v>25</v>
      </c>
      <c r="L827" s="5" t="s">
        <v>7639</v>
      </c>
      <c r="M827" s="5" t="s">
        <v>7640</v>
      </c>
      <c r="N827" s="48" t="s">
        <v>7641</v>
      </c>
      <c r="O827" s="49" t="s">
        <v>7642</v>
      </c>
      <c r="P827" s="19" t="s">
        <v>7643</v>
      </c>
      <c r="Q827" s="5" t="s">
        <v>30</v>
      </c>
    </row>
    <row r="828" ht="21.0" customHeight="1">
      <c r="A828" s="4">
        <v>841.0</v>
      </c>
      <c r="B828" s="5" t="s">
        <v>7644</v>
      </c>
      <c r="C828" s="5" t="s">
        <v>18</v>
      </c>
      <c r="D828" s="5" t="s">
        <v>7645</v>
      </c>
      <c r="E828" s="5" t="s">
        <v>7646</v>
      </c>
      <c r="F828" s="5" t="s">
        <v>7564</v>
      </c>
      <c r="G828" s="5" t="s">
        <v>7647</v>
      </c>
      <c r="H828" s="5" t="s">
        <v>23</v>
      </c>
      <c r="I828" s="6" t="s">
        <v>7648</v>
      </c>
      <c r="J828" s="4">
        <v>100.0</v>
      </c>
      <c r="K828" s="5" t="s">
        <v>84</v>
      </c>
      <c r="L828" s="5" t="s">
        <v>7649</v>
      </c>
      <c r="M828" s="5" t="s">
        <v>7650</v>
      </c>
      <c r="N828" s="48" t="s">
        <v>7651</v>
      </c>
      <c r="O828" s="48" t="s">
        <v>7652</v>
      </c>
      <c r="P828" s="19" t="s">
        <v>7653</v>
      </c>
      <c r="Q828" s="5" t="s">
        <v>30</v>
      </c>
    </row>
    <row r="829" ht="21.0" customHeight="1">
      <c r="A829" s="4">
        <v>842.0</v>
      </c>
      <c r="B829" s="5" t="s">
        <v>7654</v>
      </c>
      <c r="C829" s="5" t="s">
        <v>18</v>
      </c>
      <c r="D829" s="5" t="s">
        <v>7655</v>
      </c>
      <c r="E829" s="5" t="s">
        <v>7656</v>
      </c>
      <c r="F829" s="5" t="s">
        <v>7564</v>
      </c>
      <c r="G829" s="5" t="s">
        <v>7657</v>
      </c>
      <c r="H829" s="5" t="s">
        <v>23</v>
      </c>
      <c r="I829" s="6" t="s">
        <v>7658</v>
      </c>
      <c r="J829" s="4">
        <v>100.0</v>
      </c>
      <c r="K829" s="5" t="s">
        <v>216</v>
      </c>
      <c r="L829" s="5" t="s">
        <v>7659</v>
      </c>
      <c r="M829" s="5" t="s">
        <v>7660</v>
      </c>
      <c r="N829" s="48" t="s">
        <v>7661</v>
      </c>
      <c r="O829" s="48" t="s">
        <v>7662</v>
      </c>
      <c r="P829" s="19" t="s">
        <v>7663</v>
      </c>
      <c r="Q829" s="5" t="s">
        <v>30</v>
      </c>
    </row>
    <row r="830" ht="21.0" customHeight="1">
      <c r="A830" s="4">
        <v>843.0</v>
      </c>
      <c r="B830" s="5" t="s">
        <v>7664</v>
      </c>
      <c r="C830" s="5" t="s">
        <v>18</v>
      </c>
      <c r="D830" s="5" t="s">
        <v>3398</v>
      </c>
      <c r="E830" s="5" t="s">
        <v>7665</v>
      </c>
      <c r="F830" s="5" t="s">
        <v>7564</v>
      </c>
      <c r="G830" s="5" t="s">
        <v>7666</v>
      </c>
      <c r="H830" s="5" t="s">
        <v>23</v>
      </c>
      <c r="I830" s="6" t="s">
        <v>7667</v>
      </c>
      <c r="J830" s="4">
        <v>100.0</v>
      </c>
      <c r="K830" s="5" t="s">
        <v>25</v>
      </c>
      <c r="L830" s="5" t="s">
        <v>7668</v>
      </c>
      <c r="M830" s="5" t="s">
        <v>7669</v>
      </c>
      <c r="N830" s="48" t="s">
        <v>7670</v>
      </c>
      <c r="O830" s="48"/>
      <c r="P830" s="19" t="s">
        <v>7671</v>
      </c>
      <c r="Q830" s="5" t="s">
        <v>30</v>
      </c>
    </row>
    <row r="831" ht="21.0" customHeight="1">
      <c r="A831" s="4">
        <v>844.0</v>
      </c>
      <c r="B831" s="5" t="s">
        <v>7672</v>
      </c>
      <c r="C831" s="5" t="s">
        <v>18</v>
      </c>
      <c r="D831" s="5" t="s">
        <v>7673</v>
      </c>
      <c r="E831" s="5" t="s">
        <v>7674</v>
      </c>
      <c r="F831" s="5" t="s">
        <v>7564</v>
      </c>
      <c r="G831" s="5" t="s">
        <v>34</v>
      </c>
      <c r="H831" s="5" t="s">
        <v>23</v>
      </c>
      <c r="I831" s="6" t="s">
        <v>7675</v>
      </c>
      <c r="J831" s="4">
        <v>100.0</v>
      </c>
      <c r="K831" s="5" t="s">
        <v>25</v>
      </c>
      <c r="L831" s="5" t="s">
        <v>7676</v>
      </c>
      <c r="M831" s="5" t="s">
        <v>7677</v>
      </c>
      <c r="N831" s="7" t="s">
        <v>7678</v>
      </c>
      <c r="O831" s="9" t="s">
        <v>7679</v>
      </c>
      <c r="P831" s="19" t="s">
        <v>7680</v>
      </c>
      <c r="Q831" s="5" t="s">
        <v>30</v>
      </c>
    </row>
    <row r="832" ht="21.0" customHeight="1">
      <c r="A832" s="4">
        <v>845.0</v>
      </c>
      <c r="B832" s="5" t="s">
        <v>7681</v>
      </c>
      <c r="C832" s="5" t="s">
        <v>18</v>
      </c>
      <c r="D832" s="5" t="s">
        <v>7682</v>
      </c>
      <c r="E832" s="5" t="s">
        <v>7683</v>
      </c>
      <c r="F832" s="5" t="s">
        <v>7564</v>
      </c>
      <c r="G832" s="5" t="s">
        <v>7684</v>
      </c>
      <c r="H832" s="5" t="s">
        <v>23</v>
      </c>
      <c r="I832" s="6" t="s">
        <v>7685</v>
      </c>
      <c r="J832" s="4">
        <v>100.0</v>
      </c>
      <c r="K832" s="5" t="s">
        <v>84</v>
      </c>
      <c r="L832" s="5" t="s">
        <v>7686</v>
      </c>
      <c r="M832" s="5" t="s">
        <v>7687</v>
      </c>
      <c r="N832" s="7" t="s">
        <v>7688</v>
      </c>
      <c r="O832" s="9" t="s">
        <v>7689</v>
      </c>
      <c r="P832" s="19" t="s">
        <v>7690</v>
      </c>
      <c r="Q832" s="5" t="s">
        <v>30</v>
      </c>
    </row>
    <row r="833" ht="21.0" customHeight="1">
      <c r="A833" s="4">
        <v>846.0</v>
      </c>
      <c r="B833" s="5" t="s">
        <v>7691</v>
      </c>
      <c r="C833" s="5" t="s">
        <v>18</v>
      </c>
      <c r="D833" s="5" t="s">
        <v>7692</v>
      </c>
      <c r="E833" s="5" t="s">
        <v>7693</v>
      </c>
      <c r="F833" s="5" t="s">
        <v>7564</v>
      </c>
      <c r="G833" s="5" t="s">
        <v>7694</v>
      </c>
      <c r="H833" s="5" t="s">
        <v>23</v>
      </c>
      <c r="I833" s="6" t="s">
        <v>7695</v>
      </c>
      <c r="J833" s="4">
        <v>100.0</v>
      </c>
      <c r="K833" s="5" t="s">
        <v>84</v>
      </c>
      <c r="L833" s="5" t="s">
        <v>7696</v>
      </c>
      <c r="M833" s="5" t="s">
        <v>7697</v>
      </c>
      <c r="N833" s="7" t="s">
        <v>7698</v>
      </c>
      <c r="O833" s="9" t="s">
        <v>7699</v>
      </c>
      <c r="P833" s="19" t="s">
        <v>7700</v>
      </c>
      <c r="Q833" s="5" t="s">
        <v>30</v>
      </c>
    </row>
    <row r="834" ht="21.0" customHeight="1">
      <c r="A834" s="4">
        <v>847.0</v>
      </c>
      <c r="B834" s="5" t="s">
        <v>7701</v>
      </c>
      <c r="C834" s="5" t="s">
        <v>7702</v>
      </c>
      <c r="D834" s="5" t="s">
        <v>5520</v>
      </c>
      <c r="E834" s="5" t="s">
        <v>7703</v>
      </c>
      <c r="F834" s="5" t="s">
        <v>7564</v>
      </c>
      <c r="G834" s="5" t="s">
        <v>34</v>
      </c>
      <c r="H834" s="5" t="s">
        <v>23</v>
      </c>
      <c r="I834" s="6" t="s">
        <v>7704</v>
      </c>
      <c r="J834" s="4">
        <v>100.0</v>
      </c>
      <c r="K834" s="5" t="s">
        <v>25</v>
      </c>
      <c r="L834" s="5" t="s">
        <v>7705</v>
      </c>
      <c r="M834" s="5" t="s">
        <v>7706</v>
      </c>
      <c r="N834" s="7" t="s">
        <v>7707</v>
      </c>
      <c r="O834" s="9" t="s">
        <v>7253</v>
      </c>
      <c r="P834" s="19" t="s">
        <v>7254</v>
      </c>
      <c r="Q834" s="5" t="s">
        <v>30</v>
      </c>
    </row>
    <row r="835" ht="21.0" customHeight="1">
      <c r="A835" s="4">
        <v>848.0</v>
      </c>
      <c r="B835" s="5" t="s">
        <v>7708</v>
      </c>
      <c r="C835" s="5" t="s">
        <v>18</v>
      </c>
      <c r="D835" s="5" t="s">
        <v>7709</v>
      </c>
      <c r="E835" s="5" t="s">
        <v>7710</v>
      </c>
      <c r="F835" s="5" t="s">
        <v>7564</v>
      </c>
      <c r="G835" s="5" t="s">
        <v>7711</v>
      </c>
      <c r="H835" s="5" t="s">
        <v>23</v>
      </c>
      <c r="I835" s="6" t="s">
        <v>7712</v>
      </c>
      <c r="J835" s="4">
        <v>100.0</v>
      </c>
      <c r="K835" s="5" t="s">
        <v>165</v>
      </c>
      <c r="L835" s="5" t="s">
        <v>7713</v>
      </c>
      <c r="M835" s="5" t="s">
        <v>7714</v>
      </c>
      <c r="N835" s="7" t="s">
        <v>7715</v>
      </c>
      <c r="O835" s="9" t="s">
        <v>7716</v>
      </c>
      <c r="P835" s="19" t="s">
        <v>7717</v>
      </c>
      <c r="Q835" s="5" t="s">
        <v>30</v>
      </c>
    </row>
    <row r="836" ht="21.0" customHeight="1">
      <c r="A836" s="4">
        <v>849.0</v>
      </c>
      <c r="B836" s="5" t="s">
        <v>7718</v>
      </c>
      <c r="C836" s="5" t="s">
        <v>18</v>
      </c>
      <c r="D836" s="5" t="s">
        <v>4752</v>
      </c>
      <c r="E836" s="5" t="s">
        <v>7719</v>
      </c>
      <c r="F836" s="5" t="s">
        <v>7564</v>
      </c>
      <c r="G836" s="5" t="s">
        <v>7720</v>
      </c>
      <c r="H836" s="5" t="s">
        <v>23</v>
      </c>
      <c r="I836" s="6" t="s">
        <v>7721</v>
      </c>
      <c r="J836" s="4">
        <v>100.0</v>
      </c>
      <c r="K836" s="5" t="s">
        <v>84</v>
      </c>
      <c r="L836" s="5" t="s">
        <v>7722</v>
      </c>
      <c r="M836" s="5" t="s">
        <v>7723</v>
      </c>
      <c r="N836" s="7" t="s">
        <v>7724</v>
      </c>
      <c r="O836" s="9" t="s">
        <v>7725</v>
      </c>
      <c r="P836" s="19" t="s">
        <v>7726</v>
      </c>
      <c r="Q836" s="5" t="s">
        <v>30</v>
      </c>
    </row>
    <row r="837" ht="21.0" customHeight="1">
      <c r="A837" s="4">
        <v>850.0</v>
      </c>
      <c r="B837" s="5" t="s">
        <v>7727</v>
      </c>
      <c r="C837" s="5" t="s">
        <v>18</v>
      </c>
      <c r="D837" s="5" t="s">
        <v>19</v>
      </c>
      <c r="E837" s="5" t="s">
        <v>7728</v>
      </c>
      <c r="F837" s="5" t="s">
        <v>7564</v>
      </c>
      <c r="G837" s="5" t="s">
        <v>7729</v>
      </c>
      <c r="H837" s="5" t="s">
        <v>23</v>
      </c>
      <c r="I837" s="6" t="s">
        <v>7730</v>
      </c>
      <c r="J837" s="4">
        <v>100.0</v>
      </c>
      <c r="K837" s="5" t="s">
        <v>1410</v>
      </c>
      <c r="L837" s="5" t="s">
        <v>7731</v>
      </c>
      <c r="M837" s="5" t="s">
        <v>7732</v>
      </c>
      <c r="N837" s="7" t="s">
        <v>7733</v>
      </c>
      <c r="O837" s="9" t="s">
        <v>7734</v>
      </c>
      <c r="P837" s="19" t="s">
        <v>7735</v>
      </c>
      <c r="Q837" s="5" t="s">
        <v>30</v>
      </c>
    </row>
    <row r="838" ht="21.0" customHeight="1">
      <c r="A838" s="4">
        <v>851.0</v>
      </c>
      <c r="B838" s="5" t="s">
        <v>7736</v>
      </c>
      <c r="C838" s="5" t="s">
        <v>18</v>
      </c>
      <c r="D838" s="5" t="s">
        <v>170</v>
      </c>
      <c r="E838" s="5" t="s">
        <v>7737</v>
      </c>
      <c r="F838" s="5" t="s">
        <v>7564</v>
      </c>
      <c r="G838" s="5" t="s">
        <v>7738</v>
      </c>
      <c r="H838" s="5" t="s">
        <v>23</v>
      </c>
      <c r="I838" s="6" t="s">
        <v>7739</v>
      </c>
      <c r="J838" s="4">
        <v>100.0</v>
      </c>
      <c r="K838" s="5" t="s">
        <v>25</v>
      </c>
      <c r="L838" s="5" t="s">
        <v>7740</v>
      </c>
      <c r="M838" s="5" t="s">
        <v>7741</v>
      </c>
      <c r="N838" s="7" t="s">
        <v>7742</v>
      </c>
      <c r="O838" s="9" t="s">
        <v>7743</v>
      </c>
      <c r="P838" s="19" t="s">
        <v>7744</v>
      </c>
      <c r="Q838" s="5" t="s">
        <v>30</v>
      </c>
    </row>
    <row r="839" ht="21.0" customHeight="1">
      <c r="A839" s="4">
        <v>852.0</v>
      </c>
      <c r="B839" s="5" t="s">
        <v>7745</v>
      </c>
      <c r="C839" s="5" t="s">
        <v>7746</v>
      </c>
      <c r="D839" s="5" t="s">
        <v>7747</v>
      </c>
      <c r="E839" s="5" t="s">
        <v>7748</v>
      </c>
      <c r="F839" s="5" t="s">
        <v>7564</v>
      </c>
      <c r="G839" s="5" t="s">
        <v>7749</v>
      </c>
      <c r="H839" s="5" t="s">
        <v>23</v>
      </c>
      <c r="I839" s="6" t="s">
        <v>7750</v>
      </c>
      <c r="J839" s="4">
        <v>100.0</v>
      </c>
      <c r="K839" s="5" t="s">
        <v>25</v>
      </c>
      <c r="L839" s="5" t="s">
        <v>7751</v>
      </c>
      <c r="M839" s="5" t="s">
        <v>7752</v>
      </c>
      <c r="N839" s="7" t="s">
        <v>7753</v>
      </c>
      <c r="O839" s="9" t="s">
        <v>7754</v>
      </c>
      <c r="P839" s="19" t="s">
        <v>7755</v>
      </c>
      <c r="Q839" s="5" t="s">
        <v>30</v>
      </c>
    </row>
    <row r="840" ht="21.0" customHeight="1">
      <c r="A840" s="4">
        <v>853.0</v>
      </c>
      <c r="B840" s="5" t="s">
        <v>7756</v>
      </c>
      <c r="C840" s="5" t="s">
        <v>18</v>
      </c>
      <c r="D840" s="5" t="s">
        <v>6293</v>
      </c>
      <c r="E840" s="5" t="s">
        <v>7757</v>
      </c>
      <c r="F840" s="5" t="s">
        <v>7564</v>
      </c>
      <c r="G840" s="5" t="s">
        <v>7758</v>
      </c>
      <c r="H840" s="5" t="s">
        <v>23</v>
      </c>
      <c r="I840" s="6" t="s">
        <v>7759</v>
      </c>
      <c r="J840" s="4">
        <v>100.0</v>
      </c>
      <c r="K840" s="5" t="s">
        <v>84</v>
      </c>
      <c r="L840" s="5" t="s">
        <v>7760</v>
      </c>
      <c r="M840" s="5" t="s">
        <v>7761</v>
      </c>
      <c r="N840" s="7" t="s">
        <v>7762</v>
      </c>
      <c r="O840" s="9" t="s">
        <v>7763</v>
      </c>
      <c r="P840" s="19" t="s">
        <v>7764</v>
      </c>
      <c r="Q840" s="5" t="s">
        <v>30</v>
      </c>
    </row>
    <row r="841" ht="21.0" customHeight="1">
      <c r="A841" s="4">
        <v>854.0</v>
      </c>
      <c r="B841" s="5" t="s">
        <v>7765</v>
      </c>
      <c r="C841" s="5" t="s">
        <v>18</v>
      </c>
      <c r="D841" s="5" t="s">
        <v>6293</v>
      </c>
      <c r="E841" s="5" t="s">
        <v>7766</v>
      </c>
      <c r="F841" s="5" t="s">
        <v>7564</v>
      </c>
      <c r="G841" s="5" t="s">
        <v>7767</v>
      </c>
      <c r="H841" s="5" t="s">
        <v>23</v>
      </c>
      <c r="I841" s="6" t="s">
        <v>7768</v>
      </c>
      <c r="J841" s="4">
        <v>100.0</v>
      </c>
      <c r="K841" s="5" t="s">
        <v>165</v>
      </c>
      <c r="L841" s="5" t="s">
        <v>7769</v>
      </c>
      <c r="M841" s="5" t="s">
        <v>7770</v>
      </c>
      <c r="N841" s="7" t="s">
        <v>7771</v>
      </c>
      <c r="O841" s="9" t="s">
        <v>7772</v>
      </c>
      <c r="P841" s="19" t="s">
        <v>7773</v>
      </c>
      <c r="Q841" s="5" t="s">
        <v>30</v>
      </c>
    </row>
    <row r="842" ht="21.0" customHeight="1">
      <c r="A842" s="4">
        <v>855.0</v>
      </c>
      <c r="B842" s="5" t="s">
        <v>7774</v>
      </c>
      <c r="C842" s="5" t="s">
        <v>18</v>
      </c>
      <c r="D842" s="5" t="s">
        <v>7775</v>
      </c>
      <c r="E842" s="5" t="s">
        <v>7776</v>
      </c>
      <c r="F842" s="5" t="s">
        <v>7564</v>
      </c>
      <c r="G842" s="5" t="s">
        <v>7777</v>
      </c>
      <c r="H842" s="5" t="s">
        <v>23</v>
      </c>
      <c r="I842" s="6" t="s">
        <v>7778</v>
      </c>
      <c r="J842" s="4">
        <v>100.0</v>
      </c>
      <c r="K842" s="5" t="s">
        <v>110</v>
      </c>
      <c r="L842" s="5" t="s">
        <v>7779</v>
      </c>
      <c r="M842" s="5" t="s">
        <v>7780</v>
      </c>
      <c r="N842" s="7" t="s">
        <v>7781</v>
      </c>
      <c r="O842" s="9" t="s">
        <v>7782</v>
      </c>
      <c r="P842" s="19" t="s">
        <v>7783</v>
      </c>
      <c r="Q842" s="5" t="s">
        <v>30</v>
      </c>
    </row>
    <row r="843" ht="21.0" customHeight="1">
      <c r="A843" s="4">
        <v>856.0</v>
      </c>
      <c r="B843" s="5" t="s">
        <v>7784</v>
      </c>
      <c r="C843" s="5" t="s">
        <v>18</v>
      </c>
      <c r="D843" s="5" t="s">
        <v>7785</v>
      </c>
      <c r="E843" s="5" t="s">
        <v>7786</v>
      </c>
      <c r="F843" s="5" t="s">
        <v>7564</v>
      </c>
      <c r="G843" s="5" t="s">
        <v>7787</v>
      </c>
      <c r="H843" s="5" t="s">
        <v>23</v>
      </c>
      <c r="I843" s="6" t="s">
        <v>7788</v>
      </c>
      <c r="J843" s="4">
        <v>100.0</v>
      </c>
      <c r="K843" s="5" t="s">
        <v>25</v>
      </c>
      <c r="L843" s="5" t="s">
        <v>7789</v>
      </c>
      <c r="M843" s="5" t="s">
        <v>7790</v>
      </c>
      <c r="N843" s="7" t="s">
        <v>7791</v>
      </c>
      <c r="O843" s="9" t="s">
        <v>7792</v>
      </c>
      <c r="P843" s="19" t="s">
        <v>7793</v>
      </c>
      <c r="Q843" s="5" t="s">
        <v>30</v>
      </c>
    </row>
    <row r="844" ht="21.0" customHeight="1">
      <c r="A844" s="4">
        <v>857.0</v>
      </c>
      <c r="B844" s="5" t="s">
        <v>7794</v>
      </c>
      <c r="C844" s="5" t="s">
        <v>7795</v>
      </c>
      <c r="D844" s="5" t="s">
        <v>7796</v>
      </c>
      <c r="E844" s="5" t="s">
        <v>7797</v>
      </c>
      <c r="F844" s="5" t="s">
        <v>7564</v>
      </c>
      <c r="G844" s="5" t="s">
        <v>7798</v>
      </c>
      <c r="H844" s="5" t="s">
        <v>23</v>
      </c>
      <c r="I844" s="6" t="s">
        <v>7799</v>
      </c>
      <c r="J844" s="4">
        <v>100.0</v>
      </c>
      <c r="K844" s="5" t="s">
        <v>25</v>
      </c>
      <c r="L844" s="5" t="s">
        <v>7800</v>
      </c>
      <c r="M844" s="5" t="s">
        <v>7801</v>
      </c>
      <c r="N844" s="7" t="s">
        <v>7802</v>
      </c>
      <c r="O844" s="9" t="s">
        <v>7803</v>
      </c>
      <c r="P844" s="19" t="s">
        <v>7804</v>
      </c>
      <c r="Q844" s="5" t="s">
        <v>30</v>
      </c>
    </row>
    <row r="845" ht="21.0" customHeight="1">
      <c r="A845" s="4">
        <v>858.0</v>
      </c>
      <c r="B845" s="5" t="s">
        <v>7805</v>
      </c>
      <c r="C845" s="5" t="s">
        <v>18</v>
      </c>
      <c r="D845" s="5" t="s">
        <v>6332</v>
      </c>
      <c r="E845" s="5" t="s">
        <v>7806</v>
      </c>
      <c r="F845" s="5" t="s">
        <v>7564</v>
      </c>
      <c r="G845" s="5" t="s">
        <v>7807</v>
      </c>
      <c r="H845" s="5" t="s">
        <v>23</v>
      </c>
      <c r="I845" s="6" t="s">
        <v>7808</v>
      </c>
      <c r="J845" s="4">
        <v>100.0</v>
      </c>
      <c r="K845" s="5" t="s">
        <v>110</v>
      </c>
      <c r="L845" s="5" t="s">
        <v>7809</v>
      </c>
      <c r="M845" s="5" t="s">
        <v>7810</v>
      </c>
      <c r="N845" s="7" t="s">
        <v>7811</v>
      </c>
      <c r="O845" s="9" t="s">
        <v>7812</v>
      </c>
      <c r="P845" s="19" t="s">
        <v>7813</v>
      </c>
      <c r="Q845" s="5" t="s">
        <v>30</v>
      </c>
    </row>
    <row r="846" ht="21.0" customHeight="1">
      <c r="A846" s="4">
        <v>860.0</v>
      </c>
      <c r="B846" s="5" t="s">
        <v>7814</v>
      </c>
      <c r="C846" s="5" t="s">
        <v>18</v>
      </c>
      <c r="D846" s="5" t="s">
        <v>7464</v>
      </c>
      <c r="E846" s="5" t="s">
        <v>7815</v>
      </c>
      <c r="F846" s="5" t="s">
        <v>7564</v>
      </c>
      <c r="G846" s="5" t="s">
        <v>7816</v>
      </c>
      <c r="H846" s="5" t="s">
        <v>23</v>
      </c>
      <c r="I846" s="6" t="s">
        <v>7817</v>
      </c>
      <c r="J846" s="4">
        <v>100.0</v>
      </c>
      <c r="K846" s="5" t="s">
        <v>165</v>
      </c>
      <c r="L846" s="5" t="s">
        <v>7818</v>
      </c>
      <c r="M846" s="5" t="s">
        <v>7819</v>
      </c>
      <c r="N846" s="7" t="s">
        <v>7820</v>
      </c>
      <c r="O846" s="9" t="s">
        <v>7821</v>
      </c>
      <c r="P846" s="19" t="s">
        <v>7822</v>
      </c>
      <c r="Q846" s="5" t="s">
        <v>30</v>
      </c>
    </row>
    <row r="847" ht="21.0" customHeight="1">
      <c r="A847" s="4">
        <v>861.0</v>
      </c>
      <c r="B847" s="5" t="s">
        <v>7823</v>
      </c>
      <c r="C847" s="5" t="s">
        <v>18</v>
      </c>
      <c r="D847" s="5" t="s">
        <v>3398</v>
      </c>
      <c r="E847" s="5" t="s">
        <v>7824</v>
      </c>
      <c r="F847" s="5" t="s">
        <v>7564</v>
      </c>
      <c r="G847" s="5" t="s">
        <v>7825</v>
      </c>
      <c r="H847" s="5" t="s">
        <v>23</v>
      </c>
      <c r="I847" s="6" t="s">
        <v>7826</v>
      </c>
      <c r="J847" s="4">
        <v>100.0</v>
      </c>
      <c r="K847" s="5" t="s">
        <v>165</v>
      </c>
      <c r="L847" s="5" t="s">
        <v>7827</v>
      </c>
      <c r="M847" s="5" t="s">
        <v>7828</v>
      </c>
      <c r="N847" s="7" t="s">
        <v>7829</v>
      </c>
      <c r="O847" s="9" t="s">
        <v>7830</v>
      </c>
      <c r="P847" s="19" t="s">
        <v>7831</v>
      </c>
      <c r="Q847" s="5" t="s">
        <v>30</v>
      </c>
    </row>
    <row r="848" ht="21.0" customHeight="1">
      <c r="A848" s="4">
        <v>862.0</v>
      </c>
      <c r="B848" s="5" t="s">
        <v>7832</v>
      </c>
      <c r="C848" s="5" t="s">
        <v>18</v>
      </c>
      <c r="D848" s="5" t="s">
        <v>7833</v>
      </c>
      <c r="E848" s="5" t="s">
        <v>7834</v>
      </c>
      <c r="F848" s="5" t="s">
        <v>7564</v>
      </c>
      <c r="G848" s="5" t="s">
        <v>7835</v>
      </c>
      <c r="H848" s="5" t="s">
        <v>23</v>
      </c>
      <c r="I848" s="6" t="s">
        <v>7836</v>
      </c>
      <c r="J848" s="4">
        <v>100.0</v>
      </c>
      <c r="K848" s="5" t="s">
        <v>517</v>
      </c>
      <c r="L848" s="5" t="s">
        <v>7837</v>
      </c>
      <c r="M848" s="5" t="s">
        <v>7838</v>
      </c>
      <c r="N848" s="7" t="s">
        <v>7839</v>
      </c>
      <c r="O848" s="9" t="s">
        <v>7840</v>
      </c>
      <c r="P848" s="19" t="s">
        <v>7841</v>
      </c>
      <c r="Q848" s="5" t="s">
        <v>30</v>
      </c>
    </row>
    <row r="849" ht="21.0" customHeight="1">
      <c r="A849" s="4">
        <v>863.0</v>
      </c>
      <c r="B849" s="5" t="s">
        <v>7842</v>
      </c>
      <c r="C849" s="5" t="s">
        <v>18</v>
      </c>
      <c r="D849" s="5" t="s">
        <v>7843</v>
      </c>
      <c r="E849" s="5" t="s">
        <v>7844</v>
      </c>
      <c r="F849" s="5" t="s">
        <v>7564</v>
      </c>
      <c r="G849" s="5" t="s">
        <v>7845</v>
      </c>
      <c r="H849" s="5" t="s">
        <v>23</v>
      </c>
      <c r="I849" s="6" t="s">
        <v>7846</v>
      </c>
      <c r="J849" s="4">
        <v>100.0</v>
      </c>
      <c r="K849" s="5" t="s">
        <v>110</v>
      </c>
      <c r="L849" s="5" t="s">
        <v>7847</v>
      </c>
      <c r="M849" s="5" t="s">
        <v>7848</v>
      </c>
      <c r="N849" s="7" t="s">
        <v>7849</v>
      </c>
      <c r="O849" s="9" t="s">
        <v>7850</v>
      </c>
      <c r="P849" s="19" t="s">
        <v>7851</v>
      </c>
      <c r="Q849" s="5" t="s">
        <v>30</v>
      </c>
    </row>
    <row r="850" ht="21.0" customHeight="1">
      <c r="A850" s="4">
        <v>864.0</v>
      </c>
      <c r="B850" s="5" t="s">
        <v>7852</v>
      </c>
      <c r="C850" s="5" t="s">
        <v>7853</v>
      </c>
      <c r="D850" s="5" t="s">
        <v>3515</v>
      </c>
      <c r="E850" s="5" t="s">
        <v>7854</v>
      </c>
      <c r="F850" s="5" t="s">
        <v>7564</v>
      </c>
      <c r="G850" s="5" t="s">
        <v>7855</v>
      </c>
      <c r="H850" s="5" t="s">
        <v>23</v>
      </c>
      <c r="I850" s="6" t="s">
        <v>7856</v>
      </c>
      <c r="J850" s="4">
        <v>100.0</v>
      </c>
      <c r="K850" s="5" t="s">
        <v>25</v>
      </c>
      <c r="L850" s="5" t="s">
        <v>7857</v>
      </c>
      <c r="M850" s="5" t="s">
        <v>7858</v>
      </c>
      <c r="N850" s="7" t="s">
        <v>7859</v>
      </c>
      <c r="O850" s="9" t="s">
        <v>7860</v>
      </c>
      <c r="P850" s="19" t="s">
        <v>7861</v>
      </c>
      <c r="Q850" s="5" t="s">
        <v>30</v>
      </c>
    </row>
    <row r="851" ht="21.0" customHeight="1">
      <c r="A851" s="4">
        <v>865.0</v>
      </c>
      <c r="B851" s="5" t="s">
        <v>7862</v>
      </c>
      <c r="C851" s="5" t="s">
        <v>18</v>
      </c>
      <c r="D851" s="5" t="s">
        <v>19</v>
      </c>
      <c r="E851" s="5" t="s">
        <v>7863</v>
      </c>
      <c r="F851" s="5" t="s">
        <v>7564</v>
      </c>
      <c r="G851" s="5" t="s">
        <v>7864</v>
      </c>
      <c r="H851" s="5" t="s">
        <v>23</v>
      </c>
      <c r="I851" s="6" t="s">
        <v>7865</v>
      </c>
      <c r="J851" s="4">
        <v>100.0</v>
      </c>
      <c r="K851" s="5" t="s">
        <v>93</v>
      </c>
      <c r="L851" s="5" t="s">
        <v>7866</v>
      </c>
      <c r="M851" s="5" t="s">
        <v>7867</v>
      </c>
      <c r="N851" s="7" t="s">
        <v>7868</v>
      </c>
      <c r="O851" s="9" t="s">
        <v>7869</v>
      </c>
      <c r="P851" s="19" t="s">
        <v>7870</v>
      </c>
      <c r="Q851" s="5" t="s">
        <v>30</v>
      </c>
    </row>
    <row r="852" ht="21.0" customHeight="1">
      <c r="A852" s="4">
        <v>866.0</v>
      </c>
      <c r="B852" s="5" t="s">
        <v>7871</v>
      </c>
      <c r="C852" s="5" t="s">
        <v>18</v>
      </c>
      <c r="D852" s="5" t="s">
        <v>7872</v>
      </c>
      <c r="E852" s="5" t="s">
        <v>7873</v>
      </c>
      <c r="F852" s="5" t="s">
        <v>7564</v>
      </c>
      <c r="G852" s="5" t="s">
        <v>7874</v>
      </c>
      <c r="H852" s="5" t="s">
        <v>50</v>
      </c>
      <c r="I852" s="6" t="s">
        <v>7875</v>
      </c>
      <c r="J852" s="4">
        <v>100.0</v>
      </c>
      <c r="K852" s="5" t="s">
        <v>216</v>
      </c>
      <c r="L852" s="5" t="s">
        <v>7876</v>
      </c>
      <c r="M852" s="5" t="s">
        <v>7877</v>
      </c>
      <c r="N852" s="7" t="s">
        <v>7878</v>
      </c>
      <c r="O852" s="9" t="s">
        <v>7879</v>
      </c>
      <c r="P852" s="19" t="s">
        <v>7880</v>
      </c>
      <c r="Q852" s="5" t="s">
        <v>30</v>
      </c>
    </row>
    <row r="853" ht="21.0" customHeight="1">
      <c r="A853" s="4">
        <v>867.0</v>
      </c>
      <c r="B853" s="5" t="s">
        <v>7881</v>
      </c>
      <c r="C853" s="5" t="s">
        <v>7882</v>
      </c>
      <c r="D853" s="5" t="s">
        <v>7883</v>
      </c>
      <c r="E853" s="5" t="s">
        <v>7884</v>
      </c>
      <c r="F853" s="5" t="s">
        <v>7564</v>
      </c>
      <c r="G853" s="5" t="s">
        <v>7885</v>
      </c>
      <c r="H853" s="5" t="s">
        <v>23</v>
      </c>
      <c r="I853" s="6" t="s">
        <v>7886</v>
      </c>
      <c r="J853" s="4">
        <v>100.0</v>
      </c>
      <c r="K853" s="5" t="s">
        <v>165</v>
      </c>
      <c r="L853" s="5" t="s">
        <v>7887</v>
      </c>
      <c r="M853" s="5" t="s">
        <v>7888</v>
      </c>
      <c r="N853" s="7" t="s">
        <v>7889</v>
      </c>
      <c r="O853" s="9" t="s">
        <v>7890</v>
      </c>
      <c r="P853" s="19" t="s">
        <v>7891</v>
      </c>
      <c r="Q853" s="5" t="s">
        <v>30</v>
      </c>
    </row>
    <row r="854" ht="21.0" customHeight="1">
      <c r="A854" s="4">
        <v>868.0</v>
      </c>
      <c r="B854" s="5" t="s">
        <v>7892</v>
      </c>
      <c r="C854" s="5" t="s">
        <v>18</v>
      </c>
      <c r="D854" s="5" t="s">
        <v>19</v>
      </c>
      <c r="E854" s="5" t="s">
        <v>7893</v>
      </c>
      <c r="F854" s="5" t="s">
        <v>7564</v>
      </c>
      <c r="G854" s="5" t="s">
        <v>7894</v>
      </c>
      <c r="H854" s="5" t="s">
        <v>23</v>
      </c>
      <c r="I854" s="6" t="s">
        <v>7895</v>
      </c>
      <c r="J854" s="4">
        <v>100.0</v>
      </c>
      <c r="K854" s="5" t="s">
        <v>25</v>
      </c>
      <c r="L854" s="5" t="s">
        <v>7896</v>
      </c>
      <c r="M854" s="5" t="s">
        <v>7897</v>
      </c>
      <c r="N854" s="7" t="s">
        <v>7898</v>
      </c>
      <c r="O854" s="9" t="s">
        <v>7899</v>
      </c>
      <c r="P854" s="19" t="s">
        <v>7900</v>
      </c>
      <c r="Q854" s="5" t="s">
        <v>30</v>
      </c>
    </row>
    <row r="855" ht="21.0" customHeight="1">
      <c r="A855" s="4">
        <v>869.0</v>
      </c>
      <c r="B855" s="5" t="s">
        <v>7901</v>
      </c>
      <c r="C855" s="5" t="s">
        <v>18</v>
      </c>
      <c r="D855" s="5" t="s">
        <v>7902</v>
      </c>
      <c r="E855" s="5" t="s">
        <v>7903</v>
      </c>
      <c r="F855" s="5" t="s">
        <v>7564</v>
      </c>
      <c r="G855" s="5" t="s">
        <v>7904</v>
      </c>
      <c r="H855" s="5" t="s">
        <v>23</v>
      </c>
      <c r="I855" s="6" t="s">
        <v>7905</v>
      </c>
      <c r="J855" s="4">
        <v>100.0</v>
      </c>
      <c r="K855" s="5" t="s">
        <v>25</v>
      </c>
      <c r="L855" s="5" t="s">
        <v>7906</v>
      </c>
      <c r="M855" s="5" t="s">
        <v>7907</v>
      </c>
      <c r="N855" s="7" t="s">
        <v>7908</v>
      </c>
      <c r="O855" s="9" t="s">
        <v>7909</v>
      </c>
      <c r="P855" s="5" t="s">
        <v>30</v>
      </c>
      <c r="Q855" s="5" t="s">
        <v>30</v>
      </c>
    </row>
    <row r="856" ht="21.0" customHeight="1">
      <c r="A856" s="4">
        <v>870.0</v>
      </c>
      <c r="B856" s="5" t="s">
        <v>7910</v>
      </c>
      <c r="C856" s="5" t="s">
        <v>18</v>
      </c>
      <c r="D856" s="5" t="s">
        <v>7911</v>
      </c>
      <c r="E856" s="5" t="s">
        <v>7912</v>
      </c>
      <c r="F856" s="5" t="s">
        <v>7564</v>
      </c>
      <c r="G856" s="5" t="s">
        <v>34</v>
      </c>
      <c r="H856" s="5" t="s">
        <v>23</v>
      </c>
      <c r="I856" s="6" t="s">
        <v>7913</v>
      </c>
      <c r="J856" s="4">
        <v>100.0</v>
      </c>
      <c r="K856" s="5" t="s">
        <v>25</v>
      </c>
      <c r="L856" s="5" t="s">
        <v>7914</v>
      </c>
      <c r="M856" s="5" t="s">
        <v>7915</v>
      </c>
      <c r="N856" s="7" t="s">
        <v>7916</v>
      </c>
      <c r="O856" s="9" t="s">
        <v>7917</v>
      </c>
      <c r="P856" s="19" t="s">
        <v>7918</v>
      </c>
      <c r="Q856" s="5" t="s">
        <v>30</v>
      </c>
    </row>
    <row r="857" ht="21.0" customHeight="1">
      <c r="A857" s="4">
        <v>871.0</v>
      </c>
      <c r="B857" s="5" t="s">
        <v>7919</v>
      </c>
      <c r="C857" s="5" t="s">
        <v>18</v>
      </c>
      <c r="D857" s="5" t="s">
        <v>7920</v>
      </c>
      <c r="E857" s="5" t="s">
        <v>7921</v>
      </c>
      <c r="F857" s="5" t="s">
        <v>7564</v>
      </c>
      <c r="G857" s="5" t="s">
        <v>7922</v>
      </c>
      <c r="H857" s="5" t="s">
        <v>23</v>
      </c>
      <c r="I857" s="6" t="s">
        <v>7923</v>
      </c>
      <c r="J857" s="4">
        <v>100.0</v>
      </c>
      <c r="K857" s="5" t="s">
        <v>84</v>
      </c>
      <c r="L857" s="5" t="s">
        <v>7924</v>
      </c>
      <c r="M857" s="5" t="s">
        <v>7925</v>
      </c>
      <c r="N857" s="7" t="s">
        <v>7926</v>
      </c>
      <c r="O857" s="9" t="s">
        <v>7927</v>
      </c>
      <c r="P857" s="19" t="s">
        <v>7928</v>
      </c>
      <c r="Q857" s="5" t="s">
        <v>30</v>
      </c>
    </row>
    <row r="858" ht="21.0" customHeight="1">
      <c r="A858" s="4">
        <v>872.0</v>
      </c>
      <c r="B858" s="5" t="s">
        <v>7929</v>
      </c>
      <c r="C858" s="5" t="s">
        <v>18</v>
      </c>
      <c r="D858" s="5" t="s">
        <v>7930</v>
      </c>
      <c r="E858" s="5" t="s">
        <v>7931</v>
      </c>
      <c r="F858" s="5" t="s">
        <v>7564</v>
      </c>
      <c r="G858" s="5" t="s">
        <v>7932</v>
      </c>
      <c r="H858" s="5" t="s">
        <v>50</v>
      </c>
      <c r="I858" s="6" t="s">
        <v>7933</v>
      </c>
      <c r="J858" s="4">
        <v>100.0</v>
      </c>
      <c r="K858" s="5" t="s">
        <v>141</v>
      </c>
      <c r="L858" s="5" t="s">
        <v>7934</v>
      </c>
      <c r="M858" s="5" t="s">
        <v>7935</v>
      </c>
      <c r="N858" s="7" t="s">
        <v>7936</v>
      </c>
      <c r="O858" s="9" t="s">
        <v>7937</v>
      </c>
      <c r="P858" s="19" t="s">
        <v>7938</v>
      </c>
      <c r="Q858" s="5" t="s">
        <v>30</v>
      </c>
    </row>
    <row r="859" ht="21.0" customHeight="1">
      <c r="A859" s="4">
        <v>873.0</v>
      </c>
      <c r="B859" s="5" t="s">
        <v>7939</v>
      </c>
      <c r="C859" s="5" t="s">
        <v>18</v>
      </c>
      <c r="D859" s="5" t="s">
        <v>3585</v>
      </c>
      <c r="E859" s="5" t="s">
        <v>7940</v>
      </c>
      <c r="F859" s="5" t="s">
        <v>7564</v>
      </c>
      <c r="G859" s="5" t="s">
        <v>7941</v>
      </c>
      <c r="H859" s="5" t="s">
        <v>23</v>
      </c>
      <c r="I859" s="6" t="s">
        <v>7942</v>
      </c>
      <c r="J859" s="4">
        <v>100.0</v>
      </c>
      <c r="K859" s="5" t="s">
        <v>316</v>
      </c>
      <c r="L859" s="5" t="s">
        <v>7943</v>
      </c>
      <c r="M859" s="5" t="s">
        <v>7944</v>
      </c>
      <c r="N859" s="7" t="s">
        <v>7945</v>
      </c>
      <c r="O859" s="9" t="s">
        <v>7946</v>
      </c>
      <c r="P859" s="19" t="s">
        <v>7947</v>
      </c>
      <c r="Q859" s="5" t="s">
        <v>30</v>
      </c>
    </row>
    <row r="860" ht="21.0" customHeight="1">
      <c r="A860" s="4">
        <v>874.0</v>
      </c>
      <c r="B860" s="5" t="s">
        <v>7948</v>
      </c>
      <c r="C860" s="5" t="s">
        <v>18</v>
      </c>
      <c r="D860" s="5" t="s">
        <v>7949</v>
      </c>
      <c r="E860" s="5" t="s">
        <v>7950</v>
      </c>
      <c r="F860" s="5" t="s">
        <v>7564</v>
      </c>
      <c r="G860" s="5" t="s">
        <v>7951</v>
      </c>
      <c r="H860" s="5" t="s">
        <v>23</v>
      </c>
      <c r="I860" s="6" t="s">
        <v>7952</v>
      </c>
      <c r="J860" s="4">
        <v>100.0</v>
      </c>
      <c r="K860" s="5" t="s">
        <v>165</v>
      </c>
      <c r="L860" s="5" t="s">
        <v>7953</v>
      </c>
      <c r="M860" s="5" t="s">
        <v>7954</v>
      </c>
      <c r="N860" s="10" t="s">
        <v>7955</v>
      </c>
      <c r="O860" s="9" t="s">
        <v>7956</v>
      </c>
      <c r="P860" s="19" t="s">
        <v>7957</v>
      </c>
      <c r="Q860" s="5" t="s">
        <v>30</v>
      </c>
    </row>
    <row r="861" ht="21.0" customHeight="1">
      <c r="A861" s="4">
        <v>875.0</v>
      </c>
      <c r="B861" s="5" t="s">
        <v>7958</v>
      </c>
      <c r="C861" s="5" t="s">
        <v>7959</v>
      </c>
      <c r="D861" s="5" t="s">
        <v>7960</v>
      </c>
      <c r="E861" s="5" t="s">
        <v>7961</v>
      </c>
      <c r="F861" s="5" t="s">
        <v>7564</v>
      </c>
      <c r="G861" s="5" t="s">
        <v>7962</v>
      </c>
      <c r="H861" s="5" t="s">
        <v>23</v>
      </c>
      <c r="I861" s="6" t="s">
        <v>7963</v>
      </c>
      <c r="J861" s="4">
        <v>100.0</v>
      </c>
      <c r="K861" s="5" t="s">
        <v>25</v>
      </c>
      <c r="L861" s="5" t="s">
        <v>7964</v>
      </c>
      <c r="M861" s="5" t="s">
        <v>7965</v>
      </c>
      <c r="N861" s="7" t="s">
        <v>7966</v>
      </c>
      <c r="O861" s="9" t="s">
        <v>7967</v>
      </c>
      <c r="P861" s="19" t="s">
        <v>7968</v>
      </c>
      <c r="Q861" s="5" t="s">
        <v>30</v>
      </c>
    </row>
    <row r="862" ht="21.0" customHeight="1">
      <c r="A862" s="4">
        <v>876.0</v>
      </c>
      <c r="B862" s="5" t="s">
        <v>7969</v>
      </c>
      <c r="C862" s="5" t="s">
        <v>18</v>
      </c>
      <c r="D862" s="5" t="s">
        <v>6332</v>
      </c>
      <c r="E862" s="5" t="s">
        <v>7970</v>
      </c>
      <c r="F862" s="5" t="s">
        <v>7564</v>
      </c>
      <c r="G862" s="5" t="s">
        <v>7971</v>
      </c>
      <c r="H862" s="5" t="s">
        <v>23</v>
      </c>
      <c r="I862" s="6" t="s">
        <v>7972</v>
      </c>
      <c r="J862" s="4">
        <v>100.0</v>
      </c>
      <c r="K862" s="5" t="s">
        <v>25</v>
      </c>
      <c r="L862" s="5" t="s">
        <v>7973</v>
      </c>
      <c r="M862" s="5" t="s">
        <v>7974</v>
      </c>
      <c r="N862" s="7" t="s">
        <v>7975</v>
      </c>
      <c r="O862" s="9" t="s">
        <v>7976</v>
      </c>
      <c r="P862" s="19" t="s">
        <v>7977</v>
      </c>
      <c r="Q862" s="5" t="s">
        <v>30</v>
      </c>
    </row>
    <row r="863" ht="21.0" customHeight="1">
      <c r="A863" s="4">
        <v>877.0</v>
      </c>
      <c r="B863" s="5" t="s">
        <v>7978</v>
      </c>
      <c r="C863" s="5" t="s">
        <v>18</v>
      </c>
      <c r="D863" s="5" t="s">
        <v>7979</v>
      </c>
      <c r="E863" s="5" t="s">
        <v>7980</v>
      </c>
      <c r="F863" s="5" t="s">
        <v>7564</v>
      </c>
      <c r="G863" s="5" t="s">
        <v>7981</v>
      </c>
      <c r="H863" s="5" t="s">
        <v>23</v>
      </c>
      <c r="I863" s="6" t="s">
        <v>7982</v>
      </c>
      <c r="J863" s="4">
        <v>100.0</v>
      </c>
      <c r="K863" s="5" t="s">
        <v>84</v>
      </c>
      <c r="L863" s="5" t="s">
        <v>7983</v>
      </c>
      <c r="M863" s="5" t="s">
        <v>7984</v>
      </c>
      <c r="N863" s="7" t="s">
        <v>7985</v>
      </c>
      <c r="O863" s="9" t="s">
        <v>7986</v>
      </c>
      <c r="P863" s="19" t="s">
        <v>7987</v>
      </c>
      <c r="Q863" s="5" t="s">
        <v>30</v>
      </c>
    </row>
    <row r="864" ht="21.0" customHeight="1">
      <c r="A864" s="4">
        <v>878.0</v>
      </c>
      <c r="B864" s="5" t="s">
        <v>7988</v>
      </c>
      <c r="C864" s="5" t="s">
        <v>7989</v>
      </c>
      <c r="D864" s="5" t="s">
        <v>7990</v>
      </c>
      <c r="E864" s="5" t="s">
        <v>7991</v>
      </c>
      <c r="F864" s="5" t="s">
        <v>7564</v>
      </c>
      <c r="G864" s="5" t="s">
        <v>7992</v>
      </c>
      <c r="H864" s="5" t="s">
        <v>23</v>
      </c>
      <c r="I864" s="6" t="s">
        <v>7993</v>
      </c>
      <c r="J864" s="4">
        <v>100.0</v>
      </c>
      <c r="K864" s="5" t="s">
        <v>25</v>
      </c>
      <c r="L864" s="5" t="s">
        <v>7994</v>
      </c>
      <c r="M864" s="5" t="s">
        <v>7995</v>
      </c>
      <c r="N864" s="7" t="s">
        <v>7996</v>
      </c>
      <c r="O864" s="9" t="s">
        <v>7997</v>
      </c>
      <c r="P864" s="19" t="s">
        <v>7998</v>
      </c>
      <c r="Q864" s="5" t="s">
        <v>30</v>
      </c>
    </row>
    <row r="865" ht="21.0" customHeight="1">
      <c r="A865" s="4">
        <v>879.0</v>
      </c>
      <c r="B865" s="5" t="s">
        <v>7999</v>
      </c>
      <c r="C865" s="5" t="s">
        <v>18</v>
      </c>
      <c r="D865" s="5" t="s">
        <v>8000</v>
      </c>
      <c r="E865" s="5" t="s">
        <v>8001</v>
      </c>
      <c r="F865" s="5" t="s">
        <v>7564</v>
      </c>
      <c r="G865" s="5" t="s">
        <v>8002</v>
      </c>
      <c r="H865" s="5" t="s">
        <v>23</v>
      </c>
      <c r="I865" s="6" t="s">
        <v>8003</v>
      </c>
      <c r="J865" s="4">
        <v>100.0</v>
      </c>
      <c r="K865" s="5" t="s">
        <v>25</v>
      </c>
      <c r="L865" s="5" t="s">
        <v>8004</v>
      </c>
      <c r="M865" s="5" t="s">
        <v>8005</v>
      </c>
      <c r="N865" s="7" t="s">
        <v>8006</v>
      </c>
      <c r="O865" s="9" t="s">
        <v>8007</v>
      </c>
      <c r="P865" s="19" t="s">
        <v>8008</v>
      </c>
      <c r="Q865" s="5" t="s">
        <v>30</v>
      </c>
    </row>
    <row r="866" ht="21.0" customHeight="1">
      <c r="A866" s="4">
        <v>880.0</v>
      </c>
      <c r="B866" s="5" t="s">
        <v>8009</v>
      </c>
      <c r="C866" s="5" t="s">
        <v>18</v>
      </c>
      <c r="D866" s="5" t="s">
        <v>8010</v>
      </c>
      <c r="E866" s="5" t="s">
        <v>8011</v>
      </c>
      <c r="F866" s="5" t="s">
        <v>7564</v>
      </c>
      <c r="G866" s="5" t="s">
        <v>8012</v>
      </c>
      <c r="H866" s="5" t="s">
        <v>23</v>
      </c>
      <c r="I866" s="6" t="s">
        <v>8013</v>
      </c>
      <c r="J866" s="4">
        <v>100.0</v>
      </c>
      <c r="K866" s="5" t="s">
        <v>110</v>
      </c>
      <c r="L866" s="5" t="s">
        <v>8014</v>
      </c>
      <c r="M866" s="5" t="s">
        <v>8015</v>
      </c>
      <c r="N866" s="7" t="s">
        <v>8016</v>
      </c>
      <c r="O866" s="9" t="s">
        <v>8017</v>
      </c>
      <c r="P866" s="19" t="s">
        <v>8018</v>
      </c>
      <c r="Q866" s="5" t="s">
        <v>30</v>
      </c>
    </row>
    <row r="867" ht="21.0" customHeight="1">
      <c r="A867" s="4">
        <v>881.0</v>
      </c>
      <c r="B867" s="5" t="s">
        <v>8019</v>
      </c>
      <c r="C867" s="5" t="s">
        <v>18</v>
      </c>
      <c r="D867" s="5" t="s">
        <v>8020</v>
      </c>
      <c r="E867" s="5" t="s">
        <v>8021</v>
      </c>
      <c r="F867" s="5" t="s">
        <v>7564</v>
      </c>
      <c r="G867" s="5" t="s">
        <v>8022</v>
      </c>
      <c r="H867" s="5" t="s">
        <v>23</v>
      </c>
      <c r="I867" s="6" t="s">
        <v>8023</v>
      </c>
      <c r="J867" s="4">
        <v>100.0</v>
      </c>
      <c r="K867" s="5" t="s">
        <v>165</v>
      </c>
      <c r="L867" s="5" t="s">
        <v>8024</v>
      </c>
      <c r="M867" s="5" t="s">
        <v>8025</v>
      </c>
      <c r="N867" s="7" t="s">
        <v>8026</v>
      </c>
      <c r="O867" s="9" t="s">
        <v>8027</v>
      </c>
      <c r="P867" s="19" t="s">
        <v>8028</v>
      </c>
      <c r="Q867" s="5" t="s">
        <v>30</v>
      </c>
    </row>
    <row r="868" ht="21.0" customHeight="1">
      <c r="A868" s="4">
        <v>882.0</v>
      </c>
      <c r="B868" s="5" t="s">
        <v>8029</v>
      </c>
      <c r="C868" s="5" t="s">
        <v>18</v>
      </c>
      <c r="D868" s="5" t="s">
        <v>8030</v>
      </c>
      <c r="E868" s="5" t="s">
        <v>8031</v>
      </c>
      <c r="F868" s="5" t="s">
        <v>7564</v>
      </c>
      <c r="G868" s="5" t="s">
        <v>8032</v>
      </c>
      <c r="H868" s="5" t="s">
        <v>23</v>
      </c>
      <c r="I868" s="6" t="s">
        <v>8033</v>
      </c>
      <c r="J868" s="4">
        <v>100.0</v>
      </c>
      <c r="K868" s="5" t="s">
        <v>25</v>
      </c>
      <c r="L868" s="5" t="s">
        <v>8034</v>
      </c>
      <c r="M868" s="5" t="s">
        <v>8035</v>
      </c>
      <c r="N868" s="7" t="s">
        <v>8036</v>
      </c>
      <c r="O868" s="9" t="s">
        <v>8037</v>
      </c>
      <c r="P868" s="19" t="s">
        <v>8038</v>
      </c>
      <c r="Q868" s="5" t="s">
        <v>30</v>
      </c>
    </row>
    <row r="869" ht="21.0" customHeight="1">
      <c r="A869" s="4">
        <v>883.0</v>
      </c>
      <c r="B869" s="5" t="s">
        <v>8039</v>
      </c>
      <c r="C869" s="5" t="s">
        <v>8040</v>
      </c>
      <c r="D869" s="5" t="s">
        <v>3398</v>
      </c>
      <c r="E869" s="5" t="s">
        <v>8041</v>
      </c>
      <c r="F869" s="5" t="s">
        <v>7564</v>
      </c>
      <c r="G869" s="5" t="s">
        <v>8042</v>
      </c>
      <c r="H869" s="5" t="s">
        <v>23</v>
      </c>
      <c r="I869" s="6" t="s">
        <v>8043</v>
      </c>
      <c r="J869" s="4">
        <v>100.0</v>
      </c>
      <c r="K869" s="5" t="s">
        <v>25</v>
      </c>
      <c r="L869" s="5" t="s">
        <v>8044</v>
      </c>
      <c r="M869" s="5" t="s">
        <v>8045</v>
      </c>
      <c r="N869" s="7" t="s">
        <v>8046</v>
      </c>
      <c r="O869" s="9" t="s">
        <v>8047</v>
      </c>
      <c r="P869" s="19" t="s">
        <v>8048</v>
      </c>
      <c r="Q869" s="5" t="s">
        <v>30</v>
      </c>
    </row>
    <row r="870" ht="21.0" customHeight="1">
      <c r="A870" s="4">
        <v>884.0</v>
      </c>
      <c r="B870" s="5" t="s">
        <v>8049</v>
      </c>
      <c r="C870" s="5" t="s">
        <v>18</v>
      </c>
      <c r="D870" s="5" t="s">
        <v>8050</v>
      </c>
      <c r="E870" s="5" t="s">
        <v>8051</v>
      </c>
      <c r="F870" s="5" t="s">
        <v>7564</v>
      </c>
      <c r="G870" s="5" t="s">
        <v>8052</v>
      </c>
      <c r="H870" s="5" t="s">
        <v>23</v>
      </c>
      <c r="I870" s="6" t="s">
        <v>8053</v>
      </c>
      <c r="J870" s="4">
        <v>100.0</v>
      </c>
      <c r="K870" s="5" t="s">
        <v>84</v>
      </c>
      <c r="L870" s="5" t="s">
        <v>8054</v>
      </c>
      <c r="M870" s="5" t="s">
        <v>8055</v>
      </c>
      <c r="N870" s="7" t="s">
        <v>8056</v>
      </c>
      <c r="O870" s="9" t="s">
        <v>8057</v>
      </c>
      <c r="P870" s="19" t="s">
        <v>8058</v>
      </c>
      <c r="Q870" s="5" t="s">
        <v>30</v>
      </c>
    </row>
    <row r="871" ht="21.0" customHeight="1">
      <c r="A871" s="4">
        <v>885.0</v>
      </c>
      <c r="B871" s="5" t="s">
        <v>8059</v>
      </c>
      <c r="C871" s="5" t="s">
        <v>18</v>
      </c>
      <c r="D871" s="5" t="s">
        <v>19</v>
      </c>
      <c r="E871" s="5" t="s">
        <v>8060</v>
      </c>
      <c r="F871" s="5" t="s">
        <v>7564</v>
      </c>
      <c r="G871" s="5" t="s">
        <v>8061</v>
      </c>
      <c r="H871" s="5" t="s">
        <v>23</v>
      </c>
      <c r="I871" s="6" t="s">
        <v>8062</v>
      </c>
      <c r="J871" s="4">
        <v>100.0</v>
      </c>
      <c r="K871" s="5" t="s">
        <v>25</v>
      </c>
      <c r="L871" s="5" t="s">
        <v>8063</v>
      </c>
      <c r="M871" s="5" t="s">
        <v>8064</v>
      </c>
      <c r="N871" s="7" t="s">
        <v>8065</v>
      </c>
      <c r="O871" s="9" t="s">
        <v>8066</v>
      </c>
      <c r="P871" s="19" t="s">
        <v>8067</v>
      </c>
      <c r="Q871" s="5" t="s">
        <v>30</v>
      </c>
    </row>
    <row r="872" ht="21.0" customHeight="1">
      <c r="A872" s="4">
        <v>886.0</v>
      </c>
      <c r="B872" s="5" t="s">
        <v>8068</v>
      </c>
      <c r="C872" s="5" t="s">
        <v>18</v>
      </c>
      <c r="D872" s="5" t="s">
        <v>6332</v>
      </c>
      <c r="E872" s="5" t="s">
        <v>8069</v>
      </c>
      <c r="F872" s="5" t="s">
        <v>7564</v>
      </c>
      <c r="G872" s="5" t="s">
        <v>8070</v>
      </c>
      <c r="H872" s="5" t="s">
        <v>23</v>
      </c>
      <c r="I872" s="6" t="s">
        <v>8071</v>
      </c>
      <c r="J872" s="4">
        <v>100.0</v>
      </c>
      <c r="K872" s="5" t="s">
        <v>25</v>
      </c>
      <c r="L872" s="5" t="s">
        <v>8072</v>
      </c>
      <c r="M872" s="5" t="s">
        <v>8073</v>
      </c>
      <c r="N872" s="7" t="s">
        <v>8074</v>
      </c>
      <c r="O872" s="9" t="s">
        <v>8075</v>
      </c>
      <c r="P872" s="19" t="s">
        <v>8076</v>
      </c>
      <c r="Q872" s="5" t="s">
        <v>30</v>
      </c>
    </row>
    <row r="873" ht="21.0" customHeight="1">
      <c r="A873" s="13">
        <v>887.0</v>
      </c>
      <c r="B873" s="14" t="s">
        <v>8077</v>
      </c>
      <c r="C873" s="14" t="s">
        <v>18</v>
      </c>
      <c r="D873" s="14" t="s">
        <v>8078</v>
      </c>
      <c r="E873" s="14" t="s">
        <v>8079</v>
      </c>
      <c r="F873" s="14" t="s">
        <v>8080</v>
      </c>
      <c r="G873" s="14" t="s">
        <v>8081</v>
      </c>
      <c r="H873" s="14" t="s">
        <v>23</v>
      </c>
      <c r="I873" s="15" t="s">
        <v>8082</v>
      </c>
      <c r="J873" s="13">
        <v>100.0</v>
      </c>
      <c r="K873" s="14" t="s">
        <v>110</v>
      </c>
      <c r="L873" s="14" t="s">
        <v>8083</v>
      </c>
      <c r="M873" s="14" t="s">
        <v>8084</v>
      </c>
      <c r="N873" s="16" t="s">
        <v>8085</v>
      </c>
      <c r="O873" s="17" t="s">
        <v>8086</v>
      </c>
      <c r="P873" s="26" t="s">
        <v>8087</v>
      </c>
      <c r="Q873" s="14" t="s">
        <v>30</v>
      </c>
      <c r="R873" s="18"/>
      <c r="S873" s="18"/>
      <c r="T873" s="18"/>
      <c r="U873" s="18"/>
      <c r="V873" s="18"/>
      <c r="W873" s="18"/>
      <c r="X873" s="18"/>
      <c r="Y873" s="18"/>
      <c r="Z873" s="18"/>
    </row>
    <row r="874" ht="21.0" customHeight="1">
      <c r="A874" s="4">
        <v>888.0</v>
      </c>
      <c r="B874" s="5" t="s">
        <v>8088</v>
      </c>
      <c r="C874" s="5" t="s">
        <v>18</v>
      </c>
      <c r="D874" s="5" t="s">
        <v>7655</v>
      </c>
      <c r="E874" s="5" t="s">
        <v>8089</v>
      </c>
      <c r="F874" s="5" t="s">
        <v>8080</v>
      </c>
      <c r="G874" s="5" t="s">
        <v>8090</v>
      </c>
      <c r="H874" s="5" t="s">
        <v>23</v>
      </c>
      <c r="I874" s="6" t="s">
        <v>8091</v>
      </c>
      <c r="J874" s="4">
        <v>100.0</v>
      </c>
      <c r="K874" s="5" t="s">
        <v>68</v>
      </c>
      <c r="L874" s="5" t="s">
        <v>8092</v>
      </c>
      <c r="M874" s="5" t="s">
        <v>8093</v>
      </c>
      <c r="N874" s="7" t="s">
        <v>8094</v>
      </c>
      <c r="O874" s="9" t="s">
        <v>8095</v>
      </c>
      <c r="P874" s="19" t="s">
        <v>8096</v>
      </c>
      <c r="Q874" s="5" t="s">
        <v>30</v>
      </c>
    </row>
    <row r="875" ht="21.0" customHeight="1">
      <c r="A875" s="4">
        <v>889.0</v>
      </c>
      <c r="B875" s="5" t="s">
        <v>8097</v>
      </c>
      <c r="C875" s="5" t="s">
        <v>8098</v>
      </c>
      <c r="D875" s="5" t="s">
        <v>8099</v>
      </c>
      <c r="E875" s="5" t="s">
        <v>8100</v>
      </c>
      <c r="F875" s="5" t="s">
        <v>8080</v>
      </c>
      <c r="G875" s="5" t="s">
        <v>8101</v>
      </c>
      <c r="H875" s="5" t="s">
        <v>3537</v>
      </c>
      <c r="I875" s="6" t="s">
        <v>8102</v>
      </c>
      <c r="J875" s="4">
        <v>100.0</v>
      </c>
      <c r="K875" s="5" t="s">
        <v>25</v>
      </c>
      <c r="L875" s="5" t="s">
        <v>8103</v>
      </c>
      <c r="M875" s="5" t="s">
        <v>8104</v>
      </c>
      <c r="N875" s="7" t="s">
        <v>8105</v>
      </c>
      <c r="O875" s="9" t="s">
        <v>8106</v>
      </c>
      <c r="P875" s="19" t="s">
        <v>8107</v>
      </c>
      <c r="Q875" s="5" t="s">
        <v>30</v>
      </c>
    </row>
    <row r="876" ht="21.0" customHeight="1">
      <c r="A876" s="4">
        <v>890.0</v>
      </c>
      <c r="B876" s="5" t="s">
        <v>8108</v>
      </c>
      <c r="C876" s="5" t="s">
        <v>18</v>
      </c>
      <c r="D876" s="5" t="s">
        <v>3398</v>
      </c>
      <c r="E876" s="5" t="s">
        <v>8109</v>
      </c>
      <c r="F876" s="5" t="s">
        <v>8080</v>
      </c>
      <c r="G876" s="5" t="s">
        <v>8110</v>
      </c>
      <c r="H876" s="5" t="s">
        <v>23</v>
      </c>
      <c r="I876" s="6" t="s">
        <v>8111</v>
      </c>
      <c r="J876" s="4">
        <v>100.0</v>
      </c>
      <c r="K876" s="5" t="s">
        <v>165</v>
      </c>
      <c r="L876" s="5" t="s">
        <v>8112</v>
      </c>
      <c r="M876" s="5" t="s">
        <v>8113</v>
      </c>
      <c r="N876" s="7" t="s">
        <v>8114</v>
      </c>
      <c r="O876" s="9" t="s">
        <v>8115</v>
      </c>
      <c r="P876" s="19" t="s">
        <v>8116</v>
      </c>
      <c r="Q876" s="5" t="s">
        <v>30</v>
      </c>
    </row>
    <row r="877" ht="21.0" customHeight="1">
      <c r="A877" s="4">
        <v>891.0</v>
      </c>
      <c r="B877" s="5" t="s">
        <v>8117</v>
      </c>
      <c r="C877" s="5" t="s">
        <v>18</v>
      </c>
      <c r="D877" s="5" t="s">
        <v>8118</v>
      </c>
      <c r="E877" s="5" t="s">
        <v>8119</v>
      </c>
      <c r="F877" s="5" t="s">
        <v>8080</v>
      </c>
      <c r="G877" s="5" t="s">
        <v>8120</v>
      </c>
      <c r="H877" s="5" t="s">
        <v>23</v>
      </c>
      <c r="I877" s="6" t="s">
        <v>8121</v>
      </c>
      <c r="J877" s="4">
        <v>100.0</v>
      </c>
      <c r="K877" s="5" t="s">
        <v>110</v>
      </c>
      <c r="L877" s="5" t="s">
        <v>8122</v>
      </c>
      <c r="M877" s="5" t="s">
        <v>8123</v>
      </c>
      <c r="N877" s="7" t="s">
        <v>8124</v>
      </c>
      <c r="O877" s="9" t="s">
        <v>8125</v>
      </c>
      <c r="P877" s="19" t="s">
        <v>8126</v>
      </c>
      <c r="Q877" s="5" t="s">
        <v>30</v>
      </c>
    </row>
    <row r="878" ht="21.0" customHeight="1">
      <c r="A878" s="4">
        <v>892.0</v>
      </c>
      <c r="B878" s="5" t="s">
        <v>8127</v>
      </c>
      <c r="C878" s="5" t="s">
        <v>18</v>
      </c>
      <c r="D878" s="5" t="s">
        <v>2307</v>
      </c>
      <c r="E878" s="5" t="s">
        <v>8128</v>
      </c>
      <c r="F878" s="5" t="s">
        <v>8080</v>
      </c>
      <c r="G878" s="5" t="s">
        <v>8129</v>
      </c>
      <c r="H878" s="5" t="s">
        <v>23</v>
      </c>
      <c r="I878" s="6" t="s">
        <v>8130</v>
      </c>
      <c r="J878" s="4">
        <v>100.0</v>
      </c>
      <c r="K878" s="5" t="s">
        <v>165</v>
      </c>
      <c r="L878" s="5" t="s">
        <v>8131</v>
      </c>
      <c r="M878" s="5" t="s">
        <v>8132</v>
      </c>
      <c r="N878" s="7" t="s">
        <v>8133</v>
      </c>
      <c r="O878" s="9" t="s">
        <v>8134</v>
      </c>
      <c r="P878" s="19" t="s">
        <v>8135</v>
      </c>
      <c r="Q878" s="5" t="s">
        <v>30</v>
      </c>
    </row>
    <row r="879" ht="21.0" customHeight="1">
      <c r="A879" s="4">
        <v>893.0</v>
      </c>
      <c r="B879" s="5" t="s">
        <v>8136</v>
      </c>
      <c r="C879" s="5" t="s">
        <v>8137</v>
      </c>
      <c r="D879" s="5" t="s">
        <v>8138</v>
      </c>
      <c r="E879" s="5" t="s">
        <v>8139</v>
      </c>
      <c r="F879" s="5" t="s">
        <v>8080</v>
      </c>
      <c r="G879" s="5" t="s">
        <v>8140</v>
      </c>
      <c r="H879" s="5" t="s">
        <v>23</v>
      </c>
      <c r="I879" s="6" t="s">
        <v>8141</v>
      </c>
      <c r="J879" s="4">
        <v>100.0</v>
      </c>
      <c r="K879" s="5" t="s">
        <v>25</v>
      </c>
      <c r="L879" s="5" t="s">
        <v>8142</v>
      </c>
      <c r="M879" s="5" t="s">
        <v>8143</v>
      </c>
      <c r="N879" s="7" t="s">
        <v>8144</v>
      </c>
      <c r="O879" s="9" t="s">
        <v>8145</v>
      </c>
      <c r="P879" s="19" t="s">
        <v>8146</v>
      </c>
      <c r="Q879" s="5" t="s">
        <v>30</v>
      </c>
    </row>
    <row r="880" ht="21.0" customHeight="1">
      <c r="A880" s="4">
        <v>894.0</v>
      </c>
      <c r="B880" s="5" t="s">
        <v>8147</v>
      </c>
      <c r="C880" s="5" t="s">
        <v>18</v>
      </c>
      <c r="D880" s="5" t="s">
        <v>8148</v>
      </c>
      <c r="E880" s="5" t="s">
        <v>8149</v>
      </c>
      <c r="F880" s="5" t="s">
        <v>8080</v>
      </c>
      <c r="G880" s="5" t="s">
        <v>8150</v>
      </c>
      <c r="H880" s="5" t="s">
        <v>23</v>
      </c>
      <c r="I880" s="6" t="s">
        <v>8151</v>
      </c>
      <c r="J880" s="4">
        <v>100.0</v>
      </c>
      <c r="K880" s="5" t="s">
        <v>316</v>
      </c>
      <c r="L880" s="5" t="s">
        <v>8152</v>
      </c>
      <c r="M880" s="5" t="s">
        <v>8153</v>
      </c>
      <c r="N880" s="7" t="s">
        <v>8154</v>
      </c>
      <c r="O880" s="9" t="s">
        <v>8155</v>
      </c>
      <c r="P880" s="19" t="s">
        <v>8156</v>
      </c>
      <c r="Q880" s="5" t="s">
        <v>30</v>
      </c>
    </row>
    <row r="881" ht="21.0" customHeight="1">
      <c r="A881" s="4">
        <v>895.0</v>
      </c>
      <c r="B881" s="5" t="s">
        <v>8157</v>
      </c>
      <c r="C881" s="5" t="s">
        <v>18</v>
      </c>
      <c r="D881" s="5" t="s">
        <v>8158</v>
      </c>
      <c r="E881" s="5" t="s">
        <v>8159</v>
      </c>
      <c r="F881" s="5" t="s">
        <v>8080</v>
      </c>
      <c r="G881" s="5" t="s">
        <v>34</v>
      </c>
      <c r="H881" s="5" t="s">
        <v>23</v>
      </c>
      <c r="I881" s="6" t="s">
        <v>8160</v>
      </c>
      <c r="J881" s="4">
        <v>100.0</v>
      </c>
      <c r="K881" s="5" t="s">
        <v>517</v>
      </c>
      <c r="L881" s="5" t="s">
        <v>8161</v>
      </c>
      <c r="M881" s="5" t="s">
        <v>8162</v>
      </c>
      <c r="N881" s="7" t="s">
        <v>8163</v>
      </c>
      <c r="O881" s="9" t="s">
        <v>8164</v>
      </c>
      <c r="P881" s="19" t="s">
        <v>8165</v>
      </c>
      <c r="Q881" s="5" t="s">
        <v>30</v>
      </c>
    </row>
    <row r="882" ht="21.0" customHeight="1">
      <c r="A882" s="4">
        <v>896.0</v>
      </c>
      <c r="B882" s="5" t="s">
        <v>8166</v>
      </c>
      <c r="C882" s="5" t="s">
        <v>18</v>
      </c>
      <c r="D882" s="5" t="s">
        <v>8167</v>
      </c>
      <c r="E882" s="5" t="s">
        <v>8168</v>
      </c>
      <c r="F882" s="5" t="s">
        <v>8080</v>
      </c>
      <c r="G882" s="5" t="s">
        <v>8169</v>
      </c>
      <c r="H882" s="5" t="s">
        <v>23</v>
      </c>
      <c r="I882" s="6" t="s">
        <v>8170</v>
      </c>
      <c r="J882" s="4">
        <v>100.0</v>
      </c>
      <c r="K882" s="5" t="s">
        <v>68</v>
      </c>
      <c r="L882" s="5" t="s">
        <v>8171</v>
      </c>
      <c r="M882" s="5" t="s">
        <v>8172</v>
      </c>
      <c r="N882" s="7" t="s">
        <v>8173</v>
      </c>
      <c r="O882" s="9" t="s">
        <v>8174</v>
      </c>
      <c r="P882" s="19" t="s">
        <v>8175</v>
      </c>
      <c r="Q882" s="5" t="s">
        <v>30</v>
      </c>
    </row>
    <row r="883" ht="21.0" customHeight="1">
      <c r="A883" s="4">
        <v>897.0</v>
      </c>
      <c r="B883" s="5" t="s">
        <v>8176</v>
      </c>
      <c r="C883" s="5" t="s">
        <v>18</v>
      </c>
      <c r="D883" s="5" t="s">
        <v>6332</v>
      </c>
      <c r="E883" s="5" t="s">
        <v>8177</v>
      </c>
      <c r="F883" s="5" t="s">
        <v>8080</v>
      </c>
      <c r="G883" s="5" t="s">
        <v>8178</v>
      </c>
      <c r="H883" s="5" t="s">
        <v>23</v>
      </c>
      <c r="I883" s="6" t="s">
        <v>8179</v>
      </c>
      <c r="J883" s="4">
        <v>100.0</v>
      </c>
      <c r="K883" s="5" t="s">
        <v>25</v>
      </c>
      <c r="L883" s="5" t="s">
        <v>8180</v>
      </c>
      <c r="M883" s="5" t="s">
        <v>8181</v>
      </c>
      <c r="N883" s="7" t="s">
        <v>8182</v>
      </c>
      <c r="O883" s="9" t="s">
        <v>8183</v>
      </c>
      <c r="P883" s="19" t="s">
        <v>8184</v>
      </c>
      <c r="Q883" s="5" t="s">
        <v>30</v>
      </c>
    </row>
    <row r="884" ht="21.0" customHeight="1">
      <c r="A884" s="4">
        <v>898.0</v>
      </c>
      <c r="B884" s="5" t="s">
        <v>8185</v>
      </c>
      <c r="C884" s="5" t="s">
        <v>18</v>
      </c>
      <c r="D884" s="5" t="s">
        <v>19</v>
      </c>
      <c r="E884" s="5" t="s">
        <v>8186</v>
      </c>
      <c r="F884" s="5" t="s">
        <v>8080</v>
      </c>
      <c r="G884" s="5" t="s">
        <v>8187</v>
      </c>
      <c r="H884" s="5" t="s">
        <v>23</v>
      </c>
      <c r="I884" s="6" t="s">
        <v>8188</v>
      </c>
      <c r="J884" s="4">
        <v>100.0</v>
      </c>
      <c r="K884" s="5" t="s">
        <v>25</v>
      </c>
      <c r="L884" s="5" t="s">
        <v>8189</v>
      </c>
      <c r="M884" s="5" t="s">
        <v>8190</v>
      </c>
      <c r="N884" s="7" t="s">
        <v>8191</v>
      </c>
      <c r="O884" s="9" t="s">
        <v>8192</v>
      </c>
      <c r="P884" s="19" t="s">
        <v>8193</v>
      </c>
      <c r="Q884" s="5" t="s">
        <v>30</v>
      </c>
    </row>
    <row r="885" ht="21.0" customHeight="1">
      <c r="A885" s="4">
        <v>899.0</v>
      </c>
      <c r="B885" s="5" t="s">
        <v>8194</v>
      </c>
      <c r="C885" s="5" t="s">
        <v>18</v>
      </c>
      <c r="D885" s="5" t="s">
        <v>8195</v>
      </c>
      <c r="E885" s="5" t="s">
        <v>8196</v>
      </c>
      <c r="F885" s="5" t="s">
        <v>8080</v>
      </c>
      <c r="G885" s="5" t="s">
        <v>8197</v>
      </c>
      <c r="H885" s="5" t="s">
        <v>23</v>
      </c>
      <c r="I885" s="6" t="s">
        <v>8198</v>
      </c>
      <c r="J885" s="4">
        <v>100.0</v>
      </c>
      <c r="K885" s="5" t="s">
        <v>25</v>
      </c>
      <c r="L885" s="5" t="s">
        <v>8199</v>
      </c>
      <c r="M885" s="5" t="s">
        <v>8200</v>
      </c>
      <c r="N885" s="7" t="s">
        <v>8201</v>
      </c>
      <c r="O885" s="9" t="s">
        <v>8202</v>
      </c>
      <c r="P885" s="19" t="s">
        <v>8203</v>
      </c>
      <c r="Q885" s="5" t="s">
        <v>30</v>
      </c>
    </row>
    <row r="886" ht="21.0" customHeight="1">
      <c r="A886" s="4">
        <v>900.0</v>
      </c>
      <c r="B886" s="5" t="s">
        <v>8204</v>
      </c>
      <c r="C886" s="5" t="s">
        <v>18</v>
      </c>
      <c r="D886" s="5" t="s">
        <v>8205</v>
      </c>
      <c r="E886" s="5" t="s">
        <v>8206</v>
      </c>
      <c r="F886" s="5" t="s">
        <v>8080</v>
      </c>
      <c r="G886" s="5" t="s">
        <v>8207</v>
      </c>
      <c r="H886" s="5" t="s">
        <v>23</v>
      </c>
      <c r="I886" s="6" t="s">
        <v>8208</v>
      </c>
      <c r="J886" s="4">
        <v>100.0</v>
      </c>
      <c r="K886" s="5" t="s">
        <v>517</v>
      </c>
      <c r="L886" s="5" t="s">
        <v>8209</v>
      </c>
      <c r="M886" s="5" t="s">
        <v>8210</v>
      </c>
      <c r="N886" s="7" t="s">
        <v>8211</v>
      </c>
      <c r="O886" s="9" t="s">
        <v>8212</v>
      </c>
      <c r="P886" s="19" t="s">
        <v>8213</v>
      </c>
      <c r="Q886" s="5" t="s">
        <v>30</v>
      </c>
    </row>
    <row r="887" ht="21.0" customHeight="1">
      <c r="A887" s="4">
        <v>901.0</v>
      </c>
      <c r="B887" s="5" t="s">
        <v>8214</v>
      </c>
      <c r="C887" s="5" t="s">
        <v>18</v>
      </c>
      <c r="D887" s="5" t="s">
        <v>8215</v>
      </c>
      <c r="E887" s="5" t="s">
        <v>8216</v>
      </c>
      <c r="F887" s="5" t="s">
        <v>8080</v>
      </c>
      <c r="G887" s="5" t="s">
        <v>8217</v>
      </c>
      <c r="H887" s="5" t="s">
        <v>23</v>
      </c>
      <c r="I887" s="6" t="s">
        <v>8218</v>
      </c>
      <c r="J887" s="4">
        <v>100.0</v>
      </c>
      <c r="K887" s="5" t="s">
        <v>93</v>
      </c>
      <c r="L887" s="5" t="s">
        <v>8219</v>
      </c>
      <c r="M887" s="5" t="s">
        <v>8220</v>
      </c>
      <c r="N887" s="7" t="s">
        <v>8221</v>
      </c>
      <c r="O887" s="9" t="s">
        <v>8222</v>
      </c>
      <c r="P887" s="19" t="s">
        <v>8223</v>
      </c>
      <c r="Q887" s="5" t="s">
        <v>30</v>
      </c>
    </row>
    <row r="888" ht="21.0" customHeight="1">
      <c r="A888" s="4">
        <v>902.0</v>
      </c>
      <c r="B888" s="5" t="s">
        <v>8224</v>
      </c>
      <c r="C888" s="5" t="s">
        <v>18</v>
      </c>
      <c r="D888" s="5" t="s">
        <v>8225</v>
      </c>
      <c r="E888" s="5" t="s">
        <v>8226</v>
      </c>
      <c r="F888" s="5" t="s">
        <v>8080</v>
      </c>
      <c r="G888" s="5" t="s">
        <v>8227</v>
      </c>
      <c r="H888" s="5" t="s">
        <v>23</v>
      </c>
      <c r="I888" s="6" t="s">
        <v>8228</v>
      </c>
      <c r="J888" s="4">
        <v>100.0</v>
      </c>
      <c r="K888" s="5" t="s">
        <v>25</v>
      </c>
      <c r="L888" s="5" t="s">
        <v>8229</v>
      </c>
      <c r="M888" s="5" t="s">
        <v>8230</v>
      </c>
      <c r="N888" s="7" t="s">
        <v>8231</v>
      </c>
      <c r="O888" s="9" t="s">
        <v>8232</v>
      </c>
      <c r="P888" s="19" t="s">
        <v>8233</v>
      </c>
      <c r="Q888" s="5" t="s">
        <v>30</v>
      </c>
    </row>
    <row r="889" ht="21.0" customHeight="1">
      <c r="A889" s="4">
        <v>903.0</v>
      </c>
      <c r="B889" s="5" t="s">
        <v>8234</v>
      </c>
      <c r="C889" s="5" t="s">
        <v>18</v>
      </c>
      <c r="D889" s="5" t="s">
        <v>7513</v>
      </c>
      <c r="E889" s="5" t="s">
        <v>8235</v>
      </c>
      <c r="F889" s="5" t="s">
        <v>8080</v>
      </c>
      <c r="G889" s="5" t="s">
        <v>8236</v>
      </c>
      <c r="H889" s="5" t="s">
        <v>23</v>
      </c>
      <c r="I889" s="6" t="s">
        <v>8237</v>
      </c>
      <c r="J889" s="4">
        <v>100.0</v>
      </c>
      <c r="K889" s="5" t="s">
        <v>25</v>
      </c>
      <c r="L889" s="5" t="s">
        <v>8238</v>
      </c>
      <c r="M889" s="5" t="s">
        <v>8239</v>
      </c>
      <c r="N889" s="7" t="s">
        <v>8240</v>
      </c>
      <c r="O889" s="9" t="s">
        <v>8241</v>
      </c>
      <c r="P889" s="19" t="s">
        <v>8242</v>
      </c>
      <c r="Q889" s="5" t="s">
        <v>30</v>
      </c>
    </row>
    <row r="890" ht="21.0" customHeight="1">
      <c r="A890" s="4">
        <v>904.0</v>
      </c>
      <c r="B890" s="5" t="s">
        <v>8243</v>
      </c>
      <c r="C890" s="5" t="s">
        <v>18</v>
      </c>
      <c r="D890" s="5" t="s">
        <v>7747</v>
      </c>
      <c r="E890" s="5" t="s">
        <v>8244</v>
      </c>
      <c r="F890" s="5" t="s">
        <v>8080</v>
      </c>
      <c r="G890" s="5" t="s">
        <v>8245</v>
      </c>
      <c r="H890" s="5" t="s">
        <v>23</v>
      </c>
      <c r="I890" s="6" t="s">
        <v>8246</v>
      </c>
      <c r="J890" s="4">
        <v>100.0</v>
      </c>
      <c r="K890" s="5" t="s">
        <v>216</v>
      </c>
      <c r="L890" s="5" t="s">
        <v>8247</v>
      </c>
      <c r="M890" s="5" t="s">
        <v>8248</v>
      </c>
      <c r="N890" s="7" t="s">
        <v>8249</v>
      </c>
      <c r="O890" s="9" t="s">
        <v>8250</v>
      </c>
      <c r="P890" s="19" t="s">
        <v>8251</v>
      </c>
      <c r="Q890" s="5" t="s">
        <v>30</v>
      </c>
    </row>
    <row r="891" ht="21.0" customHeight="1">
      <c r="A891" s="4">
        <v>905.0</v>
      </c>
      <c r="B891" s="5" t="s">
        <v>8252</v>
      </c>
      <c r="C891" s="5" t="s">
        <v>18</v>
      </c>
      <c r="D891" s="5" t="s">
        <v>19</v>
      </c>
      <c r="E891" s="5" t="s">
        <v>8253</v>
      </c>
      <c r="F891" s="5" t="s">
        <v>8080</v>
      </c>
      <c r="G891" s="5" t="s">
        <v>8254</v>
      </c>
      <c r="H891" s="5" t="s">
        <v>23</v>
      </c>
      <c r="I891" s="6" t="s">
        <v>8255</v>
      </c>
      <c r="J891" s="4">
        <v>100.0</v>
      </c>
      <c r="K891" s="5" t="s">
        <v>165</v>
      </c>
      <c r="L891" s="5" t="s">
        <v>8256</v>
      </c>
      <c r="M891" s="5" t="s">
        <v>8257</v>
      </c>
      <c r="N891" s="10" t="s">
        <v>8258</v>
      </c>
      <c r="O891" s="9" t="s">
        <v>8259</v>
      </c>
      <c r="P891" s="19" t="s">
        <v>8260</v>
      </c>
      <c r="Q891" s="5" t="s">
        <v>30</v>
      </c>
    </row>
    <row r="892" ht="21.0" customHeight="1">
      <c r="A892" s="4">
        <v>906.0</v>
      </c>
      <c r="B892" s="5" t="s">
        <v>8261</v>
      </c>
      <c r="C892" s="5" t="s">
        <v>18</v>
      </c>
      <c r="D892" s="5" t="s">
        <v>8262</v>
      </c>
      <c r="E892" s="5" t="s">
        <v>8263</v>
      </c>
      <c r="F892" s="5" t="s">
        <v>8080</v>
      </c>
      <c r="G892" s="5" t="s">
        <v>8264</v>
      </c>
      <c r="H892" s="5" t="s">
        <v>23</v>
      </c>
      <c r="I892" s="6" t="s">
        <v>8265</v>
      </c>
      <c r="J892" s="4">
        <v>100.0</v>
      </c>
      <c r="K892" s="5" t="s">
        <v>165</v>
      </c>
      <c r="L892" s="5" t="s">
        <v>8266</v>
      </c>
      <c r="M892" s="5" t="s">
        <v>8267</v>
      </c>
      <c r="N892" s="7" t="s">
        <v>8268</v>
      </c>
      <c r="O892" s="9" t="s">
        <v>8269</v>
      </c>
      <c r="P892" s="19" t="s">
        <v>8270</v>
      </c>
      <c r="Q892" s="5" t="s">
        <v>30</v>
      </c>
    </row>
    <row r="893" ht="21.0" customHeight="1">
      <c r="A893" s="4">
        <v>907.0</v>
      </c>
      <c r="B893" s="5" t="s">
        <v>8271</v>
      </c>
      <c r="C893" s="5" t="s">
        <v>8272</v>
      </c>
      <c r="D893" s="5" t="s">
        <v>170</v>
      </c>
      <c r="E893" s="5" t="s">
        <v>8273</v>
      </c>
      <c r="F893" s="5" t="s">
        <v>8080</v>
      </c>
      <c r="G893" s="5" t="s">
        <v>8274</v>
      </c>
      <c r="H893" s="5" t="s">
        <v>23</v>
      </c>
      <c r="I893" s="6" t="s">
        <v>8275</v>
      </c>
      <c r="J893" s="4">
        <v>100.0</v>
      </c>
      <c r="K893" s="5" t="s">
        <v>25</v>
      </c>
      <c r="L893" s="5" t="s">
        <v>8276</v>
      </c>
      <c r="M893" s="5" t="s">
        <v>8277</v>
      </c>
      <c r="N893" s="7" t="s">
        <v>8278</v>
      </c>
      <c r="O893" s="9" t="s">
        <v>8279</v>
      </c>
      <c r="P893" s="19" t="s">
        <v>8280</v>
      </c>
      <c r="Q893" s="5" t="s">
        <v>30</v>
      </c>
    </row>
    <row r="894" ht="21.0" customHeight="1">
      <c r="A894" s="4">
        <v>908.0</v>
      </c>
      <c r="B894" s="5" t="s">
        <v>8281</v>
      </c>
      <c r="C894" s="5" t="s">
        <v>8282</v>
      </c>
      <c r="D894" s="5" t="s">
        <v>8283</v>
      </c>
      <c r="E894" s="5" t="s">
        <v>8284</v>
      </c>
      <c r="F894" s="5" t="s">
        <v>8080</v>
      </c>
      <c r="G894" s="5" t="s">
        <v>8285</v>
      </c>
      <c r="H894" s="5" t="s">
        <v>23</v>
      </c>
      <c r="I894" s="6" t="s">
        <v>8286</v>
      </c>
      <c r="J894" s="4">
        <v>100.0</v>
      </c>
      <c r="K894" s="5" t="s">
        <v>25</v>
      </c>
      <c r="L894" s="5" t="s">
        <v>8287</v>
      </c>
      <c r="M894" s="5" t="s">
        <v>8288</v>
      </c>
      <c r="N894" s="7" t="s">
        <v>8289</v>
      </c>
      <c r="O894" s="9" t="s">
        <v>8290</v>
      </c>
      <c r="P894" s="5" t="s">
        <v>30</v>
      </c>
      <c r="Q894" s="5" t="s">
        <v>30</v>
      </c>
    </row>
    <row r="895" ht="21.0" customHeight="1">
      <c r="A895" s="4">
        <v>909.0</v>
      </c>
      <c r="B895" s="5" t="s">
        <v>8291</v>
      </c>
      <c r="C895" s="5" t="s">
        <v>18</v>
      </c>
      <c r="D895" s="5" t="s">
        <v>8292</v>
      </c>
      <c r="E895" s="5" t="s">
        <v>8293</v>
      </c>
      <c r="F895" s="5" t="s">
        <v>8080</v>
      </c>
      <c r="G895" s="5" t="s">
        <v>8294</v>
      </c>
      <c r="H895" s="5" t="s">
        <v>23</v>
      </c>
      <c r="I895" s="6" t="s">
        <v>8295</v>
      </c>
      <c r="J895" s="4">
        <v>100.0</v>
      </c>
      <c r="K895" s="5" t="s">
        <v>316</v>
      </c>
      <c r="L895" s="5" t="s">
        <v>8296</v>
      </c>
      <c r="M895" s="5" t="s">
        <v>8297</v>
      </c>
      <c r="N895" s="7" t="s">
        <v>8298</v>
      </c>
      <c r="O895" s="9" t="s">
        <v>8299</v>
      </c>
      <c r="P895" s="19" t="s">
        <v>8300</v>
      </c>
      <c r="Q895" s="5" t="s">
        <v>30</v>
      </c>
    </row>
    <row r="896" ht="21.0" customHeight="1">
      <c r="A896" s="4">
        <v>910.0</v>
      </c>
      <c r="B896" s="5" t="s">
        <v>8301</v>
      </c>
      <c r="C896" s="5" t="s">
        <v>18</v>
      </c>
      <c r="D896" s="5" t="s">
        <v>6621</v>
      </c>
      <c r="E896" s="5" t="s">
        <v>8302</v>
      </c>
      <c r="F896" s="5" t="s">
        <v>8080</v>
      </c>
      <c r="G896" s="5" t="s">
        <v>8303</v>
      </c>
      <c r="H896" s="5" t="s">
        <v>23</v>
      </c>
      <c r="I896" s="6" t="s">
        <v>8304</v>
      </c>
      <c r="J896" s="4">
        <v>100.0</v>
      </c>
      <c r="K896" s="5" t="s">
        <v>25</v>
      </c>
      <c r="L896" s="5" t="s">
        <v>8305</v>
      </c>
      <c r="M896" s="5" t="s">
        <v>8306</v>
      </c>
      <c r="N896" s="7" t="s">
        <v>8307</v>
      </c>
      <c r="O896" s="9" t="s">
        <v>8308</v>
      </c>
      <c r="P896" s="19" t="s">
        <v>8309</v>
      </c>
      <c r="Q896" s="5" t="s">
        <v>30</v>
      </c>
    </row>
    <row r="897" ht="21.0" customHeight="1">
      <c r="A897" s="4">
        <v>911.0</v>
      </c>
      <c r="B897" s="5" t="s">
        <v>8310</v>
      </c>
      <c r="C897" s="5" t="s">
        <v>8311</v>
      </c>
      <c r="D897" s="5" t="s">
        <v>8312</v>
      </c>
      <c r="E897" s="5" t="s">
        <v>8313</v>
      </c>
      <c r="F897" s="5" t="s">
        <v>8080</v>
      </c>
      <c r="G897" s="5" t="s">
        <v>8314</v>
      </c>
      <c r="H897" s="5" t="s">
        <v>23</v>
      </c>
      <c r="I897" s="6" t="s">
        <v>8315</v>
      </c>
      <c r="J897" s="4">
        <v>100.0</v>
      </c>
      <c r="K897" s="5" t="s">
        <v>25</v>
      </c>
      <c r="L897" s="5" t="s">
        <v>8316</v>
      </c>
      <c r="M897" s="5" t="s">
        <v>8317</v>
      </c>
      <c r="N897" s="7" t="s">
        <v>8318</v>
      </c>
      <c r="O897" s="9" t="s">
        <v>8319</v>
      </c>
      <c r="P897" s="19" t="s">
        <v>8320</v>
      </c>
      <c r="Q897" s="5" t="s">
        <v>30</v>
      </c>
    </row>
    <row r="898" ht="21.0" customHeight="1">
      <c r="A898" s="4">
        <v>912.0</v>
      </c>
      <c r="B898" s="5" t="s">
        <v>8321</v>
      </c>
      <c r="C898" s="5" t="s">
        <v>18</v>
      </c>
      <c r="D898" s="5" t="s">
        <v>19</v>
      </c>
      <c r="E898" s="5" t="s">
        <v>8322</v>
      </c>
      <c r="F898" s="5" t="s">
        <v>8080</v>
      </c>
      <c r="G898" s="5" t="s">
        <v>8323</v>
      </c>
      <c r="H898" s="5" t="s">
        <v>23</v>
      </c>
      <c r="I898" s="6" t="s">
        <v>8324</v>
      </c>
      <c r="J898" s="4">
        <v>100.0</v>
      </c>
      <c r="K898" s="5" t="s">
        <v>25</v>
      </c>
      <c r="L898" s="5" t="s">
        <v>8325</v>
      </c>
      <c r="M898" s="5" t="s">
        <v>8326</v>
      </c>
      <c r="N898" s="7" t="s">
        <v>8327</v>
      </c>
      <c r="O898" s="9" t="s">
        <v>8328</v>
      </c>
      <c r="P898" s="19" t="s">
        <v>8329</v>
      </c>
      <c r="Q898" s="5" t="s">
        <v>30</v>
      </c>
    </row>
    <row r="899" ht="21.0" customHeight="1">
      <c r="A899" s="4">
        <v>913.0</v>
      </c>
      <c r="B899" s="5" t="s">
        <v>8330</v>
      </c>
      <c r="C899" s="5" t="s">
        <v>8331</v>
      </c>
      <c r="D899" s="5" t="s">
        <v>8332</v>
      </c>
      <c r="E899" s="5" t="s">
        <v>8333</v>
      </c>
      <c r="F899" s="5" t="s">
        <v>8080</v>
      </c>
      <c r="G899" s="5" t="s">
        <v>8334</v>
      </c>
      <c r="H899" s="5" t="s">
        <v>23</v>
      </c>
      <c r="I899" s="6" t="s">
        <v>8335</v>
      </c>
      <c r="J899" s="4">
        <v>100.0</v>
      </c>
      <c r="K899" s="5" t="s">
        <v>25</v>
      </c>
      <c r="L899" s="5" t="s">
        <v>8336</v>
      </c>
      <c r="M899" s="5" t="s">
        <v>8337</v>
      </c>
      <c r="N899" s="7" t="s">
        <v>8338</v>
      </c>
      <c r="O899" s="9" t="s">
        <v>8339</v>
      </c>
      <c r="P899" s="19" t="s">
        <v>8340</v>
      </c>
      <c r="Q899" s="5" t="s">
        <v>30</v>
      </c>
    </row>
    <row r="900" ht="21.0" customHeight="1">
      <c r="A900" s="4">
        <v>914.0</v>
      </c>
      <c r="B900" s="5" t="s">
        <v>8341</v>
      </c>
      <c r="C900" s="5" t="s">
        <v>18</v>
      </c>
      <c r="D900" s="5" t="s">
        <v>6602</v>
      </c>
      <c r="E900" s="5" t="s">
        <v>8342</v>
      </c>
      <c r="F900" s="5" t="s">
        <v>8080</v>
      </c>
      <c r="G900" s="5" t="s">
        <v>8343</v>
      </c>
      <c r="H900" s="5" t="s">
        <v>23</v>
      </c>
      <c r="I900" s="6" t="s">
        <v>8344</v>
      </c>
      <c r="J900" s="4">
        <v>100.0</v>
      </c>
      <c r="K900" s="5" t="s">
        <v>25</v>
      </c>
      <c r="L900" s="5" t="s">
        <v>8345</v>
      </c>
      <c r="M900" s="5" t="s">
        <v>8346</v>
      </c>
      <c r="N900" s="10" t="s">
        <v>8347</v>
      </c>
      <c r="O900" s="9" t="s">
        <v>8348</v>
      </c>
      <c r="P900" s="19" t="s">
        <v>8349</v>
      </c>
      <c r="Q900" s="5" t="s">
        <v>30</v>
      </c>
    </row>
    <row r="901" ht="21.0" customHeight="1">
      <c r="A901" s="4">
        <v>915.0</v>
      </c>
      <c r="B901" s="5" t="s">
        <v>8350</v>
      </c>
      <c r="C901" s="5" t="s">
        <v>8351</v>
      </c>
      <c r="D901" s="5" t="s">
        <v>8352</v>
      </c>
      <c r="E901" s="5" t="s">
        <v>8353</v>
      </c>
      <c r="F901" s="5" t="s">
        <v>8080</v>
      </c>
      <c r="G901" s="5" t="s">
        <v>8354</v>
      </c>
      <c r="H901" s="5" t="s">
        <v>23</v>
      </c>
      <c r="I901" s="6" t="s">
        <v>8355</v>
      </c>
      <c r="J901" s="4">
        <v>100.0</v>
      </c>
      <c r="K901" s="5" t="s">
        <v>84</v>
      </c>
      <c r="L901" s="5" t="s">
        <v>8356</v>
      </c>
      <c r="M901" s="5" t="s">
        <v>8357</v>
      </c>
      <c r="N901" s="7" t="s">
        <v>8358</v>
      </c>
      <c r="O901" s="9" t="s">
        <v>8359</v>
      </c>
      <c r="P901" s="19" t="s">
        <v>8360</v>
      </c>
      <c r="Q901" s="5" t="s">
        <v>30</v>
      </c>
    </row>
    <row r="902" ht="21.0" customHeight="1">
      <c r="A902" s="4">
        <v>916.0</v>
      </c>
      <c r="B902" s="5" t="s">
        <v>8361</v>
      </c>
      <c r="C902" s="5" t="s">
        <v>18</v>
      </c>
      <c r="D902" s="5" t="s">
        <v>8138</v>
      </c>
      <c r="E902" s="5" t="s">
        <v>8362</v>
      </c>
      <c r="F902" s="5" t="s">
        <v>8080</v>
      </c>
      <c r="G902" s="5" t="s">
        <v>8363</v>
      </c>
      <c r="H902" s="5" t="s">
        <v>23</v>
      </c>
      <c r="I902" s="6" t="s">
        <v>8364</v>
      </c>
      <c r="J902" s="4">
        <v>100.0</v>
      </c>
      <c r="K902" s="5" t="s">
        <v>25</v>
      </c>
      <c r="L902" s="5" t="s">
        <v>8365</v>
      </c>
      <c r="M902" s="5" t="s">
        <v>8366</v>
      </c>
      <c r="N902" s="7" t="s">
        <v>8367</v>
      </c>
      <c r="O902" s="9" t="s">
        <v>8368</v>
      </c>
      <c r="P902" s="19" t="s">
        <v>8369</v>
      </c>
      <c r="Q902" s="5" t="s">
        <v>30</v>
      </c>
    </row>
    <row r="903" ht="21.0" customHeight="1">
      <c r="A903" s="4">
        <v>917.0</v>
      </c>
      <c r="B903" s="5" t="s">
        <v>8370</v>
      </c>
      <c r="C903" s="5" t="s">
        <v>18</v>
      </c>
      <c r="D903" s="5" t="s">
        <v>19</v>
      </c>
      <c r="E903" s="5" t="s">
        <v>8371</v>
      </c>
      <c r="F903" s="5" t="s">
        <v>8080</v>
      </c>
      <c r="G903" s="5" t="s">
        <v>8372</v>
      </c>
      <c r="H903" s="5" t="s">
        <v>23</v>
      </c>
      <c r="I903" s="6" t="s">
        <v>8373</v>
      </c>
      <c r="J903" s="4">
        <v>100.0</v>
      </c>
      <c r="K903" s="5" t="s">
        <v>316</v>
      </c>
      <c r="L903" s="5" t="s">
        <v>8374</v>
      </c>
      <c r="M903" s="5" t="s">
        <v>8375</v>
      </c>
      <c r="N903" s="7" t="s">
        <v>8376</v>
      </c>
      <c r="O903" s="9" t="s">
        <v>8377</v>
      </c>
      <c r="P903" s="19" t="s">
        <v>8378</v>
      </c>
      <c r="Q903" s="5" t="s">
        <v>30</v>
      </c>
    </row>
    <row r="904" ht="21.0" customHeight="1">
      <c r="A904" s="4">
        <v>918.0</v>
      </c>
      <c r="B904" s="5" t="s">
        <v>8379</v>
      </c>
      <c r="C904" s="5" t="s">
        <v>18</v>
      </c>
      <c r="D904" s="5" t="s">
        <v>8380</v>
      </c>
      <c r="E904" s="5" t="s">
        <v>8381</v>
      </c>
      <c r="F904" s="5" t="s">
        <v>8080</v>
      </c>
      <c r="G904" s="5" t="s">
        <v>34</v>
      </c>
      <c r="H904" s="5" t="s">
        <v>23</v>
      </c>
      <c r="I904" s="6" t="s">
        <v>8382</v>
      </c>
      <c r="J904" s="4">
        <v>100.0</v>
      </c>
      <c r="K904" s="5" t="s">
        <v>93</v>
      </c>
      <c r="L904" s="5" t="s">
        <v>8383</v>
      </c>
      <c r="M904" s="5" t="s">
        <v>300</v>
      </c>
      <c r="N904" s="7" t="s">
        <v>8384</v>
      </c>
      <c r="O904" s="9" t="s">
        <v>8385</v>
      </c>
      <c r="P904" s="19" t="s">
        <v>8386</v>
      </c>
      <c r="Q904" s="5" t="s">
        <v>30</v>
      </c>
    </row>
    <row r="905" ht="21.0" customHeight="1">
      <c r="A905" s="4">
        <v>919.0</v>
      </c>
      <c r="B905" s="5" t="s">
        <v>8387</v>
      </c>
      <c r="C905" s="5" t="s">
        <v>18</v>
      </c>
      <c r="D905" s="5" t="s">
        <v>8388</v>
      </c>
      <c r="E905" s="5" t="s">
        <v>8389</v>
      </c>
      <c r="F905" s="5" t="s">
        <v>8080</v>
      </c>
      <c r="G905" s="5" t="s">
        <v>8390</v>
      </c>
      <c r="H905" s="5" t="s">
        <v>23</v>
      </c>
      <c r="I905" s="6" t="s">
        <v>8391</v>
      </c>
      <c r="J905" s="4">
        <v>100.0</v>
      </c>
      <c r="K905" s="5" t="s">
        <v>84</v>
      </c>
      <c r="L905" s="5" t="s">
        <v>8392</v>
      </c>
      <c r="M905" s="5" t="s">
        <v>8393</v>
      </c>
      <c r="N905" s="7" t="s">
        <v>8394</v>
      </c>
      <c r="O905" s="9" t="s">
        <v>8395</v>
      </c>
      <c r="P905" s="19" t="s">
        <v>8396</v>
      </c>
      <c r="Q905" s="5" t="s">
        <v>30</v>
      </c>
    </row>
    <row r="906" ht="21.0" customHeight="1">
      <c r="A906" s="4">
        <v>920.0</v>
      </c>
      <c r="B906" s="5" t="s">
        <v>8397</v>
      </c>
      <c r="C906" s="5" t="s">
        <v>8398</v>
      </c>
      <c r="D906" s="5" t="s">
        <v>6332</v>
      </c>
      <c r="E906" s="5" t="s">
        <v>8399</v>
      </c>
      <c r="F906" s="5" t="s">
        <v>8080</v>
      </c>
      <c r="G906" s="5" t="s">
        <v>8400</v>
      </c>
      <c r="H906" s="5" t="s">
        <v>23</v>
      </c>
      <c r="I906" s="6" t="s">
        <v>8401</v>
      </c>
      <c r="J906" s="4">
        <v>100.0</v>
      </c>
      <c r="K906" s="5" t="s">
        <v>25</v>
      </c>
      <c r="L906" s="5" t="s">
        <v>8402</v>
      </c>
      <c r="M906" s="5" t="s">
        <v>8403</v>
      </c>
      <c r="N906" s="7" t="s">
        <v>8404</v>
      </c>
      <c r="O906" s="9" t="s">
        <v>8405</v>
      </c>
      <c r="P906" s="19" t="s">
        <v>8406</v>
      </c>
      <c r="Q906" s="5" t="s">
        <v>30</v>
      </c>
    </row>
    <row r="907" ht="21.0" customHeight="1">
      <c r="A907" s="4">
        <v>921.0</v>
      </c>
      <c r="B907" s="5" t="s">
        <v>8407</v>
      </c>
      <c r="C907" s="5" t="s">
        <v>18</v>
      </c>
      <c r="D907" s="5" t="s">
        <v>19</v>
      </c>
      <c r="E907" s="5" t="s">
        <v>8408</v>
      </c>
      <c r="F907" s="5" t="s">
        <v>8080</v>
      </c>
      <c r="G907" s="5" t="s">
        <v>8409</v>
      </c>
      <c r="H907" s="5" t="s">
        <v>50</v>
      </c>
      <c r="I907" s="6" t="s">
        <v>8410</v>
      </c>
      <c r="J907" s="4">
        <v>100.0</v>
      </c>
      <c r="K907" s="5" t="s">
        <v>52</v>
      </c>
      <c r="L907" s="5" t="s">
        <v>8411</v>
      </c>
      <c r="M907" s="5" t="s">
        <v>8412</v>
      </c>
      <c r="N907" s="7" t="s">
        <v>8413</v>
      </c>
      <c r="O907" s="9" t="s">
        <v>8414</v>
      </c>
      <c r="P907" s="19" t="s">
        <v>8415</v>
      </c>
      <c r="Q907" s="5" t="s">
        <v>30</v>
      </c>
    </row>
    <row r="908" ht="21.0" customHeight="1">
      <c r="A908" s="4">
        <v>922.0</v>
      </c>
      <c r="B908" s="5" t="s">
        <v>5188</v>
      </c>
      <c r="C908" s="5" t="s">
        <v>5189</v>
      </c>
      <c r="D908" s="5" t="s">
        <v>19</v>
      </c>
      <c r="E908" s="5" t="s">
        <v>5190</v>
      </c>
      <c r="F908" s="5" t="s">
        <v>8080</v>
      </c>
      <c r="G908" s="5" t="s">
        <v>5191</v>
      </c>
      <c r="H908" s="5" t="s">
        <v>23</v>
      </c>
      <c r="I908" s="6" t="s">
        <v>8416</v>
      </c>
      <c r="J908" s="4">
        <v>100.0</v>
      </c>
      <c r="K908" s="5" t="s">
        <v>84</v>
      </c>
      <c r="L908" s="5" t="s">
        <v>5193</v>
      </c>
      <c r="M908" s="5" t="s">
        <v>5194</v>
      </c>
      <c r="N908" s="7" t="s">
        <v>8417</v>
      </c>
      <c r="O908" s="9" t="s">
        <v>8418</v>
      </c>
      <c r="P908" s="19" t="s">
        <v>8419</v>
      </c>
      <c r="Q908" s="5" t="s">
        <v>30</v>
      </c>
    </row>
    <row r="909" ht="21.0" customHeight="1">
      <c r="A909" s="4">
        <v>923.0</v>
      </c>
      <c r="B909" s="5" t="s">
        <v>8420</v>
      </c>
      <c r="C909" s="5" t="s">
        <v>18</v>
      </c>
      <c r="D909" s="5" t="s">
        <v>8421</v>
      </c>
      <c r="E909" s="5" t="s">
        <v>8422</v>
      </c>
      <c r="F909" s="5" t="s">
        <v>8080</v>
      </c>
      <c r="G909" s="5" t="s">
        <v>8423</v>
      </c>
      <c r="H909" s="5" t="s">
        <v>23</v>
      </c>
      <c r="I909" s="6" t="s">
        <v>8424</v>
      </c>
      <c r="J909" s="4">
        <v>100.0</v>
      </c>
      <c r="K909" s="5" t="s">
        <v>25</v>
      </c>
      <c r="L909" s="5" t="s">
        <v>8425</v>
      </c>
      <c r="M909" s="5" t="s">
        <v>8426</v>
      </c>
      <c r="N909" s="7" t="s">
        <v>8427</v>
      </c>
      <c r="O909" s="9" t="s">
        <v>8428</v>
      </c>
      <c r="P909" s="19" t="s">
        <v>8429</v>
      </c>
      <c r="Q909" s="5" t="s">
        <v>30</v>
      </c>
    </row>
    <row r="910" ht="21.0" customHeight="1">
      <c r="A910" s="4">
        <v>924.0</v>
      </c>
      <c r="B910" s="5" t="s">
        <v>8430</v>
      </c>
      <c r="C910" s="5" t="s">
        <v>8431</v>
      </c>
      <c r="D910" s="5" t="s">
        <v>8432</v>
      </c>
      <c r="E910" s="5" t="s">
        <v>8433</v>
      </c>
      <c r="F910" s="5" t="s">
        <v>8080</v>
      </c>
      <c r="G910" s="5" t="s">
        <v>8434</v>
      </c>
      <c r="H910" s="5" t="s">
        <v>23</v>
      </c>
      <c r="I910" s="6" t="s">
        <v>8435</v>
      </c>
      <c r="J910" s="4">
        <v>100.0</v>
      </c>
      <c r="K910" s="5" t="s">
        <v>84</v>
      </c>
      <c r="L910" s="5" t="s">
        <v>8436</v>
      </c>
      <c r="M910" s="5" t="s">
        <v>8437</v>
      </c>
      <c r="N910" s="7" t="s">
        <v>8438</v>
      </c>
      <c r="O910" s="9" t="s">
        <v>8439</v>
      </c>
      <c r="P910" s="19" t="s">
        <v>8440</v>
      </c>
      <c r="Q910" s="5" t="s">
        <v>30</v>
      </c>
    </row>
    <row r="911" ht="21.0" customHeight="1">
      <c r="A911" s="4">
        <v>925.0</v>
      </c>
      <c r="B911" s="5" t="s">
        <v>8441</v>
      </c>
      <c r="C911" s="5" t="s">
        <v>18</v>
      </c>
      <c r="D911" s="5" t="s">
        <v>7075</v>
      </c>
      <c r="E911" s="5" t="s">
        <v>8442</v>
      </c>
      <c r="F911" s="5" t="s">
        <v>8080</v>
      </c>
      <c r="G911" s="5" t="s">
        <v>8443</v>
      </c>
      <c r="H911" s="5" t="s">
        <v>23</v>
      </c>
      <c r="I911" s="6" t="s">
        <v>8444</v>
      </c>
      <c r="J911" s="4">
        <v>100.0</v>
      </c>
      <c r="K911" s="5" t="s">
        <v>517</v>
      </c>
      <c r="L911" s="5" t="s">
        <v>8445</v>
      </c>
      <c r="M911" s="5" t="s">
        <v>8446</v>
      </c>
      <c r="N911" s="7" t="s">
        <v>8447</v>
      </c>
      <c r="O911" s="9" t="s">
        <v>8448</v>
      </c>
      <c r="P911" s="19" t="s">
        <v>8449</v>
      </c>
      <c r="Q911" s="5" t="s">
        <v>30</v>
      </c>
    </row>
    <row r="912" ht="21.0" customHeight="1">
      <c r="A912" s="4">
        <v>926.0</v>
      </c>
      <c r="B912" s="5" t="s">
        <v>8450</v>
      </c>
      <c r="C912" s="5" t="s">
        <v>18</v>
      </c>
      <c r="D912" s="5" t="s">
        <v>8451</v>
      </c>
      <c r="E912" s="5" t="s">
        <v>8452</v>
      </c>
      <c r="F912" s="5" t="s">
        <v>8080</v>
      </c>
      <c r="G912" s="5" t="s">
        <v>8453</v>
      </c>
      <c r="H912" s="5" t="s">
        <v>23</v>
      </c>
      <c r="I912" s="6" t="s">
        <v>8454</v>
      </c>
      <c r="J912" s="4">
        <v>100.0</v>
      </c>
      <c r="K912" s="5" t="s">
        <v>84</v>
      </c>
      <c r="L912" s="5" t="s">
        <v>8455</v>
      </c>
      <c r="M912" s="5" t="s">
        <v>8456</v>
      </c>
      <c r="N912" s="7" t="s">
        <v>8457</v>
      </c>
      <c r="O912" s="9" t="s">
        <v>8458</v>
      </c>
      <c r="P912" s="19" t="s">
        <v>8459</v>
      </c>
      <c r="Q912" s="5" t="s">
        <v>30</v>
      </c>
    </row>
    <row r="913" ht="21.0" customHeight="1">
      <c r="A913" s="4">
        <v>927.0</v>
      </c>
      <c r="B913" s="5" t="s">
        <v>8460</v>
      </c>
      <c r="C913" s="5" t="s">
        <v>8461</v>
      </c>
      <c r="D913" s="5" t="s">
        <v>6621</v>
      </c>
      <c r="E913" s="5" t="s">
        <v>8462</v>
      </c>
      <c r="F913" s="5" t="s">
        <v>8080</v>
      </c>
      <c r="G913" s="5" t="s">
        <v>8463</v>
      </c>
      <c r="H913" s="5" t="s">
        <v>23</v>
      </c>
      <c r="I913" s="6" t="s">
        <v>8464</v>
      </c>
      <c r="J913" s="4">
        <v>100.0</v>
      </c>
      <c r="K913" s="5" t="s">
        <v>25</v>
      </c>
      <c r="L913" s="5" t="s">
        <v>8465</v>
      </c>
      <c r="M913" s="5" t="s">
        <v>8466</v>
      </c>
      <c r="N913" s="7" t="s">
        <v>8467</v>
      </c>
      <c r="O913" s="9" t="s">
        <v>8468</v>
      </c>
      <c r="P913" s="19" t="s">
        <v>8469</v>
      </c>
      <c r="Q913" s="5" t="s">
        <v>30</v>
      </c>
    </row>
    <row r="914" ht="21.0" customHeight="1">
      <c r="A914" s="4">
        <v>928.0</v>
      </c>
      <c r="B914" s="5" t="s">
        <v>8470</v>
      </c>
      <c r="C914" s="5" t="s">
        <v>18</v>
      </c>
      <c r="D914" s="5" t="s">
        <v>6303</v>
      </c>
      <c r="E914" s="5" t="s">
        <v>8471</v>
      </c>
      <c r="F914" s="5" t="s">
        <v>8080</v>
      </c>
      <c r="G914" s="5" t="s">
        <v>8472</v>
      </c>
      <c r="H914" s="5" t="s">
        <v>23</v>
      </c>
      <c r="I914" s="6" t="s">
        <v>8473</v>
      </c>
      <c r="J914" s="4">
        <v>100.0</v>
      </c>
      <c r="K914" s="5" t="s">
        <v>84</v>
      </c>
      <c r="L914" s="5" t="s">
        <v>8474</v>
      </c>
      <c r="M914" s="5" t="s">
        <v>8475</v>
      </c>
      <c r="N914" s="7" t="s">
        <v>8476</v>
      </c>
      <c r="O914" s="9" t="s">
        <v>8477</v>
      </c>
      <c r="P914" s="19" t="s">
        <v>8478</v>
      </c>
      <c r="Q914" s="5" t="s">
        <v>30</v>
      </c>
    </row>
    <row r="915" ht="21.0" customHeight="1">
      <c r="A915" s="4">
        <v>929.0</v>
      </c>
      <c r="B915" s="5" t="s">
        <v>8479</v>
      </c>
      <c r="C915" s="5" t="s">
        <v>18</v>
      </c>
      <c r="D915" s="5" t="s">
        <v>19</v>
      </c>
      <c r="E915" s="5" t="s">
        <v>8480</v>
      </c>
      <c r="F915" s="5" t="s">
        <v>8080</v>
      </c>
      <c r="G915" s="5" t="s">
        <v>8481</v>
      </c>
      <c r="H915" s="5" t="s">
        <v>23</v>
      </c>
      <c r="I915" s="6" t="s">
        <v>8482</v>
      </c>
      <c r="J915" s="4">
        <v>100.0</v>
      </c>
      <c r="K915" s="5" t="s">
        <v>84</v>
      </c>
      <c r="L915" s="5" t="s">
        <v>8483</v>
      </c>
      <c r="M915" s="5" t="s">
        <v>8484</v>
      </c>
      <c r="N915" s="7" t="s">
        <v>8485</v>
      </c>
      <c r="O915" s="9" t="s">
        <v>8486</v>
      </c>
      <c r="P915" s="19" t="s">
        <v>8487</v>
      </c>
      <c r="Q915" s="5" t="s">
        <v>30</v>
      </c>
    </row>
    <row r="916" ht="21.0" customHeight="1">
      <c r="A916" s="4">
        <v>930.0</v>
      </c>
      <c r="B916" s="5" t="s">
        <v>8488</v>
      </c>
      <c r="C916" s="5" t="s">
        <v>8489</v>
      </c>
      <c r="D916" s="5" t="s">
        <v>8490</v>
      </c>
      <c r="E916" s="5" t="s">
        <v>8491</v>
      </c>
      <c r="F916" s="5" t="s">
        <v>8080</v>
      </c>
      <c r="G916" s="5" t="s">
        <v>8492</v>
      </c>
      <c r="H916" s="5" t="s">
        <v>23</v>
      </c>
      <c r="I916" s="6" t="s">
        <v>8493</v>
      </c>
      <c r="J916" s="4">
        <v>100.0</v>
      </c>
      <c r="K916" s="5" t="s">
        <v>25</v>
      </c>
      <c r="L916" s="5" t="s">
        <v>8465</v>
      </c>
      <c r="M916" s="5" t="s">
        <v>8494</v>
      </c>
      <c r="N916" s="7" t="s">
        <v>8495</v>
      </c>
      <c r="O916" s="9" t="s">
        <v>8496</v>
      </c>
      <c r="P916" s="19" t="s">
        <v>8497</v>
      </c>
      <c r="Q916" s="5" t="s">
        <v>30</v>
      </c>
    </row>
    <row r="917" ht="21.0" customHeight="1">
      <c r="A917" s="4">
        <v>931.0</v>
      </c>
      <c r="B917" s="5" t="s">
        <v>8498</v>
      </c>
      <c r="C917" s="5" t="s">
        <v>18</v>
      </c>
      <c r="D917" s="5" t="s">
        <v>8499</v>
      </c>
      <c r="E917" s="5" t="s">
        <v>8500</v>
      </c>
      <c r="F917" s="5" t="s">
        <v>8080</v>
      </c>
      <c r="G917" s="5" t="s">
        <v>8501</v>
      </c>
      <c r="H917" s="5" t="s">
        <v>23</v>
      </c>
      <c r="I917" s="6" t="s">
        <v>8502</v>
      </c>
      <c r="J917" s="4">
        <v>100.0</v>
      </c>
      <c r="K917" s="5" t="s">
        <v>110</v>
      </c>
      <c r="L917" s="5" t="s">
        <v>8503</v>
      </c>
      <c r="M917" s="5" t="s">
        <v>8504</v>
      </c>
      <c r="N917" s="7" t="s">
        <v>8505</v>
      </c>
      <c r="O917" s="9" t="s">
        <v>8506</v>
      </c>
      <c r="P917" s="19" t="s">
        <v>8507</v>
      </c>
      <c r="Q917" s="5" t="s">
        <v>30</v>
      </c>
    </row>
    <row r="918" ht="21.0" customHeight="1">
      <c r="A918" s="4">
        <v>932.0</v>
      </c>
      <c r="B918" s="5" t="s">
        <v>8508</v>
      </c>
      <c r="C918" s="5" t="s">
        <v>18</v>
      </c>
      <c r="D918" s="5" t="s">
        <v>8509</v>
      </c>
      <c r="E918" s="5" t="s">
        <v>8510</v>
      </c>
      <c r="F918" s="5" t="s">
        <v>8080</v>
      </c>
      <c r="G918" s="5" t="s">
        <v>8511</v>
      </c>
      <c r="H918" s="5" t="s">
        <v>23</v>
      </c>
      <c r="I918" s="6" t="s">
        <v>8512</v>
      </c>
      <c r="J918" s="4">
        <v>100.0</v>
      </c>
      <c r="K918" s="5" t="s">
        <v>1410</v>
      </c>
      <c r="L918" s="5" t="s">
        <v>8513</v>
      </c>
      <c r="M918" s="5" t="s">
        <v>8514</v>
      </c>
      <c r="N918" s="7" t="s">
        <v>8515</v>
      </c>
      <c r="O918" s="9" t="s">
        <v>8516</v>
      </c>
      <c r="P918" s="19" t="s">
        <v>8517</v>
      </c>
      <c r="Q918" s="5" t="s">
        <v>30</v>
      </c>
    </row>
    <row r="919" ht="21.0" customHeight="1">
      <c r="A919" s="4">
        <v>933.0</v>
      </c>
      <c r="B919" s="5" t="s">
        <v>8518</v>
      </c>
      <c r="C919" s="5" t="s">
        <v>8519</v>
      </c>
      <c r="D919" s="5" t="s">
        <v>3398</v>
      </c>
      <c r="E919" s="5" t="s">
        <v>8520</v>
      </c>
      <c r="F919" s="5" t="s">
        <v>8080</v>
      </c>
      <c r="G919" s="5" t="s">
        <v>8521</v>
      </c>
      <c r="H919" s="5" t="s">
        <v>23</v>
      </c>
      <c r="I919" s="6" t="s">
        <v>8522</v>
      </c>
      <c r="J919" s="4">
        <v>100.0</v>
      </c>
      <c r="K919" s="5" t="s">
        <v>316</v>
      </c>
      <c r="L919" s="5" t="s">
        <v>8523</v>
      </c>
      <c r="M919" s="5" t="s">
        <v>8524</v>
      </c>
      <c r="N919" s="7" t="s">
        <v>8525</v>
      </c>
      <c r="O919" s="9" t="s">
        <v>8526</v>
      </c>
      <c r="P919" s="19" t="s">
        <v>8527</v>
      </c>
      <c r="Q919" s="5" t="s">
        <v>30</v>
      </c>
    </row>
    <row r="920" ht="21.0" customHeight="1">
      <c r="A920" s="4">
        <v>934.0</v>
      </c>
      <c r="B920" s="5" t="s">
        <v>8528</v>
      </c>
      <c r="C920" s="5" t="s">
        <v>18</v>
      </c>
      <c r="D920" s="5" t="s">
        <v>8529</v>
      </c>
      <c r="E920" s="5" t="s">
        <v>8530</v>
      </c>
      <c r="F920" s="5" t="s">
        <v>8080</v>
      </c>
      <c r="G920" s="5" t="s">
        <v>8531</v>
      </c>
      <c r="H920" s="5" t="s">
        <v>23</v>
      </c>
      <c r="I920" s="6" t="s">
        <v>8532</v>
      </c>
      <c r="J920" s="4">
        <v>100.0</v>
      </c>
      <c r="K920" s="5" t="s">
        <v>25</v>
      </c>
      <c r="L920" s="5" t="s">
        <v>8533</v>
      </c>
      <c r="M920" s="5" t="s">
        <v>8534</v>
      </c>
      <c r="N920" s="7" t="s">
        <v>8535</v>
      </c>
      <c r="O920" s="9" t="s">
        <v>8536</v>
      </c>
      <c r="P920" s="19" t="s">
        <v>8537</v>
      </c>
      <c r="Q920" s="5" t="s">
        <v>30</v>
      </c>
    </row>
    <row r="921" ht="21.0" customHeight="1">
      <c r="A921" s="4">
        <v>935.0</v>
      </c>
      <c r="B921" s="5" t="s">
        <v>8538</v>
      </c>
      <c r="C921" s="5" t="s">
        <v>8539</v>
      </c>
      <c r="D921" s="5" t="s">
        <v>8540</v>
      </c>
      <c r="E921" s="5" t="s">
        <v>8541</v>
      </c>
      <c r="F921" s="5" t="s">
        <v>8080</v>
      </c>
      <c r="G921" s="5" t="s">
        <v>8542</v>
      </c>
      <c r="H921" s="5" t="s">
        <v>23</v>
      </c>
      <c r="I921" s="6" t="s">
        <v>8543</v>
      </c>
      <c r="J921" s="4">
        <v>100.0</v>
      </c>
      <c r="K921" s="5" t="s">
        <v>25</v>
      </c>
      <c r="L921" s="5" t="s">
        <v>8544</v>
      </c>
      <c r="M921" s="5" t="s">
        <v>8545</v>
      </c>
      <c r="N921" s="7" t="s">
        <v>8546</v>
      </c>
      <c r="O921" s="9" t="s">
        <v>8547</v>
      </c>
      <c r="P921" s="19" t="s">
        <v>8548</v>
      </c>
      <c r="Q921" s="5" t="s">
        <v>30</v>
      </c>
    </row>
    <row r="922" ht="21.0" customHeight="1">
      <c r="A922" s="4">
        <v>936.0</v>
      </c>
      <c r="B922" s="5" t="s">
        <v>8549</v>
      </c>
      <c r="C922" s="5" t="s">
        <v>18</v>
      </c>
      <c r="D922" s="5" t="s">
        <v>19</v>
      </c>
      <c r="E922" s="5" t="s">
        <v>8550</v>
      </c>
      <c r="F922" s="5" t="s">
        <v>8080</v>
      </c>
      <c r="G922" s="5" t="s">
        <v>8551</v>
      </c>
      <c r="H922" s="5" t="s">
        <v>23</v>
      </c>
      <c r="I922" s="6" t="s">
        <v>8552</v>
      </c>
      <c r="J922" s="4">
        <v>100.0</v>
      </c>
      <c r="K922" s="5" t="s">
        <v>165</v>
      </c>
      <c r="L922" s="5" t="s">
        <v>8553</v>
      </c>
      <c r="M922" s="5" t="s">
        <v>8554</v>
      </c>
      <c r="N922" s="7" t="s">
        <v>8555</v>
      </c>
      <c r="O922" s="9" t="s">
        <v>8556</v>
      </c>
      <c r="P922" s="19" t="s">
        <v>8557</v>
      </c>
      <c r="Q922" s="5" t="s">
        <v>30</v>
      </c>
    </row>
    <row r="923" ht="21.0" customHeight="1">
      <c r="A923" s="4">
        <v>937.0</v>
      </c>
      <c r="B923" s="5" t="s">
        <v>8558</v>
      </c>
      <c r="C923" s="5" t="s">
        <v>8559</v>
      </c>
      <c r="D923" s="5" t="s">
        <v>8560</v>
      </c>
      <c r="E923" s="5" t="s">
        <v>8561</v>
      </c>
      <c r="F923" s="5" t="s">
        <v>8080</v>
      </c>
      <c r="G923" s="5" t="s">
        <v>8562</v>
      </c>
      <c r="H923" s="5" t="s">
        <v>23</v>
      </c>
      <c r="I923" s="6" t="s">
        <v>8563</v>
      </c>
      <c r="J923" s="4">
        <v>100.0</v>
      </c>
      <c r="K923" s="5" t="s">
        <v>25</v>
      </c>
      <c r="L923" s="5" t="s">
        <v>8564</v>
      </c>
      <c r="M923" s="5" t="s">
        <v>8565</v>
      </c>
      <c r="N923" s="7" t="s">
        <v>8566</v>
      </c>
      <c r="O923" s="9" t="s">
        <v>8567</v>
      </c>
      <c r="P923" s="19" t="s">
        <v>8568</v>
      </c>
      <c r="Q923" s="5" t="s">
        <v>30</v>
      </c>
    </row>
    <row r="924" ht="21.0" customHeight="1">
      <c r="A924" s="4">
        <v>938.0</v>
      </c>
      <c r="B924" s="5" t="s">
        <v>8569</v>
      </c>
      <c r="C924" s="5" t="s">
        <v>18</v>
      </c>
      <c r="D924" s="5" t="s">
        <v>8570</v>
      </c>
      <c r="E924" s="5" t="s">
        <v>8571</v>
      </c>
      <c r="F924" s="5" t="s">
        <v>8080</v>
      </c>
      <c r="G924" s="5" t="s">
        <v>8572</v>
      </c>
      <c r="H924" s="5" t="s">
        <v>23</v>
      </c>
      <c r="I924" s="6" t="s">
        <v>8573</v>
      </c>
      <c r="J924" s="4">
        <v>100.0</v>
      </c>
      <c r="K924" s="5" t="s">
        <v>84</v>
      </c>
      <c r="L924" s="5" t="s">
        <v>8574</v>
      </c>
      <c r="M924" s="5" t="s">
        <v>8575</v>
      </c>
      <c r="N924" s="7" t="s">
        <v>8576</v>
      </c>
      <c r="O924" s="9" t="s">
        <v>8577</v>
      </c>
      <c r="P924" s="19" t="s">
        <v>8578</v>
      </c>
      <c r="Q924" s="5" t="s">
        <v>30</v>
      </c>
    </row>
    <row r="925" ht="21.0" customHeight="1">
      <c r="A925" s="4">
        <v>939.0</v>
      </c>
      <c r="B925" s="5" t="s">
        <v>8579</v>
      </c>
      <c r="C925" s="5" t="s">
        <v>18</v>
      </c>
      <c r="D925" s="5" t="s">
        <v>8580</v>
      </c>
      <c r="E925" s="5" t="s">
        <v>8581</v>
      </c>
      <c r="F925" s="5" t="s">
        <v>8080</v>
      </c>
      <c r="G925" s="5" t="s">
        <v>8582</v>
      </c>
      <c r="H925" s="5" t="s">
        <v>23</v>
      </c>
      <c r="I925" s="6" t="s">
        <v>8583</v>
      </c>
      <c r="J925" s="4">
        <v>100.0</v>
      </c>
      <c r="K925" s="5" t="s">
        <v>165</v>
      </c>
      <c r="L925" s="5" t="s">
        <v>8584</v>
      </c>
      <c r="M925" s="5" t="s">
        <v>8585</v>
      </c>
      <c r="N925" s="7" t="s">
        <v>8586</v>
      </c>
      <c r="O925" s="9" t="s">
        <v>8587</v>
      </c>
      <c r="P925" s="19" t="s">
        <v>8588</v>
      </c>
      <c r="Q925" s="5" t="s">
        <v>30</v>
      </c>
    </row>
    <row r="926" ht="21.0" customHeight="1">
      <c r="A926" s="4">
        <v>940.0</v>
      </c>
      <c r="B926" s="5" t="s">
        <v>8589</v>
      </c>
      <c r="C926" s="5" t="s">
        <v>8590</v>
      </c>
      <c r="D926" s="5" t="s">
        <v>8591</v>
      </c>
      <c r="E926" s="5" t="s">
        <v>8592</v>
      </c>
      <c r="F926" s="5" t="s">
        <v>8080</v>
      </c>
      <c r="G926" s="5" t="s">
        <v>8593</v>
      </c>
      <c r="H926" s="5" t="s">
        <v>23</v>
      </c>
      <c r="I926" s="6" t="s">
        <v>8594</v>
      </c>
      <c r="J926" s="4">
        <v>100.0</v>
      </c>
      <c r="K926" s="5" t="s">
        <v>25</v>
      </c>
      <c r="L926" s="5" t="s">
        <v>8595</v>
      </c>
      <c r="M926" s="5" t="s">
        <v>8596</v>
      </c>
      <c r="N926" s="7" t="s">
        <v>8597</v>
      </c>
      <c r="O926" s="9" t="s">
        <v>8598</v>
      </c>
      <c r="P926" s="19" t="s">
        <v>8599</v>
      </c>
      <c r="Q926" s="5" t="s">
        <v>30</v>
      </c>
    </row>
    <row r="927" ht="21.0" customHeight="1">
      <c r="A927" s="4">
        <v>941.0</v>
      </c>
      <c r="B927" s="5" t="s">
        <v>8600</v>
      </c>
      <c r="C927" s="5" t="s">
        <v>18</v>
      </c>
      <c r="D927" s="5" t="s">
        <v>8601</v>
      </c>
      <c r="E927" s="5" t="s">
        <v>8602</v>
      </c>
      <c r="F927" s="5" t="s">
        <v>8080</v>
      </c>
      <c r="G927" s="5" t="s">
        <v>8603</v>
      </c>
      <c r="H927" s="5" t="s">
        <v>23</v>
      </c>
      <c r="I927" s="6" t="s">
        <v>8604</v>
      </c>
      <c r="J927" s="4">
        <v>100.0</v>
      </c>
      <c r="K927" s="5" t="s">
        <v>25</v>
      </c>
      <c r="L927" s="5" t="s">
        <v>8605</v>
      </c>
      <c r="M927" s="5" t="s">
        <v>8606</v>
      </c>
      <c r="N927" s="7" t="s">
        <v>8607</v>
      </c>
      <c r="O927" s="9" t="s">
        <v>8608</v>
      </c>
      <c r="P927" s="19" t="s">
        <v>8609</v>
      </c>
      <c r="Q927" s="5" t="s">
        <v>30</v>
      </c>
    </row>
    <row r="928" ht="21.0" customHeight="1">
      <c r="A928" s="4">
        <v>942.0</v>
      </c>
      <c r="B928" s="5" t="s">
        <v>8610</v>
      </c>
      <c r="C928" s="5" t="s">
        <v>18</v>
      </c>
      <c r="D928" s="5" t="s">
        <v>19</v>
      </c>
      <c r="E928" s="5" t="s">
        <v>8611</v>
      </c>
      <c r="F928" s="5" t="s">
        <v>8080</v>
      </c>
      <c r="G928" s="5" t="s">
        <v>8612</v>
      </c>
      <c r="H928" s="5" t="s">
        <v>23</v>
      </c>
      <c r="I928" s="6" t="s">
        <v>8613</v>
      </c>
      <c r="J928" s="4">
        <v>100.0</v>
      </c>
      <c r="K928" s="5" t="s">
        <v>25</v>
      </c>
      <c r="L928" s="5" t="s">
        <v>8614</v>
      </c>
      <c r="M928" s="5" t="s">
        <v>8615</v>
      </c>
      <c r="N928" s="20" t="s">
        <v>8616</v>
      </c>
      <c r="O928" s="9" t="s">
        <v>8617</v>
      </c>
      <c r="P928" s="5" t="s">
        <v>30</v>
      </c>
      <c r="Q928" s="5" t="s">
        <v>30</v>
      </c>
    </row>
    <row r="929" ht="21.0" customHeight="1">
      <c r="A929" s="4">
        <v>943.0</v>
      </c>
      <c r="B929" s="5" t="s">
        <v>8618</v>
      </c>
      <c r="C929" s="5" t="s">
        <v>18</v>
      </c>
      <c r="D929" s="5" t="s">
        <v>8138</v>
      </c>
      <c r="E929" s="5" t="s">
        <v>8619</v>
      </c>
      <c r="F929" s="5" t="s">
        <v>8080</v>
      </c>
      <c r="G929" s="5" t="s">
        <v>8620</v>
      </c>
      <c r="H929" s="5" t="s">
        <v>23</v>
      </c>
      <c r="I929" s="6" t="s">
        <v>8621</v>
      </c>
      <c r="J929" s="4">
        <v>100.0</v>
      </c>
      <c r="K929" s="5" t="s">
        <v>25</v>
      </c>
      <c r="L929" s="5" t="s">
        <v>8622</v>
      </c>
      <c r="M929" s="5" t="s">
        <v>8623</v>
      </c>
      <c r="N929" s="7" t="s">
        <v>8624</v>
      </c>
      <c r="O929" s="9" t="s">
        <v>8625</v>
      </c>
      <c r="P929" s="19" t="s">
        <v>8626</v>
      </c>
      <c r="Q929" s="5" t="s">
        <v>30</v>
      </c>
    </row>
    <row r="930" ht="21.0" customHeight="1">
      <c r="A930" s="4">
        <v>944.0</v>
      </c>
      <c r="B930" s="5" t="s">
        <v>8627</v>
      </c>
      <c r="C930" s="5" t="s">
        <v>8628</v>
      </c>
      <c r="D930" s="5" t="s">
        <v>8629</v>
      </c>
      <c r="E930" s="5" t="s">
        <v>8630</v>
      </c>
      <c r="F930" s="5" t="s">
        <v>8080</v>
      </c>
      <c r="G930" s="5" t="s">
        <v>8631</v>
      </c>
      <c r="H930" s="5" t="s">
        <v>23</v>
      </c>
      <c r="I930" s="6" t="s">
        <v>8632</v>
      </c>
      <c r="J930" s="4">
        <v>100.0</v>
      </c>
      <c r="K930" s="5" t="s">
        <v>25</v>
      </c>
      <c r="L930" s="5" t="s">
        <v>8633</v>
      </c>
      <c r="M930" s="5" t="s">
        <v>8634</v>
      </c>
      <c r="N930" s="7" t="s">
        <v>8635</v>
      </c>
      <c r="O930" s="9" t="s">
        <v>8636</v>
      </c>
      <c r="P930" s="19" t="s">
        <v>8637</v>
      </c>
      <c r="Q930" s="5" t="s">
        <v>30</v>
      </c>
    </row>
    <row r="931" ht="21.0" customHeight="1">
      <c r="A931" s="4">
        <v>945.0</v>
      </c>
      <c r="B931" s="5" t="s">
        <v>8638</v>
      </c>
      <c r="C931" s="5" t="s">
        <v>18</v>
      </c>
      <c r="D931" s="5" t="s">
        <v>19</v>
      </c>
      <c r="E931" s="5" t="s">
        <v>8639</v>
      </c>
      <c r="F931" s="5" t="s">
        <v>8640</v>
      </c>
      <c r="G931" s="5" t="s">
        <v>34</v>
      </c>
      <c r="H931" s="5" t="s">
        <v>23</v>
      </c>
      <c r="I931" s="6" t="s">
        <v>8641</v>
      </c>
      <c r="J931" s="4">
        <v>100.0</v>
      </c>
      <c r="K931" s="5" t="s">
        <v>25</v>
      </c>
      <c r="L931" s="5" t="s">
        <v>8642</v>
      </c>
      <c r="M931" s="5" t="s">
        <v>8643</v>
      </c>
      <c r="N931" s="7" t="s">
        <v>8644</v>
      </c>
      <c r="O931" s="9" t="s">
        <v>8645</v>
      </c>
      <c r="P931" s="19" t="s">
        <v>8646</v>
      </c>
      <c r="Q931" s="5" t="s">
        <v>30</v>
      </c>
    </row>
    <row r="932" ht="21.0" customHeight="1">
      <c r="A932" s="4">
        <v>946.0</v>
      </c>
      <c r="B932" s="5" t="s">
        <v>8647</v>
      </c>
      <c r="C932" s="5" t="s">
        <v>18</v>
      </c>
      <c r="D932" s="5" t="s">
        <v>8648</v>
      </c>
      <c r="E932" s="5" t="s">
        <v>8649</v>
      </c>
      <c r="F932" s="5" t="s">
        <v>8640</v>
      </c>
      <c r="G932" s="5" t="s">
        <v>8650</v>
      </c>
      <c r="H932" s="5" t="s">
        <v>23</v>
      </c>
      <c r="I932" s="6" t="s">
        <v>8651</v>
      </c>
      <c r="J932" s="4">
        <v>100.0</v>
      </c>
      <c r="K932" s="5" t="s">
        <v>316</v>
      </c>
      <c r="L932" s="5" t="s">
        <v>8652</v>
      </c>
      <c r="M932" s="5" t="s">
        <v>8653</v>
      </c>
      <c r="N932" s="7" t="s">
        <v>8654</v>
      </c>
      <c r="O932" s="9" t="s">
        <v>8655</v>
      </c>
      <c r="P932" s="19" t="s">
        <v>8656</v>
      </c>
      <c r="Q932" s="5" t="s">
        <v>30</v>
      </c>
    </row>
    <row r="933" ht="21.0" customHeight="1">
      <c r="A933" s="4">
        <v>947.0</v>
      </c>
      <c r="B933" s="5" t="s">
        <v>8657</v>
      </c>
      <c r="C933" s="5" t="s">
        <v>18</v>
      </c>
      <c r="D933" s="5" t="s">
        <v>8658</v>
      </c>
      <c r="E933" s="5" t="s">
        <v>8659</v>
      </c>
      <c r="F933" s="5" t="s">
        <v>8640</v>
      </c>
      <c r="G933" s="5" t="s">
        <v>8660</v>
      </c>
      <c r="H933" s="5" t="s">
        <v>23</v>
      </c>
      <c r="I933" s="6" t="s">
        <v>8661</v>
      </c>
      <c r="J933" s="4">
        <v>100.0</v>
      </c>
      <c r="K933" s="5" t="s">
        <v>25</v>
      </c>
      <c r="L933" s="5" t="s">
        <v>8662</v>
      </c>
      <c r="M933" s="5" t="s">
        <v>8663</v>
      </c>
      <c r="N933" s="7" t="s">
        <v>8566</v>
      </c>
      <c r="O933" s="9" t="s">
        <v>8567</v>
      </c>
      <c r="P933" s="19" t="s">
        <v>8568</v>
      </c>
      <c r="Q933" s="5" t="s">
        <v>30</v>
      </c>
    </row>
    <row r="934" ht="21.0" customHeight="1">
      <c r="A934" s="4">
        <v>948.0</v>
      </c>
      <c r="B934" s="5" t="s">
        <v>8664</v>
      </c>
      <c r="C934" s="5" t="s">
        <v>18</v>
      </c>
      <c r="D934" s="5" t="s">
        <v>8665</v>
      </c>
      <c r="E934" s="5" t="s">
        <v>8666</v>
      </c>
      <c r="F934" s="5" t="s">
        <v>8640</v>
      </c>
      <c r="G934" s="5" t="s">
        <v>8667</v>
      </c>
      <c r="H934" s="5" t="s">
        <v>23</v>
      </c>
      <c r="I934" s="6" t="s">
        <v>8668</v>
      </c>
      <c r="J934" s="4">
        <v>100.0</v>
      </c>
      <c r="K934" s="5" t="s">
        <v>68</v>
      </c>
      <c r="L934" s="5" t="s">
        <v>8669</v>
      </c>
      <c r="M934" s="5" t="s">
        <v>8670</v>
      </c>
      <c r="N934" s="7" t="s">
        <v>8671</v>
      </c>
      <c r="O934" s="9" t="s">
        <v>8672</v>
      </c>
      <c r="P934" s="19" t="s">
        <v>8673</v>
      </c>
      <c r="Q934" s="5" t="s">
        <v>30</v>
      </c>
    </row>
    <row r="935" ht="21.0" customHeight="1">
      <c r="A935" s="4">
        <v>949.0</v>
      </c>
      <c r="B935" s="5" t="s">
        <v>8674</v>
      </c>
      <c r="C935" s="5" t="s">
        <v>8675</v>
      </c>
      <c r="D935" s="5" t="s">
        <v>5588</v>
      </c>
      <c r="E935" s="5" t="s">
        <v>8676</v>
      </c>
      <c r="F935" s="5" t="s">
        <v>8640</v>
      </c>
      <c r="G935" s="5" t="s">
        <v>8677</v>
      </c>
      <c r="H935" s="5" t="s">
        <v>23</v>
      </c>
      <c r="I935" s="6" t="s">
        <v>8678</v>
      </c>
      <c r="J935" s="4">
        <v>100.0</v>
      </c>
      <c r="K935" s="5" t="s">
        <v>25</v>
      </c>
      <c r="L935" s="5" t="s">
        <v>8679</v>
      </c>
      <c r="M935" s="5" t="s">
        <v>8680</v>
      </c>
      <c r="N935" s="10" t="s">
        <v>8681</v>
      </c>
      <c r="O935" s="9" t="s">
        <v>8682</v>
      </c>
      <c r="P935" s="19" t="s">
        <v>8683</v>
      </c>
      <c r="Q935" s="5" t="s">
        <v>30</v>
      </c>
    </row>
    <row r="936" ht="21.0" customHeight="1">
      <c r="A936" s="4">
        <v>950.0</v>
      </c>
      <c r="B936" s="5" t="s">
        <v>8684</v>
      </c>
      <c r="C936" s="5" t="s">
        <v>18</v>
      </c>
      <c r="D936" s="5" t="s">
        <v>8685</v>
      </c>
      <c r="E936" s="5" t="s">
        <v>8686</v>
      </c>
      <c r="F936" s="5" t="s">
        <v>8640</v>
      </c>
      <c r="G936" s="5" t="s">
        <v>8687</v>
      </c>
      <c r="H936" s="5" t="s">
        <v>23</v>
      </c>
      <c r="I936" s="6" t="s">
        <v>8688</v>
      </c>
      <c r="J936" s="4">
        <v>100.0</v>
      </c>
      <c r="K936" s="5" t="s">
        <v>84</v>
      </c>
      <c r="L936" s="5" t="s">
        <v>8689</v>
      </c>
      <c r="M936" s="5" t="s">
        <v>8690</v>
      </c>
      <c r="N936" s="7" t="s">
        <v>8691</v>
      </c>
      <c r="O936" s="9" t="s">
        <v>8692</v>
      </c>
      <c r="P936" s="19" t="s">
        <v>8693</v>
      </c>
      <c r="Q936" s="5" t="s">
        <v>30</v>
      </c>
    </row>
    <row r="937" ht="21.0" customHeight="1">
      <c r="A937" s="4">
        <v>951.0</v>
      </c>
      <c r="B937" s="5" t="s">
        <v>8694</v>
      </c>
      <c r="C937" s="5" t="s">
        <v>18</v>
      </c>
      <c r="D937" s="5" t="s">
        <v>4694</v>
      </c>
      <c r="E937" s="5" t="s">
        <v>8695</v>
      </c>
      <c r="F937" s="5" t="s">
        <v>8640</v>
      </c>
      <c r="G937" s="5" t="s">
        <v>8696</v>
      </c>
      <c r="H937" s="5" t="s">
        <v>23</v>
      </c>
      <c r="I937" s="6" t="s">
        <v>8697</v>
      </c>
      <c r="J937" s="4">
        <v>100.0</v>
      </c>
      <c r="K937" s="5" t="s">
        <v>25</v>
      </c>
      <c r="L937" s="5" t="s">
        <v>8698</v>
      </c>
      <c r="M937" s="5" t="s">
        <v>8699</v>
      </c>
      <c r="N937" s="7" t="s">
        <v>8700</v>
      </c>
      <c r="O937" s="9" t="s">
        <v>8701</v>
      </c>
      <c r="P937" s="19" t="s">
        <v>8702</v>
      </c>
      <c r="Q937" s="5" t="s">
        <v>30</v>
      </c>
    </row>
    <row r="938" ht="21.0" customHeight="1">
      <c r="A938" s="4">
        <v>952.0</v>
      </c>
      <c r="B938" s="5" t="s">
        <v>8703</v>
      </c>
      <c r="C938" s="5" t="s">
        <v>8704</v>
      </c>
      <c r="D938" s="5" t="s">
        <v>8705</v>
      </c>
      <c r="E938" s="5" t="s">
        <v>8706</v>
      </c>
      <c r="F938" s="5" t="s">
        <v>8640</v>
      </c>
      <c r="G938" s="5" t="s">
        <v>8707</v>
      </c>
      <c r="H938" s="5" t="s">
        <v>23</v>
      </c>
      <c r="I938" s="6" t="s">
        <v>8708</v>
      </c>
      <c r="J938" s="4">
        <v>100.0</v>
      </c>
      <c r="K938" s="5" t="s">
        <v>25</v>
      </c>
      <c r="L938" s="5" t="s">
        <v>8709</v>
      </c>
      <c r="M938" s="5" t="s">
        <v>8710</v>
      </c>
      <c r="N938" s="7" t="s">
        <v>8711</v>
      </c>
      <c r="O938" s="9" t="s">
        <v>8712</v>
      </c>
      <c r="P938" s="19" t="s">
        <v>8713</v>
      </c>
      <c r="Q938" s="5" t="s">
        <v>30</v>
      </c>
    </row>
    <row r="939" ht="21.0" customHeight="1">
      <c r="A939" s="4">
        <v>953.0</v>
      </c>
      <c r="B939" s="5" t="s">
        <v>8714</v>
      </c>
      <c r="C939" s="5" t="s">
        <v>18</v>
      </c>
      <c r="D939" s="5" t="s">
        <v>8715</v>
      </c>
      <c r="E939" s="5" t="s">
        <v>8716</v>
      </c>
      <c r="F939" s="5" t="s">
        <v>8640</v>
      </c>
      <c r="G939" s="5" t="s">
        <v>8717</v>
      </c>
      <c r="H939" s="5" t="s">
        <v>23</v>
      </c>
      <c r="I939" s="6" t="s">
        <v>8718</v>
      </c>
      <c r="J939" s="4">
        <v>100.0</v>
      </c>
      <c r="K939" s="5" t="s">
        <v>110</v>
      </c>
      <c r="L939" s="5" t="s">
        <v>8719</v>
      </c>
      <c r="M939" s="5" t="s">
        <v>8720</v>
      </c>
      <c r="N939" s="7" t="s">
        <v>8721</v>
      </c>
      <c r="O939" s="9" t="s">
        <v>8722</v>
      </c>
      <c r="P939" s="19" t="s">
        <v>8723</v>
      </c>
      <c r="Q939" s="5" t="s">
        <v>30</v>
      </c>
    </row>
    <row r="940" ht="21.0" customHeight="1">
      <c r="A940" s="4">
        <v>954.0</v>
      </c>
      <c r="B940" s="5" t="s">
        <v>8724</v>
      </c>
      <c r="C940" s="5" t="s">
        <v>8725</v>
      </c>
      <c r="D940" s="5" t="s">
        <v>19</v>
      </c>
      <c r="E940" s="5" t="s">
        <v>8726</v>
      </c>
      <c r="F940" s="5" t="s">
        <v>8640</v>
      </c>
      <c r="G940" s="5" t="s">
        <v>34</v>
      </c>
      <c r="H940" s="5" t="s">
        <v>23</v>
      </c>
      <c r="I940" s="6" t="s">
        <v>8727</v>
      </c>
      <c r="J940" s="4">
        <v>100.0</v>
      </c>
      <c r="K940" s="5" t="s">
        <v>25</v>
      </c>
      <c r="L940" s="5" t="s">
        <v>8728</v>
      </c>
      <c r="M940" s="5" t="s">
        <v>8729</v>
      </c>
      <c r="N940" s="7" t="s">
        <v>8730</v>
      </c>
      <c r="O940" s="9" t="s">
        <v>8731</v>
      </c>
      <c r="P940" s="19" t="s">
        <v>8732</v>
      </c>
      <c r="Q940" s="5" t="s">
        <v>30</v>
      </c>
    </row>
    <row r="941" ht="21.0" customHeight="1">
      <c r="A941" s="4">
        <v>955.0</v>
      </c>
      <c r="B941" s="5" t="s">
        <v>8733</v>
      </c>
      <c r="C941" s="5" t="s">
        <v>18</v>
      </c>
      <c r="D941" s="5" t="s">
        <v>6621</v>
      </c>
      <c r="E941" s="5" t="s">
        <v>8734</v>
      </c>
      <c r="F941" s="5" t="s">
        <v>8640</v>
      </c>
      <c r="G941" s="5" t="s">
        <v>8735</v>
      </c>
      <c r="H941" s="5" t="s">
        <v>23</v>
      </c>
      <c r="I941" s="6" t="s">
        <v>8736</v>
      </c>
      <c r="J941" s="4">
        <v>100.0</v>
      </c>
      <c r="K941" s="5" t="s">
        <v>165</v>
      </c>
      <c r="L941" s="5" t="s">
        <v>8737</v>
      </c>
      <c r="M941" s="5" t="s">
        <v>8738</v>
      </c>
      <c r="N941" s="7" t="s">
        <v>8739</v>
      </c>
      <c r="O941" s="9" t="s">
        <v>8740</v>
      </c>
      <c r="P941" s="19" t="s">
        <v>8741</v>
      </c>
      <c r="Q941" s="5" t="s">
        <v>30</v>
      </c>
    </row>
    <row r="942" ht="21.0" customHeight="1">
      <c r="A942" s="13">
        <v>956.0</v>
      </c>
      <c r="B942" s="14" t="s">
        <v>8742</v>
      </c>
      <c r="C942" s="14" t="s">
        <v>18</v>
      </c>
      <c r="D942" s="14" t="s">
        <v>8743</v>
      </c>
      <c r="E942" s="14" t="s">
        <v>8744</v>
      </c>
      <c r="F942" s="14" t="s">
        <v>8745</v>
      </c>
      <c r="G942" s="14" t="s">
        <v>8746</v>
      </c>
      <c r="H942" s="14" t="s">
        <v>23</v>
      </c>
      <c r="I942" s="15" t="s">
        <v>8747</v>
      </c>
      <c r="J942" s="13">
        <v>100.0</v>
      </c>
      <c r="K942" s="14" t="s">
        <v>84</v>
      </c>
      <c r="L942" s="14" t="s">
        <v>8748</v>
      </c>
      <c r="M942" s="14" t="s">
        <v>8749</v>
      </c>
      <c r="N942" s="16" t="s">
        <v>8750</v>
      </c>
      <c r="O942" s="17" t="s">
        <v>8751</v>
      </c>
      <c r="P942" s="26" t="s">
        <v>8752</v>
      </c>
      <c r="Q942" s="14" t="s">
        <v>30</v>
      </c>
      <c r="R942" s="18"/>
      <c r="S942" s="18"/>
      <c r="T942" s="18"/>
      <c r="U942" s="18"/>
      <c r="V942" s="18"/>
      <c r="W942" s="18"/>
      <c r="X942" s="18"/>
      <c r="Y942" s="18"/>
      <c r="Z942" s="18"/>
    </row>
    <row r="943" ht="21.0" customHeight="1">
      <c r="A943" s="4">
        <v>957.0</v>
      </c>
      <c r="B943" s="5" t="s">
        <v>8753</v>
      </c>
      <c r="C943" s="5" t="s">
        <v>18</v>
      </c>
      <c r="D943" s="5" t="s">
        <v>8754</v>
      </c>
      <c r="E943" s="5" t="s">
        <v>8755</v>
      </c>
      <c r="F943" s="5" t="s">
        <v>8745</v>
      </c>
      <c r="G943" s="5" t="s">
        <v>8756</v>
      </c>
      <c r="H943" s="5" t="s">
        <v>23</v>
      </c>
      <c r="I943" s="6" t="s">
        <v>8757</v>
      </c>
      <c r="J943" s="4">
        <v>100.0</v>
      </c>
      <c r="K943" s="5" t="s">
        <v>84</v>
      </c>
      <c r="L943" s="5" t="s">
        <v>8758</v>
      </c>
      <c r="M943" s="5" t="s">
        <v>8759</v>
      </c>
      <c r="N943" s="7" t="s">
        <v>8760</v>
      </c>
      <c r="O943" s="9" t="s">
        <v>8761</v>
      </c>
      <c r="P943" s="19" t="s">
        <v>8762</v>
      </c>
      <c r="Q943" s="5" t="s">
        <v>30</v>
      </c>
    </row>
    <row r="944" ht="21.0" customHeight="1">
      <c r="A944" s="4">
        <v>958.0</v>
      </c>
      <c r="B944" s="5" t="s">
        <v>8763</v>
      </c>
      <c r="C944" s="5" t="s">
        <v>18</v>
      </c>
      <c r="D944" s="5" t="s">
        <v>8764</v>
      </c>
      <c r="E944" s="5" t="s">
        <v>8765</v>
      </c>
      <c r="F944" s="5" t="s">
        <v>8745</v>
      </c>
      <c r="G944" s="5" t="s">
        <v>8766</v>
      </c>
      <c r="H944" s="5" t="s">
        <v>23</v>
      </c>
      <c r="I944" s="6" t="s">
        <v>8767</v>
      </c>
      <c r="J944" s="4">
        <v>100.0</v>
      </c>
      <c r="K944" s="5" t="s">
        <v>110</v>
      </c>
      <c r="L944" s="5" t="s">
        <v>8768</v>
      </c>
      <c r="M944" s="5" t="s">
        <v>8769</v>
      </c>
      <c r="N944" s="7" t="s">
        <v>8770</v>
      </c>
      <c r="O944" s="9" t="s">
        <v>8771</v>
      </c>
      <c r="P944" s="19" t="s">
        <v>8772</v>
      </c>
      <c r="Q944" s="5" t="s">
        <v>30</v>
      </c>
    </row>
    <row r="945" ht="21.0" customHeight="1">
      <c r="A945" s="4">
        <v>959.0</v>
      </c>
      <c r="B945" s="5" t="s">
        <v>8773</v>
      </c>
      <c r="C945" s="5" t="s">
        <v>8774</v>
      </c>
      <c r="D945" s="5" t="s">
        <v>8775</v>
      </c>
      <c r="E945" s="5" t="s">
        <v>8776</v>
      </c>
      <c r="F945" s="5" t="s">
        <v>8745</v>
      </c>
      <c r="G945" s="5" t="s">
        <v>34</v>
      </c>
      <c r="H945" s="5" t="s">
        <v>23</v>
      </c>
      <c r="I945" s="6" t="s">
        <v>8777</v>
      </c>
      <c r="J945" s="4">
        <v>100.0</v>
      </c>
      <c r="K945" s="5" t="s">
        <v>25</v>
      </c>
      <c r="L945" s="5" t="s">
        <v>8778</v>
      </c>
      <c r="M945" s="5" t="s">
        <v>8779</v>
      </c>
      <c r="N945" s="7" t="s">
        <v>8780</v>
      </c>
      <c r="O945" s="9" t="s">
        <v>8781</v>
      </c>
      <c r="P945" s="19" t="s">
        <v>8782</v>
      </c>
      <c r="Q945" s="5" t="s">
        <v>30</v>
      </c>
    </row>
    <row r="946" ht="21.0" customHeight="1">
      <c r="A946" s="4">
        <v>960.0</v>
      </c>
      <c r="B946" s="5" t="s">
        <v>8783</v>
      </c>
      <c r="C946" s="5" t="s">
        <v>18</v>
      </c>
      <c r="D946" s="5" t="s">
        <v>8784</v>
      </c>
      <c r="E946" s="5" t="s">
        <v>8785</v>
      </c>
      <c r="F946" s="5" t="s">
        <v>8745</v>
      </c>
      <c r="G946" s="5" t="s">
        <v>8786</v>
      </c>
      <c r="H946" s="5" t="s">
        <v>23</v>
      </c>
      <c r="I946" s="6" t="s">
        <v>8787</v>
      </c>
      <c r="J946" s="4">
        <v>100.0</v>
      </c>
      <c r="K946" s="5" t="s">
        <v>25</v>
      </c>
      <c r="L946" s="5" t="s">
        <v>8788</v>
      </c>
      <c r="M946" s="5" t="s">
        <v>8789</v>
      </c>
      <c r="N946" s="7" t="s">
        <v>8790</v>
      </c>
      <c r="O946" s="9" t="s">
        <v>8791</v>
      </c>
      <c r="P946" s="19" t="s">
        <v>8792</v>
      </c>
      <c r="Q946" s="5" t="s">
        <v>30</v>
      </c>
    </row>
    <row r="947" ht="21.0" customHeight="1">
      <c r="A947" s="4">
        <v>961.0</v>
      </c>
      <c r="B947" s="5" t="s">
        <v>8793</v>
      </c>
      <c r="C947" s="5" t="s">
        <v>18</v>
      </c>
      <c r="D947" s="5" t="s">
        <v>7583</v>
      </c>
      <c r="E947" s="5" t="s">
        <v>8794</v>
      </c>
      <c r="F947" s="5" t="s">
        <v>8745</v>
      </c>
      <c r="G947" s="5" t="s">
        <v>8795</v>
      </c>
      <c r="H947" s="5" t="s">
        <v>23</v>
      </c>
      <c r="I947" s="6" t="s">
        <v>8796</v>
      </c>
      <c r="J947" s="4">
        <v>100.0</v>
      </c>
      <c r="K947" s="5" t="s">
        <v>316</v>
      </c>
      <c r="L947" s="5" t="s">
        <v>8797</v>
      </c>
      <c r="M947" s="5" t="s">
        <v>8798</v>
      </c>
      <c r="N947" s="7" t="s">
        <v>8799</v>
      </c>
      <c r="O947" s="9" t="s">
        <v>8800</v>
      </c>
      <c r="P947" s="19" t="s">
        <v>8801</v>
      </c>
      <c r="Q947" s="5" t="s">
        <v>30</v>
      </c>
    </row>
    <row r="948" ht="21.0" customHeight="1">
      <c r="A948" s="4">
        <v>962.0</v>
      </c>
      <c r="B948" s="5" t="s">
        <v>8802</v>
      </c>
      <c r="C948" s="5" t="s">
        <v>18</v>
      </c>
      <c r="D948" s="5" t="s">
        <v>8803</v>
      </c>
      <c r="E948" s="5" t="s">
        <v>8804</v>
      </c>
      <c r="F948" s="5" t="s">
        <v>8745</v>
      </c>
      <c r="G948" s="5" t="s">
        <v>8805</v>
      </c>
      <c r="H948" s="5" t="s">
        <v>23</v>
      </c>
      <c r="I948" s="6" t="s">
        <v>8806</v>
      </c>
      <c r="J948" s="4">
        <v>100.0</v>
      </c>
      <c r="K948" s="5" t="s">
        <v>216</v>
      </c>
      <c r="L948" s="5" t="s">
        <v>8807</v>
      </c>
      <c r="M948" s="5" t="s">
        <v>8808</v>
      </c>
      <c r="N948" s="7" t="s">
        <v>8809</v>
      </c>
      <c r="O948" s="9" t="s">
        <v>8810</v>
      </c>
      <c r="P948" s="19" t="s">
        <v>8811</v>
      </c>
      <c r="Q948" s="5" t="s">
        <v>30</v>
      </c>
    </row>
    <row r="949" ht="21.0" customHeight="1">
      <c r="A949" s="4">
        <v>963.0</v>
      </c>
      <c r="B949" s="5" t="s">
        <v>8812</v>
      </c>
      <c r="C949" s="5" t="s">
        <v>8813</v>
      </c>
      <c r="D949" s="5" t="s">
        <v>8814</v>
      </c>
      <c r="E949" s="5" t="s">
        <v>8815</v>
      </c>
      <c r="F949" s="5" t="s">
        <v>8745</v>
      </c>
      <c r="G949" s="5" t="s">
        <v>8816</v>
      </c>
      <c r="H949" s="5" t="s">
        <v>23</v>
      </c>
      <c r="I949" s="6" t="s">
        <v>8817</v>
      </c>
      <c r="J949" s="4">
        <v>100.0</v>
      </c>
      <c r="K949" s="5" t="s">
        <v>25</v>
      </c>
      <c r="L949" s="5" t="s">
        <v>8818</v>
      </c>
      <c r="M949" s="5" t="s">
        <v>8819</v>
      </c>
      <c r="N949" s="7" t="s">
        <v>8820</v>
      </c>
      <c r="O949" s="9" t="s">
        <v>8821</v>
      </c>
      <c r="P949" s="19" t="s">
        <v>8822</v>
      </c>
      <c r="Q949" s="5" t="s">
        <v>30</v>
      </c>
    </row>
    <row r="950" ht="21.0" customHeight="1">
      <c r="A950" s="4">
        <v>964.0</v>
      </c>
      <c r="B950" s="5" t="s">
        <v>8823</v>
      </c>
      <c r="C950" s="5" t="s">
        <v>18</v>
      </c>
      <c r="D950" s="5" t="s">
        <v>8824</v>
      </c>
      <c r="E950" s="5" t="s">
        <v>8825</v>
      </c>
      <c r="F950" s="5" t="s">
        <v>8745</v>
      </c>
      <c r="G950" s="5" t="s">
        <v>8826</v>
      </c>
      <c r="H950" s="5" t="s">
        <v>23</v>
      </c>
      <c r="I950" s="6" t="s">
        <v>8827</v>
      </c>
      <c r="J950" s="4">
        <v>100.0</v>
      </c>
      <c r="K950" s="5" t="s">
        <v>25</v>
      </c>
      <c r="L950" s="5" t="s">
        <v>8828</v>
      </c>
      <c r="M950" s="5" t="s">
        <v>8829</v>
      </c>
      <c r="N950" s="10" t="s">
        <v>8830</v>
      </c>
      <c r="O950" s="9" t="s">
        <v>8831</v>
      </c>
      <c r="P950" s="19" t="s">
        <v>8832</v>
      </c>
      <c r="Q950" s="5" t="s">
        <v>30</v>
      </c>
    </row>
    <row r="951" ht="21.0" customHeight="1">
      <c r="A951" s="4">
        <v>965.0</v>
      </c>
      <c r="B951" s="5" t="s">
        <v>8833</v>
      </c>
      <c r="C951" s="5" t="s">
        <v>18</v>
      </c>
      <c r="D951" s="5" t="s">
        <v>1406</v>
      </c>
      <c r="E951" s="5" t="s">
        <v>8834</v>
      </c>
      <c r="F951" s="5" t="s">
        <v>8745</v>
      </c>
      <c r="G951" s="5" t="s">
        <v>8835</v>
      </c>
      <c r="H951" s="5" t="s">
        <v>23</v>
      </c>
      <c r="I951" s="6" t="s">
        <v>8836</v>
      </c>
      <c r="J951" s="4">
        <v>100.0</v>
      </c>
      <c r="K951" s="5" t="s">
        <v>275</v>
      </c>
      <c r="L951" s="5" t="s">
        <v>8837</v>
      </c>
      <c r="M951" s="5" t="s">
        <v>8838</v>
      </c>
      <c r="N951" s="7" t="s">
        <v>8839</v>
      </c>
      <c r="O951" s="9" t="s">
        <v>8840</v>
      </c>
      <c r="P951" s="19" t="s">
        <v>8841</v>
      </c>
      <c r="Q951" s="5" t="s">
        <v>30</v>
      </c>
    </row>
    <row r="952" ht="21.0" customHeight="1">
      <c r="A952" s="4">
        <v>966.0</v>
      </c>
      <c r="B952" s="5" t="s">
        <v>8842</v>
      </c>
      <c r="C952" s="5" t="s">
        <v>8843</v>
      </c>
      <c r="D952" s="5" t="s">
        <v>170</v>
      </c>
      <c r="E952" s="5" t="s">
        <v>8844</v>
      </c>
      <c r="F952" s="5" t="s">
        <v>8745</v>
      </c>
      <c r="G952" s="5" t="s">
        <v>8845</v>
      </c>
      <c r="H952" s="5" t="s">
        <v>23</v>
      </c>
      <c r="I952" s="6" t="s">
        <v>8846</v>
      </c>
      <c r="J952" s="4">
        <v>100.0</v>
      </c>
      <c r="K952" s="5" t="s">
        <v>25</v>
      </c>
      <c r="L952" s="5" t="s">
        <v>8847</v>
      </c>
      <c r="M952" s="5" t="s">
        <v>8848</v>
      </c>
      <c r="N952" s="7" t="s">
        <v>8849</v>
      </c>
      <c r="O952" s="9" t="s">
        <v>8850</v>
      </c>
      <c r="P952" s="19" t="s">
        <v>8851</v>
      </c>
      <c r="Q952" s="5" t="s">
        <v>30</v>
      </c>
    </row>
    <row r="953" ht="21.0" customHeight="1">
      <c r="A953" s="4">
        <v>967.0</v>
      </c>
      <c r="B953" s="5" t="s">
        <v>8852</v>
      </c>
      <c r="C953" s="5" t="s">
        <v>8853</v>
      </c>
      <c r="D953" s="5" t="s">
        <v>8854</v>
      </c>
      <c r="E953" s="5" t="s">
        <v>8855</v>
      </c>
      <c r="F953" s="5" t="s">
        <v>8745</v>
      </c>
      <c r="G953" s="5" t="s">
        <v>34</v>
      </c>
      <c r="H953" s="5" t="s">
        <v>23</v>
      </c>
      <c r="I953" s="6" t="s">
        <v>8856</v>
      </c>
      <c r="J953" s="4">
        <v>100.0</v>
      </c>
      <c r="K953" s="5" t="s">
        <v>25</v>
      </c>
      <c r="L953" s="5" t="s">
        <v>8857</v>
      </c>
      <c r="M953" s="5" t="s">
        <v>8858</v>
      </c>
      <c r="N953" s="7" t="s">
        <v>8859</v>
      </c>
      <c r="O953" s="9" t="s">
        <v>8860</v>
      </c>
      <c r="P953" s="19" t="s">
        <v>8861</v>
      </c>
      <c r="Q953" s="5" t="s">
        <v>30</v>
      </c>
    </row>
    <row r="954" ht="21.0" customHeight="1">
      <c r="A954" s="4">
        <v>968.0</v>
      </c>
      <c r="B954" s="5" t="s">
        <v>8862</v>
      </c>
      <c r="C954" s="5" t="s">
        <v>18</v>
      </c>
      <c r="D954" s="5" t="s">
        <v>170</v>
      </c>
      <c r="E954" s="5" t="s">
        <v>8863</v>
      </c>
      <c r="F954" s="5" t="s">
        <v>8745</v>
      </c>
      <c r="G954" s="5" t="s">
        <v>8864</v>
      </c>
      <c r="H954" s="5" t="s">
        <v>23</v>
      </c>
      <c r="I954" s="6" t="s">
        <v>8865</v>
      </c>
      <c r="J954" s="4">
        <v>100.0</v>
      </c>
      <c r="K954" s="5" t="s">
        <v>52</v>
      </c>
      <c r="L954" s="5" t="s">
        <v>8866</v>
      </c>
      <c r="M954" s="5" t="s">
        <v>8867</v>
      </c>
      <c r="N954" s="7" t="s">
        <v>8868</v>
      </c>
      <c r="O954" s="9" t="s">
        <v>8869</v>
      </c>
      <c r="P954" s="19" t="s">
        <v>8870</v>
      </c>
      <c r="Q954" s="5" t="s">
        <v>30</v>
      </c>
    </row>
    <row r="955" ht="21.0" customHeight="1">
      <c r="A955" s="4">
        <v>969.0</v>
      </c>
      <c r="B955" s="5" t="s">
        <v>8871</v>
      </c>
      <c r="C955" s="5" t="s">
        <v>8872</v>
      </c>
      <c r="D955" s="5" t="s">
        <v>8873</v>
      </c>
      <c r="E955" s="5" t="s">
        <v>8874</v>
      </c>
      <c r="F955" s="5" t="s">
        <v>8745</v>
      </c>
      <c r="G955" s="5" t="s">
        <v>8875</v>
      </c>
      <c r="H955" s="5" t="s">
        <v>23</v>
      </c>
      <c r="I955" s="6" t="s">
        <v>8876</v>
      </c>
      <c r="J955" s="4">
        <v>100.0</v>
      </c>
      <c r="K955" s="5" t="s">
        <v>25</v>
      </c>
      <c r="L955" s="5" t="s">
        <v>8877</v>
      </c>
      <c r="M955" s="5" t="s">
        <v>8878</v>
      </c>
      <c r="N955" s="7" t="s">
        <v>8879</v>
      </c>
      <c r="O955" s="9" t="s">
        <v>8880</v>
      </c>
      <c r="P955" s="19" t="s">
        <v>8881</v>
      </c>
      <c r="Q955" s="5" t="s">
        <v>30</v>
      </c>
    </row>
    <row r="956" ht="21.0" customHeight="1">
      <c r="A956" s="4">
        <v>970.0</v>
      </c>
      <c r="B956" s="5" t="s">
        <v>8882</v>
      </c>
      <c r="C956" s="5" t="s">
        <v>18</v>
      </c>
      <c r="D956" s="5" t="s">
        <v>6283</v>
      </c>
      <c r="E956" s="5" t="s">
        <v>8883</v>
      </c>
      <c r="F956" s="5" t="s">
        <v>8745</v>
      </c>
      <c r="G956" s="5" t="s">
        <v>8884</v>
      </c>
      <c r="H956" s="5" t="s">
        <v>23</v>
      </c>
      <c r="I956" s="6" t="s">
        <v>8885</v>
      </c>
      <c r="J956" s="4">
        <v>100.0</v>
      </c>
      <c r="K956" s="5" t="s">
        <v>165</v>
      </c>
      <c r="L956" s="5" t="s">
        <v>8886</v>
      </c>
      <c r="M956" s="5" t="s">
        <v>8887</v>
      </c>
      <c r="N956" s="7" t="s">
        <v>8888</v>
      </c>
      <c r="O956" s="9" t="s">
        <v>8889</v>
      </c>
      <c r="P956" s="19" t="s">
        <v>8890</v>
      </c>
      <c r="Q956" s="5" t="s">
        <v>30</v>
      </c>
    </row>
    <row r="957" ht="21.0" customHeight="1">
      <c r="A957" s="4">
        <v>971.0</v>
      </c>
      <c r="B957" s="5" t="s">
        <v>8891</v>
      </c>
      <c r="C957" s="5" t="s">
        <v>18</v>
      </c>
      <c r="D957" s="5" t="s">
        <v>170</v>
      </c>
      <c r="E957" s="5" t="s">
        <v>8892</v>
      </c>
      <c r="F957" s="5" t="s">
        <v>8745</v>
      </c>
      <c r="G957" s="5" t="s">
        <v>8893</v>
      </c>
      <c r="H957" s="5" t="s">
        <v>23</v>
      </c>
      <c r="I957" s="6" t="s">
        <v>8894</v>
      </c>
      <c r="J957" s="4">
        <v>100.0</v>
      </c>
      <c r="K957" s="5" t="s">
        <v>25</v>
      </c>
      <c r="L957" s="5" t="s">
        <v>8895</v>
      </c>
      <c r="M957" s="5" t="s">
        <v>8896</v>
      </c>
      <c r="N957" s="7" t="s">
        <v>8897</v>
      </c>
      <c r="O957" s="9" t="s">
        <v>8898</v>
      </c>
      <c r="P957" s="19" t="s">
        <v>8899</v>
      </c>
      <c r="Q957" s="5" t="s">
        <v>30</v>
      </c>
    </row>
    <row r="958" ht="21.0" customHeight="1">
      <c r="A958" s="4">
        <v>972.0</v>
      </c>
      <c r="B958" s="5" t="s">
        <v>8900</v>
      </c>
      <c r="C958" s="5" t="s">
        <v>18</v>
      </c>
      <c r="D958" s="5" t="s">
        <v>8901</v>
      </c>
      <c r="E958" s="5" t="s">
        <v>8902</v>
      </c>
      <c r="F958" s="5" t="s">
        <v>8745</v>
      </c>
      <c r="G958" s="5" t="s">
        <v>34</v>
      </c>
      <c r="H958" s="5" t="s">
        <v>50</v>
      </c>
      <c r="I958" s="6" t="s">
        <v>8903</v>
      </c>
      <c r="J958" s="4">
        <v>100.0</v>
      </c>
      <c r="K958" s="5" t="s">
        <v>517</v>
      </c>
      <c r="L958" s="5" t="s">
        <v>8904</v>
      </c>
      <c r="M958" s="5" t="s">
        <v>8905</v>
      </c>
      <c r="N958" s="7" t="s">
        <v>8906</v>
      </c>
      <c r="O958" s="9" t="s">
        <v>8907</v>
      </c>
      <c r="P958" s="19" t="s">
        <v>8908</v>
      </c>
      <c r="Q958" s="5" t="s">
        <v>30</v>
      </c>
    </row>
    <row r="959" ht="21.0" customHeight="1">
      <c r="A959" s="4">
        <v>973.0</v>
      </c>
      <c r="B959" s="5" t="s">
        <v>8909</v>
      </c>
      <c r="C959" s="5" t="s">
        <v>18</v>
      </c>
      <c r="D959" s="5" t="s">
        <v>8910</v>
      </c>
      <c r="E959" s="5" t="s">
        <v>8911</v>
      </c>
      <c r="F959" s="5" t="s">
        <v>8745</v>
      </c>
      <c r="G959" s="5" t="s">
        <v>8912</v>
      </c>
      <c r="H959" s="5" t="s">
        <v>23</v>
      </c>
      <c r="I959" s="6" t="s">
        <v>8913</v>
      </c>
      <c r="J959" s="4">
        <v>100.0</v>
      </c>
      <c r="K959" s="5" t="s">
        <v>517</v>
      </c>
      <c r="L959" s="5" t="s">
        <v>8914</v>
      </c>
      <c r="M959" s="5" t="s">
        <v>8915</v>
      </c>
      <c r="N959" s="7" t="s">
        <v>8916</v>
      </c>
      <c r="O959" s="9" t="s">
        <v>8917</v>
      </c>
      <c r="P959" s="19" t="s">
        <v>8918</v>
      </c>
      <c r="Q959" s="5" t="s">
        <v>30</v>
      </c>
    </row>
    <row r="960" ht="21.0" customHeight="1">
      <c r="A960" s="4">
        <v>974.0</v>
      </c>
      <c r="B960" s="5" t="s">
        <v>8919</v>
      </c>
      <c r="C960" s="5" t="s">
        <v>18</v>
      </c>
      <c r="D960" s="5" t="s">
        <v>8920</v>
      </c>
      <c r="E960" s="5" t="s">
        <v>8921</v>
      </c>
      <c r="F960" s="5" t="s">
        <v>8745</v>
      </c>
      <c r="G960" s="5" t="s">
        <v>34</v>
      </c>
      <c r="H960" s="5" t="s">
        <v>23</v>
      </c>
      <c r="I960" s="6" t="s">
        <v>8922</v>
      </c>
      <c r="J960" s="4">
        <v>100.0</v>
      </c>
      <c r="K960" s="5" t="s">
        <v>84</v>
      </c>
      <c r="L960" s="5" t="s">
        <v>8923</v>
      </c>
      <c r="M960" s="5" t="s">
        <v>8924</v>
      </c>
      <c r="N960" s="7" t="s">
        <v>8925</v>
      </c>
      <c r="O960" s="9" t="s">
        <v>8926</v>
      </c>
      <c r="P960" s="19" t="s">
        <v>8927</v>
      </c>
      <c r="Q960" s="5" t="s">
        <v>30</v>
      </c>
    </row>
    <row r="961" ht="21.0" customHeight="1">
      <c r="A961" s="4">
        <v>975.0</v>
      </c>
      <c r="B961" s="5" t="s">
        <v>8928</v>
      </c>
      <c r="C961" s="5" t="s">
        <v>18</v>
      </c>
      <c r="D961" s="5" t="s">
        <v>8929</v>
      </c>
      <c r="E961" s="5" t="s">
        <v>8930</v>
      </c>
      <c r="F961" s="5" t="s">
        <v>8745</v>
      </c>
      <c r="G961" s="5" t="s">
        <v>34</v>
      </c>
      <c r="H961" s="5" t="s">
        <v>23</v>
      </c>
      <c r="I961" s="6" t="s">
        <v>8931</v>
      </c>
      <c r="J961" s="4">
        <v>100.0</v>
      </c>
      <c r="K961" s="5" t="s">
        <v>25</v>
      </c>
      <c r="L961" s="5" t="s">
        <v>8932</v>
      </c>
      <c r="M961" s="5" t="s">
        <v>8933</v>
      </c>
      <c r="N961" s="7" t="s">
        <v>8934</v>
      </c>
      <c r="O961" s="9" t="s">
        <v>8935</v>
      </c>
      <c r="P961" s="19" t="s">
        <v>8936</v>
      </c>
      <c r="Q961" s="5" t="s">
        <v>30</v>
      </c>
    </row>
    <row r="962" ht="21.0" customHeight="1">
      <c r="A962" s="4">
        <v>976.0</v>
      </c>
      <c r="B962" s="5" t="s">
        <v>8937</v>
      </c>
      <c r="C962" s="5" t="s">
        <v>18</v>
      </c>
      <c r="D962" s="5" t="s">
        <v>8938</v>
      </c>
      <c r="E962" s="5" t="s">
        <v>8939</v>
      </c>
      <c r="F962" s="5" t="s">
        <v>8745</v>
      </c>
      <c r="G962" s="5" t="s">
        <v>8940</v>
      </c>
      <c r="H962" s="5" t="s">
        <v>50</v>
      </c>
      <c r="I962" s="6" t="s">
        <v>8941</v>
      </c>
      <c r="J962" s="4">
        <v>100.0</v>
      </c>
      <c r="K962" s="5" t="s">
        <v>141</v>
      </c>
      <c r="L962" s="5" t="s">
        <v>8942</v>
      </c>
      <c r="M962" s="5" t="s">
        <v>8943</v>
      </c>
      <c r="N962" s="7" t="s">
        <v>8944</v>
      </c>
      <c r="O962" s="9" t="s">
        <v>8945</v>
      </c>
      <c r="P962" s="19" t="s">
        <v>8946</v>
      </c>
      <c r="Q962" s="5" t="s">
        <v>30</v>
      </c>
    </row>
    <row r="963" ht="21.0" customHeight="1">
      <c r="A963" s="4">
        <v>977.0</v>
      </c>
      <c r="B963" s="5" t="s">
        <v>8947</v>
      </c>
      <c r="C963" s="5" t="s">
        <v>18</v>
      </c>
      <c r="D963" s="5" t="s">
        <v>8948</v>
      </c>
      <c r="E963" s="5" t="s">
        <v>8949</v>
      </c>
      <c r="F963" s="5" t="s">
        <v>8745</v>
      </c>
      <c r="G963" s="5" t="s">
        <v>8950</v>
      </c>
      <c r="H963" s="5" t="s">
        <v>23</v>
      </c>
      <c r="I963" s="6" t="s">
        <v>8951</v>
      </c>
      <c r="J963" s="4">
        <v>100.0</v>
      </c>
      <c r="K963" s="5" t="s">
        <v>25</v>
      </c>
      <c r="L963" s="5" t="s">
        <v>8952</v>
      </c>
      <c r="M963" s="5" t="s">
        <v>8953</v>
      </c>
      <c r="N963" s="7" t="s">
        <v>8954</v>
      </c>
      <c r="O963" s="9" t="s">
        <v>8955</v>
      </c>
      <c r="P963" s="19" t="s">
        <v>8956</v>
      </c>
      <c r="Q963" s="5" t="s">
        <v>30</v>
      </c>
    </row>
    <row r="964" ht="21.0" customHeight="1">
      <c r="A964" s="4">
        <v>978.0</v>
      </c>
      <c r="B964" s="5" t="s">
        <v>8957</v>
      </c>
      <c r="C964" s="5" t="s">
        <v>18</v>
      </c>
      <c r="D964" s="5" t="s">
        <v>8958</v>
      </c>
      <c r="E964" s="5" t="s">
        <v>8959</v>
      </c>
      <c r="F964" s="5" t="s">
        <v>8745</v>
      </c>
      <c r="G964" s="5" t="s">
        <v>8960</v>
      </c>
      <c r="H964" s="5" t="s">
        <v>23</v>
      </c>
      <c r="I964" s="6" t="s">
        <v>8961</v>
      </c>
      <c r="J964" s="4">
        <v>100.0</v>
      </c>
      <c r="K964" s="5" t="s">
        <v>316</v>
      </c>
      <c r="L964" s="5" t="s">
        <v>8962</v>
      </c>
      <c r="M964" s="5" t="s">
        <v>8963</v>
      </c>
      <c r="N964" s="7" t="s">
        <v>8964</v>
      </c>
      <c r="O964" s="9" t="s">
        <v>8965</v>
      </c>
      <c r="P964" s="19" t="s">
        <v>8966</v>
      </c>
      <c r="Q964" s="5" t="s">
        <v>30</v>
      </c>
    </row>
    <row r="965" ht="21.0" customHeight="1">
      <c r="A965" s="4">
        <v>979.0</v>
      </c>
      <c r="B965" s="5" t="s">
        <v>8967</v>
      </c>
      <c r="C965" s="5" t="s">
        <v>18</v>
      </c>
      <c r="D965" s="5" t="s">
        <v>8968</v>
      </c>
      <c r="E965" s="5" t="s">
        <v>8969</v>
      </c>
      <c r="F965" s="5" t="s">
        <v>8745</v>
      </c>
      <c r="G965" s="5" t="s">
        <v>8970</v>
      </c>
      <c r="H965" s="5" t="s">
        <v>23</v>
      </c>
      <c r="I965" s="6" t="s">
        <v>8971</v>
      </c>
      <c r="J965" s="4">
        <v>100.0</v>
      </c>
      <c r="K965" s="5" t="s">
        <v>216</v>
      </c>
      <c r="L965" s="5" t="s">
        <v>8972</v>
      </c>
      <c r="M965" s="5" t="s">
        <v>8973</v>
      </c>
      <c r="N965" s="50" t="s">
        <v>8974</v>
      </c>
      <c r="O965" s="9" t="s">
        <v>8975</v>
      </c>
      <c r="P965" s="19" t="s">
        <v>8976</v>
      </c>
      <c r="Q965" s="5" t="s">
        <v>30</v>
      </c>
    </row>
    <row r="966" ht="21.0" customHeight="1">
      <c r="A966" s="4">
        <v>980.0</v>
      </c>
      <c r="B966" s="5" t="s">
        <v>8977</v>
      </c>
      <c r="C966" s="5" t="s">
        <v>18</v>
      </c>
      <c r="D966" s="5" t="s">
        <v>19</v>
      </c>
      <c r="E966" s="5" t="s">
        <v>8978</v>
      </c>
      <c r="F966" s="5" t="s">
        <v>8745</v>
      </c>
      <c r="G966" s="5" t="s">
        <v>34</v>
      </c>
      <c r="H966" s="5" t="s">
        <v>23</v>
      </c>
      <c r="I966" s="6" t="s">
        <v>8979</v>
      </c>
      <c r="J966" s="4">
        <v>100.0</v>
      </c>
      <c r="K966" s="5" t="s">
        <v>84</v>
      </c>
      <c r="L966" s="5" t="s">
        <v>8980</v>
      </c>
      <c r="M966" s="5" t="s">
        <v>8981</v>
      </c>
      <c r="N966" s="7" t="s">
        <v>8982</v>
      </c>
      <c r="O966" s="9" t="s">
        <v>8983</v>
      </c>
      <c r="P966" s="19" t="s">
        <v>8984</v>
      </c>
      <c r="Q966" s="5" t="s">
        <v>30</v>
      </c>
    </row>
    <row r="967" ht="21.0" customHeight="1">
      <c r="A967" s="4">
        <v>981.0</v>
      </c>
      <c r="B967" s="5" t="s">
        <v>8985</v>
      </c>
      <c r="C967" s="5" t="s">
        <v>18</v>
      </c>
      <c r="D967" s="5" t="s">
        <v>8986</v>
      </c>
      <c r="E967" s="5" t="s">
        <v>8987</v>
      </c>
      <c r="F967" s="5" t="s">
        <v>8745</v>
      </c>
      <c r="G967" s="5" t="s">
        <v>8988</v>
      </c>
      <c r="H967" s="5" t="s">
        <v>23</v>
      </c>
      <c r="I967" s="6" t="s">
        <v>8989</v>
      </c>
      <c r="J967" s="4">
        <v>100.0</v>
      </c>
      <c r="K967" s="5" t="s">
        <v>25</v>
      </c>
      <c r="L967" s="5" t="s">
        <v>8990</v>
      </c>
      <c r="M967" s="5" t="s">
        <v>8991</v>
      </c>
      <c r="N967" s="7" t="s">
        <v>8992</v>
      </c>
      <c r="O967" s="9" t="s">
        <v>8993</v>
      </c>
      <c r="P967" s="19" t="s">
        <v>8994</v>
      </c>
      <c r="Q967" s="5" t="s">
        <v>30</v>
      </c>
    </row>
    <row r="968" ht="21.0" customHeight="1">
      <c r="A968" s="4">
        <v>982.0</v>
      </c>
      <c r="B968" s="5" t="s">
        <v>8995</v>
      </c>
      <c r="C968" s="5" t="s">
        <v>18</v>
      </c>
      <c r="D968" s="5" t="s">
        <v>170</v>
      </c>
      <c r="E968" s="5" t="s">
        <v>8996</v>
      </c>
      <c r="F968" s="5" t="s">
        <v>8745</v>
      </c>
      <c r="G968" s="5" t="s">
        <v>8997</v>
      </c>
      <c r="H968" s="5" t="s">
        <v>50</v>
      </c>
      <c r="I968" s="6" t="s">
        <v>8998</v>
      </c>
      <c r="J968" s="4">
        <v>100.0</v>
      </c>
      <c r="K968" s="5" t="s">
        <v>84</v>
      </c>
      <c r="L968" s="5" t="s">
        <v>8999</v>
      </c>
      <c r="M968" s="5" t="s">
        <v>9000</v>
      </c>
      <c r="N968" s="7" t="s">
        <v>9001</v>
      </c>
      <c r="O968" s="9" t="s">
        <v>9002</v>
      </c>
      <c r="P968" s="19" t="s">
        <v>9003</v>
      </c>
      <c r="Q968" s="5" t="s">
        <v>30</v>
      </c>
    </row>
    <row r="969" ht="21.0" customHeight="1">
      <c r="A969" s="4">
        <v>983.0</v>
      </c>
      <c r="B969" s="5" t="s">
        <v>9004</v>
      </c>
      <c r="C969" s="5" t="s">
        <v>9005</v>
      </c>
      <c r="D969" s="5" t="s">
        <v>170</v>
      </c>
      <c r="E969" s="5" t="s">
        <v>9006</v>
      </c>
      <c r="F969" s="5" t="s">
        <v>8745</v>
      </c>
      <c r="G969" s="5" t="s">
        <v>9007</v>
      </c>
      <c r="H969" s="5" t="s">
        <v>23</v>
      </c>
      <c r="I969" s="6" t="s">
        <v>9008</v>
      </c>
      <c r="J969" s="4">
        <v>100.0</v>
      </c>
      <c r="K969" s="5" t="s">
        <v>25</v>
      </c>
      <c r="L969" s="5" t="s">
        <v>9009</v>
      </c>
      <c r="M969" s="5" t="s">
        <v>9010</v>
      </c>
      <c r="N969" s="7" t="s">
        <v>9011</v>
      </c>
      <c r="O969" s="9" t="s">
        <v>9012</v>
      </c>
      <c r="P969" s="19" t="s">
        <v>9013</v>
      </c>
      <c r="Q969" s="5" t="s">
        <v>30</v>
      </c>
    </row>
    <row r="970" ht="21.0" customHeight="1">
      <c r="A970" s="4">
        <v>984.0</v>
      </c>
      <c r="B970" s="5" t="s">
        <v>9014</v>
      </c>
      <c r="C970" s="5" t="s">
        <v>18</v>
      </c>
      <c r="D970" s="5" t="s">
        <v>8854</v>
      </c>
      <c r="E970" s="5" t="s">
        <v>9015</v>
      </c>
      <c r="F970" s="5" t="s">
        <v>9016</v>
      </c>
      <c r="G970" s="5" t="s">
        <v>9017</v>
      </c>
      <c r="H970" s="5" t="s">
        <v>23</v>
      </c>
      <c r="I970" s="6" t="s">
        <v>9018</v>
      </c>
      <c r="J970" s="4">
        <v>100.0</v>
      </c>
      <c r="K970" s="5" t="s">
        <v>25</v>
      </c>
      <c r="L970" s="5" t="s">
        <v>9019</v>
      </c>
      <c r="M970" s="5" t="s">
        <v>9020</v>
      </c>
      <c r="N970" s="7" t="s">
        <v>9021</v>
      </c>
      <c r="O970" s="9" t="s">
        <v>9022</v>
      </c>
      <c r="P970" s="19" t="s">
        <v>9023</v>
      </c>
      <c r="Q970" s="5" t="s">
        <v>30</v>
      </c>
    </row>
    <row r="971" ht="21.0" customHeight="1">
      <c r="A971" s="4">
        <v>985.0</v>
      </c>
      <c r="B971" s="5" t="s">
        <v>9024</v>
      </c>
      <c r="C971" s="5" t="s">
        <v>9025</v>
      </c>
      <c r="D971" s="5" t="s">
        <v>9026</v>
      </c>
      <c r="E971" s="5" t="s">
        <v>9027</v>
      </c>
      <c r="F971" s="5" t="s">
        <v>9016</v>
      </c>
      <c r="G971" s="5" t="s">
        <v>9028</v>
      </c>
      <c r="H971" s="5" t="s">
        <v>23</v>
      </c>
      <c r="I971" s="6" t="s">
        <v>9029</v>
      </c>
      <c r="J971" s="4">
        <v>100.0</v>
      </c>
      <c r="K971" s="5" t="s">
        <v>25</v>
      </c>
      <c r="L971" s="5" t="s">
        <v>9030</v>
      </c>
      <c r="M971" s="5" t="s">
        <v>9031</v>
      </c>
      <c r="N971" s="7" t="s">
        <v>9032</v>
      </c>
      <c r="O971" s="9" t="s">
        <v>9033</v>
      </c>
      <c r="P971" s="19" t="s">
        <v>9034</v>
      </c>
      <c r="Q971" s="5" t="s">
        <v>30</v>
      </c>
    </row>
    <row r="972" ht="21.0" customHeight="1">
      <c r="A972" s="4">
        <v>986.0</v>
      </c>
      <c r="B972" s="5" t="s">
        <v>9035</v>
      </c>
      <c r="C972" s="5" t="s">
        <v>18</v>
      </c>
      <c r="D972" s="5" t="s">
        <v>9036</v>
      </c>
      <c r="E972" s="5" t="s">
        <v>9037</v>
      </c>
      <c r="F972" s="5" t="s">
        <v>9016</v>
      </c>
      <c r="G972" s="5" t="s">
        <v>9038</v>
      </c>
      <c r="H972" s="5" t="s">
        <v>23</v>
      </c>
      <c r="I972" s="6" t="s">
        <v>9039</v>
      </c>
      <c r="J972" s="4">
        <v>100.0</v>
      </c>
      <c r="K972" s="5" t="s">
        <v>165</v>
      </c>
      <c r="L972" s="5" t="s">
        <v>9040</v>
      </c>
      <c r="M972" s="5" t="s">
        <v>9041</v>
      </c>
      <c r="N972" s="7" t="s">
        <v>9042</v>
      </c>
      <c r="O972" s="9" t="s">
        <v>9043</v>
      </c>
      <c r="P972" s="19" t="s">
        <v>9044</v>
      </c>
      <c r="Q972" s="5" t="s">
        <v>30</v>
      </c>
    </row>
    <row r="973" ht="21.0" customHeight="1">
      <c r="A973" s="4">
        <v>987.0</v>
      </c>
      <c r="B973" s="5" t="s">
        <v>9045</v>
      </c>
      <c r="C973" s="5" t="s">
        <v>18</v>
      </c>
      <c r="D973" s="5" t="s">
        <v>9046</v>
      </c>
      <c r="E973" s="5" t="s">
        <v>9047</v>
      </c>
      <c r="F973" s="5" t="s">
        <v>9016</v>
      </c>
      <c r="G973" s="5" t="s">
        <v>9048</v>
      </c>
      <c r="H973" s="5" t="s">
        <v>23</v>
      </c>
      <c r="I973" s="6" t="s">
        <v>9049</v>
      </c>
      <c r="J973" s="4">
        <v>100.0</v>
      </c>
      <c r="K973" s="5" t="s">
        <v>25</v>
      </c>
      <c r="L973" s="5" t="s">
        <v>9050</v>
      </c>
      <c r="M973" s="5" t="s">
        <v>9051</v>
      </c>
      <c r="N973" s="7" t="s">
        <v>9052</v>
      </c>
      <c r="O973" s="9" t="s">
        <v>9053</v>
      </c>
      <c r="P973" s="19" t="s">
        <v>9054</v>
      </c>
      <c r="Q973" s="5" t="s">
        <v>30</v>
      </c>
    </row>
    <row r="974" ht="21.0" customHeight="1">
      <c r="A974" s="4">
        <v>988.0</v>
      </c>
      <c r="B974" s="5" t="s">
        <v>9055</v>
      </c>
      <c r="C974" s="5" t="s">
        <v>18</v>
      </c>
      <c r="D974" s="5" t="s">
        <v>8158</v>
      </c>
      <c r="E974" s="5" t="s">
        <v>9056</v>
      </c>
      <c r="F974" s="5" t="s">
        <v>9016</v>
      </c>
      <c r="G974" s="5" t="s">
        <v>9057</v>
      </c>
      <c r="H974" s="5" t="s">
        <v>23</v>
      </c>
      <c r="I974" s="6" t="s">
        <v>9058</v>
      </c>
      <c r="J974" s="4">
        <v>100.0</v>
      </c>
      <c r="K974" s="5" t="s">
        <v>216</v>
      </c>
      <c r="L974" s="5" t="s">
        <v>9059</v>
      </c>
      <c r="M974" s="5" t="s">
        <v>9060</v>
      </c>
      <c r="N974" s="7" t="s">
        <v>9061</v>
      </c>
      <c r="O974" s="9" t="s">
        <v>9062</v>
      </c>
      <c r="P974" s="19" t="s">
        <v>9063</v>
      </c>
      <c r="Q974" s="5" t="s">
        <v>30</v>
      </c>
    </row>
    <row r="975" ht="21.0" customHeight="1">
      <c r="A975" s="4">
        <v>989.0</v>
      </c>
      <c r="B975" s="5" t="s">
        <v>9064</v>
      </c>
      <c r="C975" s="5" t="s">
        <v>18</v>
      </c>
      <c r="D975" s="5" t="s">
        <v>9065</v>
      </c>
      <c r="E975" s="5" t="s">
        <v>9066</v>
      </c>
      <c r="F975" s="5" t="s">
        <v>9016</v>
      </c>
      <c r="G975" s="5" t="s">
        <v>9067</v>
      </c>
      <c r="H975" s="5" t="s">
        <v>23</v>
      </c>
      <c r="I975" s="6" t="s">
        <v>9068</v>
      </c>
      <c r="J975" s="4">
        <v>100.0</v>
      </c>
      <c r="K975" s="5" t="s">
        <v>165</v>
      </c>
      <c r="L975" s="5" t="s">
        <v>9069</v>
      </c>
      <c r="M975" s="5" t="s">
        <v>9070</v>
      </c>
      <c r="N975" s="7" t="s">
        <v>9071</v>
      </c>
      <c r="O975" s="9" t="s">
        <v>9072</v>
      </c>
      <c r="P975" s="19" t="s">
        <v>9073</v>
      </c>
      <c r="Q975" s="5" t="s">
        <v>30</v>
      </c>
    </row>
    <row r="976" ht="21.0" customHeight="1">
      <c r="A976" s="4">
        <v>990.0</v>
      </c>
      <c r="B976" s="5" t="s">
        <v>9074</v>
      </c>
      <c r="C976" s="5" t="s">
        <v>18</v>
      </c>
      <c r="D976" s="5" t="s">
        <v>6283</v>
      </c>
      <c r="E976" s="5" t="s">
        <v>9075</v>
      </c>
      <c r="F976" s="5" t="s">
        <v>9016</v>
      </c>
      <c r="G976" s="5" t="s">
        <v>9076</v>
      </c>
      <c r="H976" s="5" t="s">
        <v>23</v>
      </c>
      <c r="I976" s="6" t="s">
        <v>9077</v>
      </c>
      <c r="J976" s="4">
        <v>100.0</v>
      </c>
      <c r="K976" s="5" t="s">
        <v>284</v>
      </c>
      <c r="L976" s="5" t="s">
        <v>9078</v>
      </c>
      <c r="M976" s="5" t="s">
        <v>9079</v>
      </c>
      <c r="N976" s="7" t="s">
        <v>9080</v>
      </c>
      <c r="O976" s="9" t="s">
        <v>9081</v>
      </c>
      <c r="P976" s="19" t="s">
        <v>9082</v>
      </c>
      <c r="Q976" s="5" t="s">
        <v>30</v>
      </c>
    </row>
    <row r="977" ht="21.0" customHeight="1">
      <c r="A977" s="4">
        <v>991.0</v>
      </c>
      <c r="B977" s="5" t="s">
        <v>9083</v>
      </c>
      <c r="C977" s="5" t="s">
        <v>18</v>
      </c>
      <c r="D977" s="5" t="s">
        <v>9084</v>
      </c>
      <c r="E977" s="5" t="s">
        <v>9085</v>
      </c>
      <c r="F977" s="5" t="s">
        <v>9016</v>
      </c>
      <c r="G977" s="5" t="s">
        <v>34</v>
      </c>
      <c r="H977" s="5" t="s">
        <v>23</v>
      </c>
      <c r="I977" s="6" t="s">
        <v>9086</v>
      </c>
      <c r="J977" s="4">
        <v>100.0</v>
      </c>
      <c r="K977" s="5" t="s">
        <v>165</v>
      </c>
      <c r="L977" s="5" t="s">
        <v>9087</v>
      </c>
      <c r="M977" s="5" t="s">
        <v>9088</v>
      </c>
      <c r="N977" s="7" t="s">
        <v>9089</v>
      </c>
      <c r="O977" s="9" t="s">
        <v>9090</v>
      </c>
      <c r="P977" s="19" t="s">
        <v>9091</v>
      </c>
      <c r="Q977" s="5" t="s">
        <v>30</v>
      </c>
    </row>
    <row r="978" ht="21.0" customHeight="1">
      <c r="A978" s="4">
        <v>992.0</v>
      </c>
      <c r="B978" s="5" t="s">
        <v>9092</v>
      </c>
      <c r="C978" s="5" t="s">
        <v>9093</v>
      </c>
      <c r="D978" s="5" t="s">
        <v>6621</v>
      </c>
      <c r="E978" s="5" t="s">
        <v>9094</v>
      </c>
      <c r="F978" s="5" t="s">
        <v>9016</v>
      </c>
      <c r="G978" s="5" t="s">
        <v>9095</v>
      </c>
      <c r="H978" s="5" t="s">
        <v>23</v>
      </c>
      <c r="I978" s="6" t="s">
        <v>9096</v>
      </c>
      <c r="J978" s="4">
        <v>100.0</v>
      </c>
      <c r="K978" s="5" t="s">
        <v>25</v>
      </c>
      <c r="L978" s="5" t="s">
        <v>9097</v>
      </c>
      <c r="M978" s="5" t="s">
        <v>9098</v>
      </c>
      <c r="N978" s="7" t="s">
        <v>9099</v>
      </c>
      <c r="O978" s="9" t="s">
        <v>9100</v>
      </c>
      <c r="P978" s="19" t="s">
        <v>9101</v>
      </c>
      <c r="Q978" s="5" t="s">
        <v>30</v>
      </c>
    </row>
    <row r="979" ht="21.0" customHeight="1">
      <c r="A979" s="4">
        <v>993.0</v>
      </c>
      <c r="B979" s="5" t="s">
        <v>9102</v>
      </c>
      <c r="C979" s="5" t="s">
        <v>18</v>
      </c>
      <c r="D979" s="5" t="s">
        <v>9103</v>
      </c>
      <c r="E979" s="5" t="s">
        <v>9104</v>
      </c>
      <c r="F979" s="5" t="s">
        <v>9016</v>
      </c>
      <c r="G979" s="5" t="s">
        <v>9105</v>
      </c>
      <c r="H979" s="5" t="s">
        <v>23</v>
      </c>
      <c r="I979" s="6" t="s">
        <v>9106</v>
      </c>
      <c r="J979" s="4">
        <v>100.0</v>
      </c>
      <c r="K979" s="5" t="s">
        <v>84</v>
      </c>
      <c r="L979" s="5" t="s">
        <v>9107</v>
      </c>
      <c r="M979" s="5" t="s">
        <v>9108</v>
      </c>
      <c r="N979" s="7" t="s">
        <v>9109</v>
      </c>
      <c r="O979" s="9" t="s">
        <v>9110</v>
      </c>
      <c r="P979" s="19" t="s">
        <v>9111</v>
      </c>
      <c r="Q979" s="5" t="s">
        <v>30</v>
      </c>
    </row>
    <row r="980" ht="21.0" customHeight="1">
      <c r="A980" s="4">
        <v>994.0</v>
      </c>
      <c r="B980" s="5" t="s">
        <v>9112</v>
      </c>
      <c r="C980" s="5" t="s">
        <v>18</v>
      </c>
      <c r="D980" s="5" t="s">
        <v>6621</v>
      </c>
      <c r="E980" s="5" t="s">
        <v>9113</v>
      </c>
      <c r="F980" s="5" t="s">
        <v>9016</v>
      </c>
      <c r="G980" s="5" t="s">
        <v>9114</v>
      </c>
      <c r="H980" s="5" t="s">
        <v>23</v>
      </c>
      <c r="I980" s="6" t="s">
        <v>9115</v>
      </c>
      <c r="J980" s="4">
        <v>100.0</v>
      </c>
      <c r="K980" s="5" t="s">
        <v>141</v>
      </c>
      <c r="L980" s="5" t="s">
        <v>9116</v>
      </c>
      <c r="M980" s="5" t="s">
        <v>9117</v>
      </c>
      <c r="N980" s="7" t="s">
        <v>9118</v>
      </c>
      <c r="O980" s="9" t="s">
        <v>9119</v>
      </c>
      <c r="P980" s="19" t="s">
        <v>9120</v>
      </c>
      <c r="Q980" s="5" t="s">
        <v>30</v>
      </c>
    </row>
    <row r="981" ht="21.0" customHeight="1">
      <c r="A981" s="4">
        <v>995.0</v>
      </c>
      <c r="B981" s="5" t="s">
        <v>9121</v>
      </c>
      <c r="C981" s="5" t="s">
        <v>18</v>
      </c>
      <c r="D981" s="5" t="s">
        <v>9122</v>
      </c>
      <c r="E981" s="5" t="s">
        <v>9123</v>
      </c>
      <c r="F981" s="5" t="s">
        <v>9016</v>
      </c>
      <c r="G981" s="5" t="s">
        <v>9124</v>
      </c>
      <c r="H981" s="5" t="s">
        <v>23</v>
      </c>
      <c r="I981" s="6" t="s">
        <v>9125</v>
      </c>
      <c r="J981" s="4">
        <v>100.0</v>
      </c>
      <c r="K981" s="5" t="s">
        <v>1410</v>
      </c>
      <c r="L981" s="5" t="s">
        <v>9126</v>
      </c>
      <c r="M981" s="5" t="s">
        <v>9127</v>
      </c>
      <c r="N981" s="7" t="s">
        <v>9128</v>
      </c>
      <c r="O981" s="9" t="s">
        <v>9129</v>
      </c>
      <c r="P981" s="19" t="s">
        <v>9130</v>
      </c>
      <c r="Q981" s="5" t="s">
        <v>30</v>
      </c>
    </row>
    <row r="982" ht="21.0" customHeight="1">
      <c r="A982" s="4">
        <v>996.0</v>
      </c>
      <c r="B982" s="5" t="s">
        <v>9131</v>
      </c>
      <c r="C982" s="5" t="s">
        <v>18</v>
      </c>
      <c r="D982" s="5" t="s">
        <v>8854</v>
      </c>
      <c r="E982" s="5" t="s">
        <v>9132</v>
      </c>
      <c r="F982" s="5" t="s">
        <v>9016</v>
      </c>
      <c r="G982" s="5" t="s">
        <v>9133</v>
      </c>
      <c r="H982" s="5" t="s">
        <v>23</v>
      </c>
      <c r="I982" s="6" t="s">
        <v>9134</v>
      </c>
      <c r="J982" s="4">
        <v>100.0</v>
      </c>
      <c r="K982" s="5" t="s">
        <v>25</v>
      </c>
      <c r="L982" s="5" t="s">
        <v>9135</v>
      </c>
      <c r="M982" s="5" t="s">
        <v>9136</v>
      </c>
      <c r="N982" s="7" t="s">
        <v>9137</v>
      </c>
      <c r="O982" s="9" t="s">
        <v>9138</v>
      </c>
      <c r="P982" s="19" t="s">
        <v>9139</v>
      </c>
      <c r="Q982" s="5" t="s">
        <v>30</v>
      </c>
    </row>
    <row r="983" ht="21.0" customHeight="1">
      <c r="A983" s="4">
        <v>997.0</v>
      </c>
      <c r="B983" s="5" t="s">
        <v>9140</v>
      </c>
      <c r="C983" s="5" t="s">
        <v>18</v>
      </c>
      <c r="D983" s="5" t="s">
        <v>8010</v>
      </c>
      <c r="E983" s="5" t="s">
        <v>9141</v>
      </c>
      <c r="F983" s="5" t="s">
        <v>9016</v>
      </c>
      <c r="G983" s="5" t="s">
        <v>9142</v>
      </c>
      <c r="H983" s="5" t="s">
        <v>23</v>
      </c>
      <c r="I983" s="6" t="s">
        <v>9143</v>
      </c>
      <c r="J983" s="4">
        <v>100.0</v>
      </c>
      <c r="K983" s="5" t="s">
        <v>110</v>
      </c>
      <c r="L983" s="5" t="s">
        <v>9144</v>
      </c>
      <c r="M983" s="5" t="s">
        <v>9145</v>
      </c>
      <c r="N983" s="7" t="s">
        <v>9146</v>
      </c>
      <c r="O983" s="9" t="s">
        <v>9147</v>
      </c>
      <c r="P983" s="19" t="s">
        <v>9148</v>
      </c>
      <c r="Q983" s="5" t="s">
        <v>30</v>
      </c>
    </row>
    <row r="984" ht="21.0" customHeight="1">
      <c r="A984" s="4">
        <v>998.0</v>
      </c>
      <c r="B984" s="5" t="s">
        <v>9149</v>
      </c>
      <c r="C984" s="5" t="s">
        <v>9150</v>
      </c>
      <c r="D984" s="5" t="s">
        <v>9151</v>
      </c>
      <c r="E984" s="5" t="s">
        <v>9152</v>
      </c>
      <c r="F984" s="5" t="s">
        <v>9016</v>
      </c>
      <c r="G984" s="5" t="s">
        <v>9153</v>
      </c>
      <c r="H984" s="5" t="s">
        <v>23</v>
      </c>
      <c r="I984" s="6" t="s">
        <v>9154</v>
      </c>
      <c r="J984" s="4">
        <v>100.0</v>
      </c>
      <c r="K984" s="5" t="s">
        <v>25</v>
      </c>
      <c r="L984" s="5" t="s">
        <v>9155</v>
      </c>
      <c r="M984" s="5" t="s">
        <v>9156</v>
      </c>
      <c r="N984" s="7" t="s">
        <v>9157</v>
      </c>
      <c r="O984" s="9" t="s">
        <v>9158</v>
      </c>
      <c r="P984" s="19" t="s">
        <v>9159</v>
      </c>
      <c r="Q984" s="5" t="s">
        <v>30</v>
      </c>
    </row>
    <row r="985" ht="21.0" customHeight="1">
      <c r="A985" s="4">
        <v>999.0</v>
      </c>
      <c r="B985" s="5" t="s">
        <v>9160</v>
      </c>
      <c r="C985" s="5" t="s">
        <v>18</v>
      </c>
      <c r="D985" s="5" t="s">
        <v>9161</v>
      </c>
      <c r="E985" s="5" t="s">
        <v>9162</v>
      </c>
      <c r="F985" s="5" t="s">
        <v>9016</v>
      </c>
      <c r="G985" s="5" t="s">
        <v>9163</v>
      </c>
      <c r="H985" s="5" t="s">
        <v>23</v>
      </c>
      <c r="I985" s="6" t="s">
        <v>9164</v>
      </c>
      <c r="J985" s="4">
        <v>100.0</v>
      </c>
      <c r="K985" s="5" t="s">
        <v>25</v>
      </c>
      <c r="L985" s="5" t="s">
        <v>9165</v>
      </c>
      <c r="M985" s="5" t="s">
        <v>9166</v>
      </c>
      <c r="N985" s="7" t="s">
        <v>9167</v>
      </c>
      <c r="O985" s="9" t="s">
        <v>9168</v>
      </c>
      <c r="P985" s="19" t="s">
        <v>9169</v>
      </c>
      <c r="Q985" s="5" t="s">
        <v>30</v>
      </c>
    </row>
    <row r="986" ht="21.0" customHeight="1">
      <c r="A986" s="4">
        <v>1000.0</v>
      </c>
      <c r="B986" s="5" t="s">
        <v>9170</v>
      </c>
      <c r="C986" s="5" t="s">
        <v>18</v>
      </c>
      <c r="D986" s="5" t="s">
        <v>9171</v>
      </c>
      <c r="E986" s="5" t="s">
        <v>9172</v>
      </c>
      <c r="F986" s="5" t="s">
        <v>9016</v>
      </c>
      <c r="G986" s="5" t="s">
        <v>9173</v>
      </c>
      <c r="H986" s="5" t="s">
        <v>23</v>
      </c>
      <c r="I986" s="6" t="s">
        <v>9174</v>
      </c>
      <c r="J986" s="4">
        <v>100.0</v>
      </c>
      <c r="K986" s="5" t="s">
        <v>84</v>
      </c>
      <c r="L986" s="5" t="s">
        <v>9175</v>
      </c>
      <c r="M986" s="5" t="s">
        <v>9176</v>
      </c>
      <c r="N986" s="7" t="s">
        <v>9177</v>
      </c>
      <c r="O986" s="9" t="s">
        <v>9178</v>
      </c>
      <c r="P986" s="19" t="s">
        <v>9179</v>
      </c>
      <c r="Q986" s="5" t="s">
        <v>30</v>
      </c>
    </row>
    <row r="987" ht="21.0" customHeight="1">
      <c r="A987" s="4">
        <v>1001.0</v>
      </c>
      <c r="B987" s="5" t="s">
        <v>9180</v>
      </c>
      <c r="C987" s="5" t="s">
        <v>18</v>
      </c>
      <c r="D987" s="5" t="s">
        <v>1226</v>
      </c>
      <c r="E987" s="5" t="s">
        <v>9181</v>
      </c>
      <c r="F987" s="5" t="s">
        <v>9016</v>
      </c>
      <c r="G987" s="5" t="s">
        <v>9182</v>
      </c>
      <c r="H987" s="5" t="s">
        <v>23</v>
      </c>
      <c r="I987" s="6" t="s">
        <v>9183</v>
      </c>
      <c r="J987" s="4">
        <v>100.0</v>
      </c>
      <c r="K987" s="5" t="s">
        <v>25</v>
      </c>
      <c r="L987" s="5" t="s">
        <v>9184</v>
      </c>
      <c r="M987" s="5" t="s">
        <v>9185</v>
      </c>
      <c r="N987" s="7" t="s">
        <v>9186</v>
      </c>
      <c r="O987" s="9" t="s">
        <v>9187</v>
      </c>
      <c r="P987" s="19" t="s">
        <v>9188</v>
      </c>
      <c r="Q987" s="5" t="s">
        <v>30</v>
      </c>
    </row>
    <row r="988" ht="21.0" customHeight="1">
      <c r="A988" s="4">
        <v>1002.0</v>
      </c>
      <c r="B988" s="5" t="s">
        <v>9189</v>
      </c>
      <c r="C988" s="5" t="s">
        <v>9190</v>
      </c>
      <c r="D988" s="5" t="s">
        <v>9191</v>
      </c>
      <c r="E988" s="5" t="s">
        <v>9192</v>
      </c>
      <c r="F988" s="5" t="s">
        <v>9016</v>
      </c>
      <c r="G988" s="5" t="s">
        <v>9193</v>
      </c>
      <c r="H988" s="5" t="s">
        <v>23</v>
      </c>
      <c r="I988" s="6" t="s">
        <v>9194</v>
      </c>
      <c r="J988" s="4">
        <v>100.0</v>
      </c>
      <c r="K988" s="5" t="s">
        <v>165</v>
      </c>
      <c r="L988" s="5" t="s">
        <v>9195</v>
      </c>
      <c r="M988" s="5" t="s">
        <v>9196</v>
      </c>
      <c r="N988" s="7" t="s">
        <v>9197</v>
      </c>
      <c r="O988" s="9" t="s">
        <v>9198</v>
      </c>
      <c r="P988" s="19" t="s">
        <v>9199</v>
      </c>
      <c r="Q988" s="5" t="s">
        <v>30</v>
      </c>
    </row>
    <row r="989" ht="21.0" customHeight="1">
      <c r="A989" s="4">
        <v>1003.0</v>
      </c>
      <c r="B989" s="5" t="s">
        <v>9200</v>
      </c>
      <c r="C989" s="5" t="s">
        <v>18</v>
      </c>
      <c r="D989" s="5" t="s">
        <v>6824</v>
      </c>
      <c r="E989" s="5" t="s">
        <v>9201</v>
      </c>
      <c r="F989" s="5" t="s">
        <v>9016</v>
      </c>
      <c r="G989" s="5" t="s">
        <v>9202</v>
      </c>
      <c r="H989" s="5" t="s">
        <v>23</v>
      </c>
      <c r="I989" s="6" t="s">
        <v>9203</v>
      </c>
      <c r="J989" s="4">
        <v>100.0</v>
      </c>
      <c r="K989" s="5" t="s">
        <v>84</v>
      </c>
      <c r="L989" s="5" t="s">
        <v>9204</v>
      </c>
      <c r="M989" s="5" t="s">
        <v>9205</v>
      </c>
      <c r="N989" s="7" t="s">
        <v>9206</v>
      </c>
      <c r="O989" s="9" t="s">
        <v>9207</v>
      </c>
      <c r="P989" s="19" t="s">
        <v>9208</v>
      </c>
      <c r="Q989" s="5" t="s">
        <v>30</v>
      </c>
    </row>
    <row r="990" ht="21.0" customHeight="1">
      <c r="A990" s="4">
        <v>1004.0</v>
      </c>
      <c r="B990" s="5" t="s">
        <v>9209</v>
      </c>
      <c r="C990" s="5" t="s">
        <v>18</v>
      </c>
      <c r="D990" s="5" t="s">
        <v>170</v>
      </c>
      <c r="E990" s="5" t="s">
        <v>9210</v>
      </c>
      <c r="F990" s="5" t="s">
        <v>9016</v>
      </c>
      <c r="G990" s="5" t="s">
        <v>9211</v>
      </c>
      <c r="H990" s="5" t="s">
        <v>23</v>
      </c>
      <c r="I990" s="6" t="s">
        <v>9212</v>
      </c>
      <c r="J990" s="4">
        <v>100.0</v>
      </c>
      <c r="K990" s="5" t="s">
        <v>517</v>
      </c>
      <c r="L990" s="5" t="s">
        <v>9213</v>
      </c>
      <c r="M990" s="5" t="s">
        <v>9214</v>
      </c>
      <c r="N990" s="7" t="s">
        <v>9215</v>
      </c>
      <c r="O990" s="9" t="s">
        <v>9216</v>
      </c>
      <c r="P990" s="19" t="s">
        <v>9217</v>
      </c>
      <c r="Q990" s="5" t="s">
        <v>30</v>
      </c>
    </row>
    <row r="991" ht="21.0" customHeight="1">
      <c r="A991" s="4">
        <v>1005.0</v>
      </c>
      <c r="B991" s="5" t="s">
        <v>9218</v>
      </c>
      <c r="C991" s="5" t="s">
        <v>18</v>
      </c>
      <c r="D991" s="5" t="s">
        <v>1615</v>
      </c>
      <c r="E991" s="5" t="s">
        <v>9219</v>
      </c>
      <c r="F991" s="5" t="s">
        <v>9016</v>
      </c>
      <c r="G991" s="5" t="s">
        <v>9220</v>
      </c>
      <c r="H991" s="5" t="s">
        <v>5840</v>
      </c>
      <c r="I991" s="6" t="s">
        <v>9221</v>
      </c>
      <c r="J991" s="4">
        <v>100.0</v>
      </c>
      <c r="K991" s="5" t="s">
        <v>6246</v>
      </c>
      <c r="L991" s="5" t="s">
        <v>9222</v>
      </c>
      <c r="M991" s="5" t="s">
        <v>9223</v>
      </c>
      <c r="N991" s="7" t="s">
        <v>9224</v>
      </c>
      <c r="O991" s="9" t="s">
        <v>9225</v>
      </c>
      <c r="P991" s="19" t="s">
        <v>9226</v>
      </c>
      <c r="Q991" s="5" t="s">
        <v>30</v>
      </c>
    </row>
    <row r="992" ht="21.0" customHeight="1">
      <c r="A992" s="4">
        <v>1034.0</v>
      </c>
      <c r="B992" s="5" t="s">
        <v>9227</v>
      </c>
      <c r="C992" s="5" t="s">
        <v>18</v>
      </c>
      <c r="D992" s="5" t="s">
        <v>9228</v>
      </c>
      <c r="E992" s="5" t="s">
        <v>9229</v>
      </c>
      <c r="F992" s="5" t="s">
        <v>8745</v>
      </c>
      <c r="G992" s="5" t="s">
        <v>9230</v>
      </c>
      <c r="H992" s="5" t="s">
        <v>23</v>
      </c>
      <c r="I992" s="6" t="s">
        <v>9231</v>
      </c>
      <c r="J992" s="4">
        <v>100.0</v>
      </c>
      <c r="K992" s="5" t="s">
        <v>517</v>
      </c>
      <c r="L992" s="5" t="s">
        <v>9232</v>
      </c>
      <c r="M992" s="5" t="s">
        <v>9233</v>
      </c>
      <c r="N992" s="7" t="s">
        <v>9234</v>
      </c>
      <c r="O992" s="9" t="s">
        <v>9235</v>
      </c>
      <c r="P992" s="19" t="s">
        <v>9236</v>
      </c>
      <c r="Q992" s="5" t="s">
        <v>30</v>
      </c>
    </row>
    <row r="993" ht="21.0" customHeight="1">
      <c r="A993" s="4">
        <v>1035.0</v>
      </c>
      <c r="B993" s="5" t="s">
        <v>9237</v>
      </c>
      <c r="C993" s="5" t="s">
        <v>18</v>
      </c>
      <c r="D993" s="5" t="s">
        <v>7583</v>
      </c>
      <c r="E993" s="5" t="s">
        <v>9238</v>
      </c>
      <c r="F993" s="5" t="s">
        <v>8745</v>
      </c>
      <c r="G993" s="5" t="s">
        <v>9239</v>
      </c>
      <c r="H993" s="5" t="s">
        <v>23</v>
      </c>
      <c r="I993" s="6" t="s">
        <v>9240</v>
      </c>
      <c r="J993" s="4">
        <v>100.0</v>
      </c>
      <c r="K993" s="5" t="s">
        <v>25</v>
      </c>
      <c r="L993" s="5" t="s">
        <v>9241</v>
      </c>
      <c r="M993" s="5" t="s">
        <v>9242</v>
      </c>
      <c r="N993" s="7" t="s">
        <v>9243</v>
      </c>
      <c r="O993" s="9" t="s">
        <v>9244</v>
      </c>
      <c r="P993" s="19" t="s">
        <v>9245</v>
      </c>
      <c r="Q993" s="5" t="s">
        <v>30</v>
      </c>
    </row>
    <row r="994" ht="21.0" customHeight="1">
      <c r="A994" s="4">
        <v>1037.0</v>
      </c>
      <c r="B994" s="5" t="s">
        <v>9246</v>
      </c>
      <c r="C994" s="5" t="s">
        <v>18</v>
      </c>
      <c r="D994" s="5" t="s">
        <v>9247</v>
      </c>
      <c r="E994" s="5" t="s">
        <v>9248</v>
      </c>
      <c r="F994" s="5" t="s">
        <v>8745</v>
      </c>
      <c r="G994" s="5" t="s">
        <v>9249</v>
      </c>
      <c r="H994" s="5" t="s">
        <v>23</v>
      </c>
      <c r="I994" s="6" t="s">
        <v>9250</v>
      </c>
      <c r="J994" s="4">
        <v>100.0</v>
      </c>
      <c r="K994" s="5" t="s">
        <v>25</v>
      </c>
      <c r="L994" s="5" t="s">
        <v>9251</v>
      </c>
      <c r="M994" s="5" t="s">
        <v>9252</v>
      </c>
      <c r="N994" s="7" t="s">
        <v>9253</v>
      </c>
      <c r="O994" s="9" t="s">
        <v>9254</v>
      </c>
      <c r="P994" s="19" t="s">
        <v>9255</v>
      </c>
      <c r="Q994" s="5" t="s">
        <v>30</v>
      </c>
    </row>
    <row r="995" ht="21.0" customHeight="1">
      <c r="A995" s="4">
        <v>1038.0</v>
      </c>
      <c r="B995" s="5" t="s">
        <v>9256</v>
      </c>
      <c r="C995" s="5" t="s">
        <v>18</v>
      </c>
      <c r="D995" s="5" t="s">
        <v>9257</v>
      </c>
      <c r="E995" s="5" t="s">
        <v>9258</v>
      </c>
      <c r="F995" s="5" t="s">
        <v>8745</v>
      </c>
      <c r="G995" s="5" t="s">
        <v>9259</v>
      </c>
      <c r="H995" s="5" t="s">
        <v>23</v>
      </c>
      <c r="I995" s="6" t="s">
        <v>9260</v>
      </c>
      <c r="J995" s="4">
        <v>100.0</v>
      </c>
      <c r="K995" s="5" t="s">
        <v>25</v>
      </c>
      <c r="L995" s="5" t="s">
        <v>9261</v>
      </c>
      <c r="M995" s="5" t="s">
        <v>9262</v>
      </c>
      <c r="N995" s="7" t="s">
        <v>9263</v>
      </c>
      <c r="O995" s="9" t="s">
        <v>9264</v>
      </c>
      <c r="P995" s="19" t="s">
        <v>9265</v>
      </c>
      <c r="Q995" s="5" t="s">
        <v>30</v>
      </c>
    </row>
    <row r="996" ht="21.0" customHeight="1">
      <c r="A996" s="4">
        <v>1039.0</v>
      </c>
      <c r="B996" s="5" t="s">
        <v>9266</v>
      </c>
      <c r="C996" s="5" t="s">
        <v>18</v>
      </c>
      <c r="D996" s="5" t="s">
        <v>9267</v>
      </c>
      <c r="E996" s="5" t="s">
        <v>9268</v>
      </c>
      <c r="F996" s="5" t="s">
        <v>8745</v>
      </c>
      <c r="G996" s="5" t="s">
        <v>9269</v>
      </c>
      <c r="H996" s="5" t="s">
        <v>23</v>
      </c>
      <c r="I996" s="6" t="s">
        <v>9270</v>
      </c>
      <c r="J996" s="4">
        <v>100.0</v>
      </c>
      <c r="K996" s="5" t="s">
        <v>284</v>
      </c>
      <c r="L996" s="5" t="s">
        <v>9271</v>
      </c>
      <c r="M996" s="5" t="s">
        <v>9272</v>
      </c>
      <c r="N996" s="7" t="s">
        <v>9273</v>
      </c>
      <c r="O996" s="9" t="s">
        <v>9274</v>
      </c>
      <c r="P996" s="19" t="s">
        <v>9275</v>
      </c>
      <c r="Q996" s="5" t="s">
        <v>30</v>
      </c>
    </row>
    <row r="997" ht="21.0" customHeight="1">
      <c r="A997" s="4">
        <v>1040.0</v>
      </c>
      <c r="B997" s="5" t="s">
        <v>9276</v>
      </c>
      <c r="C997" s="5" t="s">
        <v>18</v>
      </c>
      <c r="D997" s="5" t="s">
        <v>7364</v>
      </c>
      <c r="E997" s="5" t="s">
        <v>9277</v>
      </c>
      <c r="F997" s="5" t="s">
        <v>8745</v>
      </c>
      <c r="G997" s="5" t="s">
        <v>9278</v>
      </c>
      <c r="H997" s="5" t="s">
        <v>23</v>
      </c>
      <c r="I997" s="6" t="s">
        <v>9279</v>
      </c>
      <c r="J997" s="4">
        <v>100.0</v>
      </c>
      <c r="K997" s="5" t="s">
        <v>110</v>
      </c>
      <c r="L997" s="5" t="s">
        <v>9280</v>
      </c>
      <c r="M997" s="5" t="s">
        <v>9281</v>
      </c>
      <c r="N997" s="7" t="s">
        <v>9282</v>
      </c>
      <c r="O997" s="9" t="s">
        <v>9283</v>
      </c>
      <c r="P997" s="19" t="s">
        <v>9284</v>
      </c>
      <c r="Q997" s="5" t="s">
        <v>30</v>
      </c>
    </row>
    <row r="998" ht="21.0" customHeight="1">
      <c r="A998" s="4">
        <v>1041.0</v>
      </c>
      <c r="B998" s="5" t="s">
        <v>9285</v>
      </c>
      <c r="C998" s="5" t="s">
        <v>9286</v>
      </c>
      <c r="D998" s="5" t="s">
        <v>8158</v>
      </c>
      <c r="E998" s="5" t="s">
        <v>9287</v>
      </c>
      <c r="F998" s="5" t="s">
        <v>8745</v>
      </c>
      <c r="G998" s="5" t="s">
        <v>9288</v>
      </c>
      <c r="H998" s="5" t="s">
        <v>23</v>
      </c>
      <c r="I998" s="6" t="s">
        <v>9289</v>
      </c>
      <c r="J998" s="4">
        <v>100.0</v>
      </c>
      <c r="K998" s="5" t="s">
        <v>25</v>
      </c>
      <c r="L998" s="5" t="s">
        <v>9290</v>
      </c>
      <c r="M998" s="5" t="s">
        <v>9291</v>
      </c>
      <c r="N998" s="7" t="s">
        <v>9292</v>
      </c>
      <c r="O998" s="9" t="s">
        <v>9293</v>
      </c>
      <c r="P998" s="19" t="s">
        <v>9294</v>
      </c>
      <c r="Q998" s="5" t="s">
        <v>30</v>
      </c>
    </row>
    <row r="999" ht="21.0" customHeight="1">
      <c r="A999" s="4">
        <v>1042.0</v>
      </c>
      <c r="B999" s="5" t="s">
        <v>9295</v>
      </c>
      <c r="C999" s="5" t="s">
        <v>9296</v>
      </c>
      <c r="D999" s="5" t="s">
        <v>9297</v>
      </c>
      <c r="E999" s="5" t="s">
        <v>9298</v>
      </c>
      <c r="F999" s="5" t="s">
        <v>8745</v>
      </c>
      <c r="G999" s="5" t="s">
        <v>9299</v>
      </c>
      <c r="H999" s="5" t="s">
        <v>23</v>
      </c>
      <c r="I999" s="6" t="s">
        <v>9300</v>
      </c>
      <c r="J999" s="4">
        <v>100.0</v>
      </c>
      <c r="K999" s="5" t="s">
        <v>557</v>
      </c>
      <c r="L999" s="5" t="s">
        <v>9301</v>
      </c>
      <c r="M999" s="5" t="s">
        <v>9302</v>
      </c>
      <c r="N999" s="7" t="s">
        <v>9303</v>
      </c>
      <c r="O999" s="9" t="s">
        <v>9304</v>
      </c>
      <c r="P999" s="19" t="s">
        <v>9305</v>
      </c>
      <c r="Q999" s="5" t="s">
        <v>30</v>
      </c>
    </row>
    <row r="1000" ht="21.0" customHeight="1">
      <c r="A1000" s="4">
        <v>1043.0</v>
      </c>
      <c r="B1000" s="5" t="s">
        <v>9306</v>
      </c>
      <c r="C1000" s="5" t="s">
        <v>18</v>
      </c>
      <c r="D1000" s="5" t="s">
        <v>9307</v>
      </c>
      <c r="E1000" s="5" t="s">
        <v>9308</v>
      </c>
      <c r="F1000" s="5" t="s">
        <v>8745</v>
      </c>
      <c r="G1000" s="5" t="s">
        <v>9309</v>
      </c>
      <c r="H1000" s="5" t="s">
        <v>23</v>
      </c>
      <c r="I1000" s="6" t="s">
        <v>9310</v>
      </c>
      <c r="J1000" s="4">
        <v>100.0</v>
      </c>
      <c r="K1000" s="5" t="s">
        <v>25</v>
      </c>
      <c r="L1000" s="5" t="s">
        <v>9311</v>
      </c>
      <c r="M1000" s="5" t="s">
        <v>9312</v>
      </c>
      <c r="N1000" s="7" t="s">
        <v>9313</v>
      </c>
      <c r="O1000" s="9" t="s">
        <v>9314</v>
      </c>
      <c r="P1000" s="19" t="s">
        <v>9315</v>
      </c>
      <c r="Q1000" s="5" t="s">
        <v>30</v>
      </c>
    </row>
    <row r="1001" ht="21.0" customHeight="1">
      <c r="A1001" s="4">
        <v>1044.0</v>
      </c>
      <c r="B1001" s="5" t="s">
        <v>9316</v>
      </c>
      <c r="C1001" s="5" t="s">
        <v>18</v>
      </c>
      <c r="D1001" s="5" t="s">
        <v>9317</v>
      </c>
      <c r="E1001" s="5" t="s">
        <v>9318</v>
      </c>
      <c r="F1001" s="5" t="s">
        <v>8745</v>
      </c>
      <c r="G1001" s="5" t="s">
        <v>9319</v>
      </c>
      <c r="H1001" s="5" t="s">
        <v>23</v>
      </c>
      <c r="I1001" s="6" t="s">
        <v>9320</v>
      </c>
      <c r="J1001" s="4">
        <v>100.0</v>
      </c>
      <c r="K1001" s="5" t="s">
        <v>25</v>
      </c>
      <c r="L1001" s="5" t="s">
        <v>9321</v>
      </c>
      <c r="M1001" s="5" t="s">
        <v>9322</v>
      </c>
      <c r="N1001" s="7" t="s">
        <v>9323</v>
      </c>
      <c r="O1001" s="9" t="s">
        <v>9324</v>
      </c>
      <c r="P1001" s="19" t="s">
        <v>9325</v>
      </c>
      <c r="Q1001" s="5" t="s">
        <v>30</v>
      </c>
    </row>
    <row r="1002" ht="21.0" customHeight="1">
      <c r="A1002" s="4">
        <v>1045.0</v>
      </c>
      <c r="B1002" s="5" t="s">
        <v>9326</v>
      </c>
      <c r="C1002" s="5" t="s">
        <v>9327</v>
      </c>
      <c r="D1002" s="5" t="s">
        <v>1877</v>
      </c>
      <c r="E1002" s="5" t="s">
        <v>9328</v>
      </c>
      <c r="F1002" s="5" t="s">
        <v>8745</v>
      </c>
      <c r="G1002" s="5" t="s">
        <v>9329</v>
      </c>
      <c r="H1002" s="5" t="s">
        <v>23</v>
      </c>
      <c r="I1002" s="6" t="s">
        <v>9330</v>
      </c>
      <c r="J1002" s="4">
        <v>100.0</v>
      </c>
      <c r="K1002" s="5" t="s">
        <v>25</v>
      </c>
      <c r="L1002" s="5" t="s">
        <v>9331</v>
      </c>
      <c r="M1002" s="5" t="s">
        <v>9332</v>
      </c>
      <c r="N1002" s="7" t="s">
        <v>9333</v>
      </c>
      <c r="O1002" s="9" t="s">
        <v>9334</v>
      </c>
      <c r="P1002" s="19" t="s">
        <v>9335</v>
      </c>
      <c r="Q1002" s="5" t="s">
        <v>30</v>
      </c>
    </row>
    <row r="1003" ht="21.0" customHeight="1">
      <c r="A1003" s="4">
        <v>1046.0</v>
      </c>
      <c r="B1003" s="5" t="s">
        <v>9336</v>
      </c>
      <c r="C1003" s="5" t="s">
        <v>18</v>
      </c>
      <c r="D1003" s="5" t="s">
        <v>9337</v>
      </c>
      <c r="E1003" s="5" t="s">
        <v>9338</v>
      </c>
      <c r="F1003" s="5" t="s">
        <v>8745</v>
      </c>
      <c r="G1003" s="5" t="s">
        <v>9339</v>
      </c>
      <c r="H1003" s="5" t="s">
        <v>23</v>
      </c>
      <c r="I1003" s="6" t="s">
        <v>9340</v>
      </c>
      <c r="J1003" s="4">
        <v>100.0</v>
      </c>
      <c r="K1003" s="5" t="s">
        <v>110</v>
      </c>
      <c r="L1003" s="5" t="s">
        <v>9341</v>
      </c>
      <c r="M1003" s="5" t="s">
        <v>9342</v>
      </c>
      <c r="N1003" s="7" t="s">
        <v>9343</v>
      </c>
      <c r="O1003" s="9" t="s">
        <v>9344</v>
      </c>
      <c r="P1003" s="19" t="s">
        <v>9345</v>
      </c>
      <c r="Q1003" s="5" t="s">
        <v>30</v>
      </c>
    </row>
    <row r="1004" ht="21.0" customHeight="1">
      <c r="A1004" s="4">
        <v>1047.0</v>
      </c>
      <c r="B1004" s="5" t="s">
        <v>9346</v>
      </c>
      <c r="C1004" s="5" t="s">
        <v>18</v>
      </c>
      <c r="D1004" s="5" t="s">
        <v>9347</v>
      </c>
      <c r="E1004" s="5" t="s">
        <v>9348</v>
      </c>
      <c r="F1004" s="5" t="s">
        <v>8745</v>
      </c>
      <c r="G1004" s="5" t="s">
        <v>9349</v>
      </c>
      <c r="H1004" s="5" t="s">
        <v>23</v>
      </c>
      <c r="I1004" s="6" t="s">
        <v>9350</v>
      </c>
      <c r="J1004" s="4">
        <v>100.0</v>
      </c>
      <c r="K1004" s="5" t="s">
        <v>84</v>
      </c>
      <c r="L1004" s="5" t="s">
        <v>9351</v>
      </c>
      <c r="M1004" s="5" t="s">
        <v>9352</v>
      </c>
      <c r="N1004" s="7" t="s">
        <v>9353</v>
      </c>
      <c r="O1004" s="9" t="s">
        <v>9354</v>
      </c>
      <c r="P1004" s="19" t="s">
        <v>9355</v>
      </c>
      <c r="Q1004" s="5" t="s">
        <v>30</v>
      </c>
    </row>
    <row r="1005" ht="21.0" customHeight="1">
      <c r="A1005" s="4">
        <v>1048.0</v>
      </c>
      <c r="B1005" s="5" t="s">
        <v>9356</v>
      </c>
      <c r="C1005" s="5" t="s">
        <v>18</v>
      </c>
      <c r="D1005" s="5" t="s">
        <v>9357</v>
      </c>
      <c r="E1005" s="5" t="s">
        <v>9358</v>
      </c>
      <c r="F1005" s="5" t="s">
        <v>8745</v>
      </c>
      <c r="G1005" s="5" t="s">
        <v>9359</v>
      </c>
      <c r="H1005" s="5" t="s">
        <v>23</v>
      </c>
      <c r="I1005" s="6" t="s">
        <v>9360</v>
      </c>
      <c r="J1005" s="4">
        <v>100.0</v>
      </c>
      <c r="K1005" s="5" t="s">
        <v>517</v>
      </c>
      <c r="L1005" s="5" t="s">
        <v>9361</v>
      </c>
      <c r="M1005" s="5" t="s">
        <v>9362</v>
      </c>
      <c r="N1005" s="7" t="s">
        <v>9363</v>
      </c>
      <c r="O1005" s="9" t="s">
        <v>9364</v>
      </c>
      <c r="P1005" s="19" t="s">
        <v>9365</v>
      </c>
      <c r="Q1005" s="5" t="s">
        <v>30</v>
      </c>
    </row>
    <row r="1006" ht="21.0" customHeight="1">
      <c r="A1006" s="4">
        <v>1049.0</v>
      </c>
      <c r="B1006" s="5" t="s">
        <v>9366</v>
      </c>
      <c r="C1006" s="5" t="s">
        <v>18</v>
      </c>
      <c r="D1006" s="5" t="s">
        <v>9367</v>
      </c>
      <c r="E1006" s="5" t="s">
        <v>9368</v>
      </c>
      <c r="F1006" s="5" t="s">
        <v>8745</v>
      </c>
      <c r="G1006" s="5" t="s">
        <v>9369</v>
      </c>
      <c r="H1006" s="5" t="s">
        <v>23</v>
      </c>
      <c r="I1006" s="6" t="s">
        <v>9370</v>
      </c>
      <c r="J1006" s="4">
        <v>100.0</v>
      </c>
      <c r="K1006" s="5" t="s">
        <v>84</v>
      </c>
      <c r="L1006" s="5" t="s">
        <v>9371</v>
      </c>
      <c r="M1006" s="5" t="s">
        <v>9372</v>
      </c>
      <c r="N1006" s="7" t="s">
        <v>9373</v>
      </c>
      <c r="O1006" s="9" t="s">
        <v>9374</v>
      </c>
      <c r="P1006" s="19" t="s">
        <v>9375</v>
      </c>
      <c r="Q1006" s="5" t="s">
        <v>30</v>
      </c>
    </row>
    <row r="1007" ht="21.0" customHeight="1">
      <c r="A1007" s="4">
        <v>1050.0</v>
      </c>
      <c r="B1007" s="5" t="s">
        <v>9376</v>
      </c>
      <c r="C1007" s="5" t="s">
        <v>18</v>
      </c>
      <c r="D1007" s="5" t="s">
        <v>9377</v>
      </c>
      <c r="E1007" s="5" t="s">
        <v>9378</v>
      </c>
      <c r="F1007" s="5" t="s">
        <v>8745</v>
      </c>
      <c r="G1007" s="5" t="s">
        <v>9379</v>
      </c>
      <c r="H1007" s="5" t="s">
        <v>23</v>
      </c>
      <c r="I1007" s="6" t="s">
        <v>9380</v>
      </c>
      <c r="J1007" s="4">
        <v>100.0</v>
      </c>
      <c r="K1007" s="5" t="s">
        <v>1410</v>
      </c>
      <c r="L1007" s="5" t="s">
        <v>9381</v>
      </c>
      <c r="M1007" s="5" t="s">
        <v>9382</v>
      </c>
      <c r="N1007" s="7" t="s">
        <v>9383</v>
      </c>
      <c r="O1007" s="9" t="s">
        <v>9384</v>
      </c>
      <c r="P1007" s="19" t="s">
        <v>9385</v>
      </c>
      <c r="Q1007" s="5" t="s">
        <v>30</v>
      </c>
    </row>
    <row r="1008" ht="21.0" customHeight="1">
      <c r="A1008" s="4">
        <v>1051.0</v>
      </c>
      <c r="B1008" s="5" t="s">
        <v>9386</v>
      </c>
      <c r="C1008" s="5" t="s">
        <v>9387</v>
      </c>
      <c r="D1008" s="5" t="s">
        <v>170</v>
      </c>
      <c r="E1008" s="5" t="s">
        <v>9388</v>
      </c>
      <c r="F1008" s="5" t="s">
        <v>8745</v>
      </c>
      <c r="G1008" s="5" t="s">
        <v>9389</v>
      </c>
      <c r="H1008" s="5" t="s">
        <v>23</v>
      </c>
      <c r="I1008" s="6" t="s">
        <v>9390</v>
      </c>
      <c r="J1008" s="4">
        <v>100.0</v>
      </c>
      <c r="K1008" s="5" t="s">
        <v>25</v>
      </c>
      <c r="L1008" s="5" t="s">
        <v>9391</v>
      </c>
      <c r="M1008" s="5" t="s">
        <v>9392</v>
      </c>
      <c r="N1008" s="7" t="s">
        <v>9393</v>
      </c>
      <c r="O1008" s="9" t="s">
        <v>9394</v>
      </c>
      <c r="P1008" s="19" t="s">
        <v>9395</v>
      </c>
      <c r="Q1008" s="5" t="s">
        <v>30</v>
      </c>
    </row>
    <row r="1009" ht="21.0" customHeight="1">
      <c r="A1009" s="4">
        <v>1052.0</v>
      </c>
      <c r="B1009" s="5" t="s">
        <v>9396</v>
      </c>
      <c r="C1009" s="5" t="s">
        <v>9397</v>
      </c>
      <c r="D1009" s="5" t="s">
        <v>9398</v>
      </c>
      <c r="E1009" s="5" t="s">
        <v>9399</v>
      </c>
      <c r="F1009" s="5" t="s">
        <v>8745</v>
      </c>
      <c r="G1009" s="5" t="s">
        <v>9400</v>
      </c>
      <c r="H1009" s="5" t="s">
        <v>23</v>
      </c>
      <c r="I1009" s="6" t="s">
        <v>9401</v>
      </c>
      <c r="J1009" s="4">
        <v>100.0</v>
      </c>
      <c r="K1009" s="5" t="s">
        <v>165</v>
      </c>
      <c r="L1009" s="5" t="s">
        <v>9402</v>
      </c>
      <c r="M1009" s="5" t="s">
        <v>9403</v>
      </c>
      <c r="N1009" s="7" t="s">
        <v>9404</v>
      </c>
      <c r="O1009" s="9" t="s">
        <v>9405</v>
      </c>
      <c r="P1009" s="19" t="s">
        <v>9406</v>
      </c>
      <c r="Q1009" s="5" t="s">
        <v>30</v>
      </c>
    </row>
    <row r="1010" ht="21.0" customHeight="1">
      <c r="A1010" s="4">
        <v>1053.0</v>
      </c>
      <c r="B1010" s="5" t="s">
        <v>9407</v>
      </c>
      <c r="C1010" s="5" t="s">
        <v>18</v>
      </c>
      <c r="D1010" s="5" t="s">
        <v>9408</v>
      </c>
      <c r="E1010" s="5" t="s">
        <v>9409</v>
      </c>
      <c r="F1010" s="5" t="s">
        <v>8745</v>
      </c>
      <c r="G1010" s="5" t="s">
        <v>9410</v>
      </c>
      <c r="H1010" s="5" t="s">
        <v>23</v>
      </c>
      <c r="I1010" s="6" t="s">
        <v>9411</v>
      </c>
      <c r="J1010" s="4">
        <v>100.0</v>
      </c>
      <c r="K1010" s="5" t="s">
        <v>25</v>
      </c>
      <c r="L1010" s="5" t="s">
        <v>9412</v>
      </c>
      <c r="M1010" s="5" t="s">
        <v>9413</v>
      </c>
      <c r="N1010" s="7" t="s">
        <v>9414</v>
      </c>
      <c r="O1010" s="9" t="s">
        <v>9415</v>
      </c>
      <c r="P1010" s="19" t="s">
        <v>9416</v>
      </c>
      <c r="Q1010" s="5" t="s">
        <v>30</v>
      </c>
    </row>
    <row r="1011" ht="21.0" customHeight="1">
      <c r="A1011" s="4">
        <v>1054.0</v>
      </c>
      <c r="B1011" s="5" t="s">
        <v>9417</v>
      </c>
      <c r="C1011" s="5" t="s">
        <v>18</v>
      </c>
      <c r="D1011" s="5" t="s">
        <v>9418</v>
      </c>
      <c r="E1011" s="5" t="s">
        <v>9419</v>
      </c>
      <c r="F1011" s="5" t="s">
        <v>8745</v>
      </c>
      <c r="G1011" s="5" t="s">
        <v>9420</v>
      </c>
      <c r="H1011" s="5" t="s">
        <v>23</v>
      </c>
      <c r="I1011" s="6" t="s">
        <v>9421</v>
      </c>
      <c r="J1011" s="4">
        <v>100.0</v>
      </c>
      <c r="K1011" s="5" t="s">
        <v>165</v>
      </c>
      <c r="L1011" s="5" t="s">
        <v>9422</v>
      </c>
      <c r="M1011" s="5" t="s">
        <v>9423</v>
      </c>
      <c r="N1011" s="7" t="s">
        <v>9424</v>
      </c>
      <c r="O1011" s="9" t="s">
        <v>9425</v>
      </c>
      <c r="P1011" s="19" t="s">
        <v>9426</v>
      </c>
      <c r="Q1011" s="5" t="s">
        <v>30</v>
      </c>
    </row>
    <row r="1012" ht="21.0" customHeight="1">
      <c r="A1012" s="4">
        <v>1055.0</v>
      </c>
      <c r="B1012" s="5" t="s">
        <v>9427</v>
      </c>
      <c r="C1012" s="5" t="s">
        <v>18</v>
      </c>
      <c r="D1012" s="5" t="s">
        <v>3398</v>
      </c>
      <c r="E1012" s="5" t="s">
        <v>9428</v>
      </c>
      <c r="F1012" s="5" t="s">
        <v>8745</v>
      </c>
      <c r="G1012" s="5" t="s">
        <v>9429</v>
      </c>
      <c r="H1012" s="5" t="s">
        <v>23</v>
      </c>
      <c r="I1012" s="6" t="s">
        <v>9430</v>
      </c>
      <c r="J1012" s="4">
        <v>100.0</v>
      </c>
      <c r="K1012" s="5" t="s">
        <v>216</v>
      </c>
      <c r="L1012" s="5" t="s">
        <v>9431</v>
      </c>
      <c r="M1012" s="5" t="s">
        <v>9432</v>
      </c>
      <c r="N1012" s="7" t="s">
        <v>9433</v>
      </c>
      <c r="O1012" s="9" t="s">
        <v>9434</v>
      </c>
      <c r="P1012" s="19" t="s">
        <v>9435</v>
      </c>
      <c r="Q1012" s="5" t="s">
        <v>30</v>
      </c>
    </row>
    <row r="1013" ht="21.0" customHeight="1">
      <c r="A1013" s="4">
        <v>1056.0</v>
      </c>
      <c r="B1013" s="5" t="s">
        <v>9436</v>
      </c>
      <c r="C1013" s="5" t="s">
        <v>18</v>
      </c>
      <c r="D1013" s="5" t="s">
        <v>19</v>
      </c>
      <c r="E1013" s="5" t="s">
        <v>9437</v>
      </c>
      <c r="F1013" s="5" t="s">
        <v>8745</v>
      </c>
      <c r="G1013" s="5" t="s">
        <v>9438</v>
      </c>
      <c r="H1013" s="5" t="s">
        <v>23</v>
      </c>
      <c r="I1013" s="6" t="s">
        <v>9439</v>
      </c>
      <c r="J1013" s="4">
        <v>100.0</v>
      </c>
      <c r="K1013" s="5" t="s">
        <v>25</v>
      </c>
      <c r="L1013" s="5" t="s">
        <v>9440</v>
      </c>
      <c r="M1013" s="5" t="s">
        <v>9441</v>
      </c>
      <c r="N1013" s="7" t="s">
        <v>9442</v>
      </c>
      <c r="O1013" s="9" t="s">
        <v>9443</v>
      </c>
      <c r="P1013" s="19" t="s">
        <v>9444</v>
      </c>
      <c r="Q1013" s="5" t="s">
        <v>30</v>
      </c>
    </row>
    <row r="1014" ht="21.0" customHeight="1">
      <c r="A1014" s="4">
        <v>1057.0</v>
      </c>
      <c r="B1014" s="5" t="s">
        <v>9445</v>
      </c>
      <c r="C1014" s="5" t="s">
        <v>18</v>
      </c>
      <c r="D1014" s="5" t="s">
        <v>9446</v>
      </c>
      <c r="E1014" s="5" t="s">
        <v>9447</v>
      </c>
      <c r="F1014" s="5" t="s">
        <v>8745</v>
      </c>
      <c r="G1014" s="5" t="s">
        <v>9448</v>
      </c>
      <c r="H1014" s="5" t="s">
        <v>23</v>
      </c>
      <c r="I1014" s="6" t="s">
        <v>9449</v>
      </c>
      <c r="J1014" s="4">
        <v>100.0</v>
      </c>
      <c r="K1014" s="5" t="s">
        <v>84</v>
      </c>
      <c r="L1014" s="5" t="s">
        <v>9450</v>
      </c>
      <c r="M1014" s="5" t="s">
        <v>9451</v>
      </c>
      <c r="N1014" s="7" t="s">
        <v>9452</v>
      </c>
      <c r="O1014" s="9" t="s">
        <v>9453</v>
      </c>
      <c r="P1014" s="19" t="s">
        <v>9454</v>
      </c>
      <c r="Q1014" s="5" t="s">
        <v>30</v>
      </c>
    </row>
    <row r="1015" ht="21.0" customHeight="1">
      <c r="A1015" s="4">
        <v>1059.0</v>
      </c>
      <c r="B1015" s="5" t="s">
        <v>9455</v>
      </c>
      <c r="C1015" s="5" t="s">
        <v>9456</v>
      </c>
      <c r="D1015" s="5" t="s">
        <v>1226</v>
      </c>
      <c r="E1015" s="5" t="s">
        <v>9457</v>
      </c>
      <c r="F1015" s="5" t="s">
        <v>8745</v>
      </c>
      <c r="G1015" s="5" t="s">
        <v>9458</v>
      </c>
      <c r="H1015" s="5" t="s">
        <v>23</v>
      </c>
      <c r="I1015" s="6" t="s">
        <v>9459</v>
      </c>
      <c r="J1015" s="4">
        <v>100.0</v>
      </c>
      <c r="K1015" s="5" t="s">
        <v>25</v>
      </c>
      <c r="L1015" s="5" t="s">
        <v>9460</v>
      </c>
      <c r="M1015" s="5" t="s">
        <v>9461</v>
      </c>
      <c r="N1015" s="7" t="s">
        <v>9462</v>
      </c>
      <c r="O1015" s="9" t="s">
        <v>9463</v>
      </c>
      <c r="P1015" s="19" t="s">
        <v>9464</v>
      </c>
      <c r="Q1015" s="5" t="s">
        <v>30</v>
      </c>
    </row>
    <row r="1016" ht="21.0" customHeight="1">
      <c r="A1016" s="4">
        <v>1058.0</v>
      </c>
      <c r="B1016" s="5" t="s">
        <v>9465</v>
      </c>
      <c r="C1016" s="5" t="s">
        <v>18</v>
      </c>
      <c r="D1016" s="5" t="s">
        <v>9466</v>
      </c>
      <c r="E1016" s="5" t="s">
        <v>9467</v>
      </c>
      <c r="F1016" s="5" t="s">
        <v>8745</v>
      </c>
      <c r="G1016" s="5" t="s">
        <v>34</v>
      </c>
      <c r="H1016" s="5" t="s">
        <v>23</v>
      </c>
      <c r="I1016" s="6" t="s">
        <v>9468</v>
      </c>
      <c r="J1016" s="4">
        <v>100.0</v>
      </c>
      <c r="K1016" s="5" t="s">
        <v>84</v>
      </c>
      <c r="L1016" s="5" t="s">
        <v>9469</v>
      </c>
      <c r="M1016" s="5" t="s">
        <v>9470</v>
      </c>
      <c r="N1016" s="7" t="s">
        <v>9471</v>
      </c>
      <c r="O1016" s="9" t="s">
        <v>9472</v>
      </c>
      <c r="P1016" s="19" t="s">
        <v>9473</v>
      </c>
      <c r="Q1016" s="5" t="s">
        <v>30</v>
      </c>
    </row>
    <row r="1017" ht="21.0" customHeight="1">
      <c r="A1017" s="4">
        <v>1060.0</v>
      </c>
      <c r="B1017" s="5" t="s">
        <v>9474</v>
      </c>
      <c r="C1017" s="5" t="s">
        <v>9475</v>
      </c>
      <c r="D1017" s="5" t="s">
        <v>2977</v>
      </c>
      <c r="E1017" s="5" t="s">
        <v>9476</v>
      </c>
      <c r="F1017" s="5" t="s">
        <v>8745</v>
      </c>
      <c r="G1017" s="5" t="s">
        <v>9477</v>
      </c>
      <c r="H1017" s="5" t="s">
        <v>23</v>
      </c>
      <c r="I1017" s="6" t="s">
        <v>9478</v>
      </c>
      <c r="J1017" s="4">
        <v>100.0</v>
      </c>
      <c r="K1017" s="5" t="s">
        <v>84</v>
      </c>
      <c r="L1017" s="5" t="s">
        <v>9479</v>
      </c>
      <c r="M1017" s="5" t="s">
        <v>9480</v>
      </c>
      <c r="N1017" s="7" t="s">
        <v>9481</v>
      </c>
      <c r="O1017" s="9" t="s">
        <v>9482</v>
      </c>
      <c r="P1017" s="19" t="s">
        <v>9483</v>
      </c>
      <c r="Q1017" s="5" t="s">
        <v>30</v>
      </c>
    </row>
    <row r="1018" ht="21.0" customHeight="1">
      <c r="A1018" s="4">
        <v>1061.0</v>
      </c>
      <c r="B1018" s="5" t="s">
        <v>9484</v>
      </c>
      <c r="C1018" s="5" t="s">
        <v>18</v>
      </c>
      <c r="D1018" s="5" t="s">
        <v>9485</v>
      </c>
      <c r="E1018" s="5" t="s">
        <v>9486</v>
      </c>
      <c r="F1018" s="5" t="s">
        <v>8745</v>
      </c>
      <c r="G1018" s="5" t="s">
        <v>9487</v>
      </c>
      <c r="H1018" s="5" t="s">
        <v>50</v>
      </c>
      <c r="I1018" s="6" t="s">
        <v>9488</v>
      </c>
      <c r="J1018" s="4">
        <v>100.0</v>
      </c>
      <c r="K1018" s="5" t="s">
        <v>141</v>
      </c>
      <c r="L1018" s="5" t="s">
        <v>9489</v>
      </c>
      <c r="M1018" s="5" t="s">
        <v>9490</v>
      </c>
      <c r="N1018" s="7" t="s">
        <v>9491</v>
      </c>
      <c r="O1018" s="9" t="s">
        <v>9492</v>
      </c>
      <c r="P1018" s="19" t="s">
        <v>9493</v>
      </c>
      <c r="Q1018" s="5" t="s">
        <v>30</v>
      </c>
    </row>
    <row r="1019" ht="21.0" customHeight="1">
      <c r="A1019" s="4">
        <v>1062.0</v>
      </c>
      <c r="B1019" s="5" t="s">
        <v>9494</v>
      </c>
      <c r="C1019" s="5" t="s">
        <v>9495</v>
      </c>
      <c r="D1019" s="5" t="s">
        <v>170</v>
      </c>
      <c r="E1019" s="5" t="s">
        <v>9496</v>
      </c>
      <c r="F1019" s="5" t="s">
        <v>8745</v>
      </c>
      <c r="G1019" s="5" t="s">
        <v>9497</v>
      </c>
      <c r="H1019" s="5" t="s">
        <v>23</v>
      </c>
      <c r="I1019" s="6" t="s">
        <v>9498</v>
      </c>
      <c r="J1019" s="4">
        <v>100.0</v>
      </c>
      <c r="K1019" s="5" t="s">
        <v>25</v>
      </c>
      <c r="L1019" s="5" t="s">
        <v>9499</v>
      </c>
      <c r="M1019" s="5" t="s">
        <v>9500</v>
      </c>
      <c r="N1019" s="7" t="s">
        <v>9501</v>
      </c>
      <c r="O1019" s="9" t="s">
        <v>9502</v>
      </c>
      <c r="P1019" s="19" t="s">
        <v>9503</v>
      </c>
      <c r="Q1019" s="5" t="s">
        <v>30</v>
      </c>
    </row>
    <row r="1020" ht="21.0" customHeight="1">
      <c r="A1020" s="4">
        <v>1063.0</v>
      </c>
      <c r="B1020" s="5" t="s">
        <v>9504</v>
      </c>
      <c r="C1020" s="5" t="s">
        <v>18</v>
      </c>
      <c r="D1020" s="5" t="s">
        <v>8854</v>
      </c>
      <c r="E1020" s="5" t="s">
        <v>9505</v>
      </c>
      <c r="F1020" s="5" t="s">
        <v>8745</v>
      </c>
      <c r="G1020" s="5" t="s">
        <v>9506</v>
      </c>
      <c r="H1020" s="5" t="s">
        <v>23</v>
      </c>
      <c r="I1020" s="6" t="s">
        <v>9507</v>
      </c>
      <c r="J1020" s="4">
        <v>100.0</v>
      </c>
      <c r="K1020" s="5" t="s">
        <v>110</v>
      </c>
      <c r="L1020" s="5" t="s">
        <v>9508</v>
      </c>
      <c r="M1020" s="5" t="s">
        <v>9509</v>
      </c>
      <c r="N1020" s="7" t="s">
        <v>9510</v>
      </c>
      <c r="O1020" s="9" t="s">
        <v>9511</v>
      </c>
      <c r="P1020" s="19" t="s">
        <v>9512</v>
      </c>
      <c r="Q1020" s="5" t="s">
        <v>30</v>
      </c>
    </row>
    <row r="1021" ht="21.0" customHeight="1">
      <c r="A1021" s="4">
        <v>1064.0</v>
      </c>
      <c r="B1021" s="5" t="s">
        <v>9513</v>
      </c>
      <c r="C1021" s="5" t="s">
        <v>18</v>
      </c>
      <c r="D1021" s="5" t="s">
        <v>9267</v>
      </c>
      <c r="E1021" s="5" t="s">
        <v>9514</v>
      </c>
      <c r="F1021" s="5" t="s">
        <v>8745</v>
      </c>
      <c r="G1021" s="5" t="s">
        <v>9515</v>
      </c>
      <c r="H1021" s="5" t="s">
        <v>23</v>
      </c>
      <c r="I1021" s="6" t="s">
        <v>9516</v>
      </c>
      <c r="J1021" s="4">
        <v>100.0</v>
      </c>
      <c r="K1021" s="5" t="s">
        <v>25</v>
      </c>
      <c r="L1021" s="5" t="s">
        <v>9517</v>
      </c>
      <c r="M1021" s="5" t="s">
        <v>9518</v>
      </c>
      <c r="N1021" s="7" t="s">
        <v>9519</v>
      </c>
      <c r="O1021" s="9" t="s">
        <v>9520</v>
      </c>
      <c r="P1021" s="19" t="s">
        <v>9521</v>
      </c>
      <c r="Q1021" s="5" t="s">
        <v>30</v>
      </c>
    </row>
    <row r="1022" ht="21.0" customHeight="1">
      <c r="A1022" s="4">
        <v>1065.0</v>
      </c>
      <c r="B1022" s="5" t="s">
        <v>9522</v>
      </c>
      <c r="C1022" s="5" t="s">
        <v>9523</v>
      </c>
      <c r="D1022" s="5" t="s">
        <v>9398</v>
      </c>
      <c r="E1022" s="5" t="s">
        <v>9524</v>
      </c>
      <c r="F1022" s="5" t="s">
        <v>8745</v>
      </c>
      <c r="G1022" s="5" t="s">
        <v>9525</v>
      </c>
      <c r="H1022" s="5" t="s">
        <v>23</v>
      </c>
      <c r="I1022" s="6" t="s">
        <v>9526</v>
      </c>
      <c r="J1022" s="4">
        <v>100.0</v>
      </c>
      <c r="K1022" s="5" t="s">
        <v>165</v>
      </c>
      <c r="L1022" s="5" t="s">
        <v>9527</v>
      </c>
      <c r="M1022" s="5" t="s">
        <v>9528</v>
      </c>
      <c r="N1022" s="7" t="s">
        <v>9529</v>
      </c>
      <c r="O1022" s="9" t="s">
        <v>9530</v>
      </c>
      <c r="P1022" s="19" t="s">
        <v>9531</v>
      </c>
      <c r="Q1022" s="5" t="s">
        <v>30</v>
      </c>
    </row>
    <row r="1023" ht="21.0" customHeight="1">
      <c r="A1023" s="4">
        <v>1066.0</v>
      </c>
      <c r="B1023" s="5" t="s">
        <v>9532</v>
      </c>
      <c r="C1023" s="5" t="s">
        <v>18</v>
      </c>
      <c r="D1023" s="5" t="s">
        <v>9533</v>
      </c>
      <c r="E1023" s="5" t="s">
        <v>9534</v>
      </c>
      <c r="F1023" s="5" t="s">
        <v>8745</v>
      </c>
      <c r="G1023" s="5" t="s">
        <v>9535</v>
      </c>
      <c r="H1023" s="5" t="s">
        <v>50</v>
      </c>
      <c r="I1023" s="6" t="s">
        <v>9536</v>
      </c>
      <c r="J1023" s="4">
        <v>100.0</v>
      </c>
      <c r="K1023" s="5" t="s">
        <v>517</v>
      </c>
      <c r="L1023" s="5" t="s">
        <v>9537</v>
      </c>
      <c r="M1023" s="5" t="s">
        <v>9538</v>
      </c>
      <c r="N1023" s="7" t="s">
        <v>9539</v>
      </c>
      <c r="O1023" s="28" t="s">
        <v>9540</v>
      </c>
      <c r="P1023" s="19" t="s">
        <v>9541</v>
      </c>
      <c r="Q1023" s="5" t="s">
        <v>30</v>
      </c>
    </row>
    <row r="1024" ht="21.0" customHeight="1">
      <c r="A1024" s="4">
        <v>1068.0</v>
      </c>
      <c r="B1024" s="5" t="s">
        <v>9542</v>
      </c>
      <c r="C1024" s="5" t="s">
        <v>9543</v>
      </c>
      <c r="D1024" s="5" t="s">
        <v>9544</v>
      </c>
      <c r="E1024" s="5" t="s">
        <v>9545</v>
      </c>
      <c r="F1024" s="5" t="s">
        <v>8745</v>
      </c>
      <c r="G1024" s="5" t="s">
        <v>9546</v>
      </c>
      <c r="H1024" s="5" t="s">
        <v>23</v>
      </c>
      <c r="I1024" s="6" t="s">
        <v>9547</v>
      </c>
      <c r="J1024" s="4">
        <v>100.0</v>
      </c>
      <c r="K1024" s="5" t="s">
        <v>165</v>
      </c>
      <c r="L1024" s="5" t="s">
        <v>9548</v>
      </c>
      <c r="M1024" s="5" t="s">
        <v>9549</v>
      </c>
      <c r="N1024" s="7" t="s">
        <v>9550</v>
      </c>
      <c r="O1024" s="9" t="s">
        <v>9551</v>
      </c>
      <c r="P1024" s="19" t="s">
        <v>9552</v>
      </c>
      <c r="Q1024" s="5" t="s">
        <v>30</v>
      </c>
    </row>
    <row r="1025" ht="21.0" customHeight="1">
      <c r="A1025" s="4">
        <v>1067.0</v>
      </c>
      <c r="B1025" s="5" t="s">
        <v>9553</v>
      </c>
      <c r="C1025" s="5" t="s">
        <v>18</v>
      </c>
      <c r="D1025" s="5" t="s">
        <v>7949</v>
      </c>
      <c r="E1025" s="5" t="s">
        <v>9554</v>
      </c>
      <c r="F1025" s="5" t="s">
        <v>8745</v>
      </c>
      <c r="G1025" s="5" t="s">
        <v>9555</v>
      </c>
      <c r="H1025" s="5" t="s">
        <v>23</v>
      </c>
      <c r="I1025" s="6" t="s">
        <v>9556</v>
      </c>
      <c r="J1025" s="4">
        <v>100.0</v>
      </c>
      <c r="K1025" s="5" t="s">
        <v>292</v>
      </c>
      <c r="L1025" s="5" t="s">
        <v>9557</v>
      </c>
      <c r="M1025" s="5" t="s">
        <v>9558</v>
      </c>
      <c r="N1025" s="7" t="s">
        <v>9559</v>
      </c>
      <c r="O1025" s="9" t="s">
        <v>9560</v>
      </c>
      <c r="P1025" s="19" t="s">
        <v>9561</v>
      </c>
      <c r="Q1025" s="5" t="s">
        <v>30</v>
      </c>
    </row>
    <row r="1026" ht="21.0" customHeight="1">
      <c r="A1026" s="4">
        <v>1069.0</v>
      </c>
      <c r="B1026" s="5" t="s">
        <v>9562</v>
      </c>
      <c r="C1026" s="5" t="s">
        <v>18</v>
      </c>
      <c r="D1026" s="5" t="s">
        <v>8854</v>
      </c>
      <c r="E1026" s="5" t="s">
        <v>9563</v>
      </c>
      <c r="F1026" s="5" t="s">
        <v>8745</v>
      </c>
      <c r="G1026" s="5" t="s">
        <v>9564</v>
      </c>
      <c r="H1026" s="5" t="s">
        <v>23</v>
      </c>
      <c r="I1026" s="6" t="s">
        <v>9565</v>
      </c>
      <c r="J1026" s="4">
        <v>100.0</v>
      </c>
      <c r="K1026" s="5" t="s">
        <v>84</v>
      </c>
      <c r="L1026" s="5" t="s">
        <v>9566</v>
      </c>
      <c r="M1026" s="5" t="s">
        <v>9567</v>
      </c>
      <c r="N1026" s="7" t="s">
        <v>9568</v>
      </c>
      <c r="O1026" s="9" t="s">
        <v>9569</v>
      </c>
      <c r="P1026" s="19" t="s">
        <v>9570</v>
      </c>
      <c r="Q1026" s="5" t="s">
        <v>30</v>
      </c>
    </row>
    <row r="1027" ht="21.0" customHeight="1">
      <c r="A1027" s="4">
        <v>1070.0</v>
      </c>
      <c r="B1027" s="5" t="s">
        <v>9571</v>
      </c>
      <c r="C1027" s="5" t="s">
        <v>9572</v>
      </c>
      <c r="D1027" s="5" t="s">
        <v>9573</v>
      </c>
      <c r="E1027" s="5" t="s">
        <v>9574</v>
      </c>
      <c r="F1027" s="5" t="s">
        <v>8745</v>
      </c>
      <c r="G1027" s="5" t="s">
        <v>9575</v>
      </c>
      <c r="H1027" s="5" t="s">
        <v>23</v>
      </c>
      <c r="I1027" s="6" t="s">
        <v>9576</v>
      </c>
      <c r="J1027" s="4">
        <v>100.0</v>
      </c>
      <c r="K1027" s="5" t="s">
        <v>25</v>
      </c>
      <c r="L1027" s="5" t="s">
        <v>9577</v>
      </c>
      <c r="M1027" s="5" t="s">
        <v>9578</v>
      </c>
      <c r="N1027" s="7" t="s">
        <v>9579</v>
      </c>
      <c r="O1027" s="9" t="s">
        <v>9580</v>
      </c>
      <c r="P1027" s="19" t="s">
        <v>9581</v>
      </c>
      <c r="Q1027" s="5" t="s">
        <v>30</v>
      </c>
    </row>
    <row r="1028" ht="21.0" customHeight="1">
      <c r="A1028" s="4">
        <v>1073.0</v>
      </c>
      <c r="B1028" s="5" t="s">
        <v>9582</v>
      </c>
      <c r="C1028" s="5" t="s">
        <v>9583</v>
      </c>
      <c r="D1028" s="5" t="s">
        <v>9584</v>
      </c>
      <c r="E1028" s="5" t="s">
        <v>9585</v>
      </c>
      <c r="F1028" s="5" t="s">
        <v>8745</v>
      </c>
      <c r="G1028" s="5" t="s">
        <v>9586</v>
      </c>
      <c r="H1028" s="5" t="s">
        <v>23</v>
      </c>
      <c r="I1028" s="6" t="s">
        <v>9587</v>
      </c>
      <c r="J1028" s="4">
        <v>100.0</v>
      </c>
      <c r="K1028" s="5" t="s">
        <v>25</v>
      </c>
      <c r="L1028" s="5" t="s">
        <v>9588</v>
      </c>
      <c r="M1028" s="5" t="s">
        <v>9589</v>
      </c>
      <c r="N1028" s="7" t="s">
        <v>9590</v>
      </c>
      <c r="O1028" s="9" t="s">
        <v>9591</v>
      </c>
      <c r="P1028" s="19" t="s">
        <v>9592</v>
      </c>
      <c r="Q1028" s="5" t="s">
        <v>30</v>
      </c>
    </row>
    <row r="1029" ht="21.0" customHeight="1">
      <c r="A1029" s="4">
        <v>1071.0</v>
      </c>
      <c r="B1029" s="5" t="s">
        <v>9593</v>
      </c>
      <c r="C1029" s="5" t="s">
        <v>18</v>
      </c>
      <c r="D1029" s="5" t="s">
        <v>9594</v>
      </c>
      <c r="E1029" s="5" t="s">
        <v>9595</v>
      </c>
      <c r="F1029" s="5" t="s">
        <v>8745</v>
      </c>
      <c r="G1029" s="5" t="s">
        <v>9596</v>
      </c>
      <c r="H1029" s="5" t="s">
        <v>23</v>
      </c>
      <c r="I1029" s="6" t="s">
        <v>9597</v>
      </c>
      <c r="J1029" s="4">
        <v>100.0</v>
      </c>
      <c r="K1029" s="5" t="s">
        <v>216</v>
      </c>
      <c r="L1029" s="5" t="s">
        <v>9598</v>
      </c>
      <c r="M1029" s="5" t="s">
        <v>9599</v>
      </c>
      <c r="N1029" s="7" t="s">
        <v>9600</v>
      </c>
      <c r="O1029" s="9" t="s">
        <v>9601</v>
      </c>
      <c r="P1029" s="19" t="s">
        <v>9602</v>
      </c>
      <c r="Q1029" s="5" t="s">
        <v>30</v>
      </c>
    </row>
    <row r="1030" ht="21.0" customHeight="1">
      <c r="A1030" s="4">
        <v>1072.0</v>
      </c>
      <c r="B1030" s="5" t="s">
        <v>9603</v>
      </c>
      <c r="C1030" s="5" t="s">
        <v>9604</v>
      </c>
      <c r="D1030" s="5" t="s">
        <v>9605</v>
      </c>
      <c r="E1030" s="5" t="s">
        <v>9606</v>
      </c>
      <c r="F1030" s="5" t="s">
        <v>8745</v>
      </c>
      <c r="G1030" s="5" t="s">
        <v>9607</v>
      </c>
      <c r="H1030" s="5" t="s">
        <v>23</v>
      </c>
      <c r="I1030" s="6" t="s">
        <v>9608</v>
      </c>
      <c r="J1030" s="4">
        <v>100.0</v>
      </c>
      <c r="K1030" s="5" t="s">
        <v>25</v>
      </c>
      <c r="L1030" s="5" t="s">
        <v>6208</v>
      </c>
      <c r="M1030" s="5" t="s">
        <v>9609</v>
      </c>
      <c r="N1030" s="7" t="s">
        <v>9610</v>
      </c>
      <c r="O1030" s="9" t="s">
        <v>9611</v>
      </c>
      <c r="P1030" s="19" t="s">
        <v>9612</v>
      </c>
      <c r="Q1030" s="5" t="s">
        <v>30</v>
      </c>
    </row>
    <row r="1031" ht="21.0" customHeight="1">
      <c r="A1031" s="4">
        <v>1074.0</v>
      </c>
      <c r="B1031" s="5" t="s">
        <v>9613</v>
      </c>
      <c r="C1031" s="5" t="s">
        <v>18</v>
      </c>
      <c r="D1031" s="5" t="s">
        <v>9614</v>
      </c>
      <c r="E1031" s="5" t="s">
        <v>9615</v>
      </c>
      <c r="F1031" s="5" t="s">
        <v>8745</v>
      </c>
      <c r="G1031" s="5" t="s">
        <v>9616</v>
      </c>
      <c r="H1031" s="5" t="s">
        <v>23</v>
      </c>
      <c r="I1031" s="6" t="s">
        <v>9617</v>
      </c>
      <c r="J1031" s="4">
        <v>100.0</v>
      </c>
      <c r="K1031" s="5" t="s">
        <v>517</v>
      </c>
      <c r="L1031" s="5" t="s">
        <v>9618</v>
      </c>
      <c r="M1031" s="5" t="s">
        <v>9619</v>
      </c>
      <c r="N1031" s="7" t="s">
        <v>9620</v>
      </c>
      <c r="O1031" s="9" t="s">
        <v>9621</v>
      </c>
      <c r="P1031" s="19" t="s">
        <v>9622</v>
      </c>
      <c r="Q1031" s="5" t="s">
        <v>30</v>
      </c>
    </row>
    <row r="1032" ht="21.0" customHeight="1">
      <c r="A1032" s="4">
        <v>1075.0</v>
      </c>
      <c r="B1032" s="5" t="s">
        <v>9623</v>
      </c>
      <c r="C1032" s="5" t="s">
        <v>9624</v>
      </c>
      <c r="D1032" s="5" t="s">
        <v>9625</v>
      </c>
      <c r="E1032" s="5" t="s">
        <v>9626</v>
      </c>
      <c r="F1032" s="5" t="s">
        <v>8745</v>
      </c>
      <c r="G1032" s="5" t="s">
        <v>9627</v>
      </c>
      <c r="H1032" s="5" t="s">
        <v>23</v>
      </c>
      <c r="I1032" s="6" t="s">
        <v>9628</v>
      </c>
      <c r="J1032" s="4">
        <v>100.0</v>
      </c>
      <c r="K1032" s="5" t="s">
        <v>165</v>
      </c>
      <c r="L1032" s="5" t="s">
        <v>9629</v>
      </c>
      <c r="M1032" s="5" t="s">
        <v>9630</v>
      </c>
      <c r="N1032" s="7" t="s">
        <v>9631</v>
      </c>
      <c r="O1032" s="9" t="s">
        <v>9632</v>
      </c>
      <c r="P1032" s="19" t="s">
        <v>9633</v>
      </c>
      <c r="Q1032" s="5" t="s">
        <v>30</v>
      </c>
    </row>
    <row r="1033" ht="21.0" customHeight="1">
      <c r="A1033" s="4">
        <v>1076.0</v>
      </c>
      <c r="B1033" s="5" t="s">
        <v>9634</v>
      </c>
      <c r="C1033" s="5" t="s">
        <v>18</v>
      </c>
      <c r="D1033" s="5" t="s">
        <v>9635</v>
      </c>
      <c r="E1033" s="5" t="s">
        <v>9636</v>
      </c>
      <c r="F1033" s="5" t="s">
        <v>8745</v>
      </c>
      <c r="G1033" s="5" t="s">
        <v>9637</v>
      </c>
      <c r="H1033" s="5" t="s">
        <v>23</v>
      </c>
      <c r="I1033" s="6" t="s">
        <v>9638</v>
      </c>
      <c r="J1033" s="4">
        <v>100.0</v>
      </c>
      <c r="K1033" s="5" t="s">
        <v>84</v>
      </c>
      <c r="L1033" s="5" t="s">
        <v>9639</v>
      </c>
      <c r="M1033" s="5" t="s">
        <v>9640</v>
      </c>
      <c r="N1033" s="7" t="s">
        <v>9641</v>
      </c>
      <c r="O1033" s="9" t="s">
        <v>9642</v>
      </c>
      <c r="P1033" s="19" t="s">
        <v>9643</v>
      </c>
      <c r="Q1033" s="5" t="s">
        <v>30</v>
      </c>
    </row>
    <row r="1034" ht="21.0" customHeight="1">
      <c r="A1034" s="4">
        <v>1077.0</v>
      </c>
      <c r="B1034" s="5" t="s">
        <v>9644</v>
      </c>
      <c r="C1034" s="5" t="s">
        <v>9645</v>
      </c>
      <c r="D1034" s="5" t="s">
        <v>9646</v>
      </c>
      <c r="E1034" s="5" t="s">
        <v>9647</v>
      </c>
      <c r="F1034" s="5" t="s">
        <v>8745</v>
      </c>
      <c r="G1034" s="5" t="s">
        <v>9648</v>
      </c>
      <c r="H1034" s="5" t="s">
        <v>23</v>
      </c>
      <c r="I1034" s="6" t="s">
        <v>9649</v>
      </c>
      <c r="J1034" s="4">
        <v>100.0</v>
      </c>
      <c r="K1034" s="5" t="s">
        <v>1410</v>
      </c>
      <c r="L1034" s="5" t="s">
        <v>9650</v>
      </c>
      <c r="M1034" s="5" t="s">
        <v>9651</v>
      </c>
      <c r="N1034" s="7" t="s">
        <v>9652</v>
      </c>
      <c r="O1034" s="9" t="s">
        <v>9653</v>
      </c>
      <c r="P1034" s="19" t="s">
        <v>9654</v>
      </c>
      <c r="Q1034" s="5" t="s">
        <v>30</v>
      </c>
    </row>
    <row r="1035" ht="21.0" customHeight="1">
      <c r="A1035" s="4">
        <v>1078.0</v>
      </c>
      <c r="B1035" s="5" t="s">
        <v>9655</v>
      </c>
      <c r="C1035" s="5" t="s">
        <v>9656</v>
      </c>
      <c r="D1035" s="5" t="s">
        <v>9657</v>
      </c>
      <c r="E1035" s="5" t="s">
        <v>9658</v>
      </c>
      <c r="F1035" s="5" t="s">
        <v>8745</v>
      </c>
      <c r="G1035" s="5" t="s">
        <v>9659</v>
      </c>
      <c r="H1035" s="5" t="s">
        <v>23</v>
      </c>
      <c r="I1035" s="6" t="s">
        <v>9660</v>
      </c>
      <c r="J1035" s="4">
        <v>100.0</v>
      </c>
      <c r="K1035" s="5" t="s">
        <v>25</v>
      </c>
      <c r="L1035" s="5" t="s">
        <v>9661</v>
      </c>
      <c r="M1035" s="5" t="s">
        <v>9662</v>
      </c>
      <c r="N1035" s="7" t="s">
        <v>9663</v>
      </c>
      <c r="O1035" s="9" t="s">
        <v>9664</v>
      </c>
      <c r="P1035" s="19" t="s">
        <v>9665</v>
      </c>
      <c r="Q1035" s="5" t="s">
        <v>30</v>
      </c>
    </row>
    <row r="1036" ht="21.0" customHeight="1">
      <c r="A1036" s="4">
        <v>1081.0</v>
      </c>
      <c r="B1036" s="5" t="s">
        <v>9666</v>
      </c>
      <c r="C1036" s="5" t="s">
        <v>9667</v>
      </c>
      <c r="D1036" s="5" t="s">
        <v>9668</v>
      </c>
      <c r="E1036" s="5" t="s">
        <v>9669</v>
      </c>
      <c r="F1036" s="5" t="s">
        <v>8745</v>
      </c>
      <c r="G1036" s="5" t="s">
        <v>9670</v>
      </c>
      <c r="H1036" s="5" t="s">
        <v>23</v>
      </c>
      <c r="I1036" s="6" t="s">
        <v>9671</v>
      </c>
      <c r="J1036" s="4">
        <v>100.0</v>
      </c>
      <c r="K1036" s="5" t="s">
        <v>25</v>
      </c>
      <c r="L1036" s="5" t="s">
        <v>9672</v>
      </c>
      <c r="M1036" s="5" t="s">
        <v>9673</v>
      </c>
      <c r="N1036" s="7" t="s">
        <v>9674</v>
      </c>
      <c r="O1036" s="9" t="s">
        <v>9675</v>
      </c>
      <c r="P1036" s="19" t="s">
        <v>9676</v>
      </c>
      <c r="Q1036" s="5" t="s">
        <v>30</v>
      </c>
    </row>
    <row r="1037" ht="21.0" customHeight="1">
      <c r="A1037" s="4">
        <v>1082.0</v>
      </c>
      <c r="B1037" s="5" t="s">
        <v>9677</v>
      </c>
      <c r="C1037" s="5" t="s">
        <v>18</v>
      </c>
      <c r="D1037" s="5" t="s">
        <v>9678</v>
      </c>
      <c r="E1037" s="5" t="s">
        <v>9679</v>
      </c>
      <c r="F1037" s="5" t="s">
        <v>8745</v>
      </c>
      <c r="G1037" s="5" t="s">
        <v>9680</v>
      </c>
      <c r="H1037" s="5" t="s">
        <v>23</v>
      </c>
      <c r="I1037" s="6" t="s">
        <v>9681</v>
      </c>
      <c r="J1037" s="4">
        <v>100.0</v>
      </c>
      <c r="K1037" s="5" t="s">
        <v>25</v>
      </c>
      <c r="L1037" s="5" t="s">
        <v>9682</v>
      </c>
      <c r="M1037" s="5" t="s">
        <v>9683</v>
      </c>
      <c r="N1037" s="7" t="s">
        <v>9684</v>
      </c>
      <c r="O1037" s="9" t="s">
        <v>9685</v>
      </c>
      <c r="P1037" s="19" t="s">
        <v>9686</v>
      </c>
      <c r="Q1037" s="5" t="s">
        <v>30</v>
      </c>
    </row>
    <row r="1038" ht="21.0" customHeight="1">
      <c r="A1038" s="4">
        <v>1079.0</v>
      </c>
      <c r="B1038" s="5" t="s">
        <v>9687</v>
      </c>
      <c r="C1038" s="5" t="s">
        <v>9688</v>
      </c>
      <c r="D1038" s="5" t="s">
        <v>9689</v>
      </c>
      <c r="E1038" s="5" t="s">
        <v>9690</v>
      </c>
      <c r="F1038" s="5" t="s">
        <v>8745</v>
      </c>
      <c r="G1038" s="5" t="s">
        <v>9691</v>
      </c>
      <c r="H1038" s="5" t="s">
        <v>23</v>
      </c>
      <c r="I1038" s="6" t="s">
        <v>9692</v>
      </c>
      <c r="J1038" s="4">
        <v>100.0</v>
      </c>
      <c r="K1038" s="5" t="s">
        <v>25</v>
      </c>
      <c r="L1038" s="5" t="s">
        <v>9693</v>
      </c>
      <c r="M1038" s="5" t="s">
        <v>9694</v>
      </c>
      <c r="N1038" s="7" t="s">
        <v>9695</v>
      </c>
      <c r="O1038" s="9" t="s">
        <v>9696</v>
      </c>
      <c r="P1038" s="19" t="s">
        <v>9697</v>
      </c>
      <c r="Q1038" s="5" t="s">
        <v>30</v>
      </c>
    </row>
    <row r="1039" ht="21.0" customHeight="1">
      <c r="A1039" s="4">
        <v>1080.0</v>
      </c>
      <c r="B1039" s="5" t="s">
        <v>9698</v>
      </c>
      <c r="C1039" s="5" t="s">
        <v>18</v>
      </c>
      <c r="D1039" s="5" t="s">
        <v>7655</v>
      </c>
      <c r="E1039" s="5" t="s">
        <v>9699</v>
      </c>
      <c r="F1039" s="5" t="s">
        <v>8745</v>
      </c>
      <c r="G1039" s="5" t="s">
        <v>9700</v>
      </c>
      <c r="H1039" s="5" t="s">
        <v>23</v>
      </c>
      <c r="I1039" s="6" t="s">
        <v>9701</v>
      </c>
      <c r="J1039" s="4">
        <v>100.0</v>
      </c>
      <c r="K1039" s="5" t="s">
        <v>25</v>
      </c>
      <c r="L1039" s="5" t="s">
        <v>9702</v>
      </c>
      <c r="M1039" s="5" t="s">
        <v>9703</v>
      </c>
      <c r="N1039" s="7" t="s">
        <v>9704</v>
      </c>
      <c r="O1039" s="9" t="s">
        <v>9705</v>
      </c>
      <c r="P1039" s="19" t="s">
        <v>9706</v>
      </c>
      <c r="Q1039" s="5" t="s">
        <v>30</v>
      </c>
    </row>
    <row r="1040" ht="21.0" customHeight="1">
      <c r="A1040" s="13">
        <v>1134.0</v>
      </c>
      <c r="B1040" s="14" t="s">
        <v>9707</v>
      </c>
      <c r="C1040" s="14" t="s">
        <v>18</v>
      </c>
      <c r="D1040" s="14" t="s">
        <v>9708</v>
      </c>
      <c r="E1040" s="14" t="s">
        <v>9709</v>
      </c>
      <c r="F1040" s="14" t="s">
        <v>9710</v>
      </c>
      <c r="G1040" s="14" t="s">
        <v>9711</v>
      </c>
      <c r="H1040" s="14" t="s">
        <v>23</v>
      </c>
      <c r="I1040" s="15" t="s">
        <v>9712</v>
      </c>
      <c r="J1040" s="13">
        <v>100.0</v>
      </c>
      <c r="K1040" s="14" t="s">
        <v>216</v>
      </c>
      <c r="L1040" s="14" t="s">
        <v>9713</v>
      </c>
      <c r="M1040" s="14" t="s">
        <v>9714</v>
      </c>
      <c r="N1040" s="16" t="s">
        <v>9715</v>
      </c>
      <c r="O1040" s="17" t="s">
        <v>9716</v>
      </c>
      <c r="P1040" s="26" t="s">
        <v>9717</v>
      </c>
      <c r="Q1040" s="14" t="s">
        <v>30</v>
      </c>
      <c r="R1040" s="18"/>
      <c r="S1040" s="18"/>
      <c r="T1040" s="18"/>
      <c r="U1040" s="18"/>
      <c r="V1040" s="18"/>
      <c r="W1040" s="18"/>
      <c r="X1040" s="18"/>
      <c r="Y1040" s="18"/>
      <c r="Z1040" s="18"/>
    </row>
    <row r="1041" ht="21.0" customHeight="1">
      <c r="A1041" s="4">
        <v>1135.0</v>
      </c>
      <c r="B1041" s="5" t="s">
        <v>9718</v>
      </c>
      <c r="C1041" s="5" t="s">
        <v>18</v>
      </c>
      <c r="D1041" s="5" t="s">
        <v>9719</v>
      </c>
      <c r="E1041" s="5" t="s">
        <v>9720</v>
      </c>
      <c r="F1041" s="5" t="s">
        <v>9710</v>
      </c>
      <c r="G1041" s="5" t="s">
        <v>9721</v>
      </c>
      <c r="H1041" s="5" t="s">
        <v>23</v>
      </c>
      <c r="I1041" s="6" t="s">
        <v>9722</v>
      </c>
      <c r="J1041" s="4">
        <v>100.0</v>
      </c>
      <c r="K1041" s="5" t="s">
        <v>517</v>
      </c>
      <c r="L1041" s="5" t="s">
        <v>9723</v>
      </c>
      <c r="M1041" s="5" t="s">
        <v>9724</v>
      </c>
      <c r="N1041" s="7" t="s">
        <v>9725</v>
      </c>
      <c r="O1041" s="9" t="s">
        <v>9726</v>
      </c>
      <c r="P1041" s="19" t="s">
        <v>9727</v>
      </c>
      <c r="Q1041" s="5" t="s">
        <v>30</v>
      </c>
    </row>
    <row r="1042" ht="21.0" customHeight="1">
      <c r="A1042" s="4">
        <v>1136.0</v>
      </c>
      <c r="B1042" s="5" t="s">
        <v>9728</v>
      </c>
      <c r="C1042" s="5" t="s">
        <v>9729</v>
      </c>
      <c r="D1042" s="5" t="s">
        <v>170</v>
      </c>
      <c r="E1042" s="5" t="s">
        <v>9730</v>
      </c>
      <c r="F1042" s="5" t="s">
        <v>9710</v>
      </c>
      <c r="G1042" s="5" t="s">
        <v>9731</v>
      </c>
      <c r="H1042" s="5" t="s">
        <v>23</v>
      </c>
      <c r="I1042" s="6" t="s">
        <v>9732</v>
      </c>
      <c r="J1042" s="4">
        <v>100.0</v>
      </c>
      <c r="K1042" s="5" t="s">
        <v>25</v>
      </c>
      <c r="L1042" s="5" t="s">
        <v>9733</v>
      </c>
      <c r="M1042" s="5" t="s">
        <v>9734</v>
      </c>
      <c r="N1042" s="7" t="s">
        <v>9735</v>
      </c>
      <c r="O1042" s="9" t="s">
        <v>9736</v>
      </c>
      <c r="P1042" s="19" t="s">
        <v>9737</v>
      </c>
      <c r="Q1042" s="5" t="s">
        <v>30</v>
      </c>
    </row>
    <row r="1043" ht="21.0" customHeight="1">
      <c r="A1043" s="4">
        <v>1137.0</v>
      </c>
      <c r="B1043" s="5" t="s">
        <v>9738</v>
      </c>
      <c r="C1043" s="5" t="s">
        <v>18</v>
      </c>
      <c r="D1043" s="5" t="s">
        <v>9739</v>
      </c>
      <c r="E1043" s="5" t="s">
        <v>9740</v>
      </c>
      <c r="F1043" s="5" t="s">
        <v>9710</v>
      </c>
      <c r="G1043" s="5" t="s">
        <v>9741</v>
      </c>
      <c r="H1043" s="5" t="s">
        <v>23</v>
      </c>
      <c r="I1043" s="6" t="s">
        <v>9742</v>
      </c>
      <c r="J1043" s="4">
        <v>100.0</v>
      </c>
      <c r="K1043" s="5" t="s">
        <v>25</v>
      </c>
      <c r="L1043" s="5" t="s">
        <v>9743</v>
      </c>
      <c r="M1043" s="5" t="s">
        <v>9744</v>
      </c>
      <c r="N1043" s="7" t="s">
        <v>9745</v>
      </c>
      <c r="O1043" s="9" t="s">
        <v>9746</v>
      </c>
      <c r="P1043" s="19" t="s">
        <v>9747</v>
      </c>
      <c r="Q1043" s="5" t="s">
        <v>30</v>
      </c>
    </row>
    <row r="1044" ht="21.0" customHeight="1">
      <c r="A1044" s="4">
        <v>1138.0</v>
      </c>
      <c r="B1044" s="5" t="s">
        <v>9748</v>
      </c>
      <c r="C1044" s="5" t="s">
        <v>9749</v>
      </c>
      <c r="D1044" s="5" t="s">
        <v>9750</v>
      </c>
      <c r="E1044" s="5" t="s">
        <v>9751</v>
      </c>
      <c r="F1044" s="5" t="s">
        <v>9710</v>
      </c>
      <c r="G1044" s="5" t="s">
        <v>9752</v>
      </c>
      <c r="H1044" s="5" t="s">
        <v>23</v>
      </c>
      <c r="I1044" s="6" t="s">
        <v>9753</v>
      </c>
      <c r="J1044" s="4">
        <v>100.0</v>
      </c>
      <c r="K1044" s="5" t="s">
        <v>25</v>
      </c>
      <c r="L1044" s="5" t="s">
        <v>9754</v>
      </c>
      <c r="M1044" s="5" t="s">
        <v>9755</v>
      </c>
      <c r="N1044" s="7" t="s">
        <v>9756</v>
      </c>
      <c r="O1044" s="9" t="s">
        <v>9757</v>
      </c>
      <c r="P1044" s="19" t="s">
        <v>9758</v>
      </c>
      <c r="Q1044" s="5" t="s">
        <v>30</v>
      </c>
    </row>
    <row r="1045" ht="21.0" customHeight="1">
      <c r="A1045" s="4">
        <v>1139.0</v>
      </c>
      <c r="B1045" s="5" t="s">
        <v>9759</v>
      </c>
      <c r="C1045" s="5" t="s">
        <v>9760</v>
      </c>
      <c r="D1045" s="5" t="s">
        <v>9357</v>
      </c>
      <c r="E1045" s="5" t="s">
        <v>9761</v>
      </c>
      <c r="F1045" s="5" t="s">
        <v>9710</v>
      </c>
      <c r="G1045" s="5" t="s">
        <v>9762</v>
      </c>
      <c r="H1045" s="5" t="s">
        <v>23</v>
      </c>
      <c r="I1045" s="6" t="s">
        <v>9763</v>
      </c>
      <c r="J1045" s="4">
        <v>100.0</v>
      </c>
      <c r="K1045" s="5" t="s">
        <v>25</v>
      </c>
      <c r="L1045" s="5" t="s">
        <v>9764</v>
      </c>
      <c r="M1045" s="5" t="s">
        <v>9765</v>
      </c>
      <c r="N1045" s="7" t="s">
        <v>9766</v>
      </c>
      <c r="O1045" s="9" t="s">
        <v>9767</v>
      </c>
      <c r="P1045" s="19" t="s">
        <v>9768</v>
      </c>
      <c r="Q1045" s="5" t="s">
        <v>30</v>
      </c>
    </row>
    <row r="1046" ht="21.0" customHeight="1">
      <c r="A1046" s="4">
        <v>1140.0</v>
      </c>
      <c r="B1046" s="5" t="s">
        <v>9769</v>
      </c>
      <c r="C1046" s="5" t="s">
        <v>18</v>
      </c>
      <c r="D1046" s="5" t="s">
        <v>9770</v>
      </c>
      <c r="E1046" s="5" t="s">
        <v>9771</v>
      </c>
      <c r="F1046" s="5" t="s">
        <v>9710</v>
      </c>
      <c r="G1046" s="5" t="s">
        <v>9772</v>
      </c>
      <c r="H1046" s="5" t="s">
        <v>23</v>
      </c>
      <c r="I1046" s="6" t="s">
        <v>9773</v>
      </c>
      <c r="J1046" s="4">
        <v>100.0</v>
      </c>
      <c r="K1046" s="5" t="s">
        <v>165</v>
      </c>
      <c r="L1046" s="5" t="s">
        <v>9774</v>
      </c>
      <c r="M1046" s="5" t="s">
        <v>9775</v>
      </c>
      <c r="N1046" s="7" t="s">
        <v>9776</v>
      </c>
      <c r="O1046" s="9" t="s">
        <v>9777</v>
      </c>
      <c r="P1046" s="19" t="s">
        <v>9778</v>
      </c>
      <c r="Q1046" s="5" t="s">
        <v>30</v>
      </c>
    </row>
    <row r="1047" ht="21.0" customHeight="1">
      <c r="A1047" s="4">
        <v>1141.0</v>
      </c>
      <c r="B1047" s="5" t="s">
        <v>9779</v>
      </c>
      <c r="C1047" s="5" t="s">
        <v>18</v>
      </c>
      <c r="D1047" s="5" t="s">
        <v>5687</v>
      </c>
      <c r="E1047" s="5" t="s">
        <v>9780</v>
      </c>
      <c r="F1047" s="5" t="s">
        <v>9710</v>
      </c>
      <c r="G1047" s="5" t="s">
        <v>9781</v>
      </c>
      <c r="H1047" s="5" t="s">
        <v>23</v>
      </c>
      <c r="I1047" s="6" t="s">
        <v>9782</v>
      </c>
      <c r="J1047" s="4">
        <v>100.0</v>
      </c>
      <c r="K1047" s="5" t="s">
        <v>316</v>
      </c>
      <c r="L1047" s="5" t="s">
        <v>9783</v>
      </c>
      <c r="M1047" s="5" t="s">
        <v>9784</v>
      </c>
      <c r="N1047" s="7" t="s">
        <v>9785</v>
      </c>
      <c r="O1047" s="9" t="s">
        <v>9786</v>
      </c>
      <c r="P1047" s="19" t="s">
        <v>9787</v>
      </c>
      <c r="Q1047" s="5" t="s">
        <v>30</v>
      </c>
    </row>
    <row r="1048" ht="21.0" customHeight="1">
      <c r="A1048" s="4">
        <v>1142.0</v>
      </c>
      <c r="B1048" s="5" t="s">
        <v>9788</v>
      </c>
      <c r="C1048" s="5" t="s">
        <v>9789</v>
      </c>
      <c r="D1048" s="5" t="s">
        <v>8854</v>
      </c>
      <c r="E1048" s="5" t="s">
        <v>9790</v>
      </c>
      <c r="F1048" s="5" t="s">
        <v>9710</v>
      </c>
      <c r="G1048" s="5" t="s">
        <v>9791</v>
      </c>
      <c r="H1048" s="5" t="s">
        <v>23</v>
      </c>
      <c r="I1048" s="6" t="s">
        <v>9792</v>
      </c>
      <c r="J1048" s="4">
        <v>100.0</v>
      </c>
      <c r="K1048" s="5" t="s">
        <v>25</v>
      </c>
      <c r="L1048" s="5" t="s">
        <v>9793</v>
      </c>
      <c r="M1048" s="5" t="s">
        <v>9794</v>
      </c>
      <c r="N1048" s="7" t="s">
        <v>9795</v>
      </c>
      <c r="O1048" s="9" t="s">
        <v>9796</v>
      </c>
      <c r="P1048" s="19" t="s">
        <v>9797</v>
      </c>
      <c r="Q1048" s="5" t="s">
        <v>30</v>
      </c>
    </row>
    <row r="1049" ht="21.0" customHeight="1">
      <c r="A1049" s="4">
        <v>1143.0</v>
      </c>
      <c r="B1049" s="5" t="s">
        <v>9798</v>
      </c>
      <c r="C1049" s="5" t="s">
        <v>18</v>
      </c>
      <c r="D1049" s="5" t="s">
        <v>170</v>
      </c>
      <c r="E1049" s="5" t="s">
        <v>9799</v>
      </c>
      <c r="F1049" s="5" t="s">
        <v>9710</v>
      </c>
      <c r="G1049" s="5" t="s">
        <v>9800</v>
      </c>
      <c r="H1049" s="5" t="s">
        <v>23</v>
      </c>
      <c r="I1049" s="6" t="s">
        <v>9801</v>
      </c>
      <c r="J1049" s="4">
        <v>100.0</v>
      </c>
      <c r="K1049" s="5" t="s">
        <v>25</v>
      </c>
      <c r="L1049" s="5" t="s">
        <v>9802</v>
      </c>
      <c r="M1049" s="5" t="s">
        <v>9803</v>
      </c>
      <c r="N1049" s="7" t="s">
        <v>9804</v>
      </c>
      <c r="O1049" s="9" t="s">
        <v>9805</v>
      </c>
      <c r="P1049" s="19" t="s">
        <v>9806</v>
      </c>
      <c r="Q1049" s="5" t="s">
        <v>30</v>
      </c>
    </row>
    <row r="1050" ht="21.0" customHeight="1">
      <c r="A1050" s="4">
        <v>1144.0</v>
      </c>
      <c r="B1050" s="5" t="s">
        <v>9807</v>
      </c>
      <c r="C1050" s="5" t="s">
        <v>9808</v>
      </c>
      <c r="D1050" s="5" t="s">
        <v>9809</v>
      </c>
      <c r="E1050" s="5" t="s">
        <v>9810</v>
      </c>
      <c r="F1050" s="5" t="s">
        <v>9710</v>
      </c>
      <c r="G1050" s="5" t="s">
        <v>9811</v>
      </c>
      <c r="H1050" s="5" t="s">
        <v>23</v>
      </c>
      <c r="I1050" s="6" t="s">
        <v>9812</v>
      </c>
      <c r="J1050" s="4">
        <v>100.0</v>
      </c>
      <c r="K1050" s="5" t="s">
        <v>25</v>
      </c>
      <c r="L1050" s="5" t="s">
        <v>9813</v>
      </c>
      <c r="M1050" s="5" t="s">
        <v>9814</v>
      </c>
      <c r="N1050" s="7" t="s">
        <v>9815</v>
      </c>
      <c r="O1050" s="9" t="s">
        <v>9816</v>
      </c>
      <c r="P1050" s="19" t="s">
        <v>9817</v>
      </c>
      <c r="Q1050" s="5" t="s">
        <v>30</v>
      </c>
    </row>
    <row r="1051" ht="21.0" customHeight="1">
      <c r="A1051" s="4">
        <v>1145.0</v>
      </c>
      <c r="B1051" s="5" t="s">
        <v>9818</v>
      </c>
      <c r="C1051" s="5" t="s">
        <v>9819</v>
      </c>
      <c r="D1051" s="5" t="s">
        <v>5560</v>
      </c>
      <c r="E1051" s="5" t="s">
        <v>9820</v>
      </c>
      <c r="F1051" s="5" t="s">
        <v>9710</v>
      </c>
      <c r="G1051" s="5" t="s">
        <v>9821</v>
      </c>
      <c r="H1051" s="5" t="s">
        <v>23</v>
      </c>
      <c r="I1051" s="6" t="s">
        <v>9822</v>
      </c>
      <c r="J1051" s="4">
        <v>100.0</v>
      </c>
      <c r="K1051" s="5" t="s">
        <v>25</v>
      </c>
      <c r="L1051" s="5" t="s">
        <v>9823</v>
      </c>
      <c r="M1051" s="5" t="s">
        <v>9824</v>
      </c>
      <c r="N1051" s="7" t="s">
        <v>9825</v>
      </c>
      <c r="O1051" s="9" t="s">
        <v>9826</v>
      </c>
      <c r="P1051" s="19" t="s">
        <v>9827</v>
      </c>
      <c r="Q1051" s="5" t="s">
        <v>30</v>
      </c>
    </row>
    <row r="1052" ht="21.0" customHeight="1">
      <c r="A1052" s="4">
        <v>1146.0</v>
      </c>
      <c r="B1052" s="5" t="s">
        <v>9828</v>
      </c>
      <c r="C1052" s="5" t="s">
        <v>18</v>
      </c>
      <c r="D1052" s="5" t="s">
        <v>9267</v>
      </c>
      <c r="E1052" s="5" t="s">
        <v>9829</v>
      </c>
      <c r="F1052" s="5" t="s">
        <v>9710</v>
      </c>
      <c r="G1052" s="5" t="s">
        <v>9830</v>
      </c>
      <c r="H1052" s="5" t="s">
        <v>23</v>
      </c>
      <c r="I1052" s="6" t="s">
        <v>9831</v>
      </c>
      <c r="J1052" s="4">
        <v>100.0</v>
      </c>
      <c r="K1052" s="5" t="s">
        <v>216</v>
      </c>
      <c r="L1052" s="5" t="s">
        <v>9832</v>
      </c>
      <c r="M1052" s="5" t="s">
        <v>9833</v>
      </c>
      <c r="N1052" s="7" t="s">
        <v>9834</v>
      </c>
      <c r="O1052" s="9" t="s">
        <v>9835</v>
      </c>
      <c r="P1052" s="19" t="s">
        <v>9836</v>
      </c>
      <c r="Q1052" s="5" t="s">
        <v>30</v>
      </c>
    </row>
    <row r="1053" ht="21.0" customHeight="1">
      <c r="A1053" s="4">
        <v>1147.0</v>
      </c>
      <c r="B1053" s="5" t="s">
        <v>9837</v>
      </c>
      <c r="C1053" s="5" t="s">
        <v>9838</v>
      </c>
      <c r="D1053" s="5" t="s">
        <v>3585</v>
      </c>
      <c r="E1053" s="5" t="s">
        <v>9839</v>
      </c>
      <c r="F1053" s="5" t="s">
        <v>9710</v>
      </c>
      <c r="G1053" s="5" t="s">
        <v>9840</v>
      </c>
      <c r="H1053" s="5" t="s">
        <v>23</v>
      </c>
      <c r="I1053" s="6" t="s">
        <v>9841</v>
      </c>
      <c r="J1053" s="4">
        <v>100.0</v>
      </c>
      <c r="K1053" s="5" t="s">
        <v>25</v>
      </c>
      <c r="L1053" s="5" t="s">
        <v>9842</v>
      </c>
      <c r="M1053" s="5" t="s">
        <v>9843</v>
      </c>
      <c r="N1053" s="7" t="s">
        <v>9844</v>
      </c>
      <c r="O1053" s="9" t="s">
        <v>9845</v>
      </c>
      <c r="P1053" s="19" t="s">
        <v>9846</v>
      </c>
      <c r="Q1053" s="5" t="s">
        <v>30</v>
      </c>
    </row>
    <row r="1054" ht="21.0" customHeight="1">
      <c r="A1054" s="4">
        <v>1148.0</v>
      </c>
      <c r="B1054" s="5" t="s">
        <v>9847</v>
      </c>
      <c r="C1054" s="5" t="s">
        <v>18</v>
      </c>
      <c r="D1054" s="5" t="s">
        <v>9151</v>
      </c>
      <c r="E1054" s="5" t="s">
        <v>9848</v>
      </c>
      <c r="F1054" s="5" t="s">
        <v>9710</v>
      </c>
      <c r="G1054" s="5" t="s">
        <v>9849</v>
      </c>
      <c r="H1054" s="5" t="s">
        <v>23</v>
      </c>
      <c r="I1054" s="6" t="s">
        <v>9850</v>
      </c>
      <c r="J1054" s="4">
        <v>100.0</v>
      </c>
      <c r="K1054" s="5" t="s">
        <v>25</v>
      </c>
      <c r="L1054" s="5" t="s">
        <v>9851</v>
      </c>
      <c r="M1054" s="5" t="s">
        <v>9852</v>
      </c>
      <c r="N1054" s="7" t="s">
        <v>9853</v>
      </c>
      <c r="O1054" s="9" t="s">
        <v>9854</v>
      </c>
      <c r="P1054" s="19" t="s">
        <v>9855</v>
      </c>
      <c r="Q1054" s="5" t="s">
        <v>30</v>
      </c>
    </row>
    <row r="1055" ht="21.0" customHeight="1">
      <c r="A1055" s="4">
        <v>1149.0</v>
      </c>
      <c r="B1055" s="5" t="s">
        <v>9856</v>
      </c>
      <c r="C1055" s="5" t="s">
        <v>9857</v>
      </c>
      <c r="D1055" s="5" t="s">
        <v>9858</v>
      </c>
      <c r="E1055" s="5" t="s">
        <v>9859</v>
      </c>
      <c r="F1055" s="5" t="s">
        <v>9710</v>
      </c>
      <c r="G1055" s="5" t="s">
        <v>9860</v>
      </c>
      <c r="H1055" s="5" t="s">
        <v>23</v>
      </c>
      <c r="I1055" s="6" t="s">
        <v>9861</v>
      </c>
      <c r="J1055" s="4">
        <v>100.0</v>
      </c>
      <c r="K1055" s="5" t="s">
        <v>25</v>
      </c>
      <c r="L1055" s="5" t="s">
        <v>9862</v>
      </c>
      <c r="M1055" s="5" t="s">
        <v>9863</v>
      </c>
      <c r="N1055" s="7" t="s">
        <v>9864</v>
      </c>
      <c r="O1055" s="9" t="s">
        <v>9865</v>
      </c>
      <c r="P1055" s="19" t="s">
        <v>9866</v>
      </c>
      <c r="Q1055" s="5" t="s">
        <v>30</v>
      </c>
    </row>
    <row r="1056" ht="21.0" customHeight="1">
      <c r="A1056" s="4">
        <v>1150.0</v>
      </c>
      <c r="B1056" s="5" t="s">
        <v>9867</v>
      </c>
      <c r="C1056" s="5" t="s">
        <v>18</v>
      </c>
      <c r="D1056" s="5" t="s">
        <v>19</v>
      </c>
      <c r="E1056" s="5" t="s">
        <v>9868</v>
      </c>
      <c r="F1056" s="5" t="s">
        <v>9710</v>
      </c>
      <c r="G1056" s="5" t="s">
        <v>9869</v>
      </c>
      <c r="H1056" s="5" t="s">
        <v>23</v>
      </c>
      <c r="I1056" s="6" t="s">
        <v>9870</v>
      </c>
      <c r="J1056" s="4">
        <v>100.0</v>
      </c>
      <c r="K1056" s="5" t="s">
        <v>25</v>
      </c>
      <c r="L1056" s="5" t="s">
        <v>9871</v>
      </c>
      <c r="M1056" s="5" t="s">
        <v>9872</v>
      </c>
      <c r="N1056" s="7" t="s">
        <v>9873</v>
      </c>
      <c r="O1056" s="9" t="s">
        <v>9874</v>
      </c>
      <c r="P1056" s="19" t="s">
        <v>9875</v>
      </c>
      <c r="Q1056" s="5" t="s">
        <v>30</v>
      </c>
    </row>
    <row r="1057" ht="21.0" customHeight="1">
      <c r="A1057" s="4">
        <v>1151.0</v>
      </c>
      <c r="B1057" s="5" t="s">
        <v>9876</v>
      </c>
      <c r="C1057" s="5" t="s">
        <v>18</v>
      </c>
      <c r="D1057" s="5" t="s">
        <v>9877</v>
      </c>
      <c r="E1057" s="5" t="s">
        <v>9878</v>
      </c>
      <c r="F1057" s="5" t="s">
        <v>9710</v>
      </c>
      <c r="G1057" s="5" t="s">
        <v>9879</v>
      </c>
      <c r="H1057" s="5" t="s">
        <v>23</v>
      </c>
      <c r="I1057" s="6" t="s">
        <v>9880</v>
      </c>
      <c r="J1057" s="4">
        <v>100.0</v>
      </c>
      <c r="K1057" s="5" t="s">
        <v>25</v>
      </c>
      <c r="L1057" s="5" t="s">
        <v>9881</v>
      </c>
      <c r="M1057" s="5" t="s">
        <v>9882</v>
      </c>
      <c r="N1057" s="7" t="s">
        <v>9883</v>
      </c>
      <c r="O1057" s="9" t="s">
        <v>9884</v>
      </c>
      <c r="P1057" s="19" t="s">
        <v>9885</v>
      </c>
      <c r="Q1057" s="5" t="s">
        <v>30</v>
      </c>
    </row>
    <row r="1058" ht="21.0" customHeight="1">
      <c r="A1058" s="4">
        <v>1152.0</v>
      </c>
      <c r="B1058" s="5" t="s">
        <v>9886</v>
      </c>
      <c r="C1058" s="5" t="s">
        <v>18</v>
      </c>
      <c r="D1058" s="5" t="s">
        <v>9887</v>
      </c>
      <c r="E1058" s="5" t="s">
        <v>9888</v>
      </c>
      <c r="F1058" s="5" t="s">
        <v>9710</v>
      </c>
      <c r="G1058" s="5" t="s">
        <v>9889</v>
      </c>
      <c r="H1058" s="5" t="s">
        <v>23</v>
      </c>
      <c r="I1058" s="6" t="s">
        <v>9890</v>
      </c>
      <c r="J1058" s="4">
        <v>100.0</v>
      </c>
      <c r="K1058" s="5" t="s">
        <v>110</v>
      </c>
      <c r="L1058" s="5" t="s">
        <v>9891</v>
      </c>
      <c r="M1058" s="5" t="s">
        <v>9892</v>
      </c>
      <c r="N1058" s="7" t="s">
        <v>9893</v>
      </c>
      <c r="O1058" s="9" t="s">
        <v>9894</v>
      </c>
      <c r="P1058" s="19" t="s">
        <v>9895</v>
      </c>
      <c r="Q1058" s="5" t="s">
        <v>30</v>
      </c>
    </row>
    <row r="1059" ht="21.0" customHeight="1">
      <c r="A1059" s="4">
        <v>1153.0</v>
      </c>
      <c r="B1059" s="5" t="s">
        <v>9896</v>
      </c>
      <c r="C1059" s="5" t="s">
        <v>18</v>
      </c>
      <c r="D1059" s="5" t="s">
        <v>9151</v>
      </c>
      <c r="E1059" s="5" t="s">
        <v>9897</v>
      </c>
      <c r="F1059" s="5" t="s">
        <v>9710</v>
      </c>
      <c r="G1059" s="5" t="s">
        <v>9898</v>
      </c>
      <c r="H1059" s="5" t="s">
        <v>23</v>
      </c>
      <c r="I1059" s="6" t="s">
        <v>9899</v>
      </c>
      <c r="J1059" s="4">
        <v>100.0</v>
      </c>
      <c r="K1059" s="5" t="s">
        <v>25</v>
      </c>
      <c r="L1059" s="5" t="s">
        <v>9900</v>
      </c>
      <c r="M1059" s="5" t="s">
        <v>9901</v>
      </c>
      <c r="N1059" s="7" t="s">
        <v>9902</v>
      </c>
      <c r="O1059" s="9" t="s">
        <v>9903</v>
      </c>
      <c r="P1059" s="19" t="s">
        <v>9904</v>
      </c>
      <c r="Q1059" s="5" t="s">
        <v>30</v>
      </c>
    </row>
    <row r="1060" ht="21.0" customHeight="1">
      <c r="A1060" s="4">
        <v>1154.0</v>
      </c>
      <c r="B1060" s="5" t="s">
        <v>9905</v>
      </c>
      <c r="C1060" s="5" t="s">
        <v>18</v>
      </c>
      <c r="D1060" s="5" t="s">
        <v>9906</v>
      </c>
      <c r="E1060" s="5" t="s">
        <v>9907</v>
      </c>
      <c r="F1060" s="5" t="s">
        <v>9710</v>
      </c>
      <c r="G1060" s="5" t="s">
        <v>9908</v>
      </c>
      <c r="H1060" s="5" t="s">
        <v>23</v>
      </c>
      <c r="I1060" s="6" t="s">
        <v>9909</v>
      </c>
      <c r="J1060" s="4">
        <v>100.0</v>
      </c>
      <c r="K1060" s="5" t="s">
        <v>84</v>
      </c>
      <c r="L1060" s="5" t="s">
        <v>9910</v>
      </c>
      <c r="M1060" s="5" t="s">
        <v>9911</v>
      </c>
      <c r="N1060" s="7" t="s">
        <v>9912</v>
      </c>
      <c r="O1060" s="9" t="s">
        <v>9913</v>
      </c>
      <c r="P1060" s="19" t="s">
        <v>9914</v>
      </c>
      <c r="Q1060" s="5" t="s">
        <v>30</v>
      </c>
    </row>
    <row r="1061" ht="21.0" customHeight="1">
      <c r="A1061" s="4">
        <v>1155.0</v>
      </c>
      <c r="B1061" s="5" t="s">
        <v>9915</v>
      </c>
      <c r="C1061" s="5" t="s">
        <v>18</v>
      </c>
      <c r="D1061" s="5" t="s">
        <v>19</v>
      </c>
      <c r="E1061" s="5" t="s">
        <v>9916</v>
      </c>
      <c r="F1061" s="5" t="s">
        <v>9710</v>
      </c>
      <c r="G1061" s="5" t="s">
        <v>9917</v>
      </c>
      <c r="H1061" s="5" t="s">
        <v>23</v>
      </c>
      <c r="I1061" s="6" t="s">
        <v>9918</v>
      </c>
      <c r="J1061" s="4">
        <v>100.0</v>
      </c>
      <c r="K1061" s="5" t="s">
        <v>216</v>
      </c>
      <c r="L1061" s="5" t="s">
        <v>9919</v>
      </c>
      <c r="M1061" s="5" t="s">
        <v>9920</v>
      </c>
      <c r="N1061" s="7" t="s">
        <v>9921</v>
      </c>
      <c r="O1061" s="9" t="s">
        <v>9922</v>
      </c>
      <c r="P1061" s="19" t="s">
        <v>9923</v>
      </c>
      <c r="Q1061" s="5" t="s">
        <v>30</v>
      </c>
    </row>
    <row r="1062" ht="21.0" customHeight="1">
      <c r="A1062" s="4">
        <v>1156.0</v>
      </c>
      <c r="B1062" s="5" t="s">
        <v>9924</v>
      </c>
      <c r="C1062" s="5" t="s">
        <v>9925</v>
      </c>
      <c r="D1062" s="5" t="s">
        <v>9926</v>
      </c>
      <c r="E1062" s="5" t="s">
        <v>9927</v>
      </c>
      <c r="F1062" s="5" t="s">
        <v>9710</v>
      </c>
      <c r="G1062" s="5" t="s">
        <v>9928</v>
      </c>
      <c r="H1062" s="5" t="s">
        <v>9929</v>
      </c>
      <c r="I1062" s="6" t="s">
        <v>9930</v>
      </c>
      <c r="J1062" s="4">
        <v>100.0</v>
      </c>
      <c r="K1062" s="5" t="s">
        <v>25</v>
      </c>
      <c r="L1062" s="5" t="s">
        <v>9931</v>
      </c>
      <c r="M1062" s="5" t="s">
        <v>9932</v>
      </c>
      <c r="N1062" s="7" t="s">
        <v>9933</v>
      </c>
      <c r="O1062" s="9" t="s">
        <v>9934</v>
      </c>
      <c r="P1062" s="19" t="s">
        <v>9935</v>
      </c>
      <c r="Q1062" s="5" t="s">
        <v>30</v>
      </c>
    </row>
    <row r="1063" ht="21.0" customHeight="1">
      <c r="A1063" s="4">
        <v>1157.0</v>
      </c>
      <c r="B1063" s="5" t="s">
        <v>9936</v>
      </c>
      <c r="C1063" s="5" t="s">
        <v>18</v>
      </c>
      <c r="D1063" s="5" t="s">
        <v>9937</v>
      </c>
      <c r="E1063" s="5" t="s">
        <v>9938</v>
      </c>
      <c r="F1063" s="5" t="s">
        <v>9710</v>
      </c>
      <c r="G1063" s="5" t="s">
        <v>9939</v>
      </c>
      <c r="H1063" s="5" t="s">
        <v>23</v>
      </c>
      <c r="I1063" s="6" t="s">
        <v>9940</v>
      </c>
      <c r="J1063" s="4">
        <v>100.0</v>
      </c>
      <c r="K1063" s="5" t="s">
        <v>25</v>
      </c>
      <c r="L1063" s="5" t="s">
        <v>9941</v>
      </c>
      <c r="M1063" s="5" t="s">
        <v>9942</v>
      </c>
      <c r="N1063" s="7" t="s">
        <v>9943</v>
      </c>
      <c r="O1063" s="39" t="s">
        <v>9944</v>
      </c>
      <c r="P1063" s="19" t="s">
        <v>9945</v>
      </c>
      <c r="Q1063" s="5" t="s">
        <v>30</v>
      </c>
    </row>
    <row r="1064" ht="21.0" customHeight="1">
      <c r="A1064" s="4">
        <v>1158.0</v>
      </c>
      <c r="B1064" s="5" t="s">
        <v>9946</v>
      </c>
      <c r="C1064" s="5" t="s">
        <v>9947</v>
      </c>
      <c r="D1064" s="5" t="s">
        <v>170</v>
      </c>
      <c r="E1064" s="5" t="s">
        <v>9948</v>
      </c>
      <c r="F1064" s="5" t="s">
        <v>9710</v>
      </c>
      <c r="G1064" s="5" t="s">
        <v>34</v>
      </c>
      <c r="H1064" s="5" t="s">
        <v>23</v>
      </c>
      <c r="I1064" s="6" t="s">
        <v>9949</v>
      </c>
      <c r="J1064" s="4">
        <v>100.0</v>
      </c>
      <c r="K1064" s="5" t="s">
        <v>25</v>
      </c>
      <c r="L1064" s="5" t="s">
        <v>9950</v>
      </c>
      <c r="M1064" s="5" t="s">
        <v>9951</v>
      </c>
      <c r="N1064" s="7" t="s">
        <v>9952</v>
      </c>
      <c r="O1064" s="9" t="s">
        <v>9953</v>
      </c>
      <c r="P1064" s="19" t="s">
        <v>9954</v>
      </c>
      <c r="Q1064" s="5" t="s">
        <v>30</v>
      </c>
    </row>
    <row r="1065" ht="21.0" customHeight="1">
      <c r="A1065" s="4">
        <v>1159.0</v>
      </c>
      <c r="B1065" s="5" t="s">
        <v>9955</v>
      </c>
      <c r="C1065" s="5" t="s">
        <v>18</v>
      </c>
      <c r="D1065" s="5" t="s">
        <v>9956</v>
      </c>
      <c r="E1065" s="5" t="s">
        <v>9957</v>
      </c>
      <c r="F1065" s="5" t="s">
        <v>9710</v>
      </c>
      <c r="G1065" s="5" t="s">
        <v>9958</v>
      </c>
      <c r="H1065" s="5" t="s">
        <v>23</v>
      </c>
      <c r="I1065" s="6" t="s">
        <v>9959</v>
      </c>
      <c r="J1065" s="4">
        <v>100.0</v>
      </c>
      <c r="K1065" s="5" t="s">
        <v>25</v>
      </c>
      <c r="L1065" s="5" t="s">
        <v>9960</v>
      </c>
      <c r="M1065" s="5" t="s">
        <v>9961</v>
      </c>
      <c r="N1065" s="7" t="s">
        <v>9962</v>
      </c>
      <c r="O1065" s="9" t="s">
        <v>9963</v>
      </c>
      <c r="P1065" s="19" t="s">
        <v>9964</v>
      </c>
      <c r="Q1065" s="5" t="s">
        <v>30</v>
      </c>
    </row>
    <row r="1066" ht="21.0" customHeight="1">
      <c r="A1066" s="4">
        <v>1160.0</v>
      </c>
      <c r="B1066" s="5" t="s">
        <v>9965</v>
      </c>
      <c r="C1066" s="5" t="s">
        <v>18</v>
      </c>
      <c r="D1066" s="5" t="s">
        <v>9966</v>
      </c>
      <c r="E1066" s="5" t="s">
        <v>9967</v>
      </c>
      <c r="F1066" s="5" t="s">
        <v>9710</v>
      </c>
      <c r="G1066" s="5" t="s">
        <v>9968</v>
      </c>
      <c r="H1066" s="5" t="s">
        <v>23</v>
      </c>
      <c r="I1066" s="6" t="s">
        <v>9969</v>
      </c>
      <c r="J1066" s="4">
        <v>100.0</v>
      </c>
      <c r="K1066" s="5" t="s">
        <v>25</v>
      </c>
      <c r="L1066" s="5" t="s">
        <v>9970</v>
      </c>
      <c r="M1066" s="5" t="s">
        <v>9971</v>
      </c>
      <c r="N1066" s="7" t="s">
        <v>9972</v>
      </c>
      <c r="O1066" s="9" t="s">
        <v>9973</v>
      </c>
      <c r="P1066" s="19" t="s">
        <v>9974</v>
      </c>
      <c r="Q1066" s="5" t="s">
        <v>30</v>
      </c>
    </row>
    <row r="1067" ht="21.0" customHeight="1">
      <c r="A1067" s="4">
        <v>1161.0</v>
      </c>
      <c r="B1067" s="5" t="s">
        <v>9975</v>
      </c>
      <c r="C1067" s="5" t="s">
        <v>18</v>
      </c>
      <c r="D1067" s="5" t="s">
        <v>8775</v>
      </c>
      <c r="E1067" s="5" t="s">
        <v>9976</v>
      </c>
      <c r="F1067" s="5" t="s">
        <v>9710</v>
      </c>
      <c r="G1067" s="5" t="s">
        <v>9977</v>
      </c>
      <c r="H1067" s="5" t="s">
        <v>23</v>
      </c>
      <c r="I1067" s="6" t="s">
        <v>9978</v>
      </c>
      <c r="J1067" s="4">
        <v>100.0</v>
      </c>
      <c r="K1067" s="5" t="s">
        <v>25</v>
      </c>
      <c r="L1067" s="5" t="s">
        <v>9979</v>
      </c>
      <c r="M1067" s="5" t="s">
        <v>9980</v>
      </c>
      <c r="N1067" s="7" t="s">
        <v>9981</v>
      </c>
      <c r="O1067" s="9" t="s">
        <v>9982</v>
      </c>
      <c r="P1067" s="19" t="s">
        <v>9983</v>
      </c>
      <c r="Q1067" s="5" t="s">
        <v>30</v>
      </c>
    </row>
    <row r="1068" ht="21.0" customHeight="1">
      <c r="A1068" s="4">
        <v>1162.0</v>
      </c>
      <c r="B1068" s="5" t="s">
        <v>9984</v>
      </c>
      <c r="C1068" s="5" t="s">
        <v>18</v>
      </c>
      <c r="D1068" s="5" t="s">
        <v>9985</v>
      </c>
      <c r="E1068" s="5" t="s">
        <v>9986</v>
      </c>
      <c r="F1068" s="5" t="s">
        <v>9710</v>
      </c>
      <c r="G1068" s="5" t="s">
        <v>9987</v>
      </c>
      <c r="H1068" s="5" t="s">
        <v>23</v>
      </c>
      <c r="I1068" s="6" t="s">
        <v>9988</v>
      </c>
      <c r="J1068" s="4">
        <v>100.0</v>
      </c>
      <c r="K1068" s="5" t="s">
        <v>93</v>
      </c>
      <c r="L1068" s="5" t="s">
        <v>9989</v>
      </c>
      <c r="M1068" s="5" t="s">
        <v>9990</v>
      </c>
      <c r="N1068" s="7" t="s">
        <v>9991</v>
      </c>
      <c r="O1068" s="9" t="s">
        <v>9992</v>
      </c>
      <c r="P1068" s="19" t="s">
        <v>9993</v>
      </c>
      <c r="Q1068" s="5" t="s">
        <v>30</v>
      </c>
    </row>
    <row r="1069" ht="21.0" customHeight="1">
      <c r="A1069" s="4">
        <v>1163.0</v>
      </c>
      <c r="B1069" s="5" t="s">
        <v>9994</v>
      </c>
      <c r="C1069" s="5" t="s">
        <v>18</v>
      </c>
      <c r="D1069" s="5" t="s">
        <v>9151</v>
      </c>
      <c r="E1069" s="5" t="s">
        <v>9995</v>
      </c>
      <c r="F1069" s="5" t="s">
        <v>9710</v>
      </c>
      <c r="G1069" s="5" t="s">
        <v>9996</v>
      </c>
      <c r="H1069" s="5" t="s">
        <v>23</v>
      </c>
      <c r="I1069" s="6" t="s">
        <v>9997</v>
      </c>
      <c r="J1069" s="4">
        <v>100.0</v>
      </c>
      <c r="K1069" s="5" t="s">
        <v>25</v>
      </c>
      <c r="L1069" s="5" t="s">
        <v>9998</v>
      </c>
      <c r="M1069" s="5" t="s">
        <v>9999</v>
      </c>
      <c r="N1069" s="7" t="s">
        <v>10000</v>
      </c>
      <c r="O1069" s="9" t="s">
        <v>10001</v>
      </c>
      <c r="P1069" s="19" t="s">
        <v>10002</v>
      </c>
      <c r="Q1069" s="5" t="s">
        <v>30</v>
      </c>
    </row>
    <row r="1070" ht="21.0" customHeight="1">
      <c r="A1070" s="4">
        <v>1164.0</v>
      </c>
      <c r="B1070" s="5" t="s">
        <v>10003</v>
      </c>
      <c r="C1070" s="5" t="s">
        <v>10004</v>
      </c>
      <c r="D1070" s="5" t="s">
        <v>9398</v>
      </c>
      <c r="E1070" s="5" t="s">
        <v>10005</v>
      </c>
      <c r="F1070" s="5" t="s">
        <v>10006</v>
      </c>
      <c r="G1070" s="5" t="s">
        <v>10007</v>
      </c>
      <c r="H1070" s="5" t="s">
        <v>23</v>
      </c>
      <c r="I1070" s="6" t="s">
        <v>10008</v>
      </c>
      <c r="J1070" s="4">
        <v>100.0</v>
      </c>
      <c r="K1070" s="5" t="s">
        <v>165</v>
      </c>
      <c r="L1070" s="5" t="s">
        <v>10009</v>
      </c>
      <c r="M1070" s="5" t="s">
        <v>10010</v>
      </c>
      <c r="N1070" s="7" t="s">
        <v>10011</v>
      </c>
      <c r="O1070" s="9" t="s">
        <v>10012</v>
      </c>
      <c r="P1070" s="19" t="s">
        <v>10013</v>
      </c>
      <c r="Q1070" s="5" t="s">
        <v>30</v>
      </c>
    </row>
    <row r="1071" ht="21.0" customHeight="1">
      <c r="A1071" s="4">
        <v>1165.0</v>
      </c>
      <c r="B1071" s="5" t="s">
        <v>10014</v>
      </c>
      <c r="C1071" s="5" t="s">
        <v>18</v>
      </c>
      <c r="D1071" s="5" t="s">
        <v>19</v>
      </c>
      <c r="E1071" s="5" t="s">
        <v>10015</v>
      </c>
      <c r="F1071" s="5" t="s">
        <v>10006</v>
      </c>
      <c r="G1071" s="5" t="s">
        <v>10016</v>
      </c>
      <c r="H1071" s="5" t="s">
        <v>23</v>
      </c>
      <c r="I1071" s="6" t="s">
        <v>10017</v>
      </c>
      <c r="J1071" s="4">
        <v>100.0</v>
      </c>
      <c r="K1071" s="5" t="s">
        <v>165</v>
      </c>
      <c r="L1071" s="5" t="s">
        <v>9069</v>
      </c>
      <c r="M1071" s="5" t="s">
        <v>10018</v>
      </c>
      <c r="N1071" s="7" t="s">
        <v>10019</v>
      </c>
      <c r="O1071" s="9" t="s">
        <v>10020</v>
      </c>
      <c r="P1071" s="19" t="s">
        <v>10021</v>
      </c>
      <c r="Q1071" s="5" t="s">
        <v>30</v>
      </c>
    </row>
    <row r="1072" ht="21.0" customHeight="1">
      <c r="A1072" s="4">
        <v>1166.0</v>
      </c>
      <c r="B1072" s="5" t="s">
        <v>10022</v>
      </c>
      <c r="C1072" s="5" t="s">
        <v>18</v>
      </c>
      <c r="D1072" s="5" t="s">
        <v>19</v>
      </c>
      <c r="E1072" s="5" t="s">
        <v>10023</v>
      </c>
      <c r="F1072" s="5" t="s">
        <v>10006</v>
      </c>
      <c r="G1072" s="5" t="s">
        <v>10024</v>
      </c>
      <c r="H1072" s="5" t="s">
        <v>23</v>
      </c>
      <c r="I1072" s="6" t="s">
        <v>10025</v>
      </c>
      <c r="J1072" s="4">
        <v>100.0</v>
      </c>
      <c r="K1072" s="5" t="s">
        <v>216</v>
      </c>
      <c r="L1072" s="5" t="s">
        <v>10026</v>
      </c>
      <c r="M1072" s="5" t="s">
        <v>10027</v>
      </c>
      <c r="N1072" s="7" t="s">
        <v>10028</v>
      </c>
      <c r="O1072" s="9" t="s">
        <v>10029</v>
      </c>
      <c r="P1072" s="19" t="s">
        <v>10030</v>
      </c>
      <c r="Q1072" s="5" t="s">
        <v>30</v>
      </c>
    </row>
    <row r="1073" ht="21.0" customHeight="1">
      <c r="A1073" s="4">
        <v>1167.0</v>
      </c>
      <c r="B1073" s="5" t="s">
        <v>10031</v>
      </c>
      <c r="C1073" s="5" t="s">
        <v>18</v>
      </c>
      <c r="D1073" s="5" t="s">
        <v>10032</v>
      </c>
      <c r="E1073" s="5" t="s">
        <v>10033</v>
      </c>
      <c r="F1073" s="5" t="s">
        <v>10006</v>
      </c>
      <c r="G1073" s="5" t="s">
        <v>10034</v>
      </c>
      <c r="H1073" s="5" t="s">
        <v>23</v>
      </c>
      <c r="I1073" s="6" t="s">
        <v>10035</v>
      </c>
      <c r="J1073" s="4">
        <v>100.0</v>
      </c>
      <c r="K1073" s="5" t="s">
        <v>84</v>
      </c>
      <c r="L1073" s="5" t="s">
        <v>10036</v>
      </c>
      <c r="M1073" s="5" t="s">
        <v>10037</v>
      </c>
      <c r="N1073" s="7" t="s">
        <v>10038</v>
      </c>
      <c r="O1073" s="9" t="s">
        <v>10039</v>
      </c>
      <c r="P1073" s="19" t="s">
        <v>10040</v>
      </c>
      <c r="Q1073" s="5" t="s">
        <v>30</v>
      </c>
    </row>
    <row r="1074" ht="21.0" customHeight="1">
      <c r="A1074" s="4">
        <v>1168.0</v>
      </c>
      <c r="B1074" s="5" t="s">
        <v>10041</v>
      </c>
      <c r="C1074" s="5" t="s">
        <v>18</v>
      </c>
      <c r="D1074" s="5" t="s">
        <v>10042</v>
      </c>
      <c r="E1074" s="5" t="s">
        <v>10043</v>
      </c>
      <c r="F1074" s="5" t="s">
        <v>10006</v>
      </c>
      <c r="G1074" s="5" t="s">
        <v>10044</v>
      </c>
      <c r="H1074" s="5" t="s">
        <v>23</v>
      </c>
      <c r="I1074" s="6" t="s">
        <v>10045</v>
      </c>
      <c r="J1074" s="4">
        <v>100.0</v>
      </c>
      <c r="K1074" s="5" t="s">
        <v>84</v>
      </c>
      <c r="L1074" s="5" t="s">
        <v>10046</v>
      </c>
      <c r="M1074" s="5" t="s">
        <v>10047</v>
      </c>
      <c r="N1074" s="7" t="s">
        <v>10048</v>
      </c>
      <c r="O1074" s="9" t="s">
        <v>10049</v>
      </c>
      <c r="P1074" s="19" t="s">
        <v>10050</v>
      </c>
      <c r="Q1074" s="5" t="s">
        <v>30</v>
      </c>
    </row>
    <row r="1075" ht="21.0" customHeight="1">
      <c r="A1075" s="4">
        <v>1169.0</v>
      </c>
      <c r="B1075" s="5" t="s">
        <v>10051</v>
      </c>
      <c r="C1075" s="5" t="s">
        <v>10052</v>
      </c>
      <c r="D1075" s="5" t="s">
        <v>6303</v>
      </c>
      <c r="E1075" s="5" t="s">
        <v>10053</v>
      </c>
      <c r="F1075" s="5" t="s">
        <v>10006</v>
      </c>
      <c r="G1075" s="5" t="s">
        <v>10054</v>
      </c>
      <c r="H1075" s="5" t="s">
        <v>23</v>
      </c>
      <c r="I1075" s="6" t="s">
        <v>10055</v>
      </c>
      <c r="J1075" s="4">
        <v>100.0</v>
      </c>
      <c r="K1075" s="5" t="s">
        <v>284</v>
      </c>
      <c r="L1075" s="5" t="s">
        <v>10056</v>
      </c>
      <c r="M1075" s="5" t="s">
        <v>10057</v>
      </c>
      <c r="N1075" s="7" t="s">
        <v>10058</v>
      </c>
      <c r="O1075" s="9" t="s">
        <v>10059</v>
      </c>
      <c r="P1075" s="5" t="s">
        <v>30</v>
      </c>
      <c r="Q1075" s="5" t="s">
        <v>30</v>
      </c>
    </row>
    <row r="1076" ht="21.0" customHeight="1">
      <c r="A1076" s="4">
        <v>1170.0</v>
      </c>
      <c r="B1076" s="5" t="s">
        <v>10060</v>
      </c>
      <c r="C1076" s="5" t="s">
        <v>10061</v>
      </c>
      <c r="D1076" s="5" t="s">
        <v>6283</v>
      </c>
      <c r="E1076" s="5" t="s">
        <v>10062</v>
      </c>
      <c r="F1076" s="5" t="s">
        <v>10006</v>
      </c>
      <c r="G1076" s="5" t="s">
        <v>10063</v>
      </c>
      <c r="H1076" s="5" t="s">
        <v>23</v>
      </c>
      <c r="I1076" s="6" t="s">
        <v>10064</v>
      </c>
      <c r="J1076" s="4">
        <v>100.0</v>
      </c>
      <c r="K1076" s="5" t="s">
        <v>517</v>
      </c>
      <c r="L1076" s="5" t="s">
        <v>10065</v>
      </c>
      <c r="M1076" s="5" t="s">
        <v>10066</v>
      </c>
      <c r="N1076" s="7" t="s">
        <v>10067</v>
      </c>
      <c r="O1076" s="9" t="s">
        <v>10068</v>
      </c>
      <c r="P1076" s="19" t="s">
        <v>10069</v>
      </c>
      <c r="Q1076" s="5" t="s">
        <v>30</v>
      </c>
    </row>
    <row r="1077" ht="21.0" customHeight="1">
      <c r="A1077" s="4">
        <v>1171.0</v>
      </c>
      <c r="B1077" s="5" t="s">
        <v>10070</v>
      </c>
      <c r="C1077" s="5" t="s">
        <v>10071</v>
      </c>
      <c r="D1077" s="5" t="s">
        <v>10072</v>
      </c>
      <c r="E1077" s="5" t="s">
        <v>10073</v>
      </c>
      <c r="F1077" s="5" t="s">
        <v>10006</v>
      </c>
      <c r="G1077" s="5" t="s">
        <v>10074</v>
      </c>
      <c r="H1077" s="5" t="s">
        <v>23</v>
      </c>
      <c r="I1077" s="6" t="s">
        <v>10075</v>
      </c>
      <c r="J1077" s="4">
        <v>100.0</v>
      </c>
      <c r="K1077" s="5" t="s">
        <v>25</v>
      </c>
      <c r="L1077" s="5" t="s">
        <v>10076</v>
      </c>
      <c r="M1077" s="5" t="s">
        <v>10077</v>
      </c>
      <c r="N1077" s="7" t="s">
        <v>10078</v>
      </c>
      <c r="O1077" s="9" t="s">
        <v>10079</v>
      </c>
      <c r="P1077" s="19" t="s">
        <v>10080</v>
      </c>
      <c r="Q1077" s="5" t="s">
        <v>30</v>
      </c>
    </row>
    <row r="1078" ht="21.0" customHeight="1">
      <c r="A1078" s="4">
        <v>1172.0</v>
      </c>
      <c r="B1078" s="5" t="s">
        <v>10081</v>
      </c>
      <c r="C1078" s="5" t="s">
        <v>18</v>
      </c>
      <c r="D1078" s="5" t="s">
        <v>3398</v>
      </c>
      <c r="E1078" s="5" t="s">
        <v>10082</v>
      </c>
      <c r="F1078" s="5" t="s">
        <v>10006</v>
      </c>
      <c r="G1078" s="5" t="s">
        <v>10083</v>
      </c>
      <c r="H1078" s="5" t="s">
        <v>23</v>
      </c>
      <c r="I1078" s="6" t="s">
        <v>10084</v>
      </c>
      <c r="J1078" s="4">
        <v>100.0</v>
      </c>
      <c r="K1078" s="5" t="s">
        <v>25</v>
      </c>
      <c r="L1078" s="5" t="s">
        <v>10085</v>
      </c>
      <c r="M1078" s="5" t="s">
        <v>10086</v>
      </c>
      <c r="N1078" s="7" t="s">
        <v>10087</v>
      </c>
      <c r="O1078" s="9" t="s">
        <v>10088</v>
      </c>
      <c r="P1078" s="19" t="s">
        <v>10089</v>
      </c>
      <c r="Q1078" s="5" t="s">
        <v>30</v>
      </c>
    </row>
    <row r="1079" ht="21.0" customHeight="1">
      <c r="A1079" s="4">
        <v>1173.0</v>
      </c>
      <c r="B1079" s="5" t="s">
        <v>10090</v>
      </c>
      <c r="C1079" s="5" t="s">
        <v>18</v>
      </c>
      <c r="D1079" s="5" t="s">
        <v>10091</v>
      </c>
      <c r="E1079" s="5" t="s">
        <v>10092</v>
      </c>
      <c r="F1079" s="5" t="s">
        <v>10006</v>
      </c>
      <c r="G1079" s="5" t="s">
        <v>10093</v>
      </c>
      <c r="H1079" s="5" t="s">
        <v>23</v>
      </c>
      <c r="I1079" s="6" t="s">
        <v>10094</v>
      </c>
      <c r="J1079" s="4">
        <v>100.0</v>
      </c>
      <c r="K1079" s="5" t="s">
        <v>84</v>
      </c>
      <c r="L1079" s="5" t="s">
        <v>10095</v>
      </c>
      <c r="M1079" s="5" t="s">
        <v>10096</v>
      </c>
      <c r="N1079" s="7" t="s">
        <v>10097</v>
      </c>
      <c r="O1079" s="9" t="s">
        <v>10098</v>
      </c>
      <c r="P1079" s="19" t="s">
        <v>10099</v>
      </c>
      <c r="Q1079" s="5" t="s">
        <v>30</v>
      </c>
    </row>
    <row r="1080" ht="21.0" customHeight="1">
      <c r="A1080" s="4">
        <v>1174.0</v>
      </c>
      <c r="B1080" s="5" t="s">
        <v>10100</v>
      </c>
      <c r="C1080" s="5" t="s">
        <v>10101</v>
      </c>
      <c r="D1080" s="5" t="s">
        <v>9151</v>
      </c>
      <c r="E1080" s="5" t="s">
        <v>10102</v>
      </c>
      <c r="F1080" s="5" t="s">
        <v>10006</v>
      </c>
      <c r="G1080" s="5" t="s">
        <v>10103</v>
      </c>
      <c r="H1080" s="5" t="s">
        <v>23</v>
      </c>
      <c r="I1080" s="6" t="s">
        <v>10104</v>
      </c>
      <c r="J1080" s="4">
        <v>100.0</v>
      </c>
      <c r="K1080" s="5" t="s">
        <v>84</v>
      </c>
      <c r="L1080" s="5" t="s">
        <v>10105</v>
      </c>
      <c r="M1080" s="5" t="s">
        <v>10106</v>
      </c>
      <c r="N1080" s="7" t="s">
        <v>10107</v>
      </c>
      <c r="O1080" s="9" t="s">
        <v>10108</v>
      </c>
      <c r="P1080" s="19" t="s">
        <v>10109</v>
      </c>
      <c r="Q1080" s="5" t="s">
        <v>30</v>
      </c>
      <c r="R1080" s="51"/>
    </row>
    <row r="1081" ht="21.0" customHeight="1">
      <c r="A1081" s="4">
        <v>1175.0</v>
      </c>
      <c r="B1081" s="5" t="s">
        <v>10110</v>
      </c>
      <c r="C1081" s="5" t="s">
        <v>18</v>
      </c>
      <c r="D1081" s="5" t="s">
        <v>19</v>
      </c>
      <c r="E1081" s="5" t="s">
        <v>10111</v>
      </c>
      <c r="F1081" s="5" t="s">
        <v>10006</v>
      </c>
      <c r="G1081" s="5" t="s">
        <v>34</v>
      </c>
      <c r="H1081" s="5" t="s">
        <v>23</v>
      </c>
      <c r="I1081" s="6" t="s">
        <v>10112</v>
      </c>
      <c r="J1081" s="4">
        <v>100.0</v>
      </c>
      <c r="K1081" s="5" t="s">
        <v>25</v>
      </c>
      <c r="L1081" s="5" t="s">
        <v>10113</v>
      </c>
      <c r="M1081" s="5" t="s">
        <v>10114</v>
      </c>
      <c r="N1081" s="7" t="s">
        <v>10115</v>
      </c>
      <c r="O1081" s="9" t="s">
        <v>10116</v>
      </c>
      <c r="P1081" s="19" t="s">
        <v>10117</v>
      </c>
      <c r="Q1081" s="5" t="s">
        <v>30</v>
      </c>
    </row>
    <row r="1082" ht="21.0" customHeight="1">
      <c r="A1082" s="4">
        <v>1176.0</v>
      </c>
      <c r="B1082" s="5" t="s">
        <v>10118</v>
      </c>
      <c r="C1082" s="5" t="s">
        <v>10119</v>
      </c>
      <c r="D1082" s="5" t="s">
        <v>10120</v>
      </c>
      <c r="E1082" s="5" t="s">
        <v>10121</v>
      </c>
      <c r="F1082" s="5" t="s">
        <v>10006</v>
      </c>
      <c r="G1082" s="5" t="s">
        <v>10122</v>
      </c>
      <c r="H1082" s="5" t="s">
        <v>3537</v>
      </c>
      <c r="I1082" s="6" t="s">
        <v>10123</v>
      </c>
      <c r="J1082" s="4">
        <v>100.0</v>
      </c>
      <c r="K1082" s="5" t="s">
        <v>25</v>
      </c>
      <c r="L1082" s="5" t="s">
        <v>10124</v>
      </c>
      <c r="M1082" s="5" t="s">
        <v>10125</v>
      </c>
      <c r="N1082" s="7" t="s">
        <v>10126</v>
      </c>
      <c r="O1082" s="9" t="s">
        <v>10127</v>
      </c>
      <c r="P1082" s="19" t="s">
        <v>10128</v>
      </c>
      <c r="Q1082" s="5" t="s">
        <v>30</v>
      </c>
    </row>
    <row r="1083" ht="21.0" customHeight="1">
      <c r="A1083" s="4">
        <v>1177.0</v>
      </c>
      <c r="B1083" s="5" t="s">
        <v>10129</v>
      </c>
      <c r="C1083" s="5" t="s">
        <v>18</v>
      </c>
      <c r="D1083" s="5" t="s">
        <v>10130</v>
      </c>
      <c r="E1083" s="5" t="s">
        <v>10131</v>
      </c>
      <c r="F1083" s="5" t="s">
        <v>10006</v>
      </c>
      <c r="G1083" s="5" t="s">
        <v>10132</v>
      </c>
      <c r="H1083" s="5" t="s">
        <v>23</v>
      </c>
      <c r="I1083" s="6" t="s">
        <v>10133</v>
      </c>
      <c r="J1083" s="4">
        <v>100.0</v>
      </c>
      <c r="K1083" s="5" t="s">
        <v>25</v>
      </c>
      <c r="L1083" s="5" t="s">
        <v>10134</v>
      </c>
      <c r="M1083" s="5" t="s">
        <v>10135</v>
      </c>
      <c r="N1083" s="7" t="s">
        <v>10136</v>
      </c>
      <c r="O1083" s="9" t="s">
        <v>10137</v>
      </c>
      <c r="P1083" s="19" t="s">
        <v>10138</v>
      </c>
      <c r="Q1083" s="5" t="s">
        <v>30</v>
      </c>
    </row>
    <row r="1084" ht="21.0" customHeight="1">
      <c r="A1084" s="4">
        <v>1178.0</v>
      </c>
      <c r="B1084" s="5" t="s">
        <v>10139</v>
      </c>
      <c r="C1084" s="5" t="s">
        <v>10140</v>
      </c>
      <c r="D1084" s="5" t="s">
        <v>1121</v>
      </c>
      <c r="E1084" s="5" t="s">
        <v>10141</v>
      </c>
      <c r="F1084" s="5" t="s">
        <v>10006</v>
      </c>
      <c r="G1084" s="5" t="s">
        <v>10142</v>
      </c>
      <c r="H1084" s="5" t="s">
        <v>23</v>
      </c>
      <c r="I1084" s="6" t="s">
        <v>10143</v>
      </c>
      <c r="J1084" s="4">
        <v>100.0</v>
      </c>
      <c r="K1084" s="5" t="s">
        <v>84</v>
      </c>
      <c r="L1084" s="5" t="s">
        <v>10144</v>
      </c>
      <c r="M1084" s="5" t="s">
        <v>10145</v>
      </c>
      <c r="N1084" s="7" t="s">
        <v>10146</v>
      </c>
      <c r="O1084" s="9" t="s">
        <v>10147</v>
      </c>
      <c r="P1084" s="19" t="s">
        <v>10148</v>
      </c>
      <c r="Q1084" s="5" t="s">
        <v>30</v>
      </c>
    </row>
    <row r="1085" ht="21.0" customHeight="1">
      <c r="A1085" s="4">
        <v>1179.0</v>
      </c>
      <c r="B1085" s="5" t="s">
        <v>10149</v>
      </c>
      <c r="C1085" s="5" t="s">
        <v>18</v>
      </c>
      <c r="D1085" s="5" t="s">
        <v>19</v>
      </c>
      <c r="E1085" s="5" t="s">
        <v>10150</v>
      </c>
      <c r="F1085" s="5" t="s">
        <v>10006</v>
      </c>
      <c r="G1085" s="5" t="s">
        <v>34</v>
      </c>
      <c r="H1085" s="5" t="s">
        <v>23</v>
      </c>
      <c r="I1085" s="6" t="s">
        <v>10151</v>
      </c>
      <c r="J1085" s="4">
        <v>100.0</v>
      </c>
      <c r="K1085" s="5" t="s">
        <v>25</v>
      </c>
      <c r="L1085" s="5" t="s">
        <v>10152</v>
      </c>
      <c r="M1085" s="5" t="s">
        <v>10153</v>
      </c>
      <c r="N1085" s="7" t="s">
        <v>10154</v>
      </c>
      <c r="O1085" s="9" t="s">
        <v>10155</v>
      </c>
      <c r="P1085" s="19" t="s">
        <v>10156</v>
      </c>
      <c r="Q1085" s="5" t="s">
        <v>30</v>
      </c>
    </row>
    <row r="1086" ht="21.0" customHeight="1">
      <c r="A1086" s="4">
        <v>1180.0</v>
      </c>
      <c r="B1086" s="5" t="s">
        <v>10157</v>
      </c>
      <c r="C1086" s="5" t="s">
        <v>18</v>
      </c>
      <c r="D1086" s="5" t="s">
        <v>10158</v>
      </c>
      <c r="E1086" s="5" t="s">
        <v>10159</v>
      </c>
      <c r="F1086" s="5" t="s">
        <v>10006</v>
      </c>
      <c r="G1086" s="5" t="s">
        <v>10160</v>
      </c>
      <c r="H1086" s="5" t="s">
        <v>23</v>
      </c>
      <c r="I1086" s="6" t="s">
        <v>10161</v>
      </c>
      <c r="J1086" s="4">
        <v>100.0</v>
      </c>
      <c r="K1086" s="5" t="s">
        <v>165</v>
      </c>
      <c r="L1086" s="5" t="s">
        <v>10162</v>
      </c>
      <c r="M1086" s="5" t="s">
        <v>10163</v>
      </c>
      <c r="N1086" s="7" t="s">
        <v>10164</v>
      </c>
      <c r="O1086" s="9" t="s">
        <v>10165</v>
      </c>
      <c r="P1086" s="19" t="s">
        <v>10166</v>
      </c>
      <c r="Q1086" s="5" t="s">
        <v>30</v>
      </c>
    </row>
    <row r="1087" ht="21.0" customHeight="1">
      <c r="A1087" s="4">
        <v>1181.0</v>
      </c>
      <c r="B1087" s="5" t="s">
        <v>10167</v>
      </c>
      <c r="C1087" s="5" t="s">
        <v>18</v>
      </c>
      <c r="D1087" s="5" t="s">
        <v>9418</v>
      </c>
      <c r="E1087" s="5" t="s">
        <v>10168</v>
      </c>
      <c r="F1087" s="5" t="s">
        <v>10006</v>
      </c>
      <c r="G1087" s="5" t="s">
        <v>10169</v>
      </c>
      <c r="H1087" s="5" t="s">
        <v>23</v>
      </c>
      <c r="I1087" s="6" t="s">
        <v>10170</v>
      </c>
      <c r="J1087" s="4">
        <v>100.0</v>
      </c>
      <c r="K1087" s="5" t="s">
        <v>165</v>
      </c>
      <c r="L1087" s="5" t="s">
        <v>10171</v>
      </c>
      <c r="M1087" s="5" t="s">
        <v>10172</v>
      </c>
      <c r="N1087" s="7" t="s">
        <v>10173</v>
      </c>
      <c r="O1087" s="9" t="s">
        <v>10174</v>
      </c>
      <c r="P1087" s="19" t="s">
        <v>10175</v>
      </c>
      <c r="Q1087" s="5" t="s">
        <v>30</v>
      </c>
    </row>
    <row r="1088" ht="21.0" customHeight="1">
      <c r="A1088" s="4">
        <v>1182.0</v>
      </c>
      <c r="B1088" s="5" t="s">
        <v>10176</v>
      </c>
      <c r="C1088" s="5" t="s">
        <v>10177</v>
      </c>
      <c r="D1088" s="5" t="s">
        <v>10178</v>
      </c>
      <c r="E1088" s="5" t="s">
        <v>10179</v>
      </c>
      <c r="F1088" s="5" t="s">
        <v>10006</v>
      </c>
      <c r="G1088" s="5" t="s">
        <v>10180</v>
      </c>
      <c r="H1088" s="5" t="s">
        <v>23</v>
      </c>
      <c r="I1088" s="6" t="s">
        <v>10181</v>
      </c>
      <c r="J1088" s="4">
        <v>100.0</v>
      </c>
      <c r="K1088" s="5" t="s">
        <v>25</v>
      </c>
      <c r="L1088" s="5" t="s">
        <v>10182</v>
      </c>
      <c r="M1088" s="5" t="s">
        <v>10183</v>
      </c>
      <c r="N1088" s="7" t="s">
        <v>10184</v>
      </c>
      <c r="O1088" s="9" t="s">
        <v>10185</v>
      </c>
      <c r="P1088" s="29" t="s">
        <v>10186</v>
      </c>
      <c r="Q1088" s="5" t="s">
        <v>30</v>
      </c>
    </row>
    <row r="1089" ht="21.0" customHeight="1">
      <c r="A1089" s="4">
        <v>1183.0</v>
      </c>
      <c r="B1089" s="5" t="s">
        <v>10187</v>
      </c>
      <c r="C1089" s="5" t="s">
        <v>18</v>
      </c>
      <c r="D1089" s="5" t="s">
        <v>8854</v>
      </c>
      <c r="E1089" s="5" t="s">
        <v>10188</v>
      </c>
      <c r="F1089" s="5" t="s">
        <v>10006</v>
      </c>
      <c r="G1089" s="5" t="s">
        <v>10189</v>
      </c>
      <c r="H1089" s="5" t="s">
        <v>23</v>
      </c>
      <c r="I1089" s="6" t="s">
        <v>10190</v>
      </c>
      <c r="J1089" s="4">
        <v>100.0</v>
      </c>
      <c r="K1089" s="5" t="s">
        <v>165</v>
      </c>
      <c r="L1089" s="5" t="s">
        <v>10191</v>
      </c>
      <c r="M1089" s="5" t="s">
        <v>10192</v>
      </c>
      <c r="N1089" s="7" t="s">
        <v>10193</v>
      </c>
      <c r="O1089" s="9" t="s">
        <v>10194</v>
      </c>
      <c r="P1089" s="19" t="s">
        <v>10195</v>
      </c>
      <c r="Q1089" s="5" t="s">
        <v>30</v>
      </c>
    </row>
    <row r="1090" ht="21.0" customHeight="1">
      <c r="A1090" s="4">
        <v>1184.0</v>
      </c>
      <c r="B1090" s="5" t="s">
        <v>10196</v>
      </c>
      <c r="C1090" s="5" t="s">
        <v>18</v>
      </c>
      <c r="D1090" s="5" t="s">
        <v>10197</v>
      </c>
      <c r="E1090" s="5" t="s">
        <v>10198</v>
      </c>
      <c r="F1090" s="5" t="s">
        <v>10006</v>
      </c>
      <c r="G1090" s="5" t="s">
        <v>10199</v>
      </c>
      <c r="H1090" s="5" t="s">
        <v>23</v>
      </c>
      <c r="I1090" s="6" t="s">
        <v>10200</v>
      </c>
      <c r="J1090" s="4">
        <v>100.0</v>
      </c>
      <c r="K1090" s="5" t="s">
        <v>84</v>
      </c>
      <c r="L1090" s="5" t="s">
        <v>10201</v>
      </c>
      <c r="M1090" s="5" t="s">
        <v>10202</v>
      </c>
      <c r="N1090" s="7" t="s">
        <v>10203</v>
      </c>
      <c r="O1090" s="9" t="s">
        <v>10204</v>
      </c>
      <c r="P1090" s="19" t="s">
        <v>10205</v>
      </c>
      <c r="Q1090" s="5" t="s">
        <v>30</v>
      </c>
    </row>
    <row r="1091" ht="21.0" customHeight="1">
      <c r="A1091" s="4">
        <v>1185.0</v>
      </c>
      <c r="B1091" s="5" t="s">
        <v>10206</v>
      </c>
      <c r="C1091" s="5" t="s">
        <v>18</v>
      </c>
      <c r="D1091" s="5" t="s">
        <v>8854</v>
      </c>
      <c r="E1091" s="5" t="s">
        <v>10207</v>
      </c>
      <c r="F1091" s="5" t="s">
        <v>10006</v>
      </c>
      <c r="G1091" s="5" t="s">
        <v>10208</v>
      </c>
      <c r="H1091" s="5" t="s">
        <v>23</v>
      </c>
      <c r="I1091" s="6" t="s">
        <v>10209</v>
      </c>
      <c r="J1091" s="4">
        <v>100.0</v>
      </c>
      <c r="K1091" s="5" t="s">
        <v>517</v>
      </c>
      <c r="L1091" s="5" t="s">
        <v>10210</v>
      </c>
      <c r="M1091" s="5" t="s">
        <v>10211</v>
      </c>
      <c r="N1091" s="7" t="s">
        <v>10212</v>
      </c>
      <c r="O1091" s="9" t="s">
        <v>10213</v>
      </c>
      <c r="P1091" s="19" t="s">
        <v>10214</v>
      </c>
      <c r="Q1091" s="5" t="s">
        <v>30</v>
      </c>
    </row>
    <row r="1092" ht="21.0" customHeight="1">
      <c r="A1092" s="4">
        <v>1187.0</v>
      </c>
      <c r="B1092" s="5" t="s">
        <v>10215</v>
      </c>
      <c r="C1092" s="5" t="s">
        <v>18</v>
      </c>
      <c r="D1092" s="5" t="s">
        <v>10216</v>
      </c>
      <c r="E1092" s="5" t="s">
        <v>10217</v>
      </c>
      <c r="F1092" s="5" t="s">
        <v>10006</v>
      </c>
      <c r="G1092" s="5" t="s">
        <v>10218</v>
      </c>
      <c r="H1092" s="5" t="s">
        <v>23</v>
      </c>
      <c r="I1092" s="6" t="s">
        <v>10219</v>
      </c>
      <c r="J1092" s="4">
        <v>100.0</v>
      </c>
      <c r="K1092" s="5" t="s">
        <v>84</v>
      </c>
      <c r="L1092" s="5" t="s">
        <v>10220</v>
      </c>
      <c r="M1092" s="5" t="s">
        <v>10221</v>
      </c>
      <c r="N1092" s="7" t="s">
        <v>10222</v>
      </c>
      <c r="O1092" s="9" t="s">
        <v>10223</v>
      </c>
      <c r="P1092" s="19" t="s">
        <v>10224</v>
      </c>
      <c r="Q1092" s="5" t="s">
        <v>30</v>
      </c>
    </row>
    <row r="1093" ht="21.0" customHeight="1">
      <c r="A1093" s="4">
        <v>1188.0</v>
      </c>
      <c r="B1093" s="5" t="s">
        <v>10225</v>
      </c>
      <c r="C1093" s="5" t="s">
        <v>18</v>
      </c>
      <c r="D1093" s="5" t="s">
        <v>170</v>
      </c>
      <c r="E1093" s="5" t="s">
        <v>10226</v>
      </c>
      <c r="F1093" s="5" t="s">
        <v>10006</v>
      </c>
      <c r="G1093" s="5" t="s">
        <v>10227</v>
      </c>
      <c r="H1093" s="5" t="s">
        <v>23</v>
      </c>
      <c r="I1093" s="6" t="s">
        <v>10228</v>
      </c>
      <c r="J1093" s="4">
        <v>100.0</v>
      </c>
      <c r="K1093" s="5" t="s">
        <v>25</v>
      </c>
      <c r="L1093" s="5" t="s">
        <v>10229</v>
      </c>
      <c r="M1093" s="5" t="s">
        <v>10230</v>
      </c>
      <c r="N1093" s="7" t="s">
        <v>10231</v>
      </c>
      <c r="O1093" s="9" t="s">
        <v>10232</v>
      </c>
      <c r="P1093" s="19" t="s">
        <v>10233</v>
      </c>
      <c r="Q1093" s="5" t="s">
        <v>30</v>
      </c>
    </row>
    <row r="1094" ht="21.0" customHeight="1">
      <c r="A1094" s="4">
        <v>1189.0</v>
      </c>
      <c r="B1094" s="5" t="s">
        <v>10234</v>
      </c>
      <c r="C1094" s="5" t="s">
        <v>18</v>
      </c>
      <c r="D1094" s="5" t="s">
        <v>10235</v>
      </c>
      <c r="E1094" s="5" t="s">
        <v>10236</v>
      </c>
      <c r="F1094" s="5" t="s">
        <v>10006</v>
      </c>
      <c r="G1094" s="5" t="s">
        <v>10237</v>
      </c>
      <c r="H1094" s="5" t="s">
        <v>23</v>
      </c>
      <c r="I1094" s="6" t="s">
        <v>10238</v>
      </c>
      <c r="J1094" s="4">
        <v>100.0</v>
      </c>
      <c r="K1094" s="5" t="s">
        <v>165</v>
      </c>
      <c r="L1094" s="5" t="s">
        <v>10239</v>
      </c>
      <c r="M1094" s="5" t="s">
        <v>10240</v>
      </c>
      <c r="N1094" s="7" t="s">
        <v>10241</v>
      </c>
      <c r="O1094" s="9" t="s">
        <v>10242</v>
      </c>
      <c r="P1094" s="19" t="s">
        <v>10243</v>
      </c>
      <c r="Q1094" s="5" t="s">
        <v>30</v>
      </c>
    </row>
    <row r="1095" ht="21.0" customHeight="1">
      <c r="A1095" s="4">
        <v>1190.0</v>
      </c>
      <c r="B1095" s="5" t="s">
        <v>10244</v>
      </c>
      <c r="C1095" s="5" t="s">
        <v>10245</v>
      </c>
      <c r="D1095" s="5" t="s">
        <v>10246</v>
      </c>
      <c r="E1095" s="5" t="s">
        <v>10247</v>
      </c>
      <c r="F1095" s="5" t="s">
        <v>10006</v>
      </c>
      <c r="G1095" s="5" t="s">
        <v>10248</v>
      </c>
      <c r="H1095" s="5" t="s">
        <v>23</v>
      </c>
      <c r="I1095" s="6" t="s">
        <v>10249</v>
      </c>
      <c r="J1095" s="4">
        <v>100.0</v>
      </c>
      <c r="K1095" s="5" t="s">
        <v>25</v>
      </c>
      <c r="L1095" s="5" t="s">
        <v>10250</v>
      </c>
      <c r="M1095" s="5" t="s">
        <v>10251</v>
      </c>
      <c r="N1095" s="7" t="s">
        <v>10252</v>
      </c>
      <c r="O1095" s="9" t="s">
        <v>10253</v>
      </c>
      <c r="P1095" s="19" t="s">
        <v>10254</v>
      </c>
      <c r="Q1095" s="5" t="s">
        <v>30</v>
      </c>
    </row>
    <row r="1096" ht="21.0" customHeight="1">
      <c r="A1096" s="4">
        <v>1191.0</v>
      </c>
      <c r="B1096" s="5" t="s">
        <v>10255</v>
      </c>
      <c r="C1096" s="5" t="s">
        <v>10256</v>
      </c>
      <c r="D1096" s="5" t="s">
        <v>10246</v>
      </c>
      <c r="E1096" s="5" t="s">
        <v>10257</v>
      </c>
      <c r="F1096" s="5" t="s">
        <v>10006</v>
      </c>
      <c r="G1096" s="5" t="s">
        <v>10258</v>
      </c>
      <c r="H1096" s="5" t="s">
        <v>50</v>
      </c>
      <c r="I1096" s="6" t="s">
        <v>10259</v>
      </c>
      <c r="J1096" s="4">
        <v>100.0</v>
      </c>
      <c r="K1096" s="5" t="s">
        <v>25</v>
      </c>
      <c r="L1096" s="5" t="s">
        <v>10260</v>
      </c>
      <c r="M1096" s="5" t="s">
        <v>10261</v>
      </c>
      <c r="N1096" s="7" t="s">
        <v>10262</v>
      </c>
      <c r="O1096" s="9" t="s">
        <v>10263</v>
      </c>
      <c r="P1096" s="19" t="s">
        <v>10264</v>
      </c>
      <c r="Q1096" s="5" t="s">
        <v>30</v>
      </c>
    </row>
    <row r="1097" ht="21.0" customHeight="1">
      <c r="A1097" s="4">
        <v>1192.0</v>
      </c>
      <c r="B1097" s="5" t="s">
        <v>10265</v>
      </c>
      <c r="C1097" s="5" t="s">
        <v>10266</v>
      </c>
      <c r="D1097" s="5" t="s">
        <v>10267</v>
      </c>
      <c r="E1097" s="5" t="s">
        <v>10268</v>
      </c>
      <c r="F1097" s="5" t="s">
        <v>10006</v>
      </c>
      <c r="G1097" s="5" t="s">
        <v>10269</v>
      </c>
      <c r="H1097" s="5" t="s">
        <v>23</v>
      </c>
      <c r="I1097" s="6" t="s">
        <v>10270</v>
      </c>
      <c r="J1097" s="4">
        <v>100.0</v>
      </c>
      <c r="K1097" s="5" t="s">
        <v>25</v>
      </c>
      <c r="L1097" s="5" t="s">
        <v>10271</v>
      </c>
      <c r="M1097" s="5" t="s">
        <v>10272</v>
      </c>
      <c r="N1097" s="7" t="s">
        <v>10273</v>
      </c>
      <c r="O1097" s="9" t="s">
        <v>10274</v>
      </c>
      <c r="P1097" s="19" t="s">
        <v>10275</v>
      </c>
      <c r="Q1097" s="5" t="s">
        <v>30</v>
      </c>
    </row>
    <row r="1098" ht="21.0" customHeight="1">
      <c r="A1098" s="4">
        <v>1193.0</v>
      </c>
      <c r="B1098" s="5" t="s">
        <v>10276</v>
      </c>
      <c r="C1098" s="5" t="s">
        <v>18</v>
      </c>
      <c r="D1098" s="5" t="s">
        <v>10277</v>
      </c>
      <c r="E1098" s="5" t="s">
        <v>10278</v>
      </c>
      <c r="F1098" s="5" t="s">
        <v>10006</v>
      </c>
      <c r="G1098" s="5" t="s">
        <v>10279</v>
      </c>
      <c r="H1098" s="5" t="s">
        <v>23</v>
      </c>
      <c r="I1098" s="6" t="s">
        <v>10280</v>
      </c>
      <c r="J1098" s="4">
        <v>100.0</v>
      </c>
      <c r="K1098" s="5" t="s">
        <v>25</v>
      </c>
      <c r="L1098" s="5" t="s">
        <v>10281</v>
      </c>
      <c r="M1098" s="5" t="s">
        <v>10282</v>
      </c>
      <c r="N1098" s="7" t="s">
        <v>10283</v>
      </c>
      <c r="O1098" s="9" t="s">
        <v>10284</v>
      </c>
      <c r="P1098" s="19" t="s">
        <v>10285</v>
      </c>
      <c r="Q1098" s="5" t="s">
        <v>30</v>
      </c>
    </row>
    <row r="1099" ht="21.0" customHeight="1">
      <c r="A1099" s="4">
        <v>1194.0</v>
      </c>
      <c r="B1099" s="5" t="s">
        <v>10286</v>
      </c>
      <c r="C1099" s="5" t="s">
        <v>10287</v>
      </c>
      <c r="D1099" s="5" t="s">
        <v>10288</v>
      </c>
      <c r="E1099" s="5" t="s">
        <v>10289</v>
      </c>
      <c r="F1099" s="5" t="s">
        <v>10006</v>
      </c>
      <c r="G1099" s="5" t="s">
        <v>10290</v>
      </c>
      <c r="H1099" s="5" t="s">
        <v>23</v>
      </c>
      <c r="I1099" s="6" t="s">
        <v>10291</v>
      </c>
      <c r="J1099" s="4">
        <v>100.0</v>
      </c>
      <c r="K1099" s="5" t="s">
        <v>165</v>
      </c>
      <c r="L1099" s="5" t="s">
        <v>10292</v>
      </c>
      <c r="M1099" s="5" t="s">
        <v>10293</v>
      </c>
      <c r="N1099" s="7" t="s">
        <v>10294</v>
      </c>
      <c r="O1099" s="9" t="s">
        <v>10295</v>
      </c>
      <c r="P1099" s="27" t="s">
        <v>10296</v>
      </c>
      <c r="Q1099" s="5" t="s">
        <v>30</v>
      </c>
    </row>
    <row r="1100" ht="21.0" customHeight="1">
      <c r="A1100" s="4">
        <v>1195.0</v>
      </c>
      <c r="B1100" s="5" t="s">
        <v>10297</v>
      </c>
      <c r="C1100" s="5" t="s">
        <v>18</v>
      </c>
      <c r="D1100" s="5" t="s">
        <v>6283</v>
      </c>
      <c r="E1100" s="5" t="s">
        <v>10298</v>
      </c>
      <c r="F1100" s="5" t="s">
        <v>10006</v>
      </c>
      <c r="G1100" s="5" t="s">
        <v>10299</v>
      </c>
      <c r="H1100" s="5" t="s">
        <v>23</v>
      </c>
      <c r="I1100" s="6" t="s">
        <v>10300</v>
      </c>
      <c r="J1100" s="4">
        <v>100.0</v>
      </c>
      <c r="K1100" s="5" t="s">
        <v>25</v>
      </c>
      <c r="L1100" s="5" t="s">
        <v>10301</v>
      </c>
      <c r="M1100" s="5" t="s">
        <v>10302</v>
      </c>
      <c r="N1100" s="7" t="s">
        <v>10303</v>
      </c>
      <c r="O1100" s="9" t="s">
        <v>10304</v>
      </c>
      <c r="P1100" s="19" t="s">
        <v>10305</v>
      </c>
      <c r="Q1100" s="5" t="s">
        <v>30</v>
      </c>
    </row>
    <row r="1101" ht="21.0" customHeight="1">
      <c r="A1101" s="4">
        <v>1196.0</v>
      </c>
      <c r="B1101" s="5" t="s">
        <v>10306</v>
      </c>
      <c r="C1101" s="5" t="s">
        <v>18</v>
      </c>
      <c r="D1101" s="5" t="s">
        <v>9357</v>
      </c>
      <c r="E1101" s="5" t="s">
        <v>10307</v>
      </c>
      <c r="F1101" s="5" t="s">
        <v>10006</v>
      </c>
      <c r="G1101" s="5" t="s">
        <v>10308</v>
      </c>
      <c r="H1101" s="5" t="s">
        <v>23</v>
      </c>
      <c r="I1101" s="6" t="s">
        <v>10309</v>
      </c>
      <c r="J1101" s="4">
        <v>100.0</v>
      </c>
      <c r="K1101" s="5" t="s">
        <v>25</v>
      </c>
      <c r="L1101" s="5" t="s">
        <v>10310</v>
      </c>
      <c r="M1101" s="5" t="s">
        <v>10311</v>
      </c>
      <c r="N1101" s="7" t="s">
        <v>10312</v>
      </c>
      <c r="O1101" s="9" t="s">
        <v>10313</v>
      </c>
      <c r="P1101" s="19" t="s">
        <v>10314</v>
      </c>
      <c r="Q1101" s="5" t="s">
        <v>30</v>
      </c>
    </row>
    <row r="1102" ht="21.0" customHeight="1">
      <c r="A1102" s="4">
        <v>1197.0</v>
      </c>
      <c r="B1102" s="5" t="s">
        <v>10315</v>
      </c>
      <c r="C1102" s="5" t="s">
        <v>10316</v>
      </c>
      <c r="D1102" s="5" t="s">
        <v>9357</v>
      </c>
      <c r="E1102" s="5" t="s">
        <v>10317</v>
      </c>
      <c r="F1102" s="5" t="s">
        <v>10006</v>
      </c>
      <c r="G1102" s="5" t="s">
        <v>10318</v>
      </c>
      <c r="H1102" s="5" t="s">
        <v>23</v>
      </c>
      <c r="I1102" s="6" t="s">
        <v>10319</v>
      </c>
      <c r="J1102" s="4">
        <v>100.0</v>
      </c>
      <c r="K1102" s="5" t="s">
        <v>25</v>
      </c>
      <c r="L1102" s="5" t="s">
        <v>10320</v>
      </c>
      <c r="M1102" s="5" t="s">
        <v>10321</v>
      </c>
      <c r="N1102" s="7" t="s">
        <v>10322</v>
      </c>
      <c r="O1102" s="9" t="s">
        <v>10323</v>
      </c>
      <c r="P1102" s="19" t="s">
        <v>10324</v>
      </c>
      <c r="Q1102" s="5" t="s">
        <v>30</v>
      </c>
    </row>
    <row r="1103" ht="21.0" customHeight="1">
      <c r="A1103" s="4">
        <v>1198.0</v>
      </c>
      <c r="B1103" s="5" t="s">
        <v>10325</v>
      </c>
      <c r="C1103" s="5" t="s">
        <v>18</v>
      </c>
      <c r="D1103" s="5" t="s">
        <v>10326</v>
      </c>
      <c r="E1103" s="5" t="s">
        <v>10327</v>
      </c>
      <c r="F1103" s="5" t="s">
        <v>10006</v>
      </c>
      <c r="G1103" s="5" t="s">
        <v>10328</v>
      </c>
      <c r="H1103" s="5" t="s">
        <v>23</v>
      </c>
      <c r="I1103" s="6" t="s">
        <v>10329</v>
      </c>
      <c r="J1103" s="4">
        <v>100.0</v>
      </c>
      <c r="K1103" s="5" t="s">
        <v>110</v>
      </c>
      <c r="L1103" s="5" t="s">
        <v>10330</v>
      </c>
      <c r="M1103" s="5" t="s">
        <v>10331</v>
      </c>
      <c r="N1103" s="7" t="s">
        <v>10332</v>
      </c>
      <c r="O1103" s="9" t="s">
        <v>10333</v>
      </c>
      <c r="P1103" s="19" t="s">
        <v>10334</v>
      </c>
      <c r="Q1103" s="5" t="s">
        <v>30</v>
      </c>
    </row>
    <row r="1104" ht="21.0" customHeight="1">
      <c r="A1104" s="4">
        <v>1199.0</v>
      </c>
      <c r="B1104" s="5" t="s">
        <v>10335</v>
      </c>
      <c r="C1104" s="5" t="s">
        <v>18</v>
      </c>
      <c r="D1104" s="5" t="s">
        <v>10336</v>
      </c>
      <c r="E1104" s="5" t="s">
        <v>10337</v>
      </c>
      <c r="F1104" s="5" t="s">
        <v>10006</v>
      </c>
      <c r="G1104" s="5" t="s">
        <v>10338</v>
      </c>
      <c r="H1104" s="5" t="s">
        <v>23</v>
      </c>
      <c r="I1104" s="6" t="s">
        <v>10339</v>
      </c>
      <c r="J1104" s="4">
        <v>100.0</v>
      </c>
      <c r="K1104" s="5" t="s">
        <v>25</v>
      </c>
      <c r="L1104" s="5" t="s">
        <v>10340</v>
      </c>
      <c r="M1104" s="5" t="s">
        <v>10341</v>
      </c>
      <c r="N1104" s="7" t="s">
        <v>10342</v>
      </c>
      <c r="O1104" s="9" t="s">
        <v>10343</v>
      </c>
      <c r="P1104" s="19" t="s">
        <v>10344</v>
      </c>
      <c r="Q1104" s="5" t="s">
        <v>30</v>
      </c>
    </row>
    <row r="1105" ht="21.0" customHeight="1">
      <c r="A1105" s="4">
        <v>1200.0</v>
      </c>
      <c r="B1105" s="5" t="s">
        <v>10345</v>
      </c>
      <c r="C1105" s="5" t="s">
        <v>18</v>
      </c>
      <c r="D1105" s="5" t="s">
        <v>6631</v>
      </c>
      <c r="E1105" s="5" t="s">
        <v>10346</v>
      </c>
      <c r="F1105" s="5" t="s">
        <v>10006</v>
      </c>
      <c r="G1105" s="5" t="s">
        <v>34</v>
      </c>
      <c r="H1105" s="5" t="s">
        <v>23</v>
      </c>
      <c r="I1105" s="6" t="s">
        <v>10347</v>
      </c>
      <c r="J1105" s="4">
        <v>100.0</v>
      </c>
      <c r="K1105" s="5" t="s">
        <v>25</v>
      </c>
      <c r="L1105" s="5" t="s">
        <v>10348</v>
      </c>
      <c r="M1105" s="5" t="s">
        <v>10349</v>
      </c>
      <c r="N1105" s="7" t="s">
        <v>10350</v>
      </c>
      <c r="O1105" s="9" t="s">
        <v>10351</v>
      </c>
      <c r="P1105" s="19" t="s">
        <v>10352</v>
      </c>
      <c r="Q1105" s="5" t="s">
        <v>30</v>
      </c>
    </row>
    <row r="1106" ht="21.0" customHeight="1">
      <c r="A1106" s="4">
        <v>1201.0</v>
      </c>
      <c r="B1106" s="5" t="s">
        <v>10353</v>
      </c>
      <c r="C1106" s="5" t="s">
        <v>10354</v>
      </c>
      <c r="D1106" s="5" t="s">
        <v>10355</v>
      </c>
      <c r="E1106" s="5" t="s">
        <v>10356</v>
      </c>
      <c r="F1106" s="5" t="s">
        <v>10006</v>
      </c>
      <c r="G1106" s="5" t="s">
        <v>10357</v>
      </c>
      <c r="H1106" s="5" t="s">
        <v>23</v>
      </c>
      <c r="I1106" s="6" t="s">
        <v>10358</v>
      </c>
      <c r="J1106" s="4">
        <v>100.0</v>
      </c>
      <c r="K1106" s="5" t="s">
        <v>25</v>
      </c>
      <c r="L1106" s="5" t="s">
        <v>10359</v>
      </c>
      <c r="M1106" s="5" t="s">
        <v>10360</v>
      </c>
      <c r="N1106" s="7" t="s">
        <v>10361</v>
      </c>
      <c r="O1106" s="9" t="s">
        <v>10362</v>
      </c>
      <c r="P1106" s="19" t="s">
        <v>10363</v>
      </c>
      <c r="Q1106" s="5" t="s">
        <v>30</v>
      </c>
    </row>
    <row r="1107" ht="21.0" customHeight="1">
      <c r="A1107" s="4">
        <v>1202.0</v>
      </c>
      <c r="B1107" s="5" t="s">
        <v>10364</v>
      </c>
      <c r="C1107" s="5" t="s">
        <v>18</v>
      </c>
      <c r="D1107" s="5" t="s">
        <v>8873</v>
      </c>
      <c r="E1107" s="5" t="s">
        <v>10365</v>
      </c>
      <c r="F1107" s="5" t="s">
        <v>10006</v>
      </c>
      <c r="G1107" s="5" t="s">
        <v>10366</v>
      </c>
      <c r="H1107" s="5" t="s">
        <v>23</v>
      </c>
      <c r="I1107" s="6" t="s">
        <v>10367</v>
      </c>
      <c r="J1107" s="4">
        <v>100.0</v>
      </c>
      <c r="K1107" s="5" t="s">
        <v>84</v>
      </c>
      <c r="L1107" s="5" t="s">
        <v>10368</v>
      </c>
      <c r="M1107" s="5" t="s">
        <v>10369</v>
      </c>
      <c r="N1107" s="7" t="s">
        <v>10370</v>
      </c>
      <c r="O1107" s="9" t="s">
        <v>10371</v>
      </c>
      <c r="P1107" s="5" t="s">
        <v>30</v>
      </c>
      <c r="Q1107" s="5" t="s">
        <v>30</v>
      </c>
    </row>
    <row r="1108" ht="21.0" customHeight="1">
      <c r="A1108" s="4">
        <v>1203.0</v>
      </c>
      <c r="B1108" s="5" t="s">
        <v>10372</v>
      </c>
      <c r="C1108" s="5" t="s">
        <v>18</v>
      </c>
      <c r="D1108" s="5" t="s">
        <v>8195</v>
      </c>
      <c r="E1108" s="5" t="s">
        <v>10373</v>
      </c>
      <c r="F1108" s="5" t="s">
        <v>10006</v>
      </c>
      <c r="G1108" s="5" t="s">
        <v>10374</v>
      </c>
      <c r="H1108" s="5" t="s">
        <v>23</v>
      </c>
      <c r="I1108" s="6" t="s">
        <v>10375</v>
      </c>
      <c r="J1108" s="4">
        <v>100.0</v>
      </c>
      <c r="K1108" s="5" t="s">
        <v>110</v>
      </c>
      <c r="L1108" s="5" t="s">
        <v>10376</v>
      </c>
      <c r="M1108" s="5" t="s">
        <v>10377</v>
      </c>
      <c r="N1108" s="7" t="s">
        <v>10378</v>
      </c>
      <c r="O1108" s="9" t="s">
        <v>10379</v>
      </c>
      <c r="P1108" s="19" t="s">
        <v>10380</v>
      </c>
      <c r="Q1108" s="5" t="s">
        <v>30</v>
      </c>
    </row>
    <row r="1109" ht="21.0" customHeight="1">
      <c r="A1109" s="4">
        <v>1204.0</v>
      </c>
      <c r="B1109" s="5" t="s">
        <v>10381</v>
      </c>
      <c r="C1109" s="5" t="s">
        <v>10382</v>
      </c>
      <c r="D1109" s="5" t="s">
        <v>6534</v>
      </c>
      <c r="E1109" s="5" t="s">
        <v>10383</v>
      </c>
      <c r="F1109" s="5" t="s">
        <v>10006</v>
      </c>
      <c r="G1109" s="5" t="s">
        <v>10384</v>
      </c>
      <c r="H1109" s="5" t="s">
        <v>23</v>
      </c>
      <c r="I1109" s="6" t="s">
        <v>10385</v>
      </c>
      <c r="J1109" s="4">
        <v>100.0</v>
      </c>
      <c r="K1109" s="5" t="s">
        <v>25</v>
      </c>
      <c r="L1109" s="5" t="s">
        <v>10386</v>
      </c>
      <c r="M1109" s="5" t="s">
        <v>10387</v>
      </c>
      <c r="N1109" s="7" t="s">
        <v>10388</v>
      </c>
      <c r="O1109" s="9" t="s">
        <v>10389</v>
      </c>
      <c r="P1109" s="19" t="s">
        <v>10390</v>
      </c>
      <c r="Q1109" s="5" t="s">
        <v>30</v>
      </c>
    </row>
    <row r="1110" ht="21.0" customHeight="1">
      <c r="A1110" s="4">
        <v>1205.0</v>
      </c>
      <c r="B1110" s="5" t="s">
        <v>10391</v>
      </c>
      <c r="C1110" s="5" t="s">
        <v>18</v>
      </c>
      <c r="D1110" s="5" t="s">
        <v>10392</v>
      </c>
      <c r="E1110" s="5" t="s">
        <v>10393</v>
      </c>
      <c r="F1110" s="5" t="s">
        <v>10006</v>
      </c>
      <c r="G1110" s="5" t="s">
        <v>34</v>
      </c>
      <c r="H1110" s="5" t="s">
        <v>5840</v>
      </c>
      <c r="I1110" s="6" t="s">
        <v>10394</v>
      </c>
      <c r="J1110" s="4">
        <v>100.0</v>
      </c>
      <c r="K1110" s="5" t="s">
        <v>84</v>
      </c>
      <c r="L1110" s="5" t="s">
        <v>10395</v>
      </c>
      <c r="M1110" s="5" t="s">
        <v>10396</v>
      </c>
      <c r="N1110" s="7" t="s">
        <v>10397</v>
      </c>
      <c r="O1110" s="9" t="s">
        <v>10398</v>
      </c>
      <c r="P1110" s="19" t="s">
        <v>10399</v>
      </c>
      <c r="Q1110" s="5" t="s">
        <v>30</v>
      </c>
    </row>
    <row r="1111" ht="21.0" customHeight="1">
      <c r="A1111" s="4">
        <v>1206.0</v>
      </c>
      <c r="B1111" s="5" t="s">
        <v>10400</v>
      </c>
      <c r="C1111" s="5" t="s">
        <v>18</v>
      </c>
      <c r="D1111" s="5" t="s">
        <v>8312</v>
      </c>
      <c r="E1111" s="5" t="s">
        <v>10401</v>
      </c>
      <c r="F1111" s="5" t="s">
        <v>10006</v>
      </c>
      <c r="G1111" s="5" t="s">
        <v>10402</v>
      </c>
      <c r="H1111" s="5" t="s">
        <v>50</v>
      </c>
      <c r="I1111" s="6" t="s">
        <v>10403</v>
      </c>
      <c r="J1111" s="4">
        <v>100.0</v>
      </c>
      <c r="K1111" s="5" t="s">
        <v>1410</v>
      </c>
      <c r="L1111" s="5" t="s">
        <v>10404</v>
      </c>
      <c r="M1111" s="5" t="s">
        <v>10405</v>
      </c>
      <c r="N1111" s="7" t="s">
        <v>10406</v>
      </c>
      <c r="O1111" s="9" t="s">
        <v>10407</v>
      </c>
      <c r="P1111" s="19" t="s">
        <v>10408</v>
      </c>
      <c r="Q1111" s="5" t="s">
        <v>30</v>
      </c>
    </row>
    <row r="1112" ht="21.0" customHeight="1">
      <c r="A1112" s="4">
        <v>1207.0</v>
      </c>
      <c r="B1112" s="5" t="s">
        <v>10409</v>
      </c>
      <c r="C1112" s="5" t="s">
        <v>18</v>
      </c>
      <c r="D1112" s="5" t="s">
        <v>19</v>
      </c>
      <c r="E1112" s="5" t="s">
        <v>10410</v>
      </c>
      <c r="F1112" s="5" t="s">
        <v>10006</v>
      </c>
      <c r="G1112" s="5" t="s">
        <v>10411</v>
      </c>
      <c r="H1112" s="5" t="s">
        <v>23</v>
      </c>
      <c r="I1112" s="6" t="s">
        <v>10412</v>
      </c>
      <c r="J1112" s="4">
        <v>100.0</v>
      </c>
      <c r="K1112" s="5" t="s">
        <v>25</v>
      </c>
      <c r="L1112" s="5" t="s">
        <v>10413</v>
      </c>
      <c r="M1112" s="5" t="s">
        <v>10414</v>
      </c>
      <c r="N1112" s="7" t="s">
        <v>10415</v>
      </c>
      <c r="O1112" s="9" t="s">
        <v>10416</v>
      </c>
      <c r="P1112" s="19" t="s">
        <v>10417</v>
      </c>
      <c r="Q1112" s="5" t="s">
        <v>30</v>
      </c>
    </row>
    <row r="1113" ht="21.0" customHeight="1">
      <c r="A1113" s="4">
        <v>1208.0</v>
      </c>
      <c r="B1113" s="5" t="s">
        <v>10418</v>
      </c>
      <c r="C1113" s="5" t="s">
        <v>18</v>
      </c>
      <c r="D1113" s="5" t="s">
        <v>19</v>
      </c>
      <c r="E1113" s="5" t="s">
        <v>10419</v>
      </c>
      <c r="F1113" s="5" t="s">
        <v>10006</v>
      </c>
      <c r="G1113" s="5" t="s">
        <v>10420</v>
      </c>
      <c r="H1113" s="5" t="s">
        <v>23</v>
      </c>
      <c r="I1113" s="6" t="s">
        <v>10421</v>
      </c>
      <c r="J1113" s="4">
        <v>100.0</v>
      </c>
      <c r="K1113" s="5" t="s">
        <v>25</v>
      </c>
      <c r="L1113" s="5" t="s">
        <v>10422</v>
      </c>
      <c r="M1113" s="5" t="s">
        <v>10423</v>
      </c>
      <c r="N1113" s="7" t="s">
        <v>10424</v>
      </c>
      <c r="O1113" s="9" t="s">
        <v>10425</v>
      </c>
      <c r="P1113" s="19" t="s">
        <v>10426</v>
      </c>
      <c r="Q1113" s="5" t="s">
        <v>30</v>
      </c>
    </row>
    <row r="1114" ht="21.0" customHeight="1">
      <c r="A1114" s="4">
        <v>1209.0</v>
      </c>
      <c r="B1114" s="5" t="s">
        <v>10427</v>
      </c>
      <c r="C1114" s="5" t="s">
        <v>10428</v>
      </c>
      <c r="D1114" s="5" t="s">
        <v>19</v>
      </c>
      <c r="E1114" s="5" t="s">
        <v>10429</v>
      </c>
      <c r="F1114" s="5" t="s">
        <v>10006</v>
      </c>
      <c r="G1114" s="5" t="s">
        <v>10430</v>
      </c>
      <c r="H1114" s="5" t="s">
        <v>23</v>
      </c>
      <c r="I1114" s="6" t="s">
        <v>10431</v>
      </c>
      <c r="J1114" s="4">
        <v>100.0</v>
      </c>
      <c r="K1114" s="5" t="s">
        <v>25</v>
      </c>
      <c r="L1114" s="5" t="s">
        <v>10432</v>
      </c>
      <c r="M1114" s="5" t="s">
        <v>10433</v>
      </c>
      <c r="N1114" s="7" t="s">
        <v>10434</v>
      </c>
      <c r="O1114" s="9" t="s">
        <v>10435</v>
      </c>
      <c r="P1114" s="19" t="s">
        <v>10436</v>
      </c>
      <c r="Q1114" s="5" t="s">
        <v>30</v>
      </c>
    </row>
    <row r="1115" ht="21.0" customHeight="1">
      <c r="A1115" s="4">
        <v>1210.0</v>
      </c>
      <c r="B1115" s="5" t="s">
        <v>10437</v>
      </c>
      <c r="C1115" s="5" t="s">
        <v>18</v>
      </c>
      <c r="D1115" s="5" t="s">
        <v>19</v>
      </c>
      <c r="E1115" s="5" t="s">
        <v>10438</v>
      </c>
      <c r="F1115" s="5" t="s">
        <v>10006</v>
      </c>
      <c r="G1115" s="5" t="s">
        <v>10439</v>
      </c>
      <c r="H1115" s="5" t="s">
        <v>23</v>
      </c>
      <c r="I1115" s="6" t="s">
        <v>10440</v>
      </c>
      <c r="J1115" s="4">
        <v>100.0</v>
      </c>
      <c r="K1115" s="5" t="s">
        <v>25</v>
      </c>
      <c r="L1115" s="5" t="s">
        <v>10441</v>
      </c>
      <c r="M1115" s="5" t="s">
        <v>10442</v>
      </c>
      <c r="N1115" s="7" t="s">
        <v>10443</v>
      </c>
      <c r="O1115" s="9" t="s">
        <v>10444</v>
      </c>
      <c r="P1115" s="19" t="s">
        <v>10445</v>
      </c>
      <c r="Q1115" s="5" t="s">
        <v>30</v>
      </c>
    </row>
    <row r="1116" ht="21.0" customHeight="1">
      <c r="A1116" s="4">
        <v>1211.0</v>
      </c>
      <c r="B1116" s="5" t="s">
        <v>10446</v>
      </c>
      <c r="C1116" s="5" t="s">
        <v>18</v>
      </c>
      <c r="D1116" s="5" t="s">
        <v>5687</v>
      </c>
      <c r="E1116" s="5" t="s">
        <v>10447</v>
      </c>
      <c r="F1116" s="5" t="s">
        <v>10006</v>
      </c>
      <c r="G1116" s="5" t="s">
        <v>34</v>
      </c>
      <c r="H1116" s="5" t="s">
        <v>23</v>
      </c>
      <c r="I1116" s="6" t="s">
        <v>10448</v>
      </c>
      <c r="J1116" s="4">
        <v>100.0</v>
      </c>
      <c r="K1116" s="5" t="s">
        <v>25</v>
      </c>
      <c r="L1116" s="5" t="s">
        <v>10449</v>
      </c>
      <c r="M1116" s="5" t="s">
        <v>10450</v>
      </c>
      <c r="N1116" s="7" t="s">
        <v>10451</v>
      </c>
      <c r="O1116" s="9" t="s">
        <v>10452</v>
      </c>
      <c r="P1116" s="19" t="s">
        <v>10453</v>
      </c>
      <c r="Q1116" s="5" t="s">
        <v>30</v>
      </c>
    </row>
    <row r="1117" ht="21.0" customHeight="1">
      <c r="A1117" s="4">
        <v>1212.0</v>
      </c>
      <c r="B1117" s="5" t="s">
        <v>10454</v>
      </c>
      <c r="C1117" s="5" t="s">
        <v>18</v>
      </c>
      <c r="D1117" s="5" t="s">
        <v>10455</v>
      </c>
      <c r="E1117" s="5" t="s">
        <v>10456</v>
      </c>
      <c r="F1117" s="5" t="s">
        <v>10006</v>
      </c>
      <c r="G1117" s="5" t="s">
        <v>10457</v>
      </c>
      <c r="H1117" s="5" t="s">
        <v>23</v>
      </c>
      <c r="I1117" s="6" t="s">
        <v>10458</v>
      </c>
      <c r="J1117" s="4">
        <v>100.0</v>
      </c>
      <c r="K1117" s="5" t="s">
        <v>110</v>
      </c>
      <c r="L1117" s="5" t="s">
        <v>10459</v>
      </c>
      <c r="M1117" s="5" t="s">
        <v>10460</v>
      </c>
      <c r="N1117" s="7" t="s">
        <v>10461</v>
      </c>
      <c r="O1117" s="9" t="s">
        <v>10462</v>
      </c>
      <c r="P1117" s="19" t="s">
        <v>10463</v>
      </c>
      <c r="Q1117" s="5" t="s">
        <v>30</v>
      </c>
    </row>
    <row r="1118" ht="21.0" customHeight="1">
      <c r="A1118" s="13">
        <v>1213.0</v>
      </c>
      <c r="B1118" s="14" t="s">
        <v>10464</v>
      </c>
      <c r="C1118" s="14" t="s">
        <v>2479</v>
      </c>
      <c r="D1118" s="14" t="s">
        <v>10465</v>
      </c>
      <c r="E1118" s="14" t="s">
        <v>10466</v>
      </c>
      <c r="F1118" s="14" t="s">
        <v>10467</v>
      </c>
      <c r="G1118" s="14" t="s">
        <v>10468</v>
      </c>
      <c r="H1118" s="14" t="s">
        <v>23</v>
      </c>
      <c r="I1118" s="15" t="s">
        <v>10469</v>
      </c>
      <c r="J1118" s="13">
        <v>100.0</v>
      </c>
      <c r="K1118" s="14" t="s">
        <v>25</v>
      </c>
      <c r="L1118" s="14" t="s">
        <v>10470</v>
      </c>
      <c r="M1118" s="14" t="s">
        <v>10471</v>
      </c>
      <c r="N1118" s="16" t="s">
        <v>10472</v>
      </c>
      <c r="O1118" s="17" t="s">
        <v>10473</v>
      </c>
      <c r="P1118" s="26" t="s">
        <v>10474</v>
      </c>
      <c r="Q1118" s="14" t="s">
        <v>30</v>
      </c>
      <c r="R1118" s="18"/>
      <c r="S1118" s="18"/>
      <c r="T1118" s="18"/>
      <c r="U1118" s="18"/>
      <c r="V1118" s="18"/>
      <c r="W1118" s="18"/>
      <c r="X1118" s="18"/>
      <c r="Y1118" s="18"/>
      <c r="Z1118" s="18"/>
    </row>
    <row r="1119" ht="21.0" customHeight="1">
      <c r="A1119" s="4">
        <v>1214.0</v>
      </c>
      <c r="B1119" s="5" t="s">
        <v>10475</v>
      </c>
      <c r="C1119" s="5" t="s">
        <v>2479</v>
      </c>
      <c r="D1119" s="5" t="s">
        <v>9544</v>
      </c>
      <c r="E1119" s="5" t="s">
        <v>10476</v>
      </c>
      <c r="F1119" s="5" t="s">
        <v>10467</v>
      </c>
      <c r="G1119" s="5" t="s">
        <v>10477</v>
      </c>
      <c r="H1119" s="5" t="s">
        <v>23</v>
      </c>
      <c r="I1119" s="6" t="s">
        <v>10478</v>
      </c>
      <c r="J1119" s="4">
        <v>100.0</v>
      </c>
      <c r="K1119" s="5" t="s">
        <v>84</v>
      </c>
      <c r="L1119" s="5" t="s">
        <v>10479</v>
      </c>
      <c r="M1119" s="5" t="s">
        <v>10480</v>
      </c>
      <c r="N1119" s="19" t="s">
        <v>10481</v>
      </c>
      <c r="O1119" s="19" t="s">
        <v>10482</v>
      </c>
      <c r="P1119" s="19" t="s">
        <v>10483</v>
      </c>
      <c r="Q1119" s="5" t="s">
        <v>30</v>
      </c>
    </row>
    <row r="1120" ht="21.0" customHeight="1">
      <c r="A1120" s="4">
        <v>1215.0</v>
      </c>
      <c r="B1120" s="5" t="s">
        <v>10484</v>
      </c>
      <c r="C1120" s="5" t="s">
        <v>2479</v>
      </c>
      <c r="D1120" s="5" t="s">
        <v>10485</v>
      </c>
      <c r="E1120" s="5" t="s">
        <v>10486</v>
      </c>
      <c r="F1120" s="5" t="s">
        <v>10467</v>
      </c>
      <c r="G1120" s="5" t="s">
        <v>2479</v>
      </c>
      <c r="H1120" s="5" t="s">
        <v>23</v>
      </c>
      <c r="I1120" s="6" t="s">
        <v>10487</v>
      </c>
      <c r="J1120" s="4">
        <v>100.0</v>
      </c>
      <c r="K1120" s="5" t="s">
        <v>84</v>
      </c>
      <c r="L1120" s="5" t="s">
        <v>10488</v>
      </c>
      <c r="M1120" s="5" t="s">
        <v>10489</v>
      </c>
      <c r="N1120" s="7" t="s">
        <v>10490</v>
      </c>
      <c r="O1120" s="9" t="s">
        <v>10491</v>
      </c>
      <c r="P1120" s="19" t="s">
        <v>10492</v>
      </c>
      <c r="Q1120" s="5" t="s">
        <v>30</v>
      </c>
    </row>
    <row r="1121" ht="21.0" customHeight="1">
      <c r="A1121" s="4">
        <v>1216.0</v>
      </c>
      <c r="B1121" s="5" t="s">
        <v>10493</v>
      </c>
      <c r="C1121" s="5" t="s">
        <v>10494</v>
      </c>
      <c r="D1121" s="5" t="s">
        <v>6891</v>
      </c>
      <c r="E1121" s="5" t="s">
        <v>10495</v>
      </c>
      <c r="F1121" s="5" t="s">
        <v>10467</v>
      </c>
      <c r="G1121" s="5" t="s">
        <v>10496</v>
      </c>
      <c r="H1121" s="5" t="s">
        <v>23</v>
      </c>
      <c r="I1121" s="6" t="s">
        <v>10497</v>
      </c>
      <c r="J1121" s="4">
        <v>100.0</v>
      </c>
      <c r="K1121" s="5" t="s">
        <v>25</v>
      </c>
      <c r="L1121" s="5" t="s">
        <v>10498</v>
      </c>
      <c r="M1121" s="5" t="s">
        <v>10499</v>
      </c>
      <c r="N1121" s="7" t="s">
        <v>10500</v>
      </c>
      <c r="O1121" s="9" t="s">
        <v>10501</v>
      </c>
      <c r="P1121" s="19" t="s">
        <v>10502</v>
      </c>
      <c r="Q1121" s="5" t="s">
        <v>30</v>
      </c>
    </row>
    <row r="1122" ht="21.0" customHeight="1">
      <c r="A1122" s="4">
        <v>1217.0</v>
      </c>
      <c r="B1122" s="5" t="s">
        <v>10503</v>
      </c>
      <c r="C1122" s="5" t="s">
        <v>2479</v>
      </c>
      <c r="D1122" s="5" t="s">
        <v>9151</v>
      </c>
      <c r="E1122" s="5" t="s">
        <v>10504</v>
      </c>
      <c r="F1122" s="5" t="s">
        <v>10467</v>
      </c>
      <c r="G1122" s="5" t="s">
        <v>10505</v>
      </c>
      <c r="H1122" s="5" t="s">
        <v>23</v>
      </c>
      <c r="I1122" s="6" t="s">
        <v>10506</v>
      </c>
      <c r="J1122" s="4">
        <v>100.0</v>
      </c>
      <c r="K1122" s="5" t="s">
        <v>84</v>
      </c>
      <c r="L1122" s="5" t="s">
        <v>10507</v>
      </c>
      <c r="M1122" s="5" t="s">
        <v>10508</v>
      </c>
      <c r="N1122" s="7" t="s">
        <v>10509</v>
      </c>
      <c r="O1122" s="9" t="s">
        <v>10510</v>
      </c>
      <c r="P1122" s="19" t="s">
        <v>10511</v>
      </c>
      <c r="Q1122" s="5" t="s">
        <v>30</v>
      </c>
    </row>
    <row r="1123" ht="21.0" customHeight="1">
      <c r="A1123" s="4">
        <v>1218.0</v>
      </c>
      <c r="B1123" s="5" t="s">
        <v>10512</v>
      </c>
      <c r="C1123" s="5" t="s">
        <v>2479</v>
      </c>
      <c r="D1123" s="5" t="s">
        <v>10513</v>
      </c>
      <c r="E1123" s="5" t="s">
        <v>10514</v>
      </c>
      <c r="F1123" s="5" t="s">
        <v>10467</v>
      </c>
      <c r="G1123" s="5" t="s">
        <v>10515</v>
      </c>
      <c r="H1123" s="5" t="s">
        <v>23</v>
      </c>
      <c r="I1123" s="6" t="s">
        <v>10516</v>
      </c>
      <c r="J1123" s="4">
        <v>100.0</v>
      </c>
      <c r="K1123" s="5" t="s">
        <v>84</v>
      </c>
      <c r="L1123" s="5" t="s">
        <v>10517</v>
      </c>
      <c r="M1123" s="5" t="s">
        <v>10518</v>
      </c>
      <c r="N1123" s="7" t="s">
        <v>10519</v>
      </c>
      <c r="O1123" s="9" t="s">
        <v>10520</v>
      </c>
      <c r="P1123" s="19" t="s">
        <v>10521</v>
      </c>
      <c r="Q1123" s="5" t="s">
        <v>30</v>
      </c>
    </row>
    <row r="1124" ht="21.0" customHeight="1">
      <c r="A1124" s="4">
        <v>1219.0</v>
      </c>
      <c r="B1124" s="5" t="s">
        <v>10522</v>
      </c>
      <c r="C1124" s="5" t="s">
        <v>2479</v>
      </c>
      <c r="D1124" s="5" t="s">
        <v>6891</v>
      </c>
      <c r="E1124" s="5" t="s">
        <v>10523</v>
      </c>
      <c r="F1124" s="5" t="s">
        <v>10467</v>
      </c>
      <c r="G1124" s="5" t="s">
        <v>10524</v>
      </c>
      <c r="H1124" s="5" t="s">
        <v>23</v>
      </c>
      <c r="I1124" s="6" t="s">
        <v>10525</v>
      </c>
      <c r="J1124" s="4">
        <v>100.0</v>
      </c>
      <c r="K1124" s="5" t="s">
        <v>84</v>
      </c>
      <c r="L1124" s="5" t="s">
        <v>10526</v>
      </c>
      <c r="M1124" s="5" t="s">
        <v>10527</v>
      </c>
      <c r="N1124" s="7" t="s">
        <v>10528</v>
      </c>
      <c r="O1124" s="9" t="s">
        <v>10529</v>
      </c>
      <c r="P1124" s="19" t="s">
        <v>10530</v>
      </c>
      <c r="Q1124" s="5" t="s">
        <v>30</v>
      </c>
    </row>
    <row r="1125" ht="21.0" customHeight="1">
      <c r="A1125" s="4">
        <v>1220.0</v>
      </c>
      <c r="B1125" s="5" t="s">
        <v>10531</v>
      </c>
      <c r="C1125" s="5" t="s">
        <v>10532</v>
      </c>
      <c r="D1125" s="5" t="s">
        <v>170</v>
      </c>
      <c r="E1125" s="5" t="s">
        <v>10533</v>
      </c>
      <c r="F1125" s="5" t="s">
        <v>10467</v>
      </c>
      <c r="G1125" s="5" t="s">
        <v>10534</v>
      </c>
      <c r="H1125" s="5" t="s">
        <v>23</v>
      </c>
      <c r="I1125" s="6" t="s">
        <v>10535</v>
      </c>
      <c r="J1125" s="4">
        <v>100.0</v>
      </c>
      <c r="K1125" s="5" t="s">
        <v>25</v>
      </c>
      <c r="L1125" s="5" t="s">
        <v>10536</v>
      </c>
      <c r="M1125" s="5" t="s">
        <v>10537</v>
      </c>
      <c r="N1125" s="7" t="s">
        <v>10538</v>
      </c>
      <c r="O1125" s="9" t="s">
        <v>10539</v>
      </c>
      <c r="P1125" s="19" t="s">
        <v>10540</v>
      </c>
      <c r="Q1125" s="5" t="s">
        <v>30</v>
      </c>
    </row>
    <row r="1126" ht="21.0" customHeight="1">
      <c r="A1126" s="4">
        <v>1221.0</v>
      </c>
      <c r="B1126" s="5" t="s">
        <v>10541</v>
      </c>
      <c r="C1126" s="5" t="s">
        <v>2479</v>
      </c>
      <c r="D1126" s="5" t="s">
        <v>6283</v>
      </c>
      <c r="E1126" s="5" t="s">
        <v>10542</v>
      </c>
      <c r="F1126" s="5" t="s">
        <v>10467</v>
      </c>
      <c r="G1126" s="5" t="s">
        <v>10543</v>
      </c>
      <c r="H1126" s="5" t="s">
        <v>23</v>
      </c>
      <c r="I1126" s="6" t="s">
        <v>10544</v>
      </c>
      <c r="J1126" s="4">
        <v>100.0</v>
      </c>
      <c r="K1126" s="5" t="s">
        <v>25</v>
      </c>
      <c r="L1126" s="5" t="s">
        <v>10545</v>
      </c>
      <c r="M1126" s="5" t="s">
        <v>10546</v>
      </c>
      <c r="N1126" s="7" t="s">
        <v>10547</v>
      </c>
      <c r="O1126" s="9" t="s">
        <v>10548</v>
      </c>
      <c r="P1126" s="19" t="s">
        <v>10549</v>
      </c>
      <c r="Q1126" s="5" t="s">
        <v>30</v>
      </c>
    </row>
    <row r="1127" ht="21.0" customHeight="1">
      <c r="A1127" s="4">
        <v>1222.0</v>
      </c>
      <c r="B1127" s="5" t="s">
        <v>10550</v>
      </c>
      <c r="C1127" s="5" t="s">
        <v>10551</v>
      </c>
      <c r="D1127" s="5" t="s">
        <v>10552</v>
      </c>
      <c r="E1127" s="5" t="s">
        <v>10553</v>
      </c>
      <c r="F1127" s="5" t="s">
        <v>10467</v>
      </c>
      <c r="G1127" s="5" t="s">
        <v>2479</v>
      </c>
      <c r="H1127" s="5" t="s">
        <v>23</v>
      </c>
      <c r="I1127" s="6" t="s">
        <v>10554</v>
      </c>
      <c r="J1127" s="4">
        <v>100.0</v>
      </c>
      <c r="K1127" s="5" t="s">
        <v>1070</v>
      </c>
      <c r="L1127" s="5" t="s">
        <v>10555</v>
      </c>
      <c r="M1127" s="5" t="s">
        <v>10556</v>
      </c>
      <c r="N1127" s="7" t="s">
        <v>10557</v>
      </c>
      <c r="O1127" s="9" t="s">
        <v>10558</v>
      </c>
      <c r="P1127" s="19" t="s">
        <v>10559</v>
      </c>
      <c r="Q1127" s="5" t="s">
        <v>30</v>
      </c>
    </row>
    <row r="1128" ht="21.0" customHeight="1">
      <c r="A1128" s="4">
        <v>1223.0</v>
      </c>
      <c r="B1128" s="5" t="s">
        <v>10560</v>
      </c>
      <c r="C1128" s="5" t="s">
        <v>2479</v>
      </c>
      <c r="D1128" s="5" t="s">
        <v>10561</v>
      </c>
      <c r="E1128" s="5" t="s">
        <v>10562</v>
      </c>
      <c r="F1128" s="5" t="s">
        <v>10467</v>
      </c>
      <c r="G1128" s="5" t="s">
        <v>10563</v>
      </c>
      <c r="H1128" s="5" t="s">
        <v>23</v>
      </c>
      <c r="I1128" s="6" t="s">
        <v>10564</v>
      </c>
      <c r="J1128" s="4">
        <v>100.0</v>
      </c>
      <c r="K1128" s="5" t="s">
        <v>25</v>
      </c>
      <c r="L1128" s="5" t="s">
        <v>10565</v>
      </c>
      <c r="M1128" s="5" t="s">
        <v>10566</v>
      </c>
      <c r="N1128" s="7" t="s">
        <v>10567</v>
      </c>
      <c r="O1128" s="9" t="s">
        <v>10568</v>
      </c>
      <c r="P1128" s="19" t="s">
        <v>10569</v>
      </c>
      <c r="Q1128" s="5" t="s">
        <v>30</v>
      </c>
    </row>
    <row r="1129" ht="21.0" customHeight="1">
      <c r="A1129" s="4">
        <v>1224.0</v>
      </c>
      <c r="B1129" s="5" t="s">
        <v>10570</v>
      </c>
      <c r="C1129" s="5" t="s">
        <v>2479</v>
      </c>
      <c r="D1129" s="5" t="s">
        <v>10571</v>
      </c>
      <c r="E1129" s="5" t="s">
        <v>10572</v>
      </c>
      <c r="F1129" s="5" t="s">
        <v>10467</v>
      </c>
      <c r="G1129" s="5" t="s">
        <v>2479</v>
      </c>
      <c r="H1129" s="5" t="s">
        <v>23</v>
      </c>
      <c r="I1129" s="6" t="s">
        <v>10573</v>
      </c>
      <c r="J1129" s="4">
        <v>100.0</v>
      </c>
      <c r="K1129" s="5" t="s">
        <v>25</v>
      </c>
      <c r="L1129" s="5" t="s">
        <v>10574</v>
      </c>
      <c r="M1129" s="5" t="s">
        <v>10575</v>
      </c>
      <c r="N1129" s="7" t="s">
        <v>10576</v>
      </c>
      <c r="O1129" s="9" t="s">
        <v>10577</v>
      </c>
      <c r="P1129" s="19" t="s">
        <v>10578</v>
      </c>
      <c r="Q1129" s="5" t="s">
        <v>30</v>
      </c>
    </row>
    <row r="1130" ht="21.0" customHeight="1">
      <c r="A1130" s="4">
        <v>1225.0</v>
      </c>
      <c r="B1130" s="5" t="s">
        <v>10579</v>
      </c>
      <c r="C1130" s="5" t="s">
        <v>10580</v>
      </c>
      <c r="D1130" s="5" t="s">
        <v>9357</v>
      </c>
      <c r="E1130" s="5" t="s">
        <v>10581</v>
      </c>
      <c r="F1130" s="5" t="s">
        <v>10582</v>
      </c>
      <c r="G1130" s="5" t="s">
        <v>10583</v>
      </c>
      <c r="H1130" s="5" t="s">
        <v>23</v>
      </c>
      <c r="I1130" s="6" t="s">
        <v>10584</v>
      </c>
      <c r="J1130" s="4">
        <v>100.0</v>
      </c>
      <c r="K1130" s="5" t="s">
        <v>25</v>
      </c>
      <c r="L1130" s="5" t="s">
        <v>10585</v>
      </c>
      <c r="M1130" s="5" t="s">
        <v>10586</v>
      </c>
      <c r="N1130" s="7" t="s">
        <v>10587</v>
      </c>
      <c r="O1130" s="9" t="s">
        <v>10588</v>
      </c>
      <c r="P1130" s="19" t="s">
        <v>10589</v>
      </c>
      <c r="Q1130" s="5" t="s">
        <v>30</v>
      </c>
    </row>
    <row r="1131" ht="21.0" customHeight="1">
      <c r="A1131" s="4">
        <v>1226.0</v>
      </c>
      <c r="B1131" s="5" t="s">
        <v>10590</v>
      </c>
      <c r="C1131" s="5" t="s">
        <v>10591</v>
      </c>
      <c r="D1131" s="5" t="s">
        <v>9357</v>
      </c>
      <c r="E1131" s="5" t="s">
        <v>10592</v>
      </c>
      <c r="F1131" s="5" t="s">
        <v>10582</v>
      </c>
      <c r="G1131" s="5" t="s">
        <v>10593</v>
      </c>
      <c r="H1131" s="5" t="s">
        <v>23</v>
      </c>
      <c r="I1131" s="6" t="s">
        <v>10594</v>
      </c>
      <c r="J1131" s="4">
        <v>100.0</v>
      </c>
      <c r="K1131" s="5" t="s">
        <v>25</v>
      </c>
      <c r="L1131" s="5" t="s">
        <v>10595</v>
      </c>
      <c r="M1131" s="5" t="s">
        <v>10596</v>
      </c>
      <c r="N1131" s="7" t="s">
        <v>10597</v>
      </c>
      <c r="O1131" s="9" t="s">
        <v>10598</v>
      </c>
      <c r="P1131" s="19" t="s">
        <v>10599</v>
      </c>
      <c r="Q1131" s="5" t="s">
        <v>30</v>
      </c>
    </row>
    <row r="1132" ht="21.0" customHeight="1">
      <c r="A1132" s="4">
        <v>1227.0</v>
      </c>
      <c r="B1132" s="5" t="s">
        <v>10600</v>
      </c>
      <c r="C1132" s="5" t="s">
        <v>2479</v>
      </c>
      <c r="D1132" s="5" t="s">
        <v>10601</v>
      </c>
      <c r="E1132" s="5" t="s">
        <v>10602</v>
      </c>
      <c r="F1132" s="5" t="s">
        <v>10582</v>
      </c>
      <c r="G1132" s="5" t="s">
        <v>10603</v>
      </c>
      <c r="H1132" s="5" t="s">
        <v>23</v>
      </c>
      <c r="I1132" s="6" t="s">
        <v>10604</v>
      </c>
      <c r="J1132" s="4">
        <v>100.0</v>
      </c>
      <c r="K1132" s="5" t="s">
        <v>84</v>
      </c>
      <c r="L1132" s="5" t="s">
        <v>10605</v>
      </c>
      <c r="M1132" s="5" t="s">
        <v>10606</v>
      </c>
      <c r="N1132" s="7" t="s">
        <v>10607</v>
      </c>
      <c r="O1132" s="9" t="s">
        <v>10608</v>
      </c>
      <c r="P1132" s="19" t="s">
        <v>10609</v>
      </c>
      <c r="Q1132" s="5" t="s">
        <v>30</v>
      </c>
    </row>
    <row r="1133" ht="21.0" customHeight="1">
      <c r="A1133" s="4">
        <v>1228.0</v>
      </c>
      <c r="B1133" s="5" t="s">
        <v>10610</v>
      </c>
      <c r="C1133" s="5" t="s">
        <v>2479</v>
      </c>
      <c r="D1133" s="5" t="s">
        <v>9357</v>
      </c>
      <c r="E1133" s="5" t="s">
        <v>10611</v>
      </c>
      <c r="F1133" s="5" t="s">
        <v>10582</v>
      </c>
      <c r="G1133" s="5" t="s">
        <v>10612</v>
      </c>
      <c r="H1133" s="5" t="s">
        <v>23</v>
      </c>
      <c r="I1133" s="6" t="s">
        <v>10613</v>
      </c>
      <c r="J1133" s="4">
        <v>100.0</v>
      </c>
      <c r="K1133" s="5" t="s">
        <v>25</v>
      </c>
      <c r="L1133" s="5" t="s">
        <v>10614</v>
      </c>
      <c r="M1133" s="5" t="s">
        <v>10615</v>
      </c>
      <c r="N1133" s="7" t="s">
        <v>10616</v>
      </c>
      <c r="O1133" s="9" t="s">
        <v>10617</v>
      </c>
      <c r="P1133" s="19" t="s">
        <v>10618</v>
      </c>
      <c r="Q1133" s="5" t="s">
        <v>30</v>
      </c>
    </row>
    <row r="1134" ht="21.0" customHeight="1">
      <c r="A1134" s="4">
        <v>1229.0</v>
      </c>
      <c r="B1134" s="5" t="s">
        <v>10619</v>
      </c>
      <c r="C1134" s="5" t="s">
        <v>2479</v>
      </c>
      <c r="D1134" s="5" t="s">
        <v>10620</v>
      </c>
      <c r="E1134" s="5" t="s">
        <v>10621</v>
      </c>
      <c r="F1134" s="5" t="s">
        <v>10582</v>
      </c>
      <c r="G1134" s="5" t="s">
        <v>10622</v>
      </c>
      <c r="H1134" s="5" t="s">
        <v>23</v>
      </c>
      <c r="I1134" s="6" t="s">
        <v>10623</v>
      </c>
      <c r="J1134" s="4">
        <v>100.0</v>
      </c>
      <c r="K1134" s="5" t="s">
        <v>84</v>
      </c>
      <c r="L1134" s="5" t="s">
        <v>10624</v>
      </c>
      <c r="M1134" s="5" t="s">
        <v>10625</v>
      </c>
      <c r="N1134" s="7" t="s">
        <v>10626</v>
      </c>
      <c r="O1134" s="9" t="s">
        <v>10627</v>
      </c>
      <c r="P1134" s="19" t="s">
        <v>10628</v>
      </c>
      <c r="Q1134" s="5" t="s">
        <v>30</v>
      </c>
    </row>
    <row r="1135" ht="21.0" customHeight="1">
      <c r="A1135" s="4">
        <v>1230.0</v>
      </c>
      <c r="B1135" s="5" t="s">
        <v>10629</v>
      </c>
      <c r="C1135" s="5" t="s">
        <v>10630</v>
      </c>
      <c r="D1135" s="5" t="s">
        <v>10631</v>
      </c>
      <c r="E1135" s="5" t="s">
        <v>10632</v>
      </c>
      <c r="F1135" s="5" t="s">
        <v>10582</v>
      </c>
      <c r="G1135" s="5" t="s">
        <v>10633</v>
      </c>
      <c r="H1135" s="5" t="s">
        <v>23</v>
      </c>
      <c r="I1135" s="6" t="s">
        <v>10634</v>
      </c>
      <c r="J1135" s="4">
        <v>100.0</v>
      </c>
      <c r="K1135" s="5" t="s">
        <v>1070</v>
      </c>
      <c r="L1135" s="5" t="s">
        <v>10635</v>
      </c>
      <c r="M1135" s="5" t="s">
        <v>10636</v>
      </c>
      <c r="N1135" s="7" t="s">
        <v>10637</v>
      </c>
      <c r="O1135" s="9" t="s">
        <v>10638</v>
      </c>
      <c r="P1135" s="19" t="s">
        <v>10639</v>
      </c>
      <c r="Q1135" s="5" t="s">
        <v>30</v>
      </c>
    </row>
    <row r="1136" ht="21.0" customHeight="1">
      <c r="A1136" s="4">
        <v>1231.0</v>
      </c>
      <c r="B1136" s="5" t="s">
        <v>10640</v>
      </c>
      <c r="C1136" s="5" t="s">
        <v>2479</v>
      </c>
      <c r="D1136" s="5" t="s">
        <v>10641</v>
      </c>
      <c r="E1136" s="5" t="s">
        <v>10642</v>
      </c>
      <c r="F1136" s="5" t="s">
        <v>10582</v>
      </c>
      <c r="G1136" s="5" t="s">
        <v>10643</v>
      </c>
      <c r="H1136" s="5" t="s">
        <v>23</v>
      </c>
      <c r="I1136" s="6" t="s">
        <v>10644</v>
      </c>
      <c r="J1136" s="4">
        <v>100.0</v>
      </c>
      <c r="K1136" s="5" t="s">
        <v>84</v>
      </c>
      <c r="L1136" s="5" t="s">
        <v>10645</v>
      </c>
      <c r="M1136" s="5" t="s">
        <v>10646</v>
      </c>
      <c r="N1136" s="7" t="s">
        <v>10647</v>
      </c>
      <c r="O1136" s="9" t="s">
        <v>10648</v>
      </c>
      <c r="P1136" s="19" t="s">
        <v>10649</v>
      </c>
      <c r="Q1136" s="5" t="s">
        <v>30</v>
      </c>
    </row>
    <row r="1137" ht="21.0" customHeight="1">
      <c r="A1137" s="4">
        <v>1232.0</v>
      </c>
      <c r="B1137" s="5" t="s">
        <v>10650</v>
      </c>
      <c r="C1137" s="5" t="s">
        <v>10651</v>
      </c>
      <c r="D1137" s="5" t="s">
        <v>10652</v>
      </c>
      <c r="E1137" s="5" t="s">
        <v>10653</v>
      </c>
      <c r="F1137" s="5" t="s">
        <v>10582</v>
      </c>
      <c r="G1137" s="5" t="s">
        <v>10654</v>
      </c>
      <c r="H1137" s="5" t="s">
        <v>23</v>
      </c>
      <c r="I1137" s="6" t="s">
        <v>10655</v>
      </c>
      <c r="J1137" s="4">
        <v>100.0</v>
      </c>
      <c r="K1137" s="5" t="s">
        <v>25</v>
      </c>
      <c r="L1137" s="5" t="s">
        <v>10656</v>
      </c>
      <c r="M1137" s="5" t="s">
        <v>10657</v>
      </c>
      <c r="N1137" s="7" t="s">
        <v>10658</v>
      </c>
      <c r="O1137" s="9" t="s">
        <v>10659</v>
      </c>
      <c r="P1137" s="19" t="s">
        <v>10660</v>
      </c>
      <c r="Q1137" s="5" t="s">
        <v>30</v>
      </c>
    </row>
    <row r="1138" ht="21.0" customHeight="1">
      <c r="A1138" s="4">
        <v>1233.0</v>
      </c>
      <c r="B1138" s="5" t="s">
        <v>10661</v>
      </c>
      <c r="C1138" s="5" t="s">
        <v>2479</v>
      </c>
      <c r="D1138" s="5" t="s">
        <v>9357</v>
      </c>
      <c r="E1138" s="5" t="s">
        <v>10662</v>
      </c>
      <c r="F1138" s="5" t="s">
        <v>10582</v>
      </c>
      <c r="G1138" s="5" t="s">
        <v>10663</v>
      </c>
      <c r="H1138" s="5" t="s">
        <v>23</v>
      </c>
      <c r="I1138" s="6" t="s">
        <v>10664</v>
      </c>
      <c r="J1138" s="4">
        <v>100.0</v>
      </c>
      <c r="K1138" s="5" t="s">
        <v>25</v>
      </c>
      <c r="L1138" s="5" t="s">
        <v>10665</v>
      </c>
      <c r="M1138" s="5" t="s">
        <v>10666</v>
      </c>
      <c r="N1138" s="7" t="s">
        <v>10667</v>
      </c>
      <c r="O1138" s="9" t="s">
        <v>10668</v>
      </c>
      <c r="P1138" s="19" t="s">
        <v>10669</v>
      </c>
      <c r="Q1138" s="5" t="s">
        <v>30</v>
      </c>
    </row>
    <row r="1139" ht="21.0" customHeight="1">
      <c r="A1139" s="4">
        <v>1234.0</v>
      </c>
      <c r="B1139" s="5" t="s">
        <v>10670</v>
      </c>
      <c r="C1139" s="5" t="s">
        <v>10671</v>
      </c>
      <c r="D1139" s="5" t="s">
        <v>10672</v>
      </c>
      <c r="E1139" s="5" t="s">
        <v>10673</v>
      </c>
      <c r="F1139" s="5" t="s">
        <v>10582</v>
      </c>
      <c r="G1139" s="5" t="s">
        <v>2479</v>
      </c>
      <c r="H1139" s="5" t="s">
        <v>23</v>
      </c>
      <c r="I1139" s="6" t="s">
        <v>10674</v>
      </c>
      <c r="J1139" s="4">
        <v>100.0</v>
      </c>
      <c r="K1139" s="5" t="s">
        <v>25</v>
      </c>
      <c r="L1139" s="5" t="s">
        <v>10675</v>
      </c>
      <c r="M1139" s="5" t="s">
        <v>10676</v>
      </c>
      <c r="N1139" s="7" t="s">
        <v>10677</v>
      </c>
      <c r="O1139" s="9" t="s">
        <v>10678</v>
      </c>
      <c r="P1139" s="19" t="s">
        <v>10679</v>
      </c>
      <c r="Q1139" s="5" t="s">
        <v>30</v>
      </c>
    </row>
    <row r="1140" ht="21.0" customHeight="1">
      <c r="A1140" s="4">
        <v>1235.0</v>
      </c>
      <c r="B1140" s="5" t="s">
        <v>10680</v>
      </c>
      <c r="C1140" s="5" t="s">
        <v>2479</v>
      </c>
      <c r="D1140" s="5" t="s">
        <v>10681</v>
      </c>
      <c r="E1140" s="5" t="s">
        <v>10682</v>
      </c>
      <c r="F1140" s="5" t="s">
        <v>10582</v>
      </c>
      <c r="G1140" s="5" t="s">
        <v>10683</v>
      </c>
      <c r="H1140" s="5" t="s">
        <v>23</v>
      </c>
      <c r="I1140" s="6" t="s">
        <v>10684</v>
      </c>
      <c r="J1140" s="4">
        <v>100.0</v>
      </c>
      <c r="K1140" s="5" t="s">
        <v>25</v>
      </c>
      <c r="L1140" s="5" t="s">
        <v>10685</v>
      </c>
      <c r="M1140" s="5" t="s">
        <v>10686</v>
      </c>
      <c r="N1140" s="7" t="s">
        <v>10687</v>
      </c>
      <c r="O1140" s="9" t="s">
        <v>10688</v>
      </c>
      <c r="P1140" s="19" t="s">
        <v>10689</v>
      </c>
      <c r="Q1140" s="5" t="s">
        <v>30</v>
      </c>
    </row>
    <row r="1141" ht="21.0" customHeight="1">
      <c r="A1141" s="4">
        <v>1236.0</v>
      </c>
      <c r="B1141" s="5" t="s">
        <v>10690</v>
      </c>
      <c r="C1141" s="5" t="s">
        <v>10691</v>
      </c>
      <c r="D1141" s="5" t="s">
        <v>10692</v>
      </c>
      <c r="E1141" s="5" t="s">
        <v>10693</v>
      </c>
      <c r="F1141" s="5" t="s">
        <v>10582</v>
      </c>
      <c r="G1141" s="5" t="s">
        <v>10694</v>
      </c>
      <c r="H1141" s="5" t="s">
        <v>23</v>
      </c>
      <c r="I1141" s="6" t="s">
        <v>10695</v>
      </c>
      <c r="J1141" s="4">
        <v>100.0</v>
      </c>
      <c r="K1141" s="5" t="s">
        <v>25</v>
      </c>
      <c r="L1141" s="5" t="s">
        <v>10696</v>
      </c>
      <c r="M1141" s="5" t="s">
        <v>10697</v>
      </c>
      <c r="N1141" s="7" t="s">
        <v>10698</v>
      </c>
      <c r="O1141" s="9" t="s">
        <v>10699</v>
      </c>
      <c r="P1141" s="19" t="s">
        <v>10700</v>
      </c>
      <c r="Q1141" s="5" t="s">
        <v>30</v>
      </c>
    </row>
    <row r="1142" ht="21.0" customHeight="1">
      <c r="A1142" s="4">
        <v>1237.0</v>
      </c>
      <c r="B1142" s="5" t="s">
        <v>10701</v>
      </c>
      <c r="C1142" s="5" t="s">
        <v>2479</v>
      </c>
      <c r="D1142" s="5" t="s">
        <v>7949</v>
      </c>
      <c r="E1142" s="5" t="s">
        <v>10702</v>
      </c>
      <c r="F1142" s="5" t="s">
        <v>10582</v>
      </c>
      <c r="G1142" s="5" t="s">
        <v>10703</v>
      </c>
      <c r="H1142" s="5" t="s">
        <v>23</v>
      </c>
      <c r="I1142" s="6" t="s">
        <v>10704</v>
      </c>
      <c r="J1142" s="4">
        <v>100.0</v>
      </c>
      <c r="K1142" s="5" t="s">
        <v>25</v>
      </c>
      <c r="L1142" s="5" t="s">
        <v>10705</v>
      </c>
      <c r="M1142" s="5" t="s">
        <v>10706</v>
      </c>
      <c r="N1142" s="7" t="s">
        <v>10707</v>
      </c>
      <c r="O1142" s="9" t="s">
        <v>10708</v>
      </c>
      <c r="P1142" s="19" t="s">
        <v>10709</v>
      </c>
      <c r="Q1142" s="5" t="s">
        <v>30</v>
      </c>
    </row>
    <row r="1143" ht="21.0" customHeight="1">
      <c r="A1143" s="4">
        <v>1238.0</v>
      </c>
      <c r="B1143" s="5" t="s">
        <v>10710</v>
      </c>
      <c r="C1143" s="5" t="s">
        <v>2479</v>
      </c>
      <c r="D1143" s="5" t="s">
        <v>5314</v>
      </c>
      <c r="E1143" s="5" t="s">
        <v>10711</v>
      </c>
      <c r="F1143" s="5" t="s">
        <v>10582</v>
      </c>
      <c r="G1143" s="5" t="s">
        <v>10712</v>
      </c>
      <c r="H1143" s="5" t="s">
        <v>23</v>
      </c>
      <c r="I1143" s="6" t="s">
        <v>10713</v>
      </c>
      <c r="J1143" s="4">
        <v>100.0</v>
      </c>
      <c r="K1143" s="5" t="s">
        <v>275</v>
      </c>
      <c r="L1143" s="5" t="s">
        <v>10714</v>
      </c>
      <c r="M1143" s="5" t="s">
        <v>10715</v>
      </c>
      <c r="N1143" s="7" t="s">
        <v>10716</v>
      </c>
      <c r="O1143" s="9" t="s">
        <v>10717</v>
      </c>
      <c r="P1143" s="19" t="s">
        <v>10718</v>
      </c>
      <c r="Q1143" s="5" t="s">
        <v>30</v>
      </c>
    </row>
    <row r="1144" ht="21.0" customHeight="1">
      <c r="A1144" s="4">
        <v>1239.0</v>
      </c>
      <c r="B1144" s="5" t="s">
        <v>10719</v>
      </c>
      <c r="C1144" s="5" t="s">
        <v>2479</v>
      </c>
      <c r="D1144" s="5" t="s">
        <v>10720</v>
      </c>
      <c r="E1144" s="5" t="s">
        <v>10721</v>
      </c>
      <c r="F1144" s="5" t="s">
        <v>10582</v>
      </c>
      <c r="G1144" s="5" t="s">
        <v>10722</v>
      </c>
      <c r="H1144" s="5" t="s">
        <v>23</v>
      </c>
      <c r="I1144" s="6" t="s">
        <v>10723</v>
      </c>
      <c r="J1144" s="4">
        <v>100.0</v>
      </c>
      <c r="K1144" s="5" t="s">
        <v>216</v>
      </c>
      <c r="L1144" s="5" t="s">
        <v>10724</v>
      </c>
      <c r="M1144" s="5" t="s">
        <v>10725</v>
      </c>
      <c r="N1144" s="7" t="s">
        <v>10726</v>
      </c>
      <c r="O1144" s="9" t="s">
        <v>10727</v>
      </c>
      <c r="P1144" s="19" t="s">
        <v>10728</v>
      </c>
      <c r="Q1144" s="5" t="s">
        <v>30</v>
      </c>
    </row>
    <row r="1145" ht="21.0" customHeight="1">
      <c r="A1145" s="4">
        <v>1240.0</v>
      </c>
      <c r="B1145" s="5" t="s">
        <v>10729</v>
      </c>
      <c r="C1145" s="5" t="s">
        <v>10730</v>
      </c>
      <c r="D1145" s="5" t="s">
        <v>10731</v>
      </c>
      <c r="E1145" s="5" t="s">
        <v>10732</v>
      </c>
      <c r="F1145" s="5" t="s">
        <v>10582</v>
      </c>
      <c r="G1145" s="5" t="s">
        <v>10733</v>
      </c>
      <c r="H1145" s="5" t="s">
        <v>10734</v>
      </c>
      <c r="I1145" s="6" t="s">
        <v>10735</v>
      </c>
      <c r="J1145" s="4">
        <v>100.0</v>
      </c>
      <c r="K1145" s="5" t="s">
        <v>93</v>
      </c>
      <c r="L1145" s="5" t="s">
        <v>10736</v>
      </c>
      <c r="M1145" s="5" t="s">
        <v>10737</v>
      </c>
      <c r="N1145" s="7" t="s">
        <v>10738</v>
      </c>
      <c r="O1145" s="9" t="s">
        <v>10739</v>
      </c>
      <c r="P1145" s="19" t="s">
        <v>10740</v>
      </c>
      <c r="Q1145" s="5" t="s">
        <v>30</v>
      </c>
    </row>
    <row r="1146" ht="21.0" customHeight="1">
      <c r="A1146" s="4">
        <v>1241.0</v>
      </c>
      <c r="B1146" s="5" t="s">
        <v>10741</v>
      </c>
      <c r="C1146" s="5" t="s">
        <v>10742</v>
      </c>
      <c r="D1146" s="5" t="s">
        <v>10743</v>
      </c>
      <c r="E1146" s="5" t="s">
        <v>10744</v>
      </c>
      <c r="F1146" s="5" t="s">
        <v>10582</v>
      </c>
      <c r="G1146" s="5" t="s">
        <v>10745</v>
      </c>
      <c r="H1146" s="5" t="s">
        <v>23</v>
      </c>
      <c r="I1146" s="6" t="s">
        <v>10746</v>
      </c>
      <c r="J1146" s="4">
        <v>100.0</v>
      </c>
      <c r="K1146" s="5" t="s">
        <v>25</v>
      </c>
      <c r="L1146" s="5" t="s">
        <v>10747</v>
      </c>
      <c r="M1146" s="5" t="s">
        <v>10748</v>
      </c>
      <c r="N1146" s="7" t="s">
        <v>10749</v>
      </c>
      <c r="O1146" s="9" t="s">
        <v>10750</v>
      </c>
      <c r="P1146" s="19" t="s">
        <v>10751</v>
      </c>
      <c r="Q1146" s="5" t="s">
        <v>30</v>
      </c>
    </row>
    <row r="1147" ht="21.0" customHeight="1">
      <c r="A1147" s="4">
        <v>1242.0</v>
      </c>
      <c r="B1147" s="5" t="s">
        <v>10752</v>
      </c>
      <c r="C1147" s="5" t="s">
        <v>10753</v>
      </c>
      <c r="D1147" s="5" t="s">
        <v>10754</v>
      </c>
      <c r="E1147" s="5" t="s">
        <v>10755</v>
      </c>
      <c r="F1147" s="5" t="s">
        <v>10582</v>
      </c>
      <c r="G1147" s="5" t="s">
        <v>10756</v>
      </c>
      <c r="H1147" s="5" t="s">
        <v>23</v>
      </c>
      <c r="I1147" s="6" t="s">
        <v>10757</v>
      </c>
      <c r="J1147" s="4">
        <v>100.0</v>
      </c>
      <c r="K1147" s="5" t="s">
        <v>25</v>
      </c>
      <c r="L1147" s="5" t="s">
        <v>10758</v>
      </c>
      <c r="M1147" s="5" t="s">
        <v>10759</v>
      </c>
      <c r="N1147" s="7" t="s">
        <v>10760</v>
      </c>
      <c r="O1147" s="9" t="s">
        <v>10761</v>
      </c>
      <c r="P1147" s="19" t="s">
        <v>10762</v>
      </c>
      <c r="Q1147" s="5" t="s">
        <v>30</v>
      </c>
    </row>
    <row r="1148" ht="21.0" customHeight="1">
      <c r="A1148" s="4">
        <v>1243.0</v>
      </c>
      <c r="B1148" s="5" t="s">
        <v>10763</v>
      </c>
      <c r="C1148" s="5" t="s">
        <v>2479</v>
      </c>
      <c r="D1148" s="5" t="s">
        <v>10764</v>
      </c>
      <c r="E1148" s="5" t="s">
        <v>10765</v>
      </c>
      <c r="F1148" s="5" t="s">
        <v>10582</v>
      </c>
      <c r="G1148" s="5" t="s">
        <v>10766</v>
      </c>
      <c r="H1148" s="5" t="s">
        <v>23</v>
      </c>
      <c r="I1148" s="6" t="s">
        <v>10767</v>
      </c>
      <c r="J1148" s="4">
        <v>100.0</v>
      </c>
      <c r="K1148" s="5" t="s">
        <v>517</v>
      </c>
      <c r="L1148" s="5" t="s">
        <v>10768</v>
      </c>
      <c r="M1148" s="5" t="s">
        <v>10769</v>
      </c>
      <c r="N1148" s="7" t="s">
        <v>10770</v>
      </c>
      <c r="O1148" s="9" t="s">
        <v>10771</v>
      </c>
      <c r="P1148" s="19" t="s">
        <v>10772</v>
      </c>
      <c r="Q1148" s="5" t="s">
        <v>30</v>
      </c>
    </row>
    <row r="1149" ht="21.0" customHeight="1">
      <c r="A1149" s="4">
        <v>1244.0</v>
      </c>
      <c r="B1149" s="5" t="s">
        <v>10773</v>
      </c>
      <c r="C1149" s="5" t="s">
        <v>2479</v>
      </c>
      <c r="D1149" s="5" t="s">
        <v>9357</v>
      </c>
      <c r="E1149" s="5" t="s">
        <v>10774</v>
      </c>
      <c r="F1149" s="5" t="s">
        <v>10582</v>
      </c>
      <c r="G1149" s="5" t="s">
        <v>10775</v>
      </c>
      <c r="H1149" s="5" t="s">
        <v>23</v>
      </c>
      <c r="I1149" s="6" t="s">
        <v>10776</v>
      </c>
      <c r="J1149" s="4">
        <v>100.0</v>
      </c>
      <c r="K1149" s="5" t="s">
        <v>216</v>
      </c>
      <c r="L1149" s="5" t="s">
        <v>10777</v>
      </c>
      <c r="M1149" s="5" t="s">
        <v>10778</v>
      </c>
      <c r="N1149" s="7" t="s">
        <v>10779</v>
      </c>
      <c r="O1149" s="9" t="s">
        <v>10780</v>
      </c>
      <c r="P1149" s="19" t="s">
        <v>10781</v>
      </c>
      <c r="Q1149" s="5" t="s">
        <v>30</v>
      </c>
    </row>
    <row r="1150" ht="21.0" customHeight="1">
      <c r="A1150" s="4">
        <v>1245.0</v>
      </c>
      <c r="B1150" s="5" t="s">
        <v>10782</v>
      </c>
      <c r="C1150" s="5" t="s">
        <v>2479</v>
      </c>
      <c r="D1150" s="5" t="s">
        <v>9906</v>
      </c>
      <c r="E1150" s="5" t="s">
        <v>10783</v>
      </c>
      <c r="F1150" s="5" t="s">
        <v>10582</v>
      </c>
      <c r="G1150" s="5" t="s">
        <v>10784</v>
      </c>
      <c r="H1150" s="5" t="s">
        <v>23</v>
      </c>
      <c r="I1150" s="6" t="s">
        <v>10785</v>
      </c>
      <c r="J1150" s="4">
        <v>100.0</v>
      </c>
      <c r="K1150" s="5" t="s">
        <v>68</v>
      </c>
      <c r="L1150" s="5" t="s">
        <v>10786</v>
      </c>
      <c r="M1150" s="5" t="s">
        <v>10787</v>
      </c>
      <c r="N1150" s="7" t="s">
        <v>10788</v>
      </c>
      <c r="O1150" s="9" t="s">
        <v>10789</v>
      </c>
      <c r="P1150" s="19" t="s">
        <v>10790</v>
      </c>
      <c r="Q1150" s="5" t="s">
        <v>30</v>
      </c>
    </row>
    <row r="1151" ht="21.0" customHeight="1">
      <c r="A1151" s="4">
        <v>1246.0</v>
      </c>
      <c r="B1151" s="5" t="s">
        <v>10791</v>
      </c>
      <c r="C1151" s="5" t="s">
        <v>2479</v>
      </c>
      <c r="D1151" s="5" t="s">
        <v>10792</v>
      </c>
      <c r="E1151" s="5" t="s">
        <v>10793</v>
      </c>
      <c r="F1151" s="5" t="s">
        <v>10582</v>
      </c>
      <c r="G1151" s="5" t="s">
        <v>10794</v>
      </c>
      <c r="H1151" s="5" t="s">
        <v>23</v>
      </c>
      <c r="I1151" s="6" t="s">
        <v>10795</v>
      </c>
      <c r="J1151" s="4">
        <v>100.0</v>
      </c>
      <c r="K1151" s="5" t="s">
        <v>84</v>
      </c>
      <c r="L1151" s="5" t="s">
        <v>10796</v>
      </c>
      <c r="M1151" s="5" t="s">
        <v>10797</v>
      </c>
      <c r="N1151" s="7" t="s">
        <v>10798</v>
      </c>
      <c r="O1151" s="9" t="s">
        <v>10799</v>
      </c>
      <c r="P1151" s="19" t="s">
        <v>10800</v>
      </c>
      <c r="Q1151" s="5" t="s">
        <v>30</v>
      </c>
    </row>
    <row r="1152" ht="21.0" customHeight="1">
      <c r="A1152" s="4">
        <v>1247.0</v>
      </c>
      <c r="B1152" s="5" t="s">
        <v>10801</v>
      </c>
      <c r="C1152" s="5" t="s">
        <v>10802</v>
      </c>
      <c r="D1152" s="5" t="s">
        <v>5687</v>
      </c>
      <c r="E1152" s="5" t="s">
        <v>10803</v>
      </c>
      <c r="F1152" s="5" t="s">
        <v>10582</v>
      </c>
      <c r="G1152" s="5" t="s">
        <v>10804</v>
      </c>
      <c r="H1152" s="5" t="s">
        <v>23</v>
      </c>
      <c r="I1152" s="6" t="s">
        <v>10805</v>
      </c>
      <c r="J1152" s="4">
        <v>100.0</v>
      </c>
      <c r="K1152" s="5" t="s">
        <v>25</v>
      </c>
      <c r="L1152" s="5" t="s">
        <v>10806</v>
      </c>
      <c r="M1152" s="5" t="s">
        <v>10807</v>
      </c>
      <c r="N1152" s="7" t="s">
        <v>10808</v>
      </c>
      <c r="O1152" s="9" t="s">
        <v>10809</v>
      </c>
      <c r="P1152" s="19" t="s">
        <v>10810</v>
      </c>
      <c r="Q1152" s="5" t="s">
        <v>30</v>
      </c>
    </row>
    <row r="1153" ht="21.0" customHeight="1">
      <c r="A1153" s="4">
        <v>1248.0</v>
      </c>
      <c r="B1153" s="5" t="s">
        <v>10811</v>
      </c>
      <c r="C1153" s="5" t="s">
        <v>2479</v>
      </c>
      <c r="D1153" s="5" t="s">
        <v>10812</v>
      </c>
      <c r="E1153" s="5" t="s">
        <v>10813</v>
      </c>
      <c r="F1153" s="5" t="s">
        <v>10582</v>
      </c>
      <c r="G1153" s="5" t="s">
        <v>10814</v>
      </c>
      <c r="H1153" s="5" t="s">
        <v>23</v>
      </c>
      <c r="I1153" s="6" t="s">
        <v>10815</v>
      </c>
      <c r="J1153" s="4">
        <v>100.0</v>
      </c>
      <c r="K1153" s="5" t="s">
        <v>84</v>
      </c>
      <c r="L1153" s="5" t="s">
        <v>10816</v>
      </c>
      <c r="M1153" s="5" t="s">
        <v>10817</v>
      </c>
      <c r="N1153" s="7" t="s">
        <v>10818</v>
      </c>
      <c r="O1153" s="9" t="s">
        <v>10819</v>
      </c>
      <c r="P1153" s="19" t="s">
        <v>10820</v>
      </c>
      <c r="Q1153" s="5" t="s">
        <v>30</v>
      </c>
    </row>
    <row r="1154" ht="21.0" customHeight="1">
      <c r="A1154" s="4">
        <v>1249.0</v>
      </c>
      <c r="B1154" s="5" t="s">
        <v>10821</v>
      </c>
      <c r="C1154" s="5" t="s">
        <v>2479</v>
      </c>
      <c r="D1154" s="5" t="s">
        <v>10822</v>
      </c>
      <c r="E1154" s="5" t="s">
        <v>10823</v>
      </c>
      <c r="F1154" s="5" t="s">
        <v>10582</v>
      </c>
      <c r="G1154" s="5" t="s">
        <v>10824</v>
      </c>
      <c r="H1154" s="5" t="s">
        <v>23</v>
      </c>
      <c r="I1154" s="6" t="s">
        <v>10825</v>
      </c>
      <c r="J1154" s="4">
        <v>100.0</v>
      </c>
      <c r="K1154" s="5" t="s">
        <v>84</v>
      </c>
      <c r="L1154" s="5" t="s">
        <v>10826</v>
      </c>
      <c r="M1154" s="5" t="s">
        <v>10827</v>
      </c>
      <c r="N1154" s="7" t="s">
        <v>10828</v>
      </c>
      <c r="O1154" s="9" t="s">
        <v>10829</v>
      </c>
      <c r="P1154" s="19" t="s">
        <v>10830</v>
      </c>
      <c r="Q1154" s="5" t="s">
        <v>30</v>
      </c>
    </row>
    <row r="1155" ht="21.0" customHeight="1">
      <c r="A1155" s="4">
        <v>1250.0</v>
      </c>
      <c r="B1155" s="5" t="s">
        <v>10831</v>
      </c>
      <c r="C1155" s="5" t="s">
        <v>2479</v>
      </c>
      <c r="D1155" s="5" t="s">
        <v>10832</v>
      </c>
      <c r="E1155" s="5" t="s">
        <v>10833</v>
      </c>
      <c r="F1155" s="5" t="s">
        <v>10582</v>
      </c>
      <c r="G1155" s="5" t="s">
        <v>10834</v>
      </c>
      <c r="H1155" s="5" t="s">
        <v>23</v>
      </c>
      <c r="I1155" s="6" t="s">
        <v>10835</v>
      </c>
      <c r="J1155" s="4">
        <v>100.0</v>
      </c>
      <c r="K1155" s="5" t="s">
        <v>517</v>
      </c>
      <c r="L1155" s="5" t="s">
        <v>10836</v>
      </c>
      <c r="M1155" s="5" t="s">
        <v>10837</v>
      </c>
      <c r="N1155" s="7" t="s">
        <v>10838</v>
      </c>
      <c r="O1155" s="9" t="s">
        <v>10839</v>
      </c>
      <c r="P1155" s="19" t="s">
        <v>10840</v>
      </c>
      <c r="Q1155" s="5" t="s">
        <v>30</v>
      </c>
    </row>
    <row r="1156" ht="21.0" customHeight="1">
      <c r="A1156" s="4">
        <v>1251.0</v>
      </c>
      <c r="B1156" s="5" t="s">
        <v>10841</v>
      </c>
      <c r="C1156" s="5" t="s">
        <v>10842</v>
      </c>
      <c r="D1156" s="5" t="s">
        <v>10843</v>
      </c>
      <c r="E1156" s="5" t="s">
        <v>10844</v>
      </c>
      <c r="F1156" s="5" t="s">
        <v>10582</v>
      </c>
      <c r="G1156" s="5" t="s">
        <v>10845</v>
      </c>
      <c r="H1156" s="5" t="s">
        <v>23</v>
      </c>
      <c r="I1156" s="6" t="s">
        <v>10846</v>
      </c>
      <c r="J1156" s="4">
        <v>100.0</v>
      </c>
      <c r="K1156" s="5" t="s">
        <v>25</v>
      </c>
      <c r="L1156" s="5" t="s">
        <v>10847</v>
      </c>
      <c r="M1156" s="5" t="s">
        <v>10848</v>
      </c>
      <c r="N1156" s="7" t="s">
        <v>10849</v>
      </c>
      <c r="O1156" s="9" t="s">
        <v>10850</v>
      </c>
      <c r="P1156" s="19" t="s">
        <v>10851</v>
      </c>
      <c r="Q1156" s="5" t="s">
        <v>30</v>
      </c>
    </row>
    <row r="1157" ht="21.0" customHeight="1">
      <c r="A1157" s="4">
        <v>1252.0</v>
      </c>
      <c r="B1157" s="5" t="s">
        <v>10852</v>
      </c>
      <c r="C1157" s="5" t="s">
        <v>2479</v>
      </c>
      <c r="D1157" s="5" t="s">
        <v>10853</v>
      </c>
      <c r="E1157" s="5" t="s">
        <v>10854</v>
      </c>
      <c r="F1157" s="5" t="s">
        <v>10582</v>
      </c>
      <c r="G1157" s="5" t="s">
        <v>10855</v>
      </c>
      <c r="H1157" s="5" t="s">
        <v>23</v>
      </c>
      <c r="I1157" s="6" t="s">
        <v>10856</v>
      </c>
      <c r="J1157" s="4">
        <v>100.0</v>
      </c>
      <c r="K1157" s="5" t="s">
        <v>25</v>
      </c>
      <c r="L1157" s="5" t="s">
        <v>10857</v>
      </c>
      <c r="M1157" s="5" t="s">
        <v>10858</v>
      </c>
      <c r="N1157" s="7" t="s">
        <v>10859</v>
      </c>
      <c r="O1157" s="9" t="s">
        <v>10860</v>
      </c>
      <c r="P1157" s="19" t="s">
        <v>10861</v>
      </c>
      <c r="Q1157" s="5" t="s">
        <v>30</v>
      </c>
    </row>
    <row r="1158" ht="21.0" customHeight="1">
      <c r="A1158" s="4">
        <v>1253.0</v>
      </c>
      <c r="B1158" s="5" t="s">
        <v>10862</v>
      </c>
      <c r="C1158" s="5" t="s">
        <v>2479</v>
      </c>
      <c r="D1158" s="5" t="s">
        <v>5131</v>
      </c>
      <c r="E1158" s="5" t="s">
        <v>10863</v>
      </c>
      <c r="F1158" s="5" t="s">
        <v>10582</v>
      </c>
      <c r="G1158" s="5" t="s">
        <v>10864</v>
      </c>
      <c r="H1158" s="5" t="s">
        <v>23</v>
      </c>
      <c r="I1158" s="6" t="s">
        <v>10865</v>
      </c>
      <c r="J1158" s="4">
        <v>100.0</v>
      </c>
      <c r="K1158" s="5" t="s">
        <v>25</v>
      </c>
      <c r="L1158" s="5" t="s">
        <v>10866</v>
      </c>
      <c r="M1158" s="5" t="s">
        <v>10867</v>
      </c>
      <c r="N1158" s="7" t="s">
        <v>10868</v>
      </c>
      <c r="O1158" s="9" t="s">
        <v>10869</v>
      </c>
      <c r="P1158" s="19" t="s">
        <v>10870</v>
      </c>
      <c r="Q1158" s="5" t="s">
        <v>30</v>
      </c>
    </row>
    <row r="1159" ht="21.0" customHeight="1">
      <c r="A1159" s="4">
        <v>1254.0</v>
      </c>
      <c r="B1159" s="5" t="s">
        <v>10871</v>
      </c>
      <c r="C1159" s="5" t="s">
        <v>10872</v>
      </c>
      <c r="D1159" s="5" t="s">
        <v>10873</v>
      </c>
      <c r="E1159" s="5" t="s">
        <v>10874</v>
      </c>
      <c r="F1159" s="5" t="s">
        <v>10582</v>
      </c>
      <c r="G1159" s="5" t="s">
        <v>10875</v>
      </c>
      <c r="H1159" s="5" t="s">
        <v>23</v>
      </c>
      <c r="I1159" s="6" t="s">
        <v>10876</v>
      </c>
      <c r="J1159" s="4">
        <v>100.0</v>
      </c>
      <c r="K1159" s="5" t="s">
        <v>110</v>
      </c>
      <c r="L1159" s="5" t="s">
        <v>10877</v>
      </c>
      <c r="M1159" s="5" t="s">
        <v>10878</v>
      </c>
      <c r="N1159" s="7" t="s">
        <v>10879</v>
      </c>
      <c r="O1159" s="9" t="s">
        <v>10880</v>
      </c>
      <c r="P1159" s="19" t="s">
        <v>10881</v>
      </c>
      <c r="Q1159" s="5" t="s">
        <v>30</v>
      </c>
    </row>
    <row r="1160" ht="21.0" customHeight="1">
      <c r="A1160" s="4">
        <v>1255.0</v>
      </c>
      <c r="B1160" s="5" t="s">
        <v>10882</v>
      </c>
      <c r="C1160" s="5" t="s">
        <v>2479</v>
      </c>
      <c r="D1160" s="5" t="s">
        <v>10883</v>
      </c>
      <c r="E1160" s="5" t="s">
        <v>10884</v>
      </c>
      <c r="F1160" s="5" t="s">
        <v>10582</v>
      </c>
      <c r="G1160" s="5" t="s">
        <v>10885</v>
      </c>
      <c r="H1160" s="5" t="s">
        <v>23</v>
      </c>
      <c r="I1160" s="6" t="s">
        <v>10886</v>
      </c>
      <c r="J1160" s="4">
        <v>100.0</v>
      </c>
      <c r="K1160" s="5" t="s">
        <v>216</v>
      </c>
      <c r="L1160" s="5" t="s">
        <v>10887</v>
      </c>
      <c r="M1160" s="5" t="s">
        <v>10888</v>
      </c>
      <c r="N1160" s="10" t="s">
        <v>10889</v>
      </c>
      <c r="O1160" s="39" t="s">
        <v>10890</v>
      </c>
      <c r="P1160" s="27" t="s">
        <v>10891</v>
      </c>
      <c r="Q1160" s="5" t="s">
        <v>30</v>
      </c>
    </row>
    <row r="1161" ht="21.0" customHeight="1">
      <c r="A1161" s="4">
        <v>1256.0</v>
      </c>
      <c r="B1161" s="5" t="s">
        <v>10892</v>
      </c>
      <c r="C1161" s="5" t="s">
        <v>2479</v>
      </c>
      <c r="D1161" s="5" t="s">
        <v>10893</v>
      </c>
      <c r="E1161" s="5" t="s">
        <v>10894</v>
      </c>
      <c r="F1161" s="5" t="s">
        <v>10582</v>
      </c>
      <c r="G1161" s="5" t="s">
        <v>10895</v>
      </c>
      <c r="H1161" s="5" t="s">
        <v>23</v>
      </c>
      <c r="I1161" s="6" t="s">
        <v>10896</v>
      </c>
      <c r="J1161" s="4">
        <v>100.0</v>
      </c>
      <c r="K1161" s="5" t="s">
        <v>25</v>
      </c>
      <c r="L1161" s="5" t="s">
        <v>10897</v>
      </c>
      <c r="M1161" s="5" t="s">
        <v>10898</v>
      </c>
      <c r="N1161" s="41" t="s">
        <v>10899</v>
      </c>
      <c r="O1161" s="41" t="s">
        <v>10900</v>
      </c>
      <c r="P1161" s="41" t="s">
        <v>10901</v>
      </c>
      <c r="Q1161" s="5" t="s">
        <v>30</v>
      </c>
    </row>
    <row r="1162" ht="21.0" customHeight="1">
      <c r="A1162" s="4">
        <v>1257.0</v>
      </c>
      <c r="B1162" s="5" t="s">
        <v>10902</v>
      </c>
      <c r="C1162" s="5" t="s">
        <v>2479</v>
      </c>
      <c r="D1162" s="5" t="s">
        <v>10903</v>
      </c>
      <c r="E1162" s="5" t="s">
        <v>10904</v>
      </c>
      <c r="F1162" s="5" t="s">
        <v>10582</v>
      </c>
      <c r="G1162" s="5" t="s">
        <v>10905</v>
      </c>
      <c r="H1162" s="5" t="s">
        <v>23</v>
      </c>
      <c r="I1162" s="6" t="s">
        <v>10906</v>
      </c>
      <c r="J1162" s="4">
        <v>100.0</v>
      </c>
      <c r="K1162" s="5" t="s">
        <v>25</v>
      </c>
      <c r="L1162" s="5" t="s">
        <v>10907</v>
      </c>
      <c r="M1162" s="5" t="s">
        <v>10908</v>
      </c>
      <c r="N1162" s="7" t="s">
        <v>10909</v>
      </c>
      <c r="O1162" s="9" t="s">
        <v>10910</v>
      </c>
      <c r="P1162" s="19" t="s">
        <v>10911</v>
      </c>
      <c r="Q1162" s="5" t="s">
        <v>30</v>
      </c>
    </row>
    <row r="1163" ht="21.0" customHeight="1">
      <c r="A1163" s="4">
        <v>1258.0</v>
      </c>
      <c r="B1163" s="5" t="s">
        <v>10912</v>
      </c>
      <c r="C1163" s="5" t="s">
        <v>10913</v>
      </c>
      <c r="D1163" s="5" t="s">
        <v>10903</v>
      </c>
      <c r="E1163" s="5" t="s">
        <v>10914</v>
      </c>
      <c r="F1163" s="5" t="s">
        <v>10582</v>
      </c>
      <c r="G1163" s="5" t="s">
        <v>10915</v>
      </c>
      <c r="H1163" s="5" t="s">
        <v>23</v>
      </c>
      <c r="I1163" s="6" t="s">
        <v>10916</v>
      </c>
      <c r="J1163" s="4">
        <v>100.0</v>
      </c>
      <c r="K1163" s="5" t="s">
        <v>25</v>
      </c>
      <c r="L1163" s="5" t="s">
        <v>10917</v>
      </c>
      <c r="M1163" s="5" t="s">
        <v>10918</v>
      </c>
      <c r="N1163" s="7" t="s">
        <v>10919</v>
      </c>
      <c r="O1163" s="9" t="s">
        <v>10920</v>
      </c>
      <c r="P1163" s="19" t="s">
        <v>10921</v>
      </c>
      <c r="Q1163" s="5" t="s">
        <v>30</v>
      </c>
    </row>
    <row r="1164" ht="21.0" customHeight="1">
      <c r="A1164" s="4">
        <v>1259.0</v>
      </c>
      <c r="B1164" s="5" t="s">
        <v>10922</v>
      </c>
      <c r="C1164" s="5" t="s">
        <v>2479</v>
      </c>
      <c r="D1164" s="5" t="s">
        <v>10923</v>
      </c>
      <c r="E1164" s="5" t="s">
        <v>10924</v>
      </c>
      <c r="F1164" s="5" t="s">
        <v>10582</v>
      </c>
      <c r="G1164" s="5" t="s">
        <v>10925</v>
      </c>
      <c r="H1164" s="5" t="s">
        <v>23</v>
      </c>
      <c r="I1164" s="6" t="s">
        <v>10926</v>
      </c>
      <c r="J1164" s="4">
        <v>100.0</v>
      </c>
      <c r="K1164" s="5" t="s">
        <v>25</v>
      </c>
      <c r="L1164" s="5" t="s">
        <v>10927</v>
      </c>
      <c r="M1164" s="5" t="s">
        <v>10928</v>
      </c>
      <c r="N1164" s="7" t="s">
        <v>10929</v>
      </c>
      <c r="O1164" s="9" t="s">
        <v>10930</v>
      </c>
      <c r="P1164" s="19" t="s">
        <v>10931</v>
      </c>
      <c r="Q1164" s="5" t="s">
        <v>30</v>
      </c>
    </row>
    <row r="1165" ht="21.0" customHeight="1">
      <c r="A1165" s="4">
        <v>1260.0</v>
      </c>
      <c r="B1165" s="5" t="s">
        <v>10932</v>
      </c>
      <c r="C1165" s="5" t="s">
        <v>2479</v>
      </c>
      <c r="D1165" s="5" t="s">
        <v>10933</v>
      </c>
      <c r="E1165" s="5" t="s">
        <v>10934</v>
      </c>
      <c r="F1165" s="5" t="s">
        <v>10582</v>
      </c>
      <c r="G1165" s="5" t="s">
        <v>10935</v>
      </c>
      <c r="H1165" s="5" t="s">
        <v>23</v>
      </c>
      <c r="I1165" s="6" t="s">
        <v>10936</v>
      </c>
      <c r="J1165" s="4">
        <v>100.0</v>
      </c>
      <c r="K1165" s="5" t="s">
        <v>25</v>
      </c>
      <c r="L1165" s="5" t="s">
        <v>10937</v>
      </c>
      <c r="M1165" s="5" t="s">
        <v>10938</v>
      </c>
      <c r="N1165" s="7" t="s">
        <v>10939</v>
      </c>
      <c r="O1165" s="9" t="s">
        <v>10940</v>
      </c>
      <c r="P1165" s="19" t="s">
        <v>10941</v>
      </c>
      <c r="Q1165" s="5" t="s">
        <v>30</v>
      </c>
    </row>
    <row r="1166" ht="21.0" customHeight="1">
      <c r="A1166" s="4">
        <v>1261.0</v>
      </c>
      <c r="B1166" s="5" t="s">
        <v>10942</v>
      </c>
      <c r="C1166" s="5" t="s">
        <v>2479</v>
      </c>
      <c r="D1166" s="5" t="s">
        <v>10943</v>
      </c>
      <c r="E1166" s="5" t="s">
        <v>10944</v>
      </c>
      <c r="F1166" s="5" t="s">
        <v>10582</v>
      </c>
      <c r="G1166" s="5" t="s">
        <v>10945</v>
      </c>
      <c r="H1166" s="5" t="s">
        <v>23</v>
      </c>
      <c r="I1166" s="6" t="s">
        <v>10946</v>
      </c>
      <c r="J1166" s="4">
        <v>100.0</v>
      </c>
      <c r="K1166" s="5" t="s">
        <v>84</v>
      </c>
      <c r="L1166" s="5" t="s">
        <v>10947</v>
      </c>
      <c r="M1166" s="5" t="s">
        <v>10948</v>
      </c>
      <c r="N1166" s="7" t="s">
        <v>10949</v>
      </c>
      <c r="O1166" s="9" t="s">
        <v>10950</v>
      </c>
      <c r="P1166" s="19" t="s">
        <v>10951</v>
      </c>
      <c r="Q1166" s="5" t="s">
        <v>30</v>
      </c>
    </row>
    <row r="1167" ht="21.0" customHeight="1">
      <c r="A1167" s="4">
        <v>1262.0</v>
      </c>
      <c r="B1167" s="5" t="s">
        <v>10952</v>
      </c>
      <c r="C1167" s="5" t="s">
        <v>10953</v>
      </c>
      <c r="D1167" s="5" t="s">
        <v>10954</v>
      </c>
      <c r="E1167" s="5" t="s">
        <v>10955</v>
      </c>
      <c r="F1167" s="5" t="s">
        <v>10582</v>
      </c>
      <c r="G1167" s="5" t="s">
        <v>10956</v>
      </c>
      <c r="H1167" s="5" t="s">
        <v>23</v>
      </c>
      <c r="I1167" s="6" t="s">
        <v>10957</v>
      </c>
      <c r="J1167" s="4">
        <v>100.0</v>
      </c>
      <c r="K1167" s="5" t="s">
        <v>165</v>
      </c>
      <c r="L1167" s="5" t="s">
        <v>10958</v>
      </c>
      <c r="M1167" s="5" t="s">
        <v>10959</v>
      </c>
      <c r="N1167" s="7" t="s">
        <v>10960</v>
      </c>
      <c r="O1167" s="9" t="s">
        <v>10961</v>
      </c>
      <c r="P1167" s="19" t="s">
        <v>10962</v>
      </c>
      <c r="Q1167" s="5" t="s">
        <v>30</v>
      </c>
    </row>
    <row r="1168" ht="21.0" customHeight="1">
      <c r="A1168" s="4">
        <v>1263.0</v>
      </c>
      <c r="B1168" s="5" t="s">
        <v>10963</v>
      </c>
      <c r="C1168" s="5" t="s">
        <v>2479</v>
      </c>
      <c r="D1168" s="5" t="s">
        <v>6283</v>
      </c>
      <c r="E1168" s="5" t="s">
        <v>10964</v>
      </c>
      <c r="F1168" s="5" t="s">
        <v>10582</v>
      </c>
      <c r="G1168" s="5" t="s">
        <v>10965</v>
      </c>
      <c r="H1168" s="5" t="s">
        <v>23</v>
      </c>
      <c r="I1168" s="6" t="s">
        <v>10966</v>
      </c>
      <c r="J1168" s="4">
        <v>100.0</v>
      </c>
      <c r="K1168" s="5" t="s">
        <v>157</v>
      </c>
      <c r="L1168" s="5" t="s">
        <v>10967</v>
      </c>
      <c r="M1168" s="5" t="s">
        <v>10968</v>
      </c>
      <c r="N1168" s="7" t="s">
        <v>10969</v>
      </c>
      <c r="O1168" s="9" t="s">
        <v>10970</v>
      </c>
      <c r="P1168" s="19" t="s">
        <v>10971</v>
      </c>
      <c r="Q1168" s="5" t="s">
        <v>30</v>
      </c>
    </row>
    <row r="1169" ht="21.0" customHeight="1">
      <c r="A1169" s="13">
        <v>1264.0</v>
      </c>
      <c r="B1169" s="14" t="s">
        <v>10972</v>
      </c>
      <c r="C1169" s="14" t="s">
        <v>2479</v>
      </c>
      <c r="D1169" s="14" t="s">
        <v>7513</v>
      </c>
      <c r="E1169" s="14" t="s">
        <v>10973</v>
      </c>
      <c r="F1169" s="14" t="s">
        <v>10974</v>
      </c>
      <c r="G1169" s="14" t="s">
        <v>10975</v>
      </c>
      <c r="H1169" s="14" t="s">
        <v>23</v>
      </c>
      <c r="I1169" s="15" t="s">
        <v>10976</v>
      </c>
      <c r="J1169" s="13">
        <v>100.0</v>
      </c>
      <c r="K1169" s="14" t="s">
        <v>284</v>
      </c>
      <c r="L1169" s="14" t="s">
        <v>10977</v>
      </c>
      <c r="M1169" s="14" t="s">
        <v>10978</v>
      </c>
      <c r="N1169" s="16" t="s">
        <v>10979</v>
      </c>
      <c r="O1169" s="17" t="s">
        <v>10980</v>
      </c>
      <c r="P1169" s="26" t="s">
        <v>10981</v>
      </c>
      <c r="Q1169" s="14" t="s">
        <v>30</v>
      </c>
      <c r="R1169" s="18"/>
      <c r="S1169" s="18"/>
      <c r="T1169" s="18"/>
      <c r="U1169" s="18"/>
      <c r="V1169" s="18"/>
      <c r="W1169" s="18"/>
      <c r="X1169" s="18"/>
      <c r="Y1169" s="18"/>
      <c r="Z1169" s="18"/>
    </row>
    <row r="1170" ht="21.0" customHeight="1">
      <c r="A1170" s="4">
        <v>1265.0</v>
      </c>
      <c r="B1170" s="5" t="s">
        <v>10982</v>
      </c>
      <c r="C1170" s="5" t="s">
        <v>2479</v>
      </c>
      <c r="D1170" s="5" t="s">
        <v>9267</v>
      </c>
      <c r="E1170" s="5" t="s">
        <v>10983</v>
      </c>
      <c r="F1170" s="5" t="s">
        <v>10974</v>
      </c>
      <c r="G1170" s="5" t="s">
        <v>2479</v>
      </c>
      <c r="H1170" s="5" t="s">
        <v>23</v>
      </c>
      <c r="I1170" s="6" t="s">
        <v>10984</v>
      </c>
      <c r="J1170" s="4">
        <v>100.0</v>
      </c>
      <c r="K1170" s="5" t="s">
        <v>1410</v>
      </c>
      <c r="L1170" s="5" t="s">
        <v>10985</v>
      </c>
      <c r="M1170" s="5" t="s">
        <v>10986</v>
      </c>
      <c r="N1170" s="7" t="s">
        <v>10987</v>
      </c>
      <c r="O1170" s="9" t="s">
        <v>10988</v>
      </c>
      <c r="P1170" s="19" t="s">
        <v>10989</v>
      </c>
      <c r="Q1170" s="5" t="s">
        <v>30</v>
      </c>
    </row>
    <row r="1171" ht="21.0" customHeight="1">
      <c r="A1171" s="4">
        <v>1266.0</v>
      </c>
      <c r="B1171" s="5" t="s">
        <v>10990</v>
      </c>
      <c r="C1171" s="5" t="s">
        <v>2479</v>
      </c>
      <c r="D1171" s="5" t="s">
        <v>8854</v>
      </c>
      <c r="E1171" s="5" t="s">
        <v>10991</v>
      </c>
      <c r="F1171" s="5" t="s">
        <v>10974</v>
      </c>
      <c r="G1171" s="5" t="s">
        <v>10992</v>
      </c>
      <c r="H1171" s="5" t="s">
        <v>23</v>
      </c>
      <c r="I1171" s="6" t="s">
        <v>10993</v>
      </c>
      <c r="J1171" s="4">
        <v>100.0</v>
      </c>
      <c r="K1171" s="5" t="s">
        <v>316</v>
      </c>
      <c r="L1171" s="5" t="s">
        <v>10994</v>
      </c>
      <c r="M1171" s="5" t="s">
        <v>10995</v>
      </c>
      <c r="N1171" s="7" t="s">
        <v>10996</v>
      </c>
      <c r="O1171" s="9" t="s">
        <v>10997</v>
      </c>
      <c r="P1171" s="19" t="s">
        <v>10998</v>
      </c>
      <c r="Q1171" s="5" t="s">
        <v>30</v>
      </c>
    </row>
    <row r="1172" ht="21.0" customHeight="1">
      <c r="A1172" s="4">
        <v>1267.0</v>
      </c>
      <c r="B1172" s="5" t="s">
        <v>10999</v>
      </c>
      <c r="C1172" s="5" t="s">
        <v>2479</v>
      </c>
      <c r="D1172" s="5" t="s">
        <v>11000</v>
      </c>
      <c r="E1172" s="5" t="s">
        <v>11001</v>
      </c>
      <c r="F1172" s="5" t="s">
        <v>10974</v>
      </c>
      <c r="G1172" s="5" t="s">
        <v>11002</v>
      </c>
      <c r="H1172" s="5" t="s">
        <v>23</v>
      </c>
      <c r="I1172" s="6" t="s">
        <v>11003</v>
      </c>
      <c r="J1172" s="4">
        <v>100.0</v>
      </c>
      <c r="K1172" s="5" t="s">
        <v>84</v>
      </c>
      <c r="L1172" s="5" t="s">
        <v>11004</v>
      </c>
      <c r="M1172" s="5" t="s">
        <v>11005</v>
      </c>
      <c r="N1172" s="7" t="s">
        <v>11006</v>
      </c>
      <c r="O1172" s="9" t="s">
        <v>11007</v>
      </c>
      <c r="P1172" s="19" t="s">
        <v>11008</v>
      </c>
      <c r="Q1172" s="5" t="s">
        <v>30</v>
      </c>
    </row>
    <row r="1173" ht="21.0" customHeight="1">
      <c r="A1173" s="4">
        <v>1268.0</v>
      </c>
      <c r="B1173" s="5" t="s">
        <v>11009</v>
      </c>
      <c r="C1173" s="5" t="s">
        <v>11010</v>
      </c>
      <c r="D1173" s="5" t="s">
        <v>11011</v>
      </c>
      <c r="E1173" s="5" t="s">
        <v>11012</v>
      </c>
      <c r="F1173" s="5" t="s">
        <v>10974</v>
      </c>
      <c r="G1173" s="5" t="s">
        <v>11013</v>
      </c>
      <c r="H1173" s="5" t="s">
        <v>23</v>
      </c>
      <c r="I1173" s="6" t="s">
        <v>11014</v>
      </c>
      <c r="J1173" s="4">
        <v>100.0</v>
      </c>
      <c r="K1173" s="5" t="s">
        <v>25</v>
      </c>
      <c r="L1173" s="5" t="s">
        <v>11015</v>
      </c>
      <c r="M1173" s="5" t="s">
        <v>11016</v>
      </c>
      <c r="N1173" s="7" t="s">
        <v>11017</v>
      </c>
      <c r="O1173" s="9" t="s">
        <v>11018</v>
      </c>
      <c r="P1173" s="19" t="s">
        <v>11019</v>
      </c>
      <c r="Q1173" s="5" t="s">
        <v>30</v>
      </c>
    </row>
    <row r="1174">
      <c r="A1174" s="4"/>
      <c r="B1174" s="5"/>
      <c r="C1174" s="5"/>
      <c r="D1174" s="5"/>
      <c r="E1174" s="5"/>
      <c r="F1174" s="5"/>
      <c r="G1174" s="5"/>
      <c r="H1174" s="5"/>
      <c r="I1174" s="6"/>
      <c r="J1174" s="4"/>
      <c r="K1174" s="5"/>
      <c r="L1174" s="5"/>
      <c r="M1174" s="5"/>
      <c r="N1174" s="20"/>
      <c r="O1174" s="9"/>
      <c r="P1174" s="5"/>
      <c r="Q1174" s="5"/>
    </row>
    <row r="1175">
      <c r="A1175" s="4"/>
      <c r="B1175" s="5"/>
      <c r="C1175" s="5"/>
      <c r="D1175" s="5"/>
      <c r="E1175" s="5"/>
      <c r="F1175" s="5"/>
      <c r="G1175" s="5"/>
      <c r="H1175" s="5"/>
      <c r="I1175" s="6"/>
      <c r="J1175" s="4"/>
      <c r="K1175" s="5"/>
      <c r="L1175" s="5"/>
      <c r="M1175" s="5"/>
      <c r="N1175" s="20"/>
      <c r="O1175" s="9"/>
      <c r="P1175" s="5"/>
      <c r="Q1175" s="5"/>
    </row>
    <row r="1176">
      <c r="A1176" s="4"/>
      <c r="B1176" s="5"/>
      <c r="C1176" s="5"/>
      <c r="D1176" s="5"/>
      <c r="E1176" s="5"/>
      <c r="F1176" s="5"/>
      <c r="G1176" s="5"/>
      <c r="H1176" s="5"/>
      <c r="I1176" s="6"/>
      <c r="J1176" s="4"/>
      <c r="K1176" s="5"/>
      <c r="L1176" s="5"/>
      <c r="M1176" s="5"/>
      <c r="N1176" s="20"/>
      <c r="O1176" s="9"/>
      <c r="P1176" s="5"/>
      <c r="Q1176" s="5"/>
    </row>
    <row r="1177">
      <c r="A1177" s="4"/>
      <c r="B1177" s="5"/>
      <c r="C1177" s="5"/>
      <c r="D1177" s="5"/>
      <c r="E1177" s="5"/>
      <c r="F1177" s="5"/>
      <c r="G1177" s="5"/>
      <c r="H1177" s="5"/>
      <c r="I1177" s="6"/>
      <c r="J1177" s="4"/>
      <c r="K1177" s="5"/>
      <c r="L1177" s="5"/>
      <c r="M1177" s="5"/>
      <c r="N1177" s="20"/>
      <c r="O1177" s="9"/>
      <c r="P1177" s="5"/>
      <c r="Q1177" s="5"/>
    </row>
    <row r="1178">
      <c r="A1178" s="4"/>
      <c r="B1178" s="5"/>
      <c r="C1178" s="5"/>
      <c r="D1178" s="5"/>
      <c r="E1178" s="5"/>
      <c r="F1178" s="5"/>
      <c r="G1178" s="5"/>
      <c r="H1178" s="5"/>
      <c r="I1178" s="6"/>
      <c r="J1178" s="4"/>
      <c r="K1178" s="5"/>
      <c r="L1178" s="5"/>
      <c r="M1178" s="5"/>
      <c r="N1178" s="20"/>
      <c r="O1178" s="9"/>
      <c r="P1178" s="5"/>
      <c r="Q1178" s="5"/>
    </row>
    <row r="1179">
      <c r="A1179" s="4"/>
      <c r="B1179" s="5"/>
      <c r="C1179" s="5"/>
      <c r="D1179" s="5"/>
      <c r="E1179" s="5"/>
      <c r="F1179" s="5"/>
      <c r="G1179" s="5"/>
      <c r="H1179" s="5"/>
      <c r="I1179" s="6"/>
      <c r="J1179" s="4"/>
      <c r="K1179" s="5"/>
      <c r="L1179" s="5"/>
      <c r="M1179" s="5"/>
      <c r="N1179" s="20"/>
      <c r="O1179" s="9"/>
      <c r="P1179" s="5"/>
      <c r="Q1179" s="5"/>
    </row>
    <row r="1180">
      <c r="A1180" s="4"/>
      <c r="B1180" s="5"/>
      <c r="C1180" s="5"/>
      <c r="D1180" s="5"/>
      <c r="E1180" s="5"/>
      <c r="F1180" s="5"/>
      <c r="G1180" s="5"/>
      <c r="H1180" s="5"/>
      <c r="I1180" s="6"/>
      <c r="J1180" s="4"/>
      <c r="K1180" s="5"/>
      <c r="L1180" s="5"/>
      <c r="M1180" s="5"/>
      <c r="N1180" s="20"/>
      <c r="O1180" s="9"/>
      <c r="P1180" s="5"/>
      <c r="Q1180" s="5"/>
    </row>
    <row r="1181">
      <c r="A1181" s="4"/>
      <c r="B1181" s="5"/>
      <c r="C1181" s="5"/>
      <c r="D1181" s="5"/>
      <c r="E1181" s="5"/>
      <c r="F1181" s="5"/>
      <c r="G1181" s="5"/>
      <c r="H1181" s="5"/>
      <c r="I1181" s="6"/>
      <c r="J1181" s="4"/>
      <c r="K1181" s="5"/>
      <c r="L1181" s="5"/>
      <c r="M1181" s="5"/>
      <c r="N1181" s="20"/>
      <c r="O1181" s="9"/>
      <c r="P1181" s="5"/>
      <c r="Q1181" s="5"/>
    </row>
    <row r="1182">
      <c r="A1182" s="4"/>
      <c r="B1182" s="5"/>
      <c r="C1182" s="5"/>
      <c r="D1182" s="5"/>
      <c r="E1182" s="5"/>
      <c r="F1182" s="5"/>
      <c r="G1182" s="5"/>
      <c r="H1182" s="5"/>
      <c r="I1182" s="6"/>
      <c r="J1182" s="4"/>
      <c r="K1182" s="5"/>
      <c r="L1182" s="5"/>
      <c r="M1182" s="5"/>
      <c r="N1182" s="20"/>
      <c r="O1182" s="9"/>
      <c r="P1182" s="5"/>
      <c r="Q1182" s="5"/>
    </row>
    <row r="1183">
      <c r="A1183" s="4"/>
      <c r="B1183" s="5"/>
      <c r="C1183" s="5"/>
      <c r="D1183" s="5"/>
      <c r="E1183" s="5"/>
      <c r="F1183" s="5"/>
      <c r="G1183" s="5"/>
      <c r="H1183" s="5"/>
      <c r="I1183" s="6"/>
      <c r="J1183" s="4"/>
      <c r="K1183" s="5"/>
      <c r="L1183" s="5"/>
      <c r="M1183" s="5"/>
      <c r="N1183" s="20"/>
      <c r="O1183" s="9"/>
      <c r="P1183" s="5"/>
      <c r="Q1183" s="5"/>
    </row>
    <row r="1184">
      <c r="A1184" s="4"/>
      <c r="B1184" s="5"/>
      <c r="C1184" s="5"/>
      <c r="D1184" s="5"/>
      <c r="E1184" s="5"/>
      <c r="F1184" s="5"/>
      <c r="G1184" s="5"/>
      <c r="H1184" s="5"/>
      <c r="I1184" s="6"/>
      <c r="J1184" s="4"/>
      <c r="K1184" s="5"/>
      <c r="L1184" s="5"/>
      <c r="M1184" s="5"/>
      <c r="N1184" s="20"/>
      <c r="O1184" s="9"/>
      <c r="P1184" s="5"/>
      <c r="Q1184" s="5"/>
    </row>
    <row r="1185">
      <c r="A1185" s="4"/>
      <c r="B1185" s="5"/>
      <c r="C1185" s="5"/>
      <c r="D1185" s="5"/>
      <c r="E1185" s="5"/>
      <c r="F1185" s="5"/>
      <c r="G1185" s="5"/>
      <c r="H1185" s="5"/>
      <c r="I1185" s="6"/>
      <c r="J1185" s="4"/>
      <c r="K1185" s="5"/>
      <c r="L1185" s="5"/>
      <c r="M1185" s="5"/>
      <c r="N1185" s="20"/>
      <c r="O1185" s="9"/>
      <c r="P1185" s="5"/>
      <c r="Q1185" s="5"/>
    </row>
    <row r="1186">
      <c r="A1186" s="4"/>
      <c r="B1186" s="5"/>
      <c r="C1186" s="5"/>
      <c r="D1186" s="5"/>
      <c r="E1186" s="5"/>
      <c r="F1186" s="5"/>
      <c r="G1186" s="5"/>
      <c r="H1186" s="5"/>
      <c r="I1186" s="6"/>
      <c r="J1186" s="4"/>
      <c r="K1186" s="5"/>
      <c r="L1186" s="5"/>
      <c r="M1186" s="5"/>
      <c r="N1186" s="20"/>
      <c r="O1186" s="9"/>
      <c r="P1186" s="5"/>
      <c r="Q1186" s="5"/>
    </row>
    <row r="1187">
      <c r="A1187" s="4"/>
      <c r="B1187" s="5"/>
      <c r="C1187" s="5"/>
      <c r="D1187" s="5"/>
      <c r="E1187" s="5"/>
      <c r="F1187" s="5"/>
      <c r="G1187" s="5"/>
      <c r="H1187" s="5"/>
      <c r="I1187" s="6"/>
      <c r="J1187" s="4"/>
      <c r="K1187" s="5"/>
      <c r="L1187" s="5"/>
      <c r="M1187" s="5"/>
      <c r="N1187" s="20"/>
      <c r="O1187" s="9"/>
      <c r="P1187" s="5"/>
      <c r="Q1187" s="5"/>
    </row>
    <row r="1188">
      <c r="A1188" s="4"/>
      <c r="B1188" s="5"/>
      <c r="C1188" s="5"/>
      <c r="D1188" s="5"/>
      <c r="E1188" s="5"/>
      <c r="F1188" s="5"/>
      <c r="G1188" s="5"/>
      <c r="H1188" s="5"/>
      <c r="I1188" s="6"/>
      <c r="J1188" s="4"/>
      <c r="K1188" s="5"/>
      <c r="L1188" s="5"/>
      <c r="M1188" s="5"/>
      <c r="N1188" s="20"/>
      <c r="O1188" s="9"/>
      <c r="P1188" s="5"/>
      <c r="Q1188" s="5"/>
    </row>
    <row r="1189">
      <c r="A1189" s="4"/>
      <c r="B1189" s="5"/>
      <c r="C1189" s="5"/>
      <c r="D1189" s="5"/>
      <c r="E1189" s="5"/>
      <c r="F1189" s="5"/>
      <c r="G1189" s="5"/>
      <c r="H1189" s="5"/>
      <c r="I1189" s="6"/>
      <c r="J1189" s="4"/>
      <c r="K1189" s="5"/>
      <c r="L1189" s="5"/>
      <c r="M1189" s="5"/>
      <c r="N1189" s="20"/>
      <c r="O1189" s="9"/>
      <c r="P1189" s="5"/>
      <c r="Q1189" s="5"/>
    </row>
    <row r="1190">
      <c r="A1190" s="4"/>
      <c r="B1190" s="5"/>
      <c r="C1190" s="5"/>
      <c r="D1190" s="5"/>
      <c r="E1190" s="5"/>
      <c r="F1190" s="5"/>
      <c r="G1190" s="5"/>
      <c r="H1190" s="5"/>
      <c r="I1190" s="6"/>
      <c r="J1190" s="4"/>
      <c r="K1190" s="5"/>
      <c r="L1190" s="5"/>
      <c r="M1190" s="5"/>
      <c r="N1190" s="20"/>
      <c r="O1190" s="9"/>
      <c r="P1190" s="5"/>
      <c r="Q1190" s="5"/>
    </row>
    <row r="1191">
      <c r="A1191" s="4"/>
      <c r="B1191" s="5"/>
      <c r="C1191" s="5"/>
      <c r="D1191" s="5"/>
      <c r="E1191" s="5"/>
      <c r="F1191" s="5"/>
      <c r="G1191" s="5"/>
      <c r="H1191" s="5"/>
      <c r="I1191" s="6"/>
      <c r="J1191" s="4"/>
      <c r="K1191" s="5"/>
      <c r="L1191" s="5"/>
      <c r="M1191" s="5"/>
      <c r="N1191" s="20"/>
      <c r="O1191" s="9"/>
      <c r="P1191" s="5"/>
      <c r="Q1191" s="5"/>
    </row>
    <row r="1192">
      <c r="A1192" s="4"/>
      <c r="B1192" s="5"/>
      <c r="C1192" s="5"/>
      <c r="D1192" s="5"/>
      <c r="E1192" s="5"/>
      <c r="F1192" s="5"/>
      <c r="G1192" s="5"/>
      <c r="H1192" s="5"/>
      <c r="I1192" s="6"/>
      <c r="J1192" s="4"/>
      <c r="K1192" s="5"/>
      <c r="L1192" s="5"/>
      <c r="M1192" s="5"/>
      <c r="N1192" s="20"/>
      <c r="O1192" s="9"/>
      <c r="P1192" s="5"/>
      <c r="Q1192" s="5"/>
    </row>
    <row r="1193">
      <c r="A1193" s="4"/>
      <c r="B1193" s="5"/>
      <c r="C1193" s="5"/>
      <c r="D1193" s="5"/>
      <c r="E1193" s="5"/>
      <c r="F1193" s="5"/>
      <c r="G1193" s="5"/>
      <c r="H1193" s="5"/>
      <c r="I1193" s="6"/>
      <c r="J1193" s="4"/>
      <c r="K1193" s="5"/>
      <c r="L1193" s="5"/>
      <c r="M1193" s="5"/>
      <c r="N1193" s="20"/>
      <c r="O1193" s="9"/>
      <c r="P1193" s="5"/>
      <c r="Q1193" s="5"/>
    </row>
    <row r="1194">
      <c r="A1194" s="4"/>
      <c r="B1194" s="5"/>
      <c r="C1194" s="5"/>
      <c r="D1194" s="5"/>
      <c r="E1194" s="5"/>
      <c r="F1194" s="5"/>
      <c r="G1194" s="5"/>
      <c r="H1194" s="5"/>
      <c r="I1194" s="6"/>
      <c r="J1194" s="4"/>
      <c r="K1194" s="5"/>
      <c r="L1194" s="5"/>
      <c r="M1194" s="5"/>
      <c r="N1194" s="20"/>
      <c r="O1194" s="9"/>
      <c r="P1194" s="5"/>
      <c r="Q1194" s="5"/>
    </row>
    <row r="1195">
      <c r="A1195" s="4"/>
      <c r="B1195" s="5"/>
      <c r="C1195" s="5"/>
      <c r="D1195" s="5"/>
      <c r="E1195" s="5"/>
      <c r="F1195" s="5"/>
      <c r="G1195" s="5"/>
      <c r="H1195" s="5"/>
      <c r="I1195" s="6"/>
      <c r="J1195" s="4"/>
      <c r="K1195" s="5"/>
      <c r="L1195" s="5"/>
      <c r="M1195" s="5"/>
      <c r="N1195" s="20"/>
      <c r="O1195" s="9"/>
      <c r="P1195" s="5"/>
      <c r="Q1195" s="5"/>
    </row>
    <row r="1196">
      <c r="A1196" s="4"/>
      <c r="B1196" s="5"/>
      <c r="C1196" s="5"/>
      <c r="D1196" s="5"/>
      <c r="E1196" s="5"/>
      <c r="F1196" s="5"/>
      <c r="G1196" s="5"/>
      <c r="H1196" s="5"/>
      <c r="I1196" s="6"/>
      <c r="J1196" s="4"/>
      <c r="K1196" s="5"/>
      <c r="L1196" s="5"/>
      <c r="M1196" s="5"/>
      <c r="N1196" s="20"/>
      <c r="O1196" s="9"/>
      <c r="P1196" s="5"/>
      <c r="Q1196" s="5"/>
    </row>
    <row r="1197">
      <c r="A1197" s="4"/>
      <c r="B1197" s="5"/>
      <c r="C1197" s="5"/>
      <c r="D1197" s="5"/>
      <c r="E1197" s="5"/>
      <c r="F1197" s="5"/>
      <c r="G1197" s="5"/>
      <c r="H1197" s="5"/>
      <c r="I1197" s="6"/>
      <c r="J1197" s="4"/>
      <c r="K1197" s="5"/>
      <c r="L1197" s="5"/>
      <c r="M1197" s="5"/>
      <c r="N1197" s="20"/>
      <c r="O1197" s="9"/>
      <c r="P1197" s="5"/>
      <c r="Q1197" s="5"/>
    </row>
    <row r="1198">
      <c r="A1198" s="4"/>
      <c r="B1198" s="5"/>
      <c r="C1198" s="5"/>
      <c r="D1198" s="5"/>
      <c r="E1198" s="5"/>
      <c r="F1198" s="5"/>
      <c r="G1198" s="5"/>
      <c r="H1198" s="5"/>
      <c r="I1198" s="6"/>
      <c r="J1198" s="4"/>
      <c r="K1198" s="5"/>
      <c r="L1198" s="5"/>
      <c r="M1198" s="5"/>
      <c r="N1198" s="20"/>
      <c r="O1198" s="9"/>
      <c r="P1198" s="5"/>
      <c r="Q1198" s="5"/>
    </row>
    <row r="1199">
      <c r="A1199" s="4"/>
      <c r="B1199" s="5"/>
      <c r="C1199" s="5"/>
      <c r="D1199" s="5"/>
      <c r="E1199" s="5"/>
      <c r="F1199" s="5"/>
      <c r="G1199" s="5"/>
      <c r="H1199" s="5"/>
      <c r="I1199" s="6"/>
      <c r="J1199" s="4"/>
      <c r="K1199" s="5"/>
      <c r="L1199" s="5"/>
      <c r="M1199" s="5"/>
      <c r="N1199" s="20"/>
      <c r="O1199" s="9"/>
      <c r="P1199" s="5"/>
      <c r="Q1199" s="5"/>
    </row>
    <row r="1200">
      <c r="A1200" s="4"/>
      <c r="B1200" s="5"/>
      <c r="C1200" s="5"/>
      <c r="D1200" s="5"/>
      <c r="E1200" s="5"/>
      <c r="F1200" s="5"/>
      <c r="G1200" s="5"/>
      <c r="H1200" s="5"/>
      <c r="I1200" s="6"/>
      <c r="J1200" s="4"/>
      <c r="K1200" s="5"/>
      <c r="L1200" s="5"/>
      <c r="M1200" s="5"/>
      <c r="N1200" s="20"/>
      <c r="O1200" s="9"/>
      <c r="P1200" s="5"/>
      <c r="Q1200" s="5"/>
    </row>
    <row r="1201">
      <c r="A1201" s="4"/>
      <c r="B1201" s="5"/>
      <c r="C1201" s="5"/>
      <c r="D1201" s="5"/>
      <c r="E1201" s="5"/>
      <c r="F1201" s="5"/>
      <c r="G1201" s="5"/>
      <c r="H1201" s="5"/>
      <c r="I1201" s="6"/>
      <c r="J1201" s="4"/>
      <c r="K1201" s="5"/>
      <c r="L1201" s="5"/>
      <c r="M1201" s="5"/>
      <c r="N1201" s="20"/>
      <c r="O1201" s="9"/>
      <c r="P1201" s="5"/>
      <c r="Q1201" s="5"/>
    </row>
  </sheetData>
  <autoFilter ref="$A$1:$Q$1173"/>
  <hyperlinks>
    <hyperlink r:id="rId1" ref="N2"/>
    <hyperlink r:id="rId2" ref="O2"/>
    <hyperlink r:id="rId3" ref="N3"/>
    <hyperlink r:id="rId4" ref="N4"/>
    <hyperlink r:id="rId5" ref="N5"/>
    <hyperlink r:id="rId6" ref="N6"/>
    <hyperlink r:id="rId7" ref="N7"/>
    <hyperlink r:id="rId8" ref="N8"/>
    <hyperlink r:id="rId9" ref="N9"/>
    <hyperlink r:id="rId10" ref="N10"/>
    <hyperlink r:id="rId11" ref="N11"/>
    <hyperlink r:id="rId12" ref="N12"/>
    <hyperlink r:id="rId13" ref="N13"/>
    <hyperlink r:id="rId14" ref="N14"/>
    <hyperlink r:id="rId15" ref="N15"/>
    <hyperlink r:id="rId16" ref="N16"/>
    <hyperlink r:id="rId17" ref="N17"/>
    <hyperlink r:id="rId18" ref="N18"/>
    <hyperlink r:id="rId19" ref="N19"/>
    <hyperlink r:id="rId20" ref="N20"/>
    <hyperlink r:id="rId21" ref="N21"/>
    <hyperlink r:id="rId22" ref="N22"/>
    <hyperlink r:id="rId23" ref="N23"/>
    <hyperlink r:id="rId24" ref="N24"/>
    <hyperlink r:id="rId25" ref="N25"/>
    <hyperlink r:id="rId26" ref="N26"/>
    <hyperlink r:id="rId27" ref="N27"/>
    <hyperlink r:id="rId28" ref="N28"/>
    <hyperlink r:id="rId29" ref="N29"/>
    <hyperlink r:id="rId30" ref="N30"/>
    <hyperlink r:id="rId31" ref="N31"/>
    <hyperlink r:id="rId32" ref="N32"/>
    <hyperlink r:id="rId33" ref="N33"/>
    <hyperlink r:id="rId34" ref="N34"/>
    <hyperlink r:id="rId35" ref="N35"/>
    <hyperlink r:id="rId36" ref="N36"/>
    <hyperlink r:id="rId37" ref="N37"/>
    <hyperlink r:id="rId38" ref="N38"/>
    <hyperlink r:id="rId39" ref="O38"/>
    <hyperlink r:id="rId40" ref="N39"/>
    <hyperlink r:id="rId41" ref="N40"/>
    <hyperlink r:id="rId42" ref="N41"/>
    <hyperlink r:id="rId43" ref="N42"/>
    <hyperlink r:id="rId44" ref="N43"/>
    <hyperlink r:id="rId45" ref="N44"/>
    <hyperlink r:id="rId46" ref="N45"/>
    <hyperlink r:id="rId47" ref="N46"/>
    <hyperlink r:id="rId48" ref="N47"/>
    <hyperlink r:id="rId49" ref="N48"/>
    <hyperlink r:id="rId50" ref="N49"/>
    <hyperlink r:id="rId51" ref="O49"/>
    <hyperlink r:id="rId52" ref="N50"/>
    <hyperlink r:id="rId53" ref="O50"/>
    <hyperlink r:id="rId54" ref="N51"/>
    <hyperlink r:id="rId55" ref="N52"/>
    <hyperlink r:id="rId56" ref="N53"/>
    <hyperlink r:id="rId57" ref="N54"/>
    <hyperlink r:id="rId58" ref="N55"/>
    <hyperlink r:id="rId59" ref="N56"/>
    <hyperlink r:id="rId60" ref="N57"/>
    <hyperlink r:id="rId61" ref="N58"/>
    <hyperlink r:id="rId62" ref="N59"/>
    <hyperlink r:id="rId63" ref="N60"/>
    <hyperlink r:id="rId64" ref="N61"/>
    <hyperlink r:id="rId65" ref="N62"/>
    <hyperlink r:id="rId66" ref="N63"/>
    <hyperlink r:id="rId67" ref="N64"/>
    <hyperlink r:id="rId68" ref="N65"/>
    <hyperlink r:id="rId69" ref="N66"/>
    <hyperlink r:id="rId70" ref="N67"/>
    <hyperlink r:id="rId71" ref="O67"/>
    <hyperlink r:id="rId72" ref="N68"/>
    <hyperlink r:id="rId73" ref="N69"/>
    <hyperlink r:id="rId74" ref="N70"/>
    <hyperlink r:id="rId75" ref="O70"/>
    <hyperlink r:id="rId76" ref="N71"/>
    <hyperlink r:id="rId77" ref="N72"/>
    <hyperlink r:id="rId78" ref="N73"/>
    <hyperlink r:id="rId79" ref="N74"/>
    <hyperlink r:id="rId80" ref="N75"/>
    <hyperlink r:id="rId81" ref="O75"/>
    <hyperlink r:id="rId82" ref="N76"/>
    <hyperlink r:id="rId83" ref="N77"/>
    <hyperlink r:id="rId84" ref="N78"/>
    <hyperlink r:id="rId85" ref="N79"/>
    <hyperlink r:id="rId86" ref="N80"/>
    <hyperlink r:id="rId87" ref="N81"/>
    <hyperlink r:id="rId88" ref="O81"/>
    <hyperlink r:id="rId89" ref="N82"/>
    <hyperlink r:id="rId90" ref="N83"/>
    <hyperlink r:id="rId91" ref="N84"/>
    <hyperlink r:id="rId92" ref="O84"/>
    <hyperlink r:id="rId93" ref="N85"/>
    <hyperlink r:id="rId94" ref="N86"/>
    <hyperlink r:id="rId95" ref="N87"/>
    <hyperlink r:id="rId96" ref="O87"/>
    <hyperlink r:id="rId97" ref="N88"/>
    <hyperlink r:id="rId98" ref="N89"/>
    <hyperlink r:id="rId99" ref="N90"/>
    <hyperlink r:id="rId100" ref="N91"/>
    <hyperlink r:id="rId101" ref="O91"/>
    <hyperlink r:id="rId102" ref="N92"/>
    <hyperlink r:id="rId103" ref="N93"/>
    <hyperlink r:id="rId104" ref="N94"/>
    <hyperlink r:id="rId105" ref="N95"/>
    <hyperlink r:id="rId106" ref="N96"/>
    <hyperlink r:id="rId107" ref="N97"/>
    <hyperlink r:id="rId108" ref="N98"/>
    <hyperlink r:id="rId109" ref="N99"/>
    <hyperlink r:id="rId110" ref="N100"/>
    <hyperlink r:id="rId111" ref="O100"/>
    <hyperlink r:id="rId112" ref="N101"/>
    <hyperlink r:id="rId113" ref="N102"/>
    <hyperlink r:id="rId114" ref="N103"/>
    <hyperlink r:id="rId115" ref="O103"/>
    <hyperlink r:id="rId116" ref="N104"/>
    <hyperlink r:id="rId117" ref="O104"/>
    <hyperlink r:id="rId118" ref="N105"/>
    <hyperlink r:id="rId119" ref="N106"/>
    <hyperlink r:id="rId120" ref="N107"/>
    <hyperlink r:id="rId121" ref="N108"/>
    <hyperlink r:id="rId122" ref="N109"/>
    <hyperlink r:id="rId123" ref="N110"/>
    <hyperlink r:id="rId124" ref="N111"/>
    <hyperlink r:id="rId125" ref="O111"/>
    <hyperlink r:id="rId126" ref="N112"/>
    <hyperlink r:id="rId127" ref="N113"/>
    <hyperlink r:id="rId128" ref="N114"/>
    <hyperlink r:id="rId129" ref="N115"/>
    <hyperlink r:id="rId130" ref="N116"/>
    <hyperlink r:id="rId131" ref="N117"/>
    <hyperlink r:id="rId132" ref="N118"/>
    <hyperlink r:id="rId133" ref="N119"/>
    <hyperlink r:id="rId134" ref="N120"/>
    <hyperlink r:id="rId135" ref="N121"/>
    <hyperlink r:id="rId136" ref="N122"/>
    <hyperlink r:id="rId137" ref="N123"/>
    <hyperlink r:id="rId138" ref="N124"/>
    <hyperlink r:id="rId139" ref="N125"/>
    <hyperlink r:id="rId140" ref="N126"/>
    <hyperlink r:id="rId141" ref="N127"/>
    <hyperlink r:id="rId142" ref="N128"/>
    <hyperlink r:id="rId143" ref="N129"/>
    <hyperlink r:id="rId144" ref="N130"/>
    <hyperlink r:id="rId145" ref="N131"/>
    <hyperlink r:id="rId146" ref="N132"/>
    <hyperlink r:id="rId147" ref="O132"/>
    <hyperlink r:id="rId148" ref="N133"/>
    <hyperlink r:id="rId149" ref="N134"/>
    <hyperlink r:id="rId150" ref="N135"/>
    <hyperlink r:id="rId151" ref="O135"/>
    <hyperlink r:id="rId152" ref="N136"/>
    <hyperlink r:id="rId153" ref="O136"/>
    <hyperlink r:id="rId154" ref="N137"/>
    <hyperlink r:id="rId155" ref="O137"/>
    <hyperlink r:id="rId156" ref="N138"/>
    <hyperlink r:id="rId157" ref="O138"/>
    <hyperlink r:id="rId158" ref="N139"/>
    <hyperlink r:id="rId159" ref="O139"/>
    <hyperlink r:id="rId160" ref="N140"/>
    <hyperlink r:id="rId161" ref="O140"/>
    <hyperlink r:id="rId162" ref="N141"/>
    <hyperlink r:id="rId163" ref="O141"/>
    <hyperlink r:id="rId164" ref="N142"/>
    <hyperlink r:id="rId165" ref="O142"/>
    <hyperlink r:id="rId166" ref="N143"/>
    <hyperlink r:id="rId167" ref="O143"/>
    <hyperlink r:id="rId168" ref="N144"/>
    <hyperlink r:id="rId169" ref="O144"/>
    <hyperlink r:id="rId170" ref="N145"/>
    <hyperlink r:id="rId171" ref="O145"/>
    <hyperlink r:id="rId172" ref="N146"/>
    <hyperlink r:id="rId173" ref="O146"/>
    <hyperlink r:id="rId174" ref="N147"/>
    <hyperlink r:id="rId175" ref="O147"/>
    <hyperlink r:id="rId176" ref="N148"/>
    <hyperlink r:id="rId177" ref="O148"/>
    <hyperlink r:id="rId178" ref="N149"/>
    <hyperlink r:id="rId179" ref="O149"/>
    <hyperlink r:id="rId180" ref="N150"/>
    <hyperlink r:id="rId181" ref="O150"/>
    <hyperlink r:id="rId182" ref="N151"/>
    <hyperlink r:id="rId183" ref="O151"/>
    <hyperlink r:id="rId184" ref="N152"/>
    <hyperlink r:id="rId185" ref="O152"/>
    <hyperlink r:id="rId186" ref="N153"/>
    <hyperlink r:id="rId187" ref="O153"/>
    <hyperlink r:id="rId188" ref="N154"/>
    <hyperlink r:id="rId189" ref="O154"/>
    <hyperlink r:id="rId190" ref="N155"/>
    <hyperlink r:id="rId191" ref="O155"/>
    <hyperlink r:id="rId192" ref="N156"/>
    <hyperlink r:id="rId193" ref="O156"/>
    <hyperlink r:id="rId194" ref="N157"/>
    <hyperlink r:id="rId195" ref="O157"/>
    <hyperlink r:id="rId196" ref="N158"/>
    <hyperlink r:id="rId197" ref="O158"/>
    <hyperlink r:id="rId198" ref="N159"/>
    <hyperlink r:id="rId199" ref="O159"/>
    <hyperlink r:id="rId200" ref="N160"/>
    <hyperlink r:id="rId201" ref="O160"/>
    <hyperlink r:id="rId202" ref="N161"/>
    <hyperlink r:id="rId203" ref="O161"/>
    <hyperlink r:id="rId204" ref="N162"/>
    <hyperlink r:id="rId205" ref="O162"/>
    <hyperlink r:id="rId206" ref="N163"/>
    <hyperlink r:id="rId207" ref="O163"/>
    <hyperlink r:id="rId208" ref="N164"/>
    <hyperlink r:id="rId209" ref="O164"/>
    <hyperlink r:id="rId210" ref="N165"/>
    <hyperlink r:id="rId211" ref="O165"/>
    <hyperlink r:id="rId212" ref="N166"/>
    <hyperlink r:id="rId213" ref="O166"/>
    <hyperlink r:id="rId214" ref="N167"/>
    <hyperlink r:id="rId215" ref="O167"/>
    <hyperlink r:id="rId216" ref="N168"/>
    <hyperlink r:id="rId217" ref="O168"/>
    <hyperlink r:id="rId218" ref="N169"/>
    <hyperlink r:id="rId219" ref="O169"/>
    <hyperlink r:id="rId220" ref="N170"/>
    <hyperlink r:id="rId221" ref="O170"/>
    <hyperlink r:id="rId222" ref="N171"/>
    <hyperlink r:id="rId223" ref="O171"/>
    <hyperlink r:id="rId224" ref="N172"/>
    <hyperlink r:id="rId225" ref="O172"/>
    <hyperlink r:id="rId226" ref="N173"/>
    <hyperlink r:id="rId227" ref="O173"/>
    <hyperlink r:id="rId228" ref="N174"/>
    <hyperlink r:id="rId229" ref="O174"/>
    <hyperlink r:id="rId230" ref="N175"/>
    <hyperlink r:id="rId231" ref="O175"/>
    <hyperlink r:id="rId232" ref="N176"/>
    <hyperlink r:id="rId233" ref="O176"/>
    <hyperlink r:id="rId234" ref="N177"/>
    <hyperlink r:id="rId235" ref="O177"/>
    <hyperlink r:id="rId236" ref="N178"/>
    <hyperlink r:id="rId237" ref="O178"/>
    <hyperlink r:id="rId238" ref="N179"/>
    <hyperlink r:id="rId239" ref="O179"/>
    <hyperlink r:id="rId240" ref="N180"/>
    <hyperlink r:id="rId241" ref="O180"/>
    <hyperlink r:id="rId242" ref="N181"/>
    <hyperlink r:id="rId243" ref="O181"/>
    <hyperlink r:id="rId244" ref="N182"/>
    <hyperlink r:id="rId245" ref="O182"/>
    <hyperlink r:id="rId246" ref="N183"/>
    <hyperlink r:id="rId247" ref="O183"/>
    <hyperlink r:id="rId248" ref="N184"/>
    <hyperlink r:id="rId249" ref="O184"/>
    <hyperlink r:id="rId250" ref="N185"/>
    <hyperlink r:id="rId251" ref="O185"/>
    <hyperlink r:id="rId252" ref="N186"/>
    <hyperlink r:id="rId253" ref="O186"/>
    <hyperlink r:id="rId254" ref="N187"/>
    <hyperlink r:id="rId255" ref="O187"/>
    <hyperlink r:id="rId256" ref="N188"/>
    <hyperlink r:id="rId257" ref="O188"/>
    <hyperlink r:id="rId258" ref="N189"/>
    <hyperlink r:id="rId259" ref="O189"/>
    <hyperlink r:id="rId260" ref="N190"/>
    <hyperlink r:id="rId261" ref="O190"/>
    <hyperlink r:id="rId262" ref="N191"/>
    <hyperlink r:id="rId263" ref="O191"/>
    <hyperlink r:id="rId264" ref="N192"/>
    <hyperlink r:id="rId265" ref="O192"/>
    <hyperlink r:id="rId266" ref="N193"/>
    <hyperlink r:id="rId267" ref="O193"/>
    <hyperlink r:id="rId268" ref="N194"/>
    <hyperlink r:id="rId269" ref="O194"/>
    <hyperlink r:id="rId270" ref="P194"/>
    <hyperlink r:id="rId271" ref="N195"/>
    <hyperlink r:id="rId272" ref="O195"/>
    <hyperlink r:id="rId273" ref="P195"/>
    <hyperlink r:id="rId274" ref="N196"/>
    <hyperlink r:id="rId275" ref="O196"/>
    <hyperlink r:id="rId276" ref="P196"/>
    <hyperlink r:id="rId277" ref="N197"/>
    <hyperlink r:id="rId278" ref="O197"/>
    <hyperlink r:id="rId279" ref="P197"/>
    <hyperlink r:id="rId280" ref="N198"/>
    <hyperlink r:id="rId281" ref="N199"/>
    <hyperlink r:id="rId282" ref="O199"/>
    <hyperlink r:id="rId283" ref="P199"/>
    <hyperlink r:id="rId284" ref="N200"/>
    <hyperlink r:id="rId285" ref="O200"/>
    <hyperlink r:id="rId286" ref="P200"/>
    <hyperlink r:id="rId287" ref="N201"/>
    <hyperlink r:id="rId288" ref="O201"/>
    <hyperlink r:id="rId289" ref="P201"/>
    <hyperlink r:id="rId290" ref="N202"/>
    <hyperlink r:id="rId291" ref="O202"/>
    <hyperlink r:id="rId292" ref="P202"/>
    <hyperlink r:id="rId293" ref="N203"/>
    <hyperlink r:id="rId294" ref="O203"/>
    <hyperlink r:id="rId295" ref="P203"/>
    <hyperlink r:id="rId296" ref="N204"/>
    <hyperlink r:id="rId297" ref="O204"/>
    <hyperlink r:id="rId298" ref="P204"/>
    <hyperlink r:id="rId299" ref="N205"/>
    <hyperlink r:id="rId300" ref="O205"/>
    <hyperlink r:id="rId301" ref="P205"/>
    <hyperlink r:id="rId302" ref="N206"/>
    <hyperlink r:id="rId303" ref="O206"/>
    <hyperlink r:id="rId304" ref="N207"/>
    <hyperlink r:id="rId305" ref="O207"/>
    <hyperlink r:id="rId306" ref="P207"/>
    <hyperlink r:id="rId307" ref="N208"/>
    <hyperlink r:id="rId308" ref="O208"/>
    <hyperlink r:id="rId309" ref="P208"/>
    <hyperlink r:id="rId310" ref="N209"/>
    <hyperlink r:id="rId311" ref="O209"/>
    <hyperlink r:id="rId312" ref="P209"/>
    <hyperlink r:id="rId313" ref="N210"/>
    <hyperlink r:id="rId314" ref="O210"/>
    <hyperlink r:id="rId315" ref="N211"/>
    <hyperlink r:id="rId316" ref="O211"/>
    <hyperlink r:id="rId317" ref="P211"/>
    <hyperlink r:id="rId318" ref="N212"/>
    <hyperlink r:id="rId319" ref="O212"/>
    <hyperlink r:id="rId320" ref="P212"/>
    <hyperlink r:id="rId321" ref="N213"/>
    <hyperlink r:id="rId322" ref="O213"/>
    <hyperlink r:id="rId323" ref="P213"/>
    <hyperlink r:id="rId324" ref="N214"/>
    <hyperlink r:id="rId325" ref="O214"/>
    <hyperlink r:id="rId326" ref="P214"/>
    <hyperlink r:id="rId327" ref="N215"/>
    <hyperlink r:id="rId328" ref="O215"/>
    <hyperlink r:id="rId329" ref="P215"/>
    <hyperlink r:id="rId330" ref="N216"/>
    <hyperlink r:id="rId331" ref="O216"/>
    <hyperlink r:id="rId332" ref="N217"/>
    <hyperlink r:id="rId333" ref="O217"/>
    <hyperlink r:id="rId334" ref="P217"/>
    <hyperlink r:id="rId335" ref="N218"/>
    <hyperlink r:id="rId336" ref="O218"/>
    <hyperlink r:id="rId337" ref="P218"/>
    <hyperlink r:id="rId338" ref="N219"/>
    <hyperlink r:id="rId339" ref="O219"/>
    <hyperlink r:id="rId340" ref="P219"/>
    <hyperlink r:id="rId341" ref="N220"/>
    <hyperlink r:id="rId342" ref="O220"/>
    <hyperlink r:id="rId343" ref="P220"/>
    <hyperlink r:id="rId344" ref="N221"/>
    <hyperlink r:id="rId345" ref="O221"/>
    <hyperlink r:id="rId346" ref="P221"/>
    <hyperlink r:id="rId347" ref="N222"/>
    <hyperlink r:id="rId348" ref="O222"/>
    <hyperlink r:id="rId349" ref="N223"/>
    <hyperlink r:id="rId350" ref="O223"/>
    <hyperlink r:id="rId351" ref="P223"/>
    <hyperlink r:id="rId352" ref="N224"/>
    <hyperlink r:id="rId353" ref="O224"/>
    <hyperlink r:id="rId354" ref="P224"/>
    <hyperlink r:id="rId355" ref="N225"/>
    <hyperlink r:id="rId356" ref="O225"/>
    <hyperlink r:id="rId357" ref="P225"/>
    <hyperlink r:id="rId358" ref="N226"/>
    <hyperlink r:id="rId359" ref="O226"/>
    <hyperlink r:id="rId360" ref="P226"/>
    <hyperlink r:id="rId361" ref="N227"/>
    <hyperlink r:id="rId362" ref="O227"/>
    <hyperlink r:id="rId363" ref="P227"/>
    <hyperlink r:id="rId364" ref="N228"/>
    <hyperlink r:id="rId365" ref="O228"/>
    <hyperlink r:id="rId366" ref="P228"/>
    <hyperlink r:id="rId367" ref="N229"/>
    <hyperlink r:id="rId368" ref="O229"/>
    <hyperlink r:id="rId369" ref="N230"/>
    <hyperlink r:id="rId370" ref="O230"/>
    <hyperlink r:id="rId371" ref="P230"/>
    <hyperlink r:id="rId372" ref="N231"/>
    <hyperlink r:id="rId373" ref="O231"/>
    <hyperlink r:id="rId374" ref="N232"/>
    <hyperlink r:id="rId375" ref="O232"/>
    <hyperlink r:id="rId376" ref="P232"/>
    <hyperlink r:id="rId377" ref="N233"/>
    <hyperlink r:id="rId378" ref="O233"/>
    <hyperlink r:id="rId379" ref="P233"/>
    <hyperlink r:id="rId380" ref="N234"/>
    <hyperlink r:id="rId381" ref="O234"/>
    <hyperlink r:id="rId382" ref="P234"/>
    <hyperlink r:id="rId383" ref="N235"/>
    <hyperlink r:id="rId384" ref="O235"/>
    <hyperlink r:id="rId385" ref="P235"/>
    <hyperlink r:id="rId386" ref="N236"/>
    <hyperlink r:id="rId387" ref="O236"/>
    <hyperlink r:id="rId388" ref="P236"/>
    <hyperlink r:id="rId389" ref="N237"/>
    <hyperlink r:id="rId390" ref="O237"/>
    <hyperlink r:id="rId391" ref="P237"/>
    <hyperlink r:id="rId392" ref="N238"/>
    <hyperlink r:id="rId393" ref="O238"/>
    <hyperlink r:id="rId394" ref="P238"/>
    <hyperlink r:id="rId395" ref="N239"/>
    <hyperlink r:id="rId396" ref="O239"/>
    <hyperlink r:id="rId397" ref="P239"/>
    <hyperlink r:id="rId398" ref="N240"/>
    <hyperlink r:id="rId399" ref="O240"/>
    <hyperlink r:id="rId400" ref="P240"/>
    <hyperlink r:id="rId401" ref="N241"/>
    <hyperlink r:id="rId402" ref="O241"/>
    <hyperlink r:id="rId403" ref="P241"/>
    <hyperlink r:id="rId404" ref="N242"/>
    <hyperlink r:id="rId405" ref="O242"/>
    <hyperlink r:id="rId406" ref="P242"/>
    <hyperlink r:id="rId407" ref="N243"/>
    <hyperlink r:id="rId408" ref="O243"/>
    <hyperlink r:id="rId409" ref="P243"/>
    <hyperlink r:id="rId410" ref="N244"/>
    <hyperlink r:id="rId411" ref="O244"/>
    <hyperlink r:id="rId412" ref="P244"/>
    <hyperlink r:id="rId413" ref="N245"/>
    <hyperlink r:id="rId414" ref="P245"/>
    <hyperlink r:id="rId415" ref="N246"/>
    <hyperlink r:id="rId416" ref="O246"/>
    <hyperlink r:id="rId417" ref="P246"/>
    <hyperlink r:id="rId418" ref="N247"/>
    <hyperlink r:id="rId419" ref="O247"/>
    <hyperlink r:id="rId420" ref="P247"/>
    <hyperlink r:id="rId421" ref="N248"/>
    <hyperlink r:id="rId422" ref="O248"/>
    <hyperlink r:id="rId423" ref="P248"/>
    <hyperlink r:id="rId424" ref="N249"/>
    <hyperlink r:id="rId425" ref="O249"/>
    <hyperlink r:id="rId426" ref="P249"/>
    <hyperlink r:id="rId427" ref="N250"/>
    <hyperlink r:id="rId428" ref="O250"/>
    <hyperlink r:id="rId429" ref="N251"/>
    <hyperlink r:id="rId430" ref="O251"/>
    <hyperlink r:id="rId431" ref="P251"/>
    <hyperlink r:id="rId432" ref="N252"/>
    <hyperlink r:id="rId433" ref="O252"/>
    <hyperlink r:id="rId434" ref="P252"/>
    <hyperlink r:id="rId435" ref="N253"/>
    <hyperlink r:id="rId436" ref="O253"/>
    <hyperlink r:id="rId437" ref="P253"/>
    <hyperlink r:id="rId438" ref="N254"/>
    <hyperlink r:id="rId439" ref="O254"/>
    <hyperlink r:id="rId440" ref="N255"/>
    <hyperlink r:id="rId441" ref="O255"/>
    <hyperlink r:id="rId442" ref="P255"/>
    <hyperlink r:id="rId443" ref="N256"/>
    <hyperlink r:id="rId444" ref="O256"/>
    <hyperlink r:id="rId445" ref="P256"/>
    <hyperlink r:id="rId446" ref="N257"/>
    <hyperlink r:id="rId447" ref="O257"/>
    <hyperlink r:id="rId448" ref="P257"/>
    <hyperlink r:id="rId449" ref="N258"/>
    <hyperlink r:id="rId450" ref="O258"/>
    <hyperlink r:id="rId451" ref="P258"/>
    <hyperlink r:id="rId452" ref="N259"/>
    <hyperlink r:id="rId453" ref="O259"/>
    <hyperlink r:id="rId454" ref="P259"/>
    <hyperlink r:id="rId455" ref="N260"/>
    <hyperlink r:id="rId456" ref="O260"/>
    <hyperlink r:id="rId457" ref="N261"/>
    <hyperlink r:id="rId458" ref="O261"/>
    <hyperlink r:id="rId459" ref="N262"/>
    <hyperlink r:id="rId460" ref="O262"/>
    <hyperlink r:id="rId461" ref="P262"/>
    <hyperlink r:id="rId462" ref="N263"/>
    <hyperlink r:id="rId463" ref="O263"/>
    <hyperlink r:id="rId464" ref="P263"/>
    <hyperlink r:id="rId465" ref="N264"/>
    <hyperlink r:id="rId466" ref="O264"/>
    <hyperlink r:id="rId467" ref="P264"/>
    <hyperlink r:id="rId468" ref="N265"/>
    <hyperlink r:id="rId469" ref="O265"/>
    <hyperlink r:id="rId470" ref="P265"/>
    <hyperlink r:id="rId471" ref="N266"/>
    <hyperlink r:id="rId472" ref="O266"/>
    <hyperlink r:id="rId473" ref="N267"/>
    <hyperlink r:id="rId474" ref="O267"/>
    <hyperlink r:id="rId475" ref="P267"/>
    <hyperlink r:id="rId476" ref="N268"/>
    <hyperlink r:id="rId477" ref="O268"/>
    <hyperlink r:id="rId478" ref="P268"/>
    <hyperlink r:id="rId479" ref="N269"/>
    <hyperlink r:id="rId480" ref="O269"/>
    <hyperlink r:id="rId481" ref="P269"/>
    <hyperlink r:id="rId482" ref="N270"/>
    <hyperlink r:id="rId483" ref="O270"/>
    <hyperlink r:id="rId484" ref="N271"/>
    <hyperlink r:id="rId485" ref="O271"/>
    <hyperlink r:id="rId486" ref="P271"/>
    <hyperlink r:id="rId487" ref="N272"/>
    <hyperlink r:id="rId488" ref="O272"/>
    <hyperlink r:id="rId489" ref="N273"/>
    <hyperlink r:id="rId490" ref="O273"/>
    <hyperlink r:id="rId491" ref="P273"/>
    <hyperlink r:id="rId492" ref="N274"/>
    <hyperlink r:id="rId493" ref="O274"/>
    <hyperlink r:id="rId494" ref="P274"/>
    <hyperlink r:id="rId495" ref="N275"/>
    <hyperlink r:id="rId496" ref="O275"/>
    <hyperlink r:id="rId497" ref="P275"/>
    <hyperlink r:id="rId498" ref="N276"/>
    <hyperlink r:id="rId499" ref="O276"/>
    <hyperlink r:id="rId500" ref="P276"/>
    <hyperlink r:id="rId501" ref="N277"/>
    <hyperlink r:id="rId502" ref="O277"/>
    <hyperlink r:id="rId503" ref="P277"/>
    <hyperlink r:id="rId504" ref="N278"/>
    <hyperlink r:id="rId505" ref="O278"/>
    <hyperlink r:id="rId506" ref="N279"/>
    <hyperlink r:id="rId507" ref="O279"/>
    <hyperlink r:id="rId508" ref="N280"/>
    <hyperlink r:id="rId509" ref="O280"/>
    <hyperlink r:id="rId510" ref="P280"/>
    <hyperlink r:id="rId511" ref="N281"/>
    <hyperlink r:id="rId512" ref="O281"/>
    <hyperlink r:id="rId513" ref="P281"/>
    <hyperlink r:id="rId514" ref="N282"/>
    <hyperlink r:id="rId515" ref="O282"/>
    <hyperlink r:id="rId516" ref="P282"/>
    <hyperlink r:id="rId517" ref="N283"/>
    <hyperlink r:id="rId518" ref="O283"/>
    <hyperlink r:id="rId519" ref="P283"/>
    <hyperlink r:id="rId520" ref="N284"/>
    <hyperlink r:id="rId521" ref="O284"/>
    <hyperlink r:id="rId522" ref="P284"/>
    <hyperlink r:id="rId523" ref="N285"/>
    <hyperlink r:id="rId524" ref="O285"/>
    <hyperlink r:id="rId525" ref="N286"/>
    <hyperlink r:id="rId526" ref="O286"/>
    <hyperlink r:id="rId527" ref="P286"/>
    <hyperlink r:id="rId528" ref="N287"/>
    <hyperlink r:id="rId529" ref="O287"/>
    <hyperlink r:id="rId530" ref="P287"/>
    <hyperlink r:id="rId531" ref="N288"/>
    <hyperlink r:id="rId532" ref="O288"/>
    <hyperlink r:id="rId533" ref="P288"/>
    <hyperlink r:id="rId534" ref="N289"/>
    <hyperlink r:id="rId535" ref="O289"/>
    <hyperlink r:id="rId536" ref="P289"/>
    <hyperlink r:id="rId537" ref="N290"/>
    <hyperlink r:id="rId538" ref="O290"/>
    <hyperlink r:id="rId539" ref="P290"/>
    <hyperlink r:id="rId540" ref="N291"/>
    <hyperlink r:id="rId541" ref="O291"/>
    <hyperlink r:id="rId542" ref="P291"/>
    <hyperlink r:id="rId543" ref="N292"/>
    <hyperlink r:id="rId544" ref="O292"/>
    <hyperlink r:id="rId545" ref="P292"/>
    <hyperlink r:id="rId546" ref="N293"/>
    <hyperlink r:id="rId547" ref="O293"/>
    <hyperlink r:id="rId548" ref="P293"/>
    <hyperlink r:id="rId549" ref="N294"/>
    <hyperlink r:id="rId550" ref="O294"/>
    <hyperlink r:id="rId551" ref="P294"/>
    <hyperlink r:id="rId552" ref="N295"/>
    <hyperlink r:id="rId553" ref="O295"/>
    <hyperlink r:id="rId554" ref="P295"/>
    <hyperlink r:id="rId555" ref="N296"/>
    <hyperlink r:id="rId556" ref="O296"/>
    <hyperlink r:id="rId557" ref="P296"/>
    <hyperlink r:id="rId558" ref="N297"/>
    <hyperlink r:id="rId559" ref="O297"/>
    <hyperlink r:id="rId560" ref="P297"/>
    <hyperlink r:id="rId561" ref="N298"/>
    <hyperlink r:id="rId562" ref="O298"/>
    <hyperlink r:id="rId563" ref="P298"/>
    <hyperlink r:id="rId564" ref="N299"/>
    <hyperlink r:id="rId565" ref="O299"/>
    <hyperlink r:id="rId566" ref="P299"/>
    <hyperlink r:id="rId567" ref="N300"/>
    <hyperlink r:id="rId568" ref="O300"/>
    <hyperlink r:id="rId569" ref="P300"/>
    <hyperlink r:id="rId570" ref="N301"/>
    <hyperlink r:id="rId571" ref="O301"/>
    <hyperlink r:id="rId572" ref="P301"/>
    <hyperlink r:id="rId573" ref="N302"/>
    <hyperlink r:id="rId574" ref="O302"/>
    <hyperlink r:id="rId575" ref="P302"/>
    <hyperlink r:id="rId576" ref="N303"/>
    <hyperlink r:id="rId577" ref="O303"/>
    <hyperlink r:id="rId578" ref="P303"/>
    <hyperlink r:id="rId579" ref="N304"/>
    <hyperlink r:id="rId580" ref="O304"/>
    <hyperlink r:id="rId581" ref="P304"/>
    <hyperlink r:id="rId582" ref="N305"/>
    <hyperlink r:id="rId583" ref="O305"/>
    <hyperlink r:id="rId584" ref="P305"/>
    <hyperlink r:id="rId585" ref="N306"/>
    <hyperlink r:id="rId586" ref="O306"/>
    <hyperlink r:id="rId587" ref="P306"/>
    <hyperlink r:id="rId588" ref="N307"/>
    <hyperlink r:id="rId589" ref="O307"/>
    <hyperlink r:id="rId590" ref="P307"/>
    <hyperlink r:id="rId591" ref="N308"/>
    <hyperlink r:id="rId592" ref="O308"/>
    <hyperlink r:id="rId593" ref="P308"/>
    <hyperlink r:id="rId594" ref="N309"/>
    <hyperlink r:id="rId595" ref="O309"/>
    <hyperlink r:id="rId596" ref="N310"/>
    <hyperlink r:id="rId597" ref="O310"/>
    <hyperlink r:id="rId598" ref="P310"/>
    <hyperlink r:id="rId599" ref="N311"/>
    <hyperlink r:id="rId600" ref="O311"/>
    <hyperlink r:id="rId601" ref="P311"/>
    <hyperlink r:id="rId602" ref="N312"/>
    <hyperlink r:id="rId603" ref="O312"/>
    <hyperlink r:id="rId604" ref="P312"/>
    <hyperlink r:id="rId605" ref="N313"/>
    <hyperlink r:id="rId606" ref="O313"/>
    <hyperlink r:id="rId607" ref="P313"/>
    <hyperlink r:id="rId608" ref="N314"/>
    <hyperlink r:id="rId609" ref="N315"/>
    <hyperlink r:id="rId610" ref="O315"/>
    <hyperlink r:id="rId611" ref="P315"/>
    <hyperlink r:id="rId612" ref="N316"/>
    <hyperlink r:id="rId613" ref="O316"/>
    <hyperlink r:id="rId614" ref="P316"/>
    <hyperlink r:id="rId615" ref="N317"/>
    <hyperlink r:id="rId616" ref="O317"/>
    <hyperlink r:id="rId617" ref="P317"/>
    <hyperlink r:id="rId618" ref="N318"/>
    <hyperlink r:id="rId619" ref="O318"/>
    <hyperlink r:id="rId620" ref="P318"/>
    <hyperlink r:id="rId621" ref="N319"/>
    <hyperlink r:id="rId622" ref="O319"/>
    <hyperlink r:id="rId623" ref="P319"/>
    <hyperlink r:id="rId624" ref="N320"/>
    <hyperlink r:id="rId625" ref="O320"/>
    <hyperlink r:id="rId626" ref="P320"/>
    <hyperlink r:id="rId627" ref="N321"/>
    <hyperlink r:id="rId628" ref="O321"/>
    <hyperlink r:id="rId629" ref="P321"/>
    <hyperlink r:id="rId630" ref="N322"/>
    <hyperlink r:id="rId631" ref="O322"/>
    <hyperlink r:id="rId632" ref="P322"/>
    <hyperlink r:id="rId633" ref="N323"/>
    <hyperlink r:id="rId634" ref="O323"/>
    <hyperlink r:id="rId635" ref="P323"/>
    <hyperlink r:id="rId636" ref="N324"/>
    <hyperlink r:id="rId637" ref="O324"/>
    <hyperlink r:id="rId638" ref="P324"/>
    <hyperlink r:id="rId639" ref="N325"/>
    <hyperlink r:id="rId640" ref="O325"/>
    <hyperlink r:id="rId641" ref="P325"/>
    <hyperlink r:id="rId642" ref="N326"/>
    <hyperlink r:id="rId643" ref="O326"/>
    <hyperlink r:id="rId644" ref="P326"/>
    <hyperlink r:id="rId645" ref="N327"/>
    <hyperlink r:id="rId646" ref="O327"/>
    <hyperlink r:id="rId647" ref="P327"/>
    <hyperlink r:id="rId648" ref="N328"/>
    <hyperlink r:id="rId649" ref="O328"/>
    <hyperlink r:id="rId650" ref="P328"/>
    <hyperlink r:id="rId651" ref="N329"/>
    <hyperlink r:id="rId652" ref="O329"/>
    <hyperlink r:id="rId653" ref="P329"/>
    <hyperlink r:id="rId654" ref="N330"/>
    <hyperlink r:id="rId655" ref="O330"/>
    <hyperlink r:id="rId656" ref="P330"/>
    <hyperlink r:id="rId657" ref="N331"/>
    <hyperlink r:id="rId658" ref="P331"/>
    <hyperlink r:id="rId659" ref="N332"/>
    <hyperlink r:id="rId660" ref="O332"/>
    <hyperlink r:id="rId661" ref="P332"/>
    <hyperlink r:id="rId662" ref="N333"/>
    <hyperlink r:id="rId663" ref="O333"/>
    <hyperlink r:id="rId664" ref="P333"/>
    <hyperlink r:id="rId665" ref="N334"/>
    <hyperlink r:id="rId666" ref="O334"/>
    <hyperlink r:id="rId667" ref="P334"/>
    <hyperlink r:id="rId668" ref="N335"/>
    <hyperlink r:id="rId669" ref="O335"/>
    <hyperlink r:id="rId670" ref="P335"/>
    <hyperlink r:id="rId671" ref="N336"/>
    <hyperlink r:id="rId672" ref="O336"/>
    <hyperlink r:id="rId673" ref="P336"/>
    <hyperlink r:id="rId674" ref="N337"/>
    <hyperlink r:id="rId675" ref="O337"/>
    <hyperlink r:id="rId676" ref="P337"/>
    <hyperlink r:id="rId677" ref="N338"/>
    <hyperlink r:id="rId678" ref="O338"/>
    <hyperlink r:id="rId679" ref="P338"/>
    <hyperlink r:id="rId680" ref="N339"/>
    <hyperlink r:id="rId681" ref="O339"/>
    <hyperlink r:id="rId682" ref="P339"/>
    <hyperlink r:id="rId683" ref="N340"/>
    <hyperlink r:id="rId684" ref="O340"/>
    <hyperlink r:id="rId685" ref="P340"/>
    <hyperlink r:id="rId686" ref="N341"/>
    <hyperlink r:id="rId687" ref="O341"/>
    <hyperlink r:id="rId688" ref="P341"/>
    <hyperlink r:id="rId689" ref="N342"/>
    <hyperlink r:id="rId690" ref="O342"/>
    <hyperlink r:id="rId691" ref="P342"/>
    <hyperlink r:id="rId692" ref="N343"/>
    <hyperlink r:id="rId693" ref="O343"/>
    <hyperlink r:id="rId694" ref="P343"/>
    <hyperlink r:id="rId695" ref="N344"/>
    <hyperlink r:id="rId696" ref="O344"/>
    <hyperlink r:id="rId697" ref="P344"/>
    <hyperlink r:id="rId698" ref="N345"/>
    <hyperlink r:id="rId699" ref="O345"/>
    <hyperlink r:id="rId700" ref="P345"/>
    <hyperlink r:id="rId701" ref="N346"/>
    <hyperlink r:id="rId702" ref="O346"/>
    <hyperlink r:id="rId703" ref="P346"/>
    <hyperlink r:id="rId704" ref="N347"/>
    <hyperlink r:id="rId705" ref="O347"/>
    <hyperlink r:id="rId706" ref="P347"/>
    <hyperlink r:id="rId707" ref="N348"/>
    <hyperlink r:id="rId708" ref="O348"/>
    <hyperlink r:id="rId709" ref="P348"/>
    <hyperlink r:id="rId710" ref="N349"/>
    <hyperlink r:id="rId711" ref="O349"/>
    <hyperlink r:id="rId712" ref="P349"/>
    <hyperlink r:id="rId713" ref="N350"/>
    <hyperlink r:id="rId714" ref="O350"/>
    <hyperlink r:id="rId715" ref="P350"/>
    <hyperlink r:id="rId716" ref="N351"/>
    <hyperlink r:id="rId717" ref="O351"/>
    <hyperlink r:id="rId718" ref="P351"/>
    <hyperlink r:id="rId719" ref="N352"/>
    <hyperlink r:id="rId720" ref="O352"/>
    <hyperlink r:id="rId721" ref="P352"/>
    <hyperlink r:id="rId722" ref="N353"/>
    <hyperlink r:id="rId723" ref="O353"/>
    <hyperlink r:id="rId724" ref="P353"/>
    <hyperlink r:id="rId725" ref="N354"/>
    <hyperlink r:id="rId726" ref="O354"/>
    <hyperlink r:id="rId727" ref="P354"/>
    <hyperlink r:id="rId728" ref="N355"/>
    <hyperlink r:id="rId729" ref="O355"/>
    <hyperlink r:id="rId730" ref="P355"/>
    <hyperlink r:id="rId731" ref="N356"/>
    <hyperlink r:id="rId732" ref="O356"/>
    <hyperlink r:id="rId733" ref="P356"/>
    <hyperlink r:id="rId734" ref="N357"/>
    <hyperlink r:id="rId735" ref="O357"/>
    <hyperlink r:id="rId736" ref="P357"/>
    <hyperlink r:id="rId737" ref="N358"/>
    <hyperlink r:id="rId738" ref="O358"/>
    <hyperlink r:id="rId739" ref="P358"/>
    <hyperlink r:id="rId740" ref="N359"/>
    <hyperlink r:id="rId741" ref="O359"/>
    <hyperlink r:id="rId742" ref="P359"/>
    <hyperlink r:id="rId743" ref="N360"/>
    <hyperlink r:id="rId744" ref="O360"/>
    <hyperlink r:id="rId745" ref="P360"/>
    <hyperlink r:id="rId746" ref="N361"/>
    <hyperlink r:id="rId747" ref="O361"/>
    <hyperlink r:id="rId748" ref="P361"/>
    <hyperlink r:id="rId749" ref="N362"/>
    <hyperlink r:id="rId750" ref="O362"/>
    <hyperlink r:id="rId751" ref="P362"/>
    <hyperlink r:id="rId752" ref="N363"/>
    <hyperlink r:id="rId753" ref="O363"/>
    <hyperlink r:id="rId754" ref="P363"/>
    <hyperlink r:id="rId755" ref="N364"/>
    <hyperlink r:id="rId756" ref="O364"/>
    <hyperlink r:id="rId757" ref="P364"/>
    <hyperlink r:id="rId758" ref="N365"/>
    <hyperlink r:id="rId759" ref="O365"/>
    <hyperlink r:id="rId760" ref="P365"/>
    <hyperlink r:id="rId761" ref="N366"/>
    <hyperlink r:id="rId762" ref="O366"/>
    <hyperlink r:id="rId763" ref="P366"/>
    <hyperlink r:id="rId764" ref="N367"/>
    <hyperlink r:id="rId765" ref="O367"/>
    <hyperlink r:id="rId766" ref="P367"/>
    <hyperlink r:id="rId767" ref="N368"/>
    <hyperlink r:id="rId768" ref="O368"/>
    <hyperlink r:id="rId769" ref="P368"/>
    <hyperlink r:id="rId770" ref="N369"/>
    <hyperlink r:id="rId771" ref="O369"/>
    <hyperlink r:id="rId772" ref="P369"/>
    <hyperlink r:id="rId773" ref="N370"/>
    <hyperlink r:id="rId774" ref="O370"/>
    <hyperlink r:id="rId775" ref="P370"/>
    <hyperlink r:id="rId776" ref="N371"/>
    <hyperlink r:id="rId777" ref="O371"/>
    <hyperlink r:id="rId778" ref="P371"/>
    <hyperlink r:id="rId779" ref="N372"/>
    <hyperlink r:id="rId780" ref="O372"/>
    <hyperlink r:id="rId781" ref="P372"/>
    <hyperlink r:id="rId782" ref="N373"/>
    <hyperlink r:id="rId783" ref="O373"/>
    <hyperlink r:id="rId784" ref="N374"/>
    <hyperlink r:id="rId785" ref="O374"/>
    <hyperlink r:id="rId786" ref="P374"/>
    <hyperlink r:id="rId787" ref="N375"/>
    <hyperlink r:id="rId788" ref="O375"/>
    <hyperlink r:id="rId789" ref="P375"/>
    <hyperlink r:id="rId790" ref="N376"/>
    <hyperlink r:id="rId791" ref="O376"/>
    <hyperlink r:id="rId792" ref="P376"/>
    <hyperlink r:id="rId793" ref="N377"/>
    <hyperlink r:id="rId794" ref="O377"/>
    <hyperlink r:id="rId795" ref="P377"/>
    <hyperlink r:id="rId796" ref="N378"/>
    <hyperlink r:id="rId797" ref="O378"/>
    <hyperlink r:id="rId798" ref="P378"/>
    <hyperlink r:id="rId799" ref="N379"/>
    <hyperlink r:id="rId800" ref="O379"/>
    <hyperlink r:id="rId801" ref="P379"/>
    <hyperlink r:id="rId802" ref="N380"/>
    <hyperlink r:id="rId803" ref="O380"/>
    <hyperlink r:id="rId804" ref="P380"/>
    <hyperlink r:id="rId805" ref="N381"/>
    <hyperlink r:id="rId806" ref="O381"/>
    <hyperlink r:id="rId807" ref="P381"/>
    <hyperlink r:id="rId808" ref="N382"/>
    <hyperlink r:id="rId809" ref="O382"/>
    <hyperlink r:id="rId810" ref="P382"/>
    <hyperlink r:id="rId811" ref="N383"/>
    <hyperlink r:id="rId812" ref="O383"/>
    <hyperlink r:id="rId813" ref="P383"/>
    <hyperlink r:id="rId814" ref="N384"/>
    <hyperlink r:id="rId815" ref="O384"/>
    <hyperlink r:id="rId816" ref="P384"/>
    <hyperlink r:id="rId817" ref="N385"/>
    <hyperlink r:id="rId818" ref="O385"/>
    <hyperlink r:id="rId819" ref="P385"/>
    <hyperlink r:id="rId820" ref="N386"/>
    <hyperlink r:id="rId821" ref="O386"/>
    <hyperlink r:id="rId822" ref="P386"/>
    <hyperlink r:id="rId823" ref="N387"/>
    <hyperlink r:id="rId824" ref="O387"/>
    <hyperlink r:id="rId825" ref="P387"/>
    <hyperlink r:id="rId826" ref="N388"/>
    <hyperlink r:id="rId827" ref="O388"/>
    <hyperlink r:id="rId828" ref="P388"/>
    <hyperlink r:id="rId829" ref="N389"/>
    <hyperlink r:id="rId830" ref="O389"/>
    <hyperlink r:id="rId831" ref="P389"/>
    <hyperlink r:id="rId832" ref="N390"/>
    <hyperlink r:id="rId833" ref="O390"/>
    <hyperlink r:id="rId834" ref="P390"/>
    <hyperlink r:id="rId835" ref="N391"/>
    <hyperlink r:id="rId836" ref="O391"/>
    <hyperlink r:id="rId837" ref="P391"/>
    <hyperlink r:id="rId838" ref="N392"/>
    <hyperlink r:id="rId839" ref="O392"/>
    <hyperlink r:id="rId840" ref="P392"/>
    <hyperlink r:id="rId841" ref="N393"/>
    <hyperlink r:id="rId842" ref="O393"/>
    <hyperlink r:id="rId843" ref="P393"/>
    <hyperlink r:id="rId844" ref="N394"/>
    <hyperlink r:id="rId845" ref="O394"/>
    <hyperlink r:id="rId846" ref="P394"/>
    <hyperlink r:id="rId847" ref="N395"/>
    <hyperlink r:id="rId848" ref="O395"/>
    <hyperlink r:id="rId849" ref="P395"/>
    <hyperlink r:id="rId850" ref="N396"/>
    <hyperlink r:id="rId851" ref="O396"/>
    <hyperlink r:id="rId852" ref="P396"/>
    <hyperlink r:id="rId853" ref="N397"/>
    <hyperlink r:id="rId854" ref="O397"/>
    <hyperlink r:id="rId855" ref="P397"/>
    <hyperlink r:id="rId856" ref="N398"/>
    <hyperlink r:id="rId857" ref="O398"/>
    <hyperlink r:id="rId858" ref="P398"/>
    <hyperlink r:id="rId859" ref="N399"/>
    <hyperlink r:id="rId860" ref="O399"/>
    <hyperlink r:id="rId861" ref="P399"/>
    <hyperlink r:id="rId862" ref="N400"/>
    <hyperlink r:id="rId863" ref="O400"/>
    <hyperlink r:id="rId864" ref="P400"/>
    <hyperlink r:id="rId865" ref="N401"/>
    <hyperlink r:id="rId866" ref="O401"/>
    <hyperlink r:id="rId867" ref="P401"/>
    <hyperlink r:id="rId868" ref="N402"/>
    <hyperlink r:id="rId869" ref="O402"/>
    <hyperlink r:id="rId870" ref="P402"/>
    <hyperlink r:id="rId871" ref="N403"/>
    <hyperlink r:id="rId872" ref="O403"/>
    <hyperlink r:id="rId873" ref="P403"/>
    <hyperlink r:id="rId874" ref="N404"/>
    <hyperlink r:id="rId875" ref="O404"/>
    <hyperlink r:id="rId876" ref="P404"/>
    <hyperlink r:id="rId877" ref="N405"/>
    <hyperlink r:id="rId878" ref="O405"/>
    <hyperlink r:id="rId879" ref="P405"/>
    <hyperlink r:id="rId880" ref="N406"/>
    <hyperlink r:id="rId881" ref="O406"/>
    <hyperlink r:id="rId882" ref="P406"/>
    <hyperlink r:id="rId883" ref="N407"/>
    <hyperlink r:id="rId884" ref="O407"/>
    <hyperlink r:id="rId885" ref="P407"/>
    <hyperlink r:id="rId886" ref="N408"/>
    <hyperlink r:id="rId887" ref="O408"/>
    <hyperlink r:id="rId888" ref="P408"/>
    <hyperlink r:id="rId889" ref="N409"/>
    <hyperlink r:id="rId890" ref="O409"/>
    <hyperlink r:id="rId891" ref="P409"/>
    <hyperlink r:id="rId892" ref="N410"/>
    <hyperlink r:id="rId893" ref="O410"/>
    <hyperlink r:id="rId894" ref="P410"/>
    <hyperlink r:id="rId895" ref="N411"/>
    <hyperlink r:id="rId896" ref="O411"/>
    <hyperlink r:id="rId897" ref="P411"/>
    <hyperlink r:id="rId898" ref="N412"/>
    <hyperlink r:id="rId899" ref="O412"/>
    <hyperlink r:id="rId900" ref="P412"/>
    <hyperlink r:id="rId901" ref="N413"/>
    <hyperlink r:id="rId902" ref="O413"/>
    <hyperlink r:id="rId903" ref="P413"/>
    <hyperlink r:id="rId904" ref="N414"/>
    <hyperlink r:id="rId905" ref="O414"/>
    <hyperlink r:id="rId906" ref="P414"/>
    <hyperlink r:id="rId907" ref="N415"/>
    <hyperlink r:id="rId908" ref="O415"/>
    <hyperlink r:id="rId909" ref="P415"/>
    <hyperlink r:id="rId910" ref="N416"/>
    <hyperlink r:id="rId911" ref="O416"/>
    <hyperlink r:id="rId912" ref="N417"/>
    <hyperlink r:id="rId913" ref="O417"/>
    <hyperlink r:id="rId914" ref="P417"/>
    <hyperlink r:id="rId915" ref="N418"/>
    <hyperlink r:id="rId916" ref="O418"/>
    <hyperlink r:id="rId917" ref="P418"/>
    <hyperlink r:id="rId918" ref="N419"/>
    <hyperlink r:id="rId919" ref="O419"/>
    <hyperlink r:id="rId920" ref="P419"/>
    <hyperlink r:id="rId921" ref="N420"/>
    <hyperlink r:id="rId922" ref="O420"/>
    <hyperlink r:id="rId923" ref="P420"/>
    <hyperlink r:id="rId924" ref="N421"/>
    <hyperlink r:id="rId925" ref="O421"/>
    <hyperlink r:id="rId926" ref="P421"/>
    <hyperlink r:id="rId927" ref="N422"/>
    <hyperlink r:id="rId928" ref="O422"/>
    <hyperlink r:id="rId929" ref="P422"/>
    <hyperlink r:id="rId930" ref="N423"/>
    <hyperlink r:id="rId931" ref="O423"/>
    <hyperlink r:id="rId932" ref="P423"/>
    <hyperlink r:id="rId933" ref="N424"/>
    <hyperlink r:id="rId934" ref="O424"/>
    <hyperlink r:id="rId935" ref="P424"/>
    <hyperlink r:id="rId936" ref="N425"/>
    <hyperlink r:id="rId937" ref="O425"/>
    <hyperlink r:id="rId938" ref="P425"/>
    <hyperlink r:id="rId939" ref="N426"/>
    <hyperlink r:id="rId940" ref="O426"/>
    <hyperlink r:id="rId941" ref="P426"/>
    <hyperlink r:id="rId942" ref="N427"/>
    <hyperlink r:id="rId943" ref="O427"/>
    <hyperlink r:id="rId944" ref="P427"/>
    <hyperlink r:id="rId945" ref="N428"/>
    <hyperlink r:id="rId946" ref="O428"/>
    <hyperlink r:id="rId947" ref="P428"/>
    <hyperlink r:id="rId948" ref="N429"/>
    <hyperlink r:id="rId949" ref="O429"/>
    <hyperlink r:id="rId950" ref="P429"/>
    <hyperlink r:id="rId951" ref="N430"/>
    <hyperlink r:id="rId952" ref="O430"/>
    <hyperlink r:id="rId953" ref="P430"/>
    <hyperlink r:id="rId954" ref="N431"/>
    <hyperlink r:id="rId955" ref="O431"/>
    <hyperlink r:id="rId956" ref="P431"/>
    <hyperlink r:id="rId957" ref="N432"/>
    <hyperlink r:id="rId958" ref="O432"/>
    <hyperlink r:id="rId959" ref="P432"/>
    <hyperlink r:id="rId960" ref="N433"/>
    <hyperlink r:id="rId961" ref="O433"/>
    <hyperlink r:id="rId962" ref="P433"/>
    <hyperlink r:id="rId963" ref="N434"/>
    <hyperlink r:id="rId964" ref="O434"/>
    <hyperlink r:id="rId965" ref="P434"/>
    <hyperlink r:id="rId966" ref="N435"/>
    <hyperlink r:id="rId967" ref="O435"/>
    <hyperlink r:id="rId968" ref="N436"/>
    <hyperlink r:id="rId969" ref="O436"/>
    <hyperlink r:id="rId970" ref="P436"/>
    <hyperlink r:id="rId971" ref="N437"/>
    <hyperlink r:id="rId972" ref="O437"/>
    <hyperlink r:id="rId973" ref="P437"/>
    <hyperlink r:id="rId974" ref="N438"/>
    <hyperlink r:id="rId975" ref="O438"/>
    <hyperlink r:id="rId976" ref="P438"/>
    <hyperlink r:id="rId977" ref="N439"/>
    <hyperlink r:id="rId978" ref="O439"/>
    <hyperlink r:id="rId979" ref="P439"/>
    <hyperlink r:id="rId980" ref="N440"/>
    <hyperlink r:id="rId981" ref="O440"/>
    <hyperlink r:id="rId982" ref="P440"/>
    <hyperlink r:id="rId983" ref="N441"/>
    <hyperlink r:id="rId984" ref="O441"/>
    <hyperlink r:id="rId985" ref="P441"/>
    <hyperlink r:id="rId986" ref="N442"/>
    <hyperlink r:id="rId987" ref="O442"/>
    <hyperlink r:id="rId988" ref="P442"/>
    <hyperlink r:id="rId989" ref="N443"/>
    <hyperlink r:id="rId990" ref="O443"/>
    <hyperlink r:id="rId991" ref="P443"/>
    <hyperlink r:id="rId992" ref="N444"/>
    <hyperlink r:id="rId993" ref="O444"/>
    <hyperlink r:id="rId994" ref="P444"/>
    <hyperlink r:id="rId995" ref="N445"/>
    <hyperlink r:id="rId996" ref="O445"/>
    <hyperlink r:id="rId997" ref="P445"/>
    <hyperlink r:id="rId998" ref="N446"/>
    <hyperlink r:id="rId999" ref="O446"/>
    <hyperlink r:id="rId1000" ref="P446"/>
    <hyperlink r:id="rId1001" ref="N447"/>
    <hyperlink r:id="rId1002" ref="O447"/>
    <hyperlink r:id="rId1003" ref="N448"/>
    <hyperlink r:id="rId1004" ref="O448"/>
    <hyperlink r:id="rId1005" ref="P448"/>
    <hyperlink r:id="rId1006" ref="N449"/>
    <hyperlink r:id="rId1007" ref="O449"/>
    <hyperlink r:id="rId1008" ref="P449"/>
    <hyperlink r:id="rId1009" ref="N450"/>
    <hyperlink r:id="rId1010" ref="O450"/>
    <hyperlink r:id="rId1011" ref="P450"/>
    <hyperlink r:id="rId1012" ref="N451"/>
    <hyperlink r:id="rId1013" ref="O451"/>
    <hyperlink r:id="rId1014" ref="P451"/>
    <hyperlink r:id="rId1015" ref="N452"/>
    <hyperlink r:id="rId1016" ref="O452"/>
    <hyperlink r:id="rId1017" ref="P452"/>
    <hyperlink r:id="rId1018" ref="N453"/>
    <hyperlink r:id="rId1019" ref="O453"/>
    <hyperlink r:id="rId1020" ref="P453"/>
    <hyperlink r:id="rId1021" ref="N454"/>
    <hyperlink r:id="rId1022" ref="O454"/>
    <hyperlink r:id="rId1023" ref="P454"/>
    <hyperlink r:id="rId1024" ref="N455"/>
    <hyperlink r:id="rId1025" ref="O455"/>
    <hyperlink r:id="rId1026" ref="N456"/>
    <hyperlink r:id="rId1027" ref="O456"/>
    <hyperlink r:id="rId1028" ref="P456"/>
    <hyperlink r:id="rId1029" ref="N457"/>
    <hyperlink r:id="rId1030" ref="O457"/>
    <hyperlink r:id="rId1031" ref="P457"/>
    <hyperlink r:id="rId1032" ref="N458"/>
    <hyperlink r:id="rId1033" ref="O458"/>
    <hyperlink r:id="rId1034" ref="P458"/>
    <hyperlink r:id="rId1035" ref="N459"/>
    <hyperlink r:id="rId1036" ref="O459"/>
    <hyperlink r:id="rId1037" ref="P459"/>
    <hyperlink r:id="rId1038" ref="N460"/>
    <hyperlink r:id="rId1039" ref="O460"/>
    <hyperlink r:id="rId1040" ref="P460"/>
    <hyperlink r:id="rId1041" ref="N461"/>
    <hyperlink r:id="rId1042" ref="O461"/>
    <hyperlink r:id="rId1043" ref="P461"/>
    <hyperlink r:id="rId1044" ref="N462"/>
    <hyperlink r:id="rId1045" ref="O462"/>
    <hyperlink r:id="rId1046" ref="P462"/>
    <hyperlink r:id="rId1047" ref="N463"/>
    <hyperlink r:id="rId1048" ref="O463"/>
    <hyperlink r:id="rId1049" ref="P463"/>
    <hyperlink r:id="rId1050" ref="N464"/>
    <hyperlink r:id="rId1051" ref="O464"/>
    <hyperlink r:id="rId1052" ref="P464"/>
    <hyperlink r:id="rId1053" ref="N465"/>
    <hyperlink r:id="rId1054" ref="O465"/>
    <hyperlink r:id="rId1055" ref="P465"/>
    <hyperlink r:id="rId1056" ref="N466"/>
    <hyperlink r:id="rId1057" ref="O466"/>
    <hyperlink r:id="rId1058" ref="P466"/>
    <hyperlink r:id="rId1059" ref="N467"/>
    <hyperlink r:id="rId1060" ref="O467"/>
    <hyperlink r:id="rId1061" ref="P467"/>
    <hyperlink r:id="rId1062" ref="N468"/>
    <hyperlink r:id="rId1063" ref="O468"/>
    <hyperlink r:id="rId1064" ref="P468"/>
    <hyperlink r:id="rId1065" ref="N469"/>
    <hyperlink r:id="rId1066" ref="O469"/>
    <hyperlink r:id="rId1067" ref="P469"/>
    <hyperlink r:id="rId1068" ref="N470"/>
    <hyperlink r:id="rId1069" ref="O470"/>
    <hyperlink r:id="rId1070" ref="P470"/>
    <hyperlink r:id="rId1071" ref="N471"/>
    <hyperlink r:id="rId1072" ref="O471"/>
    <hyperlink r:id="rId1073" ref="P471"/>
    <hyperlink r:id="rId1074" ref="N472"/>
    <hyperlink r:id="rId1075" ref="O472"/>
    <hyperlink r:id="rId1076" ref="N473"/>
    <hyperlink r:id="rId1077" ref="O473"/>
    <hyperlink r:id="rId1078" ref="P473"/>
    <hyperlink r:id="rId1079" ref="N474"/>
    <hyperlink r:id="rId1080" ref="O474"/>
    <hyperlink r:id="rId1081" ref="P474"/>
    <hyperlink r:id="rId1082" ref="N475"/>
    <hyperlink r:id="rId1083" ref="O475"/>
    <hyperlink r:id="rId1084" ref="P475"/>
    <hyperlink r:id="rId1085" ref="N476"/>
    <hyperlink r:id="rId1086" ref="O476"/>
    <hyperlink r:id="rId1087" ref="P476"/>
    <hyperlink r:id="rId1088" ref="N477"/>
    <hyperlink r:id="rId1089" ref="O477"/>
    <hyperlink r:id="rId1090" ref="P477"/>
    <hyperlink r:id="rId1091" ref="N478"/>
    <hyperlink r:id="rId1092" ref="O478"/>
    <hyperlink r:id="rId1093" ref="P478"/>
    <hyperlink r:id="rId1094" ref="N479"/>
    <hyperlink r:id="rId1095" ref="O479"/>
    <hyperlink r:id="rId1096" ref="P479"/>
    <hyperlink r:id="rId1097" ref="N480"/>
    <hyperlink r:id="rId1098" ref="O480"/>
    <hyperlink r:id="rId1099" ref="P480"/>
    <hyperlink r:id="rId1100" ref="N481"/>
    <hyperlink r:id="rId1101" ref="O481"/>
    <hyperlink r:id="rId1102" ref="P481"/>
    <hyperlink r:id="rId1103" ref="N482"/>
    <hyperlink r:id="rId1104" ref="O482"/>
    <hyperlink r:id="rId1105" ref="P482"/>
    <hyperlink r:id="rId1106" ref="N483"/>
    <hyperlink r:id="rId1107" ref="O483"/>
    <hyperlink r:id="rId1108" ref="P483"/>
    <hyperlink r:id="rId1109" ref="N484"/>
    <hyperlink r:id="rId1110" ref="O484"/>
    <hyperlink r:id="rId1111" ref="P484"/>
    <hyperlink r:id="rId1112" ref="N485"/>
    <hyperlink r:id="rId1113" ref="O485"/>
    <hyperlink r:id="rId1114" ref="P485"/>
    <hyperlink r:id="rId1115" ref="N486"/>
    <hyperlink r:id="rId1116" ref="O486"/>
    <hyperlink r:id="rId1117" ref="P486"/>
    <hyperlink r:id="rId1118" ref="N487"/>
    <hyperlink r:id="rId1119" ref="O487"/>
    <hyperlink r:id="rId1120" ref="P487"/>
    <hyperlink r:id="rId1121" ref="N488"/>
    <hyperlink r:id="rId1122" ref="O488"/>
    <hyperlink r:id="rId1123" ref="P488"/>
    <hyperlink r:id="rId1124" ref="N489"/>
    <hyperlink r:id="rId1125" ref="O489"/>
    <hyperlink r:id="rId1126" ref="P489"/>
    <hyperlink r:id="rId1127" ref="N490"/>
    <hyperlink r:id="rId1128" ref="O490"/>
    <hyperlink r:id="rId1129" ref="P490"/>
    <hyperlink r:id="rId1130" ref="N491"/>
    <hyperlink r:id="rId1131" ref="O491"/>
    <hyperlink r:id="rId1132" ref="P491"/>
    <hyperlink r:id="rId1133" ref="N492"/>
    <hyperlink r:id="rId1134" ref="O492"/>
    <hyperlink r:id="rId1135" ref="P492"/>
    <hyperlink r:id="rId1136" ref="N493"/>
    <hyperlink r:id="rId1137" ref="O493"/>
    <hyperlink r:id="rId1138" ref="P493"/>
    <hyperlink r:id="rId1139" ref="N494"/>
    <hyperlink r:id="rId1140" ref="O494"/>
    <hyperlink r:id="rId1141" ref="P494"/>
    <hyperlink r:id="rId1142" ref="N495"/>
    <hyperlink r:id="rId1143" ref="O495"/>
    <hyperlink r:id="rId1144" ref="P495"/>
    <hyperlink r:id="rId1145" ref="N496"/>
    <hyperlink r:id="rId1146" ref="O496"/>
    <hyperlink r:id="rId1147" ref="P496"/>
    <hyperlink r:id="rId1148" ref="N497"/>
    <hyperlink r:id="rId1149" ref="O497"/>
    <hyperlink r:id="rId1150" ref="P497"/>
    <hyperlink r:id="rId1151" ref="N498"/>
    <hyperlink r:id="rId1152" ref="O498"/>
    <hyperlink r:id="rId1153" ref="P498"/>
    <hyperlink r:id="rId1154" ref="N499"/>
    <hyperlink r:id="rId1155" ref="O499"/>
    <hyperlink r:id="rId1156" ref="P499"/>
    <hyperlink r:id="rId1157" ref="N500"/>
    <hyperlink r:id="rId1158" ref="O500"/>
    <hyperlink r:id="rId1159" ref="P500"/>
    <hyperlink r:id="rId1160" ref="N501"/>
    <hyperlink r:id="rId1161" ref="O501"/>
    <hyperlink r:id="rId1162" ref="P501"/>
    <hyperlink r:id="rId1163" ref="N502"/>
    <hyperlink r:id="rId1164" ref="O502"/>
    <hyperlink r:id="rId1165" ref="P502"/>
    <hyperlink r:id="rId1166" ref="N503"/>
    <hyperlink r:id="rId1167" ref="O503"/>
    <hyperlink r:id="rId1168" ref="P503"/>
    <hyperlink r:id="rId1169" ref="N504"/>
    <hyperlink r:id="rId1170" ref="O504"/>
    <hyperlink r:id="rId1171" ref="P504"/>
    <hyperlink r:id="rId1172" ref="N505"/>
    <hyperlink r:id="rId1173" ref="O505"/>
    <hyperlink r:id="rId1174" ref="P505"/>
    <hyperlink r:id="rId1175" ref="N506"/>
    <hyperlink r:id="rId1176" ref="O506"/>
    <hyperlink r:id="rId1177" ref="P506"/>
    <hyperlink r:id="rId1178" ref="N507"/>
    <hyperlink r:id="rId1179" ref="O507"/>
    <hyperlink r:id="rId1180" ref="P507"/>
    <hyperlink r:id="rId1181" ref="N508"/>
    <hyperlink r:id="rId1182" ref="O508"/>
    <hyperlink r:id="rId1183" ref="P508"/>
    <hyperlink r:id="rId1184" ref="N509"/>
    <hyperlink r:id="rId1185" ref="O509"/>
    <hyperlink r:id="rId1186" ref="P509"/>
    <hyperlink r:id="rId1187" ref="N510"/>
    <hyperlink r:id="rId1188" ref="O510"/>
    <hyperlink r:id="rId1189" ref="P510"/>
    <hyperlink r:id="rId1190" ref="N511"/>
    <hyperlink r:id="rId1191" ref="O511"/>
    <hyperlink r:id="rId1192" ref="P511"/>
    <hyperlink r:id="rId1193" ref="N512"/>
    <hyperlink r:id="rId1194" ref="O512"/>
    <hyperlink r:id="rId1195" ref="P512"/>
    <hyperlink r:id="rId1196" ref="N513"/>
    <hyperlink r:id="rId1197" ref="O513"/>
    <hyperlink r:id="rId1198" ref="P513"/>
    <hyperlink r:id="rId1199" ref="N514"/>
    <hyperlink r:id="rId1200" ref="O514"/>
    <hyperlink r:id="rId1201" ref="P514"/>
    <hyperlink r:id="rId1202" ref="N515"/>
    <hyperlink r:id="rId1203" ref="O515"/>
    <hyperlink r:id="rId1204" ref="P515"/>
    <hyperlink r:id="rId1205" ref="N516"/>
    <hyperlink r:id="rId1206" ref="O516"/>
    <hyperlink r:id="rId1207" ref="P516"/>
    <hyperlink r:id="rId1208" ref="N517"/>
    <hyperlink r:id="rId1209" ref="O517"/>
    <hyperlink r:id="rId1210" ref="P517"/>
    <hyperlink r:id="rId1211" ref="N518"/>
    <hyperlink r:id="rId1212" ref="O518"/>
    <hyperlink r:id="rId1213" ref="P518"/>
    <hyperlink r:id="rId1214" ref="N519"/>
    <hyperlink r:id="rId1215" ref="O519"/>
    <hyperlink r:id="rId1216" ref="P519"/>
    <hyperlink r:id="rId1217" ref="N520"/>
    <hyperlink r:id="rId1218" ref="O520"/>
    <hyperlink r:id="rId1219" ref="P520"/>
    <hyperlink r:id="rId1220" ref="N521"/>
    <hyperlink r:id="rId1221" ref="O521"/>
    <hyperlink r:id="rId1222" ref="P521"/>
    <hyperlink r:id="rId1223" ref="N522"/>
    <hyperlink r:id="rId1224" ref="O522"/>
    <hyperlink r:id="rId1225" ref="P522"/>
    <hyperlink r:id="rId1226" ref="N523"/>
    <hyperlink r:id="rId1227" ref="O523"/>
    <hyperlink r:id="rId1228" ref="P523"/>
    <hyperlink r:id="rId1229" ref="N524"/>
    <hyperlink r:id="rId1230" ref="O524"/>
    <hyperlink r:id="rId1231" ref="P524"/>
    <hyperlink r:id="rId1232" ref="N525"/>
    <hyperlink r:id="rId1233" ref="O525"/>
    <hyperlink r:id="rId1234" ref="P525"/>
    <hyperlink r:id="rId1235" ref="N526"/>
    <hyperlink r:id="rId1236" ref="O526"/>
    <hyperlink r:id="rId1237" ref="P526"/>
    <hyperlink r:id="rId1238" ref="N527"/>
    <hyperlink r:id="rId1239" ref="O527"/>
    <hyperlink r:id="rId1240" ref="P527"/>
    <hyperlink r:id="rId1241" ref="N528"/>
    <hyperlink r:id="rId1242" ref="O528"/>
    <hyperlink r:id="rId1243" ref="P528"/>
    <hyperlink r:id="rId1244" ref="N529"/>
    <hyperlink r:id="rId1245" ref="O529"/>
    <hyperlink r:id="rId1246" ref="P529"/>
    <hyperlink r:id="rId1247" ref="N530"/>
    <hyperlink r:id="rId1248" ref="O530"/>
    <hyperlink r:id="rId1249" ref="P530"/>
    <hyperlink r:id="rId1250" ref="N531"/>
    <hyperlink r:id="rId1251" ref="O531"/>
    <hyperlink r:id="rId1252" ref="P531"/>
    <hyperlink r:id="rId1253" ref="N532"/>
    <hyperlink r:id="rId1254" ref="O532"/>
    <hyperlink r:id="rId1255" ref="P532"/>
    <hyperlink r:id="rId1256" ref="N533"/>
    <hyperlink r:id="rId1257" ref="O533"/>
    <hyperlink r:id="rId1258" ref="P533"/>
    <hyperlink r:id="rId1259" ref="N534"/>
    <hyperlink r:id="rId1260" ref="O534"/>
    <hyperlink r:id="rId1261" ref="P534"/>
    <hyperlink r:id="rId1262" ref="N535"/>
    <hyperlink r:id="rId1263" ref="O535"/>
    <hyperlink r:id="rId1264" ref="P535"/>
    <hyperlink r:id="rId1265" ref="N536"/>
    <hyperlink r:id="rId1266" ref="O536"/>
    <hyperlink r:id="rId1267" ref="P536"/>
    <hyperlink r:id="rId1268" ref="N537"/>
    <hyperlink r:id="rId1269" ref="O537"/>
    <hyperlink r:id="rId1270" ref="P537"/>
    <hyperlink r:id="rId1271" ref="N538"/>
    <hyperlink r:id="rId1272" ref="O538"/>
    <hyperlink r:id="rId1273" ref="P538"/>
    <hyperlink r:id="rId1274" ref="N539"/>
    <hyperlink r:id="rId1275" ref="O539"/>
    <hyperlink r:id="rId1276" ref="P539"/>
    <hyperlink r:id="rId1277" ref="N540"/>
    <hyperlink r:id="rId1278" ref="O540"/>
    <hyperlink r:id="rId1279" ref="P540"/>
    <hyperlink r:id="rId1280" ref="N541"/>
    <hyperlink r:id="rId1281" ref="O541"/>
    <hyperlink r:id="rId1282" ref="P541"/>
    <hyperlink r:id="rId1283" ref="N542"/>
    <hyperlink r:id="rId1284" ref="O542"/>
    <hyperlink r:id="rId1285" ref="P542"/>
    <hyperlink r:id="rId1286" ref="N543"/>
    <hyperlink r:id="rId1287" ref="O543"/>
    <hyperlink r:id="rId1288" ref="P543"/>
    <hyperlink r:id="rId1289" ref="N544"/>
    <hyperlink r:id="rId1290" ref="O544"/>
    <hyperlink r:id="rId1291" ref="P544"/>
    <hyperlink r:id="rId1292" ref="N545"/>
    <hyperlink r:id="rId1293" ref="O545"/>
    <hyperlink r:id="rId1294" ref="P545"/>
    <hyperlink r:id="rId1295" ref="N546"/>
    <hyperlink r:id="rId1296" ref="O546"/>
    <hyperlink r:id="rId1297" ref="P546"/>
    <hyperlink r:id="rId1298" ref="N547"/>
    <hyperlink r:id="rId1299" ref="O547"/>
    <hyperlink r:id="rId1300" ref="P547"/>
    <hyperlink r:id="rId1301" ref="N548"/>
    <hyperlink r:id="rId1302" ref="O548"/>
    <hyperlink r:id="rId1303" ref="P548"/>
    <hyperlink r:id="rId1304" ref="N549"/>
    <hyperlink r:id="rId1305" ref="O549"/>
    <hyperlink r:id="rId1306" ref="P549"/>
    <hyperlink r:id="rId1307" ref="N550"/>
    <hyperlink r:id="rId1308" ref="O550"/>
    <hyperlink r:id="rId1309" ref="P550"/>
    <hyperlink r:id="rId1310" ref="N551"/>
    <hyperlink r:id="rId1311" ref="O551"/>
    <hyperlink r:id="rId1312" ref="P551"/>
    <hyperlink r:id="rId1313" ref="N552"/>
    <hyperlink r:id="rId1314" ref="O552"/>
    <hyperlink r:id="rId1315" ref="N553"/>
    <hyperlink r:id="rId1316" ref="O553"/>
    <hyperlink r:id="rId1317" ref="P553"/>
    <hyperlink r:id="rId1318" ref="N554"/>
    <hyperlink r:id="rId1319" ref="O554"/>
    <hyperlink r:id="rId1320" ref="P554"/>
    <hyperlink r:id="rId1321" ref="N555"/>
    <hyperlink r:id="rId1322" ref="O555"/>
    <hyperlink r:id="rId1323" ref="N556"/>
    <hyperlink r:id="rId1324" ref="O556"/>
    <hyperlink r:id="rId1325" ref="P556"/>
    <hyperlink r:id="rId1326" ref="N557"/>
    <hyperlink r:id="rId1327" ref="O557"/>
    <hyperlink r:id="rId1328" ref="P557"/>
    <hyperlink r:id="rId1329" ref="N558"/>
    <hyperlink r:id="rId1330" ref="O558"/>
    <hyperlink r:id="rId1331" ref="P558"/>
    <hyperlink r:id="rId1332" ref="N559"/>
    <hyperlink r:id="rId1333" ref="O559"/>
    <hyperlink r:id="rId1334" ref="P559"/>
    <hyperlink r:id="rId1335" ref="N560"/>
    <hyperlink r:id="rId1336" ref="O560"/>
    <hyperlink r:id="rId1337" ref="P560"/>
    <hyperlink r:id="rId1338" ref="N561"/>
    <hyperlink r:id="rId1339" ref="O561"/>
    <hyperlink r:id="rId1340" ref="P561"/>
    <hyperlink r:id="rId1341" ref="N562"/>
    <hyperlink r:id="rId1342" ref="O562"/>
    <hyperlink r:id="rId1343" ref="P562"/>
    <hyperlink r:id="rId1344" ref="N563"/>
    <hyperlink r:id="rId1345" ref="O563"/>
    <hyperlink r:id="rId1346" ref="P563"/>
    <hyperlink r:id="rId1347" ref="N564"/>
    <hyperlink r:id="rId1348" ref="O564"/>
    <hyperlink r:id="rId1349" ref="P564"/>
    <hyperlink r:id="rId1350" ref="N565"/>
    <hyperlink r:id="rId1351" ref="O565"/>
    <hyperlink r:id="rId1352" ref="P565"/>
    <hyperlink r:id="rId1353" ref="N566"/>
    <hyperlink r:id="rId1354" ref="O566"/>
    <hyperlink r:id="rId1355" ref="P566"/>
    <hyperlink r:id="rId1356" ref="N567"/>
    <hyperlink r:id="rId1357" ref="O567"/>
    <hyperlink r:id="rId1358" ref="P567"/>
    <hyperlink r:id="rId1359" ref="N568"/>
    <hyperlink r:id="rId1360" ref="O568"/>
    <hyperlink r:id="rId1361" ref="P568"/>
    <hyperlink r:id="rId1362" ref="N569"/>
    <hyperlink r:id="rId1363" ref="O569"/>
    <hyperlink r:id="rId1364" ref="P569"/>
    <hyperlink r:id="rId1365" ref="N570"/>
    <hyperlink r:id="rId1366" ref="O570"/>
    <hyperlink r:id="rId1367" ref="P570"/>
    <hyperlink r:id="rId1368" ref="N571"/>
    <hyperlink r:id="rId1369" ref="O571"/>
    <hyperlink r:id="rId1370" ref="P571"/>
    <hyperlink r:id="rId1371" ref="N572"/>
    <hyperlink r:id="rId1372" ref="O572"/>
    <hyperlink r:id="rId1373" ref="P572"/>
    <hyperlink r:id="rId1374" ref="N573"/>
    <hyperlink r:id="rId1375" ref="O573"/>
    <hyperlink r:id="rId1376" ref="P573"/>
    <hyperlink r:id="rId1377" ref="N574"/>
    <hyperlink r:id="rId1378" ref="O574"/>
    <hyperlink r:id="rId1379" ref="P574"/>
    <hyperlink r:id="rId1380" ref="N575"/>
    <hyperlink r:id="rId1381" ref="O575"/>
    <hyperlink r:id="rId1382" ref="P575"/>
    <hyperlink r:id="rId1383" ref="N576"/>
    <hyperlink r:id="rId1384" ref="O576"/>
    <hyperlink r:id="rId1385" ref="P576"/>
    <hyperlink r:id="rId1386" ref="N577"/>
    <hyperlink r:id="rId1387" ref="O577"/>
    <hyperlink r:id="rId1388" ref="P577"/>
    <hyperlink r:id="rId1389" ref="O578"/>
    <hyperlink r:id="rId1390" ref="P578"/>
    <hyperlink r:id="rId1391" ref="N579"/>
    <hyperlink r:id="rId1392" ref="O579"/>
    <hyperlink r:id="rId1393" ref="P579"/>
    <hyperlink r:id="rId1394" ref="N580"/>
    <hyperlink r:id="rId1395" ref="O580"/>
    <hyperlink r:id="rId1396" ref="P580"/>
    <hyperlink r:id="rId1397" ref="N581"/>
    <hyperlink r:id="rId1398" ref="O581"/>
    <hyperlink r:id="rId1399" ref="P581"/>
    <hyperlink r:id="rId1400" ref="N582"/>
    <hyperlink r:id="rId1401" ref="O582"/>
    <hyperlink r:id="rId1402" ref="N583"/>
    <hyperlink r:id="rId1403" ref="O583"/>
    <hyperlink r:id="rId1404" ref="P583"/>
    <hyperlink r:id="rId1405" ref="N584"/>
    <hyperlink r:id="rId1406" ref="O584"/>
    <hyperlink r:id="rId1407" ref="P584"/>
    <hyperlink r:id="rId1408" ref="N585"/>
    <hyperlink r:id="rId1409" ref="O585"/>
    <hyperlink r:id="rId1410" ref="P585"/>
    <hyperlink r:id="rId1411" ref="N586"/>
    <hyperlink r:id="rId1412" ref="O586"/>
    <hyperlink r:id="rId1413" ref="P586"/>
    <hyperlink r:id="rId1414" ref="N587"/>
    <hyperlink r:id="rId1415" ref="O587"/>
    <hyperlink r:id="rId1416" ref="P587"/>
    <hyperlink r:id="rId1417" ref="N588"/>
    <hyperlink r:id="rId1418" ref="O588"/>
    <hyperlink r:id="rId1419" ref="P588"/>
    <hyperlink r:id="rId1420" ref="N589"/>
    <hyperlink r:id="rId1421" ref="O589"/>
    <hyperlink r:id="rId1422" ref="P589"/>
    <hyperlink r:id="rId1423" ref="N590"/>
    <hyperlink r:id="rId1424" ref="O590"/>
    <hyperlink r:id="rId1425" ref="P590"/>
    <hyperlink r:id="rId1426" ref="N591"/>
    <hyperlink r:id="rId1427" ref="O591"/>
    <hyperlink r:id="rId1428" ref="P591"/>
    <hyperlink r:id="rId1429" ref="N592"/>
    <hyperlink r:id="rId1430" ref="O592"/>
    <hyperlink r:id="rId1431" ref="P592"/>
    <hyperlink r:id="rId1432" ref="N593"/>
    <hyperlink r:id="rId1433" ref="O593"/>
    <hyperlink r:id="rId1434" ref="P593"/>
    <hyperlink r:id="rId1435" ref="N594"/>
    <hyperlink r:id="rId1436" ref="O594"/>
    <hyperlink r:id="rId1437" ref="P594"/>
    <hyperlink r:id="rId1438" ref="N595"/>
    <hyperlink r:id="rId1439" ref="O595"/>
    <hyperlink r:id="rId1440" ref="P595"/>
    <hyperlink r:id="rId1441" ref="N596"/>
    <hyperlink r:id="rId1442" ref="O596"/>
    <hyperlink r:id="rId1443" ref="P596"/>
    <hyperlink r:id="rId1444" ref="N597"/>
    <hyperlink r:id="rId1445" ref="O597"/>
    <hyperlink r:id="rId1446" ref="N598"/>
    <hyperlink r:id="rId1447" ref="O598"/>
    <hyperlink r:id="rId1448" ref="P598"/>
    <hyperlink r:id="rId1449" ref="N599"/>
    <hyperlink r:id="rId1450" ref="O599"/>
    <hyperlink r:id="rId1451" ref="P599"/>
    <hyperlink r:id="rId1452" ref="N600"/>
    <hyperlink r:id="rId1453" ref="O600"/>
    <hyperlink r:id="rId1454" ref="P600"/>
    <hyperlink r:id="rId1455" ref="N601"/>
    <hyperlink r:id="rId1456" ref="O601"/>
    <hyperlink r:id="rId1457" ref="P601"/>
    <hyperlink r:id="rId1458" ref="N602"/>
    <hyperlink r:id="rId1459" ref="O602"/>
    <hyperlink r:id="rId1460" ref="P602"/>
    <hyperlink r:id="rId1461" ref="N603"/>
    <hyperlink r:id="rId1462" ref="O603"/>
    <hyperlink r:id="rId1463" ref="P603"/>
    <hyperlink r:id="rId1464" ref="N604"/>
    <hyperlink r:id="rId1465" ref="O604"/>
    <hyperlink r:id="rId1466" ref="P604"/>
    <hyperlink r:id="rId1467" ref="N605"/>
    <hyperlink r:id="rId1468" ref="O605"/>
    <hyperlink r:id="rId1469" ref="P605"/>
    <hyperlink r:id="rId1470" ref="N606"/>
    <hyperlink r:id="rId1471" ref="O606"/>
    <hyperlink r:id="rId1472" ref="P606"/>
    <hyperlink r:id="rId1473" ref="N607"/>
    <hyperlink r:id="rId1474" ref="O607"/>
    <hyperlink r:id="rId1475" ref="N608"/>
    <hyperlink r:id="rId1476" ref="O608"/>
    <hyperlink r:id="rId1477" ref="P608"/>
    <hyperlink r:id="rId1478" ref="N609"/>
    <hyperlink r:id="rId1479" ref="O609"/>
    <hyperlink r:id="rId1480" ref="P609"/>
    <hyperlink r:id="rId1481" ref="N610"/>
    <hyperlink r:id="rId1482" ref="O610"/>
    <hyperlink r:id="rId1483" ref="P610"/>
    <hyperlink r:id="rId1484" ref="N611"/>
    <hyperlink r:id="rId1485" ref="O611"/>
    <hyperlink r:id="rId1486" ref="P611"/>
    <hyperlink r:id="rId1487" ref="N612"/>
    <hyperlink r:id="rId1488" ref="O612"/>
    <hyperlink r:id="rId1489" ref="N613"/>
    <hyperlink r:id="rId1490" ref="O613"/>
    <hyperlink r:id="rId1491" ref="P613"/>
    <hyperlink r:id="rId1492" ref="N614"/>
    <hyperlink r:id="rId1493" ref="O614"/>
    <hyperlink r:id="rId1494" ref="P614"/>
    <hyperlink r:id="rId1495" ref="N615"/>
    <hyperlink r:id="rId1496" ref="O615"/>
    <hyperlink r:id="rId1497" ref="P615"/>
    <hyperlink r:id="rId1498" ref="N616"/>
    <hyperlink r:id="rId1499" ref="O616"/>
    <hyperlink r:id="rId1500" ref="P616"/>
    <hyperlink r:id="rId1501" ref="N617"/>
    <hyperlink r:id="rId1502" ref="O617"/>
    <hyperlink r:id="rId1503" ref="P617"/>
    <hyperlink r:id="rId1504" ref="N618"/>
    <hyperlink r:id="rId1505" ref="O618"/>
    <hyperlink r:id="rId1506" ref="P618"/>
    <hyperlink r:id="rId1507" ref="N619"/>
    <hyperlink r:id="rId1508" ref="O619"/>
    <hyperlink r:id="rId1509" ref="P619"/>
    <hyperlink r:id="rId1510" ref="N620"/>
    <hyperlink r:id="rId1511" ref="O620"/>
    <hyperlink r:id="rId1512" ref="P620"/>
    <hyperlink r:id="rId1513" ref="N621"/>
    <hyperlink r:id="rId1514" ref="O621"/>
    <hyperlink r:id="rId1515" ref="P621"/>
    <hyperlink r:id="rId1516" ref="N622"/>
    <hyperlink r:id="rId1517" ref="O622"/>
    <hyperlink r:id="rId1518" ref="P622"/>
    <hyperlink r:id="rId1519" ref="N623"/>
    <hyperlink r:id="rId1520" ref="O623"/>
    <hyperlink r:id="rId1521" ref="P623"/>
    <hyperlink r:id="rId1522" ref="N624"/>
    <hyperlink r:id="rId1523" ref="O624"/>
    <hyperlink r:id="rId1524" ref="P624"/>
    <hyperlink r:id="rId1525" ref="N625"/>
    <hyperlink r:id="rId1526" ref="O625"/>
    <hyperlink r:id="rId1527" ref="P625"/>
    <hyperlink r:id="rId1528" ref="N626"/>
    <hyperlink r:id="rId1529" ref="O626"/>
    <hyperlink r:id="rId1530" ref="P626"/>
    <hyperlink r:id="rId1531" ref="N627"/>
    <hyperlink r:id="rId1532" ref="O627"/>
    <hyperlink r:id="rId1533" ref="P627"/>
    <hyperlink r:id="rId1534" ref="N628"/>
    <hyperlink r:id="rId1535" ref="O628"/>
    <hyperlink r:id="rId1536" ref="P628"/>
    <hyperlink r:id="rId1537" ref="N629"/>
    <hyperlink r:id="rId1538" ref="O629"/>
    <hyperlink r:id="rId1539" ref="P629"/>
    <hyperlink r:id="rId1540" ref="N630"/>
    <hyperlink r:id="rId1541" ref="N631"/>
    <hyperlink r:id="rId1542" ref="O631"/>
    <hyperlink r:id="rId1543" ref="P631"/>
    <hyperlink r:id="rId1544" ref="N632"/>
    <hyperlink r:id="rId1545" ref="O632"/>
    <hyperlink r:id="rId1546" ref="P632"/>
    <hyperlink r:id="rId1547" ref="N633"/>
    <hyperlink r:id="rId1548" ref="O633"/>
    <hyperlink r:id="rId1549" ref="P633"/>
    <hyperlink r:id="rId1550" ref="N634"/>
    <hyperlink r:id="rId1551" ref="O634"/>
    <hyperlink r:id="rId1552" ref="P634"/>
    <hyperlink r:id="rId1553" ref="N635"/>
    <hyperlink r:id="rId1554" ref="O635"/>
    <hyperlink r:id="rId1555" ref="P635"/>
    <hyperlink r:id="rId1556" ref="N636"/>
    <hyperlink r:id="rId1557" ref="O636"/>
    <hyperlink r:id="rId1558" ref="P636"/>
    <hyperlink r:id="rId1559" ref="N637"/>
    <hyperlink r:id="rId1560" ref="O637"/>
    <hyperlink r:id="rId1561" ref="P637"/>
    <hyperlink r:id="rId1562" ref="N638"/>
    <hyperlink r:id="rId1563" ref="O638"/>
    <hyperlink r:id="rId1564" ref="P638"/>
    <hyperlink r:id="rId1565" ref="N639"/>
    <hyperlink r:id="rId1566" ref="O639"/>
    <hyperlink r:id="rId1567" ref="P639"/>
    <hyperlink r:id="rId1568" ref="N640"/>
    <hyperlink r:id="rId1569" ref="O640"/>
    <hyperlink r:id="rId1570" ref="P640"/>
    <hyperlink r:id="rId1571" ref="N641"/>
    <hyperlink r:id="rId1572" ref="O641"/>
    <hyperlink r:id="rId1573" ref="P641"/>
    <hyperlink r:id="rId1574" ref="N642"/>
    <hyperlink r:id="rId1575" ref="O642"/>
    <hyperlink r:id="rId1576" ref="P642"/>
    <hyperlink r:id="rId1577" ref="N643"/>
    <hyperlink r:id="rId1578" ref="O643"/>
    <hyperlink r:id="rId1579" ref="P643"/>
    <hyperlink r:id="rId1580" ref="N644"/>
    <hyperlink r:id="rId1581" ref="O644"/>
    <hyperlink r:id="rId1582" ref="P644"/>
    <hyperlink r:id="rId1583" ref="N645"/>
    <hyperlink r:id="rId1584" ref="O645"/>
    <hyperlink r:id="rId1585" ref="P645"/>
    <hyperlink r:id="rId1586" ref="N646"/>
    <hyperlink r:id="rId1587" ref="O646"/>
    <hyperlink r:id="rId1588" ref="P646"/>
    <hyperlink r:id="rId1589" ref="N647"/>
    <hyperlink r:id="rId1590" ref="O647"/>
    <hyperlink r:id="rId1591" ref="P647"/>
    <hyperlink r:id="rId1592" ref="N648"/>
    <hyperlink r:id="rId1593" ref="O648"/>
    <hyperlink r:id="rId1594" ref="P648"/>
    <hyperlink r:id="rId1595" ref="N649"/>
    <hyperlink r:id="rId1596" ref="O649"/>
    <hyperlink r:id="rId1597" ref="P649"/>
    <hyperlink r:id="rId1598" ref="N650"/>
    <hyperlink r:id="rId1599" ref="O650"/>
    <hyperlink r:id="rId1600" ref="P650"/>
    <hyperlink r:id="rId1601" ref="N651"/>
    <hyperlink r:id="rId1602" ref="O651"/>
    <hyperlink r:id="rId1603" ref="P651"/>
    <hyperlink r:id="rId1604" ref="N652"/>
    <hyperlink r:id="rId1605" ref="O652"/>
    <hyperlink r:id="rId1606" ref="P652"/>
    <hyperlink r:id="rId1607" ref="N653"/>
    <hyperlink r:id="rId1608" ref="O653"/>
    <hyperlink r:id="rId1609" ref="P653"/>
    <hyperlink r:id="rId1610" ref="N654"/>
    <hyperlink r:id="rId1611" ref="O654"/>
    <hyperlink r:id="rId1612" ref="P654"/>
    <hyperlink r:id="rId1613" ref="N655"/>
    <hyperlink r:id="rId1614" ref="O655"/>
    <hyperlink r:id="rId1615" ref="P655"/>
    <hyperlink r:id="rId1616" ref="N656"/>
    <hyperlink r:id="rId1617" ref="O656"/>
    <hyperlink r:id="rId1618" ref="P656"/>
    <hyperlink r:id="rId1619" ref="N657"/>
    <hyperlink r:id="rId1620" ref="O657"/>
    <hyperlink r:id="rId1621" ref="P657"/>
    <hyperlink r:id="rId1622" ref="N658"/>
    <hyperlink r:id="rId1623" ref="O658"/>
    <hyperlink r:id="rId1624" ref="P658"/>
    <hyperlink r:id="rId1625" ref="N659"/>
    <hyperlink r:id="rId1626" ref="O659"/>
    <hyperlink r:id="rId1627" ref="P659"/>
    <hyperlink r:id="rId1628" ref="N660"/>
    <hyperlink r:id="rId1629" ref="O660"/>
    <hyperlink r:id="rId1630" ref="P660"/>
    <hyperlink r:id="rId1631" ref="N661"/>
    <hyperlink r:id="rId1632" ref="O661"/>
    <hyperlink r:id="rId1633" ref="P661"/>
    <hyperlink r:id="rId1634" ref="N662"/>
    <hyperlink r:id="rId1635" ref="O662"/>
    <hyperlink r:id="rId1636" ref="P662"/>
    <hyperlink r:id="rId1637" ref="N663"/>
    <hyperlink r:id="rId1638" ref="O663"/>
    <hyperlink r:id="rId1639" ref="P663"/>
    <hyperlink r:id="rId1640" ref="N664"/>
    <hyperlink r:id="rId1641" ref="O664"/>
    <hyperlink r:id="rId1642" ref="P664"/>
    <hyperlink r:id="rId1643" ref="N665"/>
    <hyperlink r:id="rId1644" ref="O665"/>
    <hyperlink r:id="rId1645" ref="P665"/>
    <hyperlink r:id="rId1646" ref="N666"/>
    <hyperlink r:id="rId1647" ref="O666"/>
    <hyperlink r:id="rId1648" ref="P666"/>
    <hyperlink r:id="rId1649" ref="N667"/>
    <hyperlink r:id="rId1650" ref="O667"/>
    <hyperlink r:id="rId1651" ref="P667"/>
    <hyperlink r:id="rId1652" ref="N668"/>
    <hyperlink r:id="rId1653" ref="O668"/>
    <hyperlink r:id="rId1654" ref="P668"/>
    <hyperlink r:id="rId1655" ref="N669"/>
    <hyperlink r:id="rId1656" ref="O669"/>
    <hyperlink r:id="rId1657" ref="P669"/>
    <hyperlink r:id="rId1658" ref="N670"/>
    <hyperlink r:id="rId1659" ref="O670"/>
    <hyperlink r:id="rId1660" ref="P670"/>
    <hyperlink r:id="rId1661" ref="N671"/>
    <hyperlink r:id="rId1662" ref="O671"/>
    <hyperlink r:id="rId1663" ref="P671"/>
    <hyperlink r:id="rId1664" ref="N672"/>
    <hyperlink r:id="rId1665" ref="O672"/>
    <hyperlink r:id="rId1666" ref="P672"/>
    <hyperlink r:id="rId1667" ref="N673"/>
    <hyperlink r:id="rId1668" ref="O673"/>
    <hyperlink r:id="rId1669" ref="N674"/>
    <hyperlink r:id="rId1670" ref="O674"/>
    <hyperlink r:id="rId1671" ref="P674"/>
    <hyperlink r:id="rId1672" ref="N675"/>
    <hyperlink r:id="rId1673" ref="O675"/>
    <hyperlink r:id="rId1674" ref="P675"/>
    <hyperlink r:id="rId1675" ref="N676"/>
    <hyperlink r:id="rId1676" ref="O676"/>
    <hyperlink r:id="rId1677" ref="P676"/>
    <hyperlink r:id="rId1678" ref="N677"/>
    <hyperlink r:id="rId1679" ref="O677"/>
    <hyperlink r:id="rId1680" ref="P677"/>
    <hyperlink r:id="rId1681" ref="N678"/>
    <hyperlink r:id="rId1682" ref="O678"/>
    <hyperlink r:id="rId1683" ref="P678"/>
    <hyperlink r:id="rId1684" ref="N679"/>
    <hyperlink r:id="rId1685" ref="O679"/>
    <hyperlink r:id="rId1686" ref="N680"/>
    <hyperlink r:id="rId1687" ref="O680"/>
    <hyperlink r:id="rId1688" ref="P680"/>
    <hyperlink r:id="rId1689" ref="N681"/>
    <hyperlink r:id="rId1690" ref="O681"/>
    <hyperlink r:id="rId1691" ref="P681"/>
    <hyperlink r:id="rId1692" ref="N682"/>
    <hyperlink r:id="rId1693" ref="O682"/>
    <hyperlink r:id="rId1694" ref="P682"/>
    <hyperlink r:id="rId1695" ref="N683"/>
    <hyperlink r:id="rId1696" ref="O683"/>
    <hyperlink r:id="rId1697" ref="P683"/>
    <hyperlink r:id="rId1698" ref="N684"/>
    <hyperlink r:id="rId1699" ref="O684"/>
    <hyperlink r:id="rId1700" ref="P684"/>
    <hyperlink r:id="rId1701" ref="N685"/>
    <hyperlink r:id="rId1702" ref="O685"/>
    <hyperlink r:id="rId1703" ref="P685"/>
    <hyperlink r:id="rId1704" ref="N686"/>
    <hyperlink r:id="rId1705" ref="O686"/>
    <hyperlink r:id="rId1706" ref="P686"/>
    <hyperlink r:id="rId1707" ref="N687"/>
    <hyperlink r:id="rId1708" ref="O687"/>
    <hyperlink r:id="rId1709" ref="P687"/>
    <hyperlink r:id="rId1710" ref="N688"/>
    <hyperlink r:id="rId1711" ref="O688"/>
    <hyperlink r:id="rId1712" ref="P688"/>
    <hyperlink r:id="rId1713" ref="N689"/>
    <hyperlink r:id="rId1714" ref="O689"/>
    <hyperlink r:id="rId1715" ref="N690"/>
    <hyperlink r:id="rId1716" ref="O690"/>
    <hyperlink r:id="rId1717" ref="P690"/>
    <hyperlink r:id="rId1718" ref="N691"/>
    <hyperlink r:id="rId1719" ref="O691"/>
    <hyperlink r:id="rId1720" ref="P691"/>
    <hyperlink r:id="rId1721" ref="N692"/>
    <hyperlink r:id="rId1722" ref="O692"/>
    <hyperlink r:id="rId1723" ref="P692"/>
    <hyperlink r:id="rId1724" ref="N693"/>
    <hyperlink r:id="rId1725" ref="O693"/>
    <hyperlink r:id="rId1726" ref="P693"/>
    <hyperlink r:id="rId1727" ref="N694"/>
    <hyperlink r:id="rId1728" ref="O694"/>
    <hyperlink r:id="rId1729" ref="P694"/>
    <hyperlink r:id="rId1730" ref="N695"/>
    <hyperlink r:id="rId1731" ref="N696"/>
    <hyperlink r:id="rId1732" ref="O696"/>
    <hyperlink r:id="rId1733" ref="P696"/>
    <hyperlink r:id="rId1734" ref="N697"/>
    <hyperlink r:id="rId1735" ref="O697"/>
    <hyperlink r:id="rId1736" ref="P697"/>
    <hyperlink r:id="rId1737" ref="N698"/>
    <hyperlink r:id="rId1738" ref="O698"/>
    <hyperlink r:id="rId1739" ref="P698"/>
    <hyperlink r:id="rId1740" ref="N699"/>
    <hyperlink r:id="rId1741" ref="O699"/>
    <hyperlink r:id="rId1742" ref="P699"/>
    <hyperlink r:id="rId1743" ref="N700"/>
    <hyperlink r:id="rId1744" ref="O700"/>
    <hyperlink r:id="rId1745" ref="P700"/>
    <hyperlink r:id="rId1746" ref="N701"/>
    <hyperlink r:id="rId1747" ref="O701"/>
    <hyperlink r:id="rId1748" ref="N702"/>
    <hyperlink r:id="rId1749" ref="O702"/>
    <hyperlink r:id="rId1750" ref="P702"/>
    <hyperlink r:id="rId1751" ref="N703"/>
    <hyperlink r:id="rId1752" ref="O703"/>
    <hyperlink r:id="rId1753" ref="P703"/>
    <hyperlink r:id="rId1754" ref="N704"/>
    <hyperlink r:id="rId1755" ref="O704"/>
    <hyperlink r:id="rId1756" ref="P704"/>
    <hyperlink r:id="rId1757" ref="N705"/>
    <hyperlink r:id="rId1758" ref="O705"/>
    <hyperlink r:id="rId1759" ref="P705"/>
    <hyperlink r:id="rId1760" ref="N706"/>
    <hyperlink r:id="rId1761" ref="O706"/>
    <hyperlink r:id="rId1762" ref="P706"/>
    <hyperlink r:id="rId1763" ref="N707"/>
    <hyperlink r:id="rId1764" ref="O707"/>
    <hyperlink r:id="rId1765" ref="N708"/>
    <hyperlink r:id="rId1766" ref="O708"/>
    <hyperlink r:id="rId1767" ref="P708"/>
    <hyperlink r:id="rId1768" ref="N709"/>
    <hyperlink r:id="rId1769" ref="O709"/>
    <hyperlink r:id="rId1770" ref="P709"/>
    <hyperlink r:id="rId1771" ref="N710"/>
    <hyperlink r:id="rId1772" ref="O710"/>
    <hyperlink r:id="rId1773" ref="P710"/>
    <hyperlink r:id="rId1774" ref="N711"/>
    <hyperlink r:id="rId1775" ref="O711"/>
    <hyperlink r:id="rId1776" ref="P711"/>
    <hyperlink r:id="rId1777" ref="N712"/>
    <hyperlink r:id="rId1778" ref="O712"/>
    <hyperlink r:id="rId1779" ref="P712"/>
    <hyperlink r:id="rId1780" ref="N713"/>
    <hyperlink r:id="rId1781" ref="O713"/>
    <hyperlink r:id="rId1782" ref="N714"/>
    <hyperlink r:id="rId1783" ref="O714"/>
    <hyperlink r:id="rId1784" ref="N715"/>
    <hyperlink r:id="rId1785" ref="O715"/>
    <hyperlink r:id="rId1786" ref="P715"/>
    <hyperlink r:id="rId1787" ref="N716"/>
    <hyperlink r:id="rId1788" ref="O716"/>
    <hyperlink r:id="rId1789" ref="P716"/>
    <hyperlink r:id="rId1790" ref="N717"/>
    <hyperlink r:id="rId1791" ref="O717"/>
    <hyperlink r:id="rId1792" ref="P717"/>
    <hyperlink r:id="rId1793" ref="N718"/>
    <hyperlink r:id="rId1794" ref="O718"/>
    <hyperlink r:id="rId1795" ref="P718"/>
    <hyperlink r:id="rId1796" ref="N719"/>
    <hyperlink r:id="rId1797" ref="O719"/>
    <hyperlink r:id="rId1798" ref="P719"/>
    <hyperlink r:id="rId1799" ref="N720"/>
    <hyperlink r:id="rId1800" ref="O720"/>
    <hyperlink r:id="rId1801" ref="P720"/>
    <hyperlink r:id="rId1802" ref="N721"/>
    <hyperlink r:id="rId1803" ref="O721"/>
    <hyperlink r:id="rId1804" ref="P721"/>
    <hyperlink r:id="rId1805" ref="N722"/>
    <hyperlink r:id="rId1806" ref="O722"/>
    <hyperlink r:id="rId1807" ref="P722"/>
    <hyperlink r:id="rId1808" ref="N723"/>
    <hyperlink r:id="rId1809" ref="O723"/>
    <hyperlink r:id="rId1810" ref="P723"/>
    <hyperlink r:id="rId1811" ref="N724"/>
    <hyperlink r:id="rId1812" ref="O724"/>
    <hyperlink r:id="rId1813" ref="P724"/>
    <hyperlink r:id="rId1814" ref="N725"/>
    <hyperlink r:id="rId1815" ref="O725"/>
    <hyperlink r:id="rId1816" ref="P725"/>
    <hyperlink r:id="rId1817" ref="N726"/>
    <hyperlink r:id="rId1818" ref="O726"/>
    <hyperlink r:id="rId1819" ref="N727"/>
    <hyperlink r:id="rId1820" ref="O727"/>
    <hyperlink r:id="rId1821" ref="P727"/>
    <hyperlink r:id="rId1822" ref="N728"/>
    <hyperlink r:id="rId1823" ref="O728"/>
    <hyperlink r:id="rId1824" ref="P728"/>
    <hyperlink r:id="rId1825" ref="N729"/>
    <hyperlink r:id="rId1826" ref="O729"/>
    <hyperlink r:id="rId1827" ref="P729"/>
    <hyperlink r:id="rId1828" ref="N730"/>
    <hyperlink r:id="rId1829" ref="O730"/>
    <hyperlink r:id="rId1830" ref="P730"/>
    <hyperlink r:id="rId1831" ref="N731"/>
    <hyperlink r:id="rId1832" ref="O731"/>
    <hyperlink r:id="rId1833" ref="P731"/>
    <hyperlink r:id="rId1834" ref="N732"/>
    <hyperlink r:id="rId1835" ref="O732"/>
    <hyperlink r:id="rId1836" ref="P732"/>
    <hyperlink r:id="rId1837" ref="N733"/>
    <hyperlink r:id="rId1838" ref="O733"/>
    <hyperlink r:id="rId1839" ref="P733"/>
    <hyperlink r:id="rId1840" ref="N734"/>
    <hyperlink r:id="rId1841" ref="O734"/>
    <hyperlink r:id="rId1842" ref="N735"/>
    <hyperlink r:id="rId1843" ref="O735"/>
    <hyperlink r:id="rId1844" ref="P735"/>
    <hyperlink r:id="rId1845" ref="N736"/>
    <hyperlink r:id="rId1846" ref="O736"/>
    <hyperlink r:id="rId1847" ref="P736"/>
    <hyperlink r:id="rId1848" ref="N737"/>
    <hyperlink r:id="rId1849" ref="O737"/>
    <hyperlink r:id="rId1850" ref="P737"/>
    <hyperlink r:id="rId1851" ref="N738"/>
    <hyperlink r:id="rId1852" ref="O738"/>
    <hyperlink r:id="rId1853" ref="P738"/>
    <hyperlink r:id="rId1854" ref="N739"/>
    <hyperlink r:id="rId1855" ref="O739"/>
    <hyperlink r:id="rId1856" ref="P739"/>
    <hyperlink r:id="rId1857" ref="N740"/>
    <hyperlink r:id="rId1858" ref="O740"/>
    <hyperlink r:id="rId1859" ref="P740"/>
    <hyperlink r:id="rId1860" ref="N741"/>
    <hyperlink r:id="rId1861" ref="O741"/>
    <hyperlink r:id="rId1862" ref="P741"/>
    <hyperlink r:id="rId1863" ref="N742"/>
    <hyperlink r:id="rId1864" ref="O742"/>
    <hyperlink r:id="rId1865" ref="P742"/>
    <hyperlink r:id="rId1866" ref="N743"/>
    <hyperlink r:id="rId1867" ref="O743"/>
    <hyperlink r:id="rId1868" ref="P743"/>
    <hyperlink r:id="rId1869" ref="N744"/>
    <hyperlink r:id="rId1870" ref="O744"/>
    <hyperlink r:id="rId1871" ref="P744"/>
    <hyperlink r:id="rId1872" ref="N745"/>
    <hyperlink r:id="rId1873" ref="O745"/>
    <hyperlink r:id="rId1874" ref="P745"/>
    <hyperlink r:id="rId1875" ref="N746"/>
    <hyperlink r:id="rId1876" ref="O746"/>
    <hyperlink r:id="rId1877" ref="P746"/>
    <hyperlink r:id="rId1878" ref="N747"/>
    <hyperlink r:id="rId1879" ref="O747"/>
    <hyperlink r:id="rId1880" ref="P747"/>
    <hyperlink r:id="rId1881" ref="N748"/>
    <hyperlink r:id="rId1882" ref="O748"/>
    <hyperlink r:id="rId1883" ref="P748"/>
    <hyperlink r:id="rId1884" ref="N749"/>
    <hyperlink r:id="rId1885" ref="O749"/>
    <hyperlink r:id="rId1886" ref="P749"/>
    <hyperlink r:id="rId1887" ref="N750"/>
    <hyperlink r:id="rId1888" ref="O750"/>
    <hyperlink r:id="rId1889" ref="P750"/>
    <hyperlink r:id="rId1890" ref="N751"/>
    <hyperlink r:id="rId1891" ref="O751"/>
    <hyperlink r:id="rId1892" ref="P751"/>
    <hyperlink r:id="rId1893" ref="N752"/>
    <hyperlink r:id="rId1894" ref="O752"/>
    <hyperlink r:id="rId1895" ref="N753"/>
    <hyperlink r:id="rId1896" ref="O753"/>
    <hyperlink r:id="rId1897" ref="P753"/>
    <hyperlink r:id="rId1898" ref="N754"/>
    <hyperlink r:id="rId1899" ref="O754"/>
    <hyperlink r:id="rId1900" ref="P754"/>
    <hyperlink r:id="rId1901" ref="N755"/>
    <hyperlink r:id="rId1902" ref="O755"/>
    <hyperlink r:id="rId1903" ref="P755"/>
    <hyperlink r:id="rId1904" ref="N756"/>
    <hyperlink r:id="rId1905" ref="O756"/>
    <hyperlink r:id="rId1906" ref="P756"/>
    <hyperlink r:id="rId1907" ref="N757"/>
    <hyperlink r:id="rId1908" ref="O757"/>
    <hyperlink r:id="rId1909" ref="P757"/>
    <hyperlink r:id="rId1910" ref="N758"/>
    <hyperlink r:id="rId1911" ref="O758"/>
    <hyperlink r:id="rId1912" ref="P758"/>
    <hyperlink r:id="rId1913" ref="N759"/>
    <hyperlink r:id="rId1914" ref="O759"/>
    <hyperlink r:id="rId1915" ref="P759"/>
    <hyperlink r:id="rId1916" ref="N760"/>
    <hyperlink r:id="rId1917" ref="O760"/>
    <hyperlink r:id="rId1918" ref="P760"/>
    <hyperlink r:id="rId1919" ref="N761"/>
    <hyperlink r:id="rId1920" ref="O761"/>
    <hyperlink r:id="rId1921" ref="P761"/>
    <hyperlink r:id="rId1922" ref="N762"/>
    <hyperlink r:id="rId1923" ref="O762"/>
    <hyperlink r:id="rId1924" ref="P762"/>
    <hyperlink r:id="rId1925" ref="N763"/>
    <hyperlink r:id="rId1926" ref="O763"/>
    <hyperlink r:id="rId1927" ref="P763"/>
    <hyperlink r:id="rId1928" ref="N764"/>
    <hyperlink r:id="rId1929" ref="O764"/>
    <hyperlink r:id="rId1930" ref="P764"/>
    <hyperlink r:id="rId1931" ref="N765"/>
    <hyperlink r:id="rId1932" ref="O765"/>
    <hyperlink r:id="rId1933" ref="P765"/>
    <hyperlink r:id="rId1934" ref="N766"/>
    <hyperlink r:id="rId1935" ref="O766"/>
    <hyperlink r:id="rId1936" ref="P766"/>
    <hyperlink r:id="rId1937" ref="N767"/>
    <hyperlink r:id="rId1938" ref="O767"/>
    <hyperlink r:id="rId1939" ref="P767"/>
    <hyperlink r:id="rId1940" ref="N768"/>
    <hyperlink r:id="rId1941" ref="O768"/>
    <hyperlink r:id="rId1942" ref="P768"/>
    <hyperlink r:id="rId1943" ref="N769"/>
    <hyperlink r:id="rId1944" ref="O769"/>
    <hyperlink r:id="rId1945" ref="P769"/>
    <hyperlink r:id="rId1946" ref="N770"/>
    <hyperlink r:id="rId1947" ref="O770"/>
    <hyperlink r:id="rId1948" ref="P770"/>
    <hyperlink r:id="rId1949" ref="N771"/>
    <hyperlink r:id="rId1950" ref="O771"/>
    <hyperlink r:id="rId1951" ref="N772"/>
    <hyperlink r:id="rId1952" ref="O772"/>
    <hyperlink r:id="rId1953" ref="P772"/>
    <hyperlink r:id="rId1954" ref="N773"/>
    <hyperlink r:id="rId1955" ref="O773"/>
    <hyperlink r:id="rId1956" ref="P773"/>
    <hyperlink r:id="rId1957" ref="N774"/>
    <hyperlink r:id="rId1958" ref="O774"/>
    <hyperlink r:id="rId1959" ref="P774"/>
    <hyperlink r:id="rId1960" ref="N775"/>
    <hyperlink r:id="rId1961" ref="O775"/>
    <hyperlink r:id="rId1962" ref="N776"/>
    <hyperlink r:id="rId1963" ref="O776"/>
    <hyperlink r:id="rId1964" ref="N777"/>
    <hyperlink r:id="rId1965" ref="O777"/>
    <hyperlink r:id="rId1966" ref="P777"/>
    <hyperlink r:id="rId1967" ref="N778"/>
    <hyperlink r:id="rId1968" ref="O778"/>
    <hyperlink r:id="rId1969" ref="P778"/>
    <hyperlink r:id="rId1970" ref="N779"/>
    <hyperlink r:id="rId1971" ref="O779"/>
    <hyperlink r:id="rId1972" ref="N780"/>
    <hyperlink r:id="rId1973" ref="O780"/>
    <hyperlink r:id="rId1974" ref="P780"/>
    <hyperlink r:id="rId1975" ref="N781"/>
    <hyperlink r:id="rId1976" ref="O781"/>
    <hyperlink r:id="rId1977" ref="P781"/>
    <hyperlink r:id="rId1978" ref="N782"/>
    <hyperlink r:id="rId1979" ref="O782"/>
    <hyperlink r:id="rId1980" ref="P782"/>
    <hyperlink r:id="rId1981" ref="N783"/>
    <hyperlink r:id="rId1982" ref="O783"/>
    <hyperlink r:id="rId1983" ref="P783"/>
    <hyperlink r:id="rId1984" ref="N784"/>
    <hyperlink r:id="rId1985" ref="O784"/>
    <hyperlink r:id="rId1986" ref="P784"/>
    <hyperlink r:id="rId1987" ref="N785"/>
    <hyperlink r:id="rId1988" ref="O785"/>
    <hyperlink r:id="rId1989" ref="P785"/>
    <hyperlink r:id="rId1990" ref="N786"/>
    <hyperlink r:id="rId1991" ref="O786"/>
    <hyperlink r:id="rId1992" ref="P786"/>
    <hyperlink r:id="rId1993" ref="N787"/>
    <hyperlink r:id="rId1994" ref="O787"/>
    <hyperlink r:id="rId1995" ref="P787"/>
    <hyperlink r:id="rId1996" ref="N788"/>
    <hyperlink r:id="rId1997" ref="O788"/>
    <hyperlink r:id="rId1998" ref="P788"/>
    <hyperlink r:id="rId1999" ref="N789"/>
    <hyperlink r:id="rId2000" ref="O789"/>
    <hyperlink r:id="rId2001" ref="P789"/>
    <hyperlink r:id="rId2002" ref="N790"/>
    <hyperlink r:id="rId2003" ref="O790"/>
    <hyperlink r:id="rId2004" ref="P790"/>
    <hyperlink r:id="rId2005" ref="N791"/>
    <hyperlink r:id="rId2006" ref="O791"/>
    <hyperlink r:id="rId2007" ref="P791"/>
    <hyperlink r:id="rId2008" ref="N792"/>
    <hyperlink r:id="rId2009" ref="O792"/>
    <hyperlink r:id="rId2010" ref="P792"/>
    <hyperlink r:id="rId2011" ref="N793"/>
    <hyperlink r:id="rId2012" ref="O793"/>
    <hyperlink r:id="rId2013" ref="P793"/>
    <hyperlink r:id="rId2014" ref="N794"/>
    <hyperlink r:id="rId2015" ref="O794"/>
    <hyperlink r:id="rId2016" ref="P794"/>
    <hyperlink r:id="rId2017" ref="N795"/>
    <hyperlink r:id="rId2018" ref="O795"/>
    <hyperlink r:id="rId2019" ref="P795"/>
    <hyperlink r:id="rId2020" ref="N796"/>
    <hyperlink r:id="rId2021" ref="O796"/>
    <hyperlink r:id="rId2022" ref="P796"/>
    <hyperlink r:id="rId2023" ref="N797"/>
    <hyperlink r:id="rId2024" ref="O797"/>
    <hyperlink r:id="rId2025" ref="P797"/>
    <hyperlink r:id="rId2026" ref="N798"/>
    <hyperlink r:id="rId2027" ref="O798"/>
    <hyperlink r:id="rId2028" ref="P798"/>
    <hyperlink r:id="rId2029" ref="N799"/>
    <hyperlink r:id="rId2030" ref="O799"/>
    <hyperlink r:id="rId2031" ref="P799"/>
    <hyperlink r:id="rId2032" ref="N800"/>
    <hyperlink r:id="rId2033" ref="O800"/>
    <hyperlink r:id="rId2034" ref="P800"/>
    <hyperlink r:id="rId2035" ref="N801"/>
    <hyperlink r:id="rId2036" ref="O801"/>
    <hyperlink r:id="rId2037" ref="P801"/>
    <hyperlink r:id="rId2038" ref="N802"/>
    <hyperlink r:id="rId2039" ref="O802"/>
    <hyperlink r:id="rId2040" ref="P802"/>
    <hyperlink r:id="rId2041" ref="N803"/>
    <hyperlink r:id="rId2042" ref="O803"/>
    <hyperlink r:id="rId2043" ref="P803"/>
    <hyperlink r:id="rId2044" ref="N804"/>
    <hyperlink r:id="rId2045" ref="O804"/>
    <hyperlink r:id="rId2046" ref="P804"/>
    <hyperlink r:id="rId2047" ref="N805"/>
    <hyperlink r:id="rId2048" ref="O805"/>
    <hyperlink r:id="rId2049" ref="P805"/>
    <hyperlink r:id="rId2050" ref="N806"/>
    <hyperlink r:id="rId2051" ref="O806"/>
    <hyperlink r:id="rId2052" ref="P806"/>
    <hyperlink r:id="rId2053" ref="N807"/>
    <hyperlink r:id="rId2054" ref="O807"/>
    <hyperlink r:id="rId2055" ref="P807"/>
    <hyperlink r:id="rId2056" ref="N808"/>
    <hyperlink r:id="rId2057" ref="O808"/>
    <hyperlink r:id="rId2058" ref="P808"/>
    <hyperlink r:id="rId2059" ref="N809"/>
    <hyperlink r:id="rId2060" ref="O809"/>
    <hyperlink r:id="rId2061" ref="P809"/>
    <hyperlink r:id="rId2062" ref="N810"/>
    <hyperlink r:id="rId2063" ref="O810"/>
    <hyperlink r:id="rId2064" ref="P810"/>
    <hyperlink r:id="rId2065" ref="N811"/>
    <hyperlink r:id="rId2066" ref="O811"/>
    <hyperlink r:id="rId2067" ref="P811"/>
    <hyperlink r:id="rId2068" ref="N812"/>
    <hyperlink r:id="rId2069" ref="O812"/>
    <hyperlink r:id="rId2070" ref="P812"/>
    <hyperlink r:id="rId2071" ref="N813"/>
    <hyperlink r:id="rId2072" ref="O813"/>
    <hyperlink r:id="rId2073" ref="P813"/>
    <hyperlink r:id="rId2074" ref="N814"/>
    <hyperlink r:id="rId2075" ref="O814"/>
    <hyperlink r:id="rId2076" ref="P814"/>
    <hyperlink r:id="rId2077" ref="N815"/>
    <hyperlink r:id="rId2078" ref="O815"/>
    <hyperlink r:id="rId2079" ref="P815"/>
    <hyperlink r:id="rId2080" ref="N816"/>
    <hyperlink r:id="rId2081" ref="O816"/>
    <hyperlink r:id="rId2082" ref="P816"/>
    <hyperlink r:id="rId2083" ref="N817"/>
    <hyperlink r:id="rId2084" ref="O817"/>
    <hyperlink r:id="rId2085" ref="P817"/>
    <hyperlink r:id="rId2086" ref="N818"/>
    <hyperlink r:id="rId2087" ref="P818"/>
    <hyperlink r:id="rId2088" ref="N819"/>
    <hyperlink r:id="rId2089" ref="O819"/>
    <hyperlink r:id="rId2090" ref="P819"/>
    <hyperlink r:id="rId2091" ref="N820"/>
    <hyperlink r:id="rId2092" ref="O820"/>
    <hyperlink r:id="rId2093" ref="P820"/>
    <hyperlink r:id="rId2094" ref="N821"/>
    <hyperlink r:id="rId2095" ref="O821"/>
    <hyperlink r:id="rId2096" ref="P821"/>
    <hyperlink r:id="rId2097" ref="N822"/>
    <hyperlink r:id="rId2098" ref="O822"/>
    <hyperlink r:id="rId2099" ref="P822"/>
    <hyperlink r:id="rId2100" ref="N823"/>
    <hyperlink r:id="rId2101" ref="O823"/>
    <hyperlink r:id="rId2102" ref="P823"/>
    <hyperlink r:id="rId2103" ref="N824"/>
    <hyperlink r:id="rId2104" ref="O824"/>
    <hyperlink r:id="rId2105" ref="P824"/>
    <hyperlink r:id="rId2106" ref="N825"/>
    <hyperlink r:id="rId2107" ref="O825"/>
    <hyperlink r:id="rId2108" ref="P825"/>
    <hyperlink r:id="rId2109" ref="N826"/>
    <hyperlink r:id="rId2110" ref="O826"/>
    <hyperlink r:id="rId2111" ref="P826"/>
    <hyperlink r:id="rId2112" ref="N827"/>
    <hyperlink r:id="rId2113" ref="O827"/>
    <hyperlink r:id="rId2114" ref="P827"/>
    <hyperlink r:id="rId2115" ref="N828"/>
    <hyperlink r:id="rId2116" ref="O828"/>
    <hyperlink r:id="rId2117" ref="P828"/>
    <hyperlink r:id="rId2118" ref="N829"/>
    <hyperlink r:id="rId2119" ref="O829"/>
    <hyperlink r:id="rId2120" ref="P829"/>
    <hyperlink r:id="rId2121" ref="N830"/>
    <hyperlink r:id="rId2122" ref="P830"/>
    <hyperlink r:id="rId2123" ref="N831"/>
    <hyperlink r:id="rId2124" ref="O831"/>
    <hyperlink r:id="rId2125" ref="P831"/>
    <hyperlink r:id="rId2126" ref="N832"/>
    <hyperlink r:id="rId2127" ref="O832"/>
    <hyperlink r:id="rId2128" ref="P832"/>
    <hyperlink r:id="rId2129" ref="N833"/>
    <hyperlink r:id="rId2130" ref="O833"/>
    <hyperlink r:id="rId2131" ref="P833"/>
    <hyperlink r:id="rId2132" ref="N834"/>
    <hyperlink r:id="rId2133" ref="O834"/>
    <hyperlink r:id="rId2134" ref="P834"/>
    <hyperlink r:id="rId2135" ref="N835"/>
    <hyperlink r:id="rId2136" ref="O835"/>
    <hyperlink r:id="rId2137" ref="P835"/>
    <hyperlink r:id="rId2138" ref="N836"/>
    <hyperlink r:id="rId2139" ref="O836"/>
    <hyperlink r:id="rId2140" ref="P836"/>
    <hyperlink r:id="rId2141" ref="N837"/>
    <hyperlink r:id="rId2142" ref="O837"/>
    <hyperlink r:id="rId2143" ref="P837"/>
    <hyperlink r:id="rId2144" ref="N838"/>
    <hyperlink r:id="rId2145" ref="O838"/>
    <hyperlink r:id="rId2146" ref="P838"/>
    <hyperlink r:id="rId2147" ref="N839"/>
    <hyperlink r:id="rId2148" ref="O839"/>
    <hyperlink r:id="rId2149" ref="P839"/>
    <hyperlink r:id="rId2150" ref="N840"/>
    <hyperlink r:id="rId2151" ref="O840"/>
    <hyperlink r:id="rId2152" ref="P840"/>
    <hyperlink r:id="rId2153" ref="N841"/>
    <hyperlink r:id="rId2154" ref="O841"/>
    <hyperlink r:id="rId2155" ref="P841"/>
    <hyperlink r:id="rId2156" ref="N842"/>
    <hyperlink r:id="rId2157" ref="O842"/>
    <hyperlink r:id="rId2158" ref="P842"/>
    <hyperlink r:id="rId2159" ref="N843"/>
    <hyperlink r:id="rId2160" ref="O843"/>
    <hyperlink r:id="rId2161" ref="P843"/>
    <hyperlink r:id="rId2162" ref="N844"/>
    <hyperlink r:id="rId2163" ref="O844"/>
    <hyperlink r:id="rId2164" ref="P844"/>
    <hyperlink r:id="rId2165" ref="N845"/>
    <hyperlink r:id="rId2166" ref="O845"/>
    <hyperlink r:id="rId2167" ref="P845"/>
    <hyperlink r:id="rId2168" ref="N846"/>
    <hyperlink r:id="rId2169" ref="O846"/>
    <hyperlink r:id="rId2170" ref="P846"/>
    <hyperlink r:id="rId2171" ref="N847"/>
    <hyperlink r:id="rId2172" ref="O847"/>
    <hyperlink r:id="rId2173" ref="P847"/>
    <hyperlink r:id="rId2174" ref="N848"/>
    <hyperlink r:id="rId2175" ref="O848"/>
    <hyperlink r:id="rId2176" ref="P848"/>
    <hyperlink r:id="rId2177" ref="N849"/>
    <hyperlink r:id="rId2178" ref="O849"/>
    <hyperlink r:id="rId2179" ref="P849"/>
    <hyperlink r:id="rId2180" ref="N850"/>
    <hyperlink r:id="rId2181" ref="O850"/>
    <hyperlink r:id="rId2182" ref="P850"/>
    <hyperlink r:id="rId2183" ref="N851"/>
    <hyperlink r:id="rId2184" ref="O851"/>
    <hyperlink r:id="rId2185" ref="P851"/>
    <hyperlink r:id="rId2186" ref="N852"/>
    <hyperlink r:id="rId2187" ref="O852"/>
    <hyperlink r:id="rId2188" ref="P852"/>
    <hyperlink r:id="rId2189" ref="N853"/>
    <hyperlink r:id="rId2190" ref="O853"/>
    <hyperlink r:id="rId2191" ref="P853"/>
    <hyperlink r:id="rId2192" ref="N854"/>
    <hyperlink r:id="rId2193" ref="O854"/>
    <hyperlink r:id="rId2194" ref="P854"/>
    <hyperlink r:id="rId2195" ref="N855"/>
    <hyperlink r:id="rId2196" ref="O855"/>
    <hyperlink r:id="rId2197" ref="N856"/>
    <hyperlink r:id="rId2198" ref="O856"/>
    <hyperlink r:id="rId2199" ref="P856"/>
    <hyperlink r:id="rId2200" ref="N857"/>
    <hyperlink r:id="rId2201" ref="O857"/>
    <hyperlink r:id="rId2202" ref="P857"/>
    <hyperlink r:id="rId2203" ref="N858"/>
    <hyperlink r:id="rId2204" ref="O858"/>
    <hyperlink r:id="rId2205" ref="P858"/>
    <hyperlink r:id="rId2206" ref="N859"/>
    <hyperlink r:id="rId2207" ref="O859"/>
    <hyperlink r:id="rId2208" ref="P859"/>
    <hyperlink r:id="rId2209" ref="N860"/>
    <hyperlink r:id="rId2210" ref="O860"/>
    <hyperlink r:id="rId2211" ref="P860"/>
    <hyperlink r:id="rId2212" ref="N861"/>
    <hyperlink r:id="rId2213" ref="O861"/>
    <hyperlink r:id="rId2214" ref="P861"/>
    <hyperlink r:id="rId2215" ref="N862"/>
    <hyperlink r:id="rId2216" ref="O862"/>
    <hyperlink r:id="rId2217" ref="P862"/>
    <hyperlink r:id="rId2218" ref="N863"/>
    <hyperlink r:id="rId2219" ref="O863"/>
    <hyperlink r:id="rId2220" ref="P863"/>
    <hyperlink r:id="rId2221" ref="N864"/>
    <hyperlink r:id="rId2222" ref="O864"/>
    <hyperlink r:id="rId2223" ref="P864"/>
    <hyperlink r:id="rId2224" ref="N865"/>
    <hyperlink r:id="rId2225" ref="O865"/>
    <hyperlink r:id="rId2226" ref="P865"/>
    <hyperlink r:id="rId2227" ref="N866"/>
    <hyperlink r:id="rId2228" ref="O866"/>
    <hyperlink r:id="rId2229" ref="P866"/>
    <hyperlink r:id="rId2230" ref="N867"/>
    <hyperlink r:id="rId2231" ref="O867"/>
    <hyperlink r:id="rId2232" ref="P867"/>
    <hyperlink r:id="rId2233" ref="N868"/>
    <hyperlink r:id="rId2234" ref="O868"/>
    <hyperlink r:id="rId2235" ref="P868"/>
    <hyperlink r:id="rId2236" ref="N869"/>
    <hyperlink r:id="rId2237" ref="O869"/>
    <hyperlink r:id="rId2238" ref="P869"/>
    <hyperlink r:id="rId2239" ref="N870"/>
    <hyperlink r:id="rId2240" ref="O870"/>
    <hyperlink r:id="rId2241" ref="P870"/>
    <hyperlink r:id="rId2242" ref="N871"/>
    <hyperlink r:id="rId2243" ref="O871"/>
    <hyperlink r:id="rId2244" ref="P871"/>
    <hyperlink r:id="rId2245" ref="N872"/>
    <hyperlink r:id="rId2246" ref="O872"/>
    <hyperlink r:id="rId2247" ref="P872"/>
    <hyperlink r:id="rId2248" ref="N873"/>
    <hyperlink r:id="rId2249" ref="O873"/>
    <hyperlink r:id="rId2250" ref="P873"/>
    <hyperlink r:id="rId2251" ref="N874"/>
    <hyperlink r:id="rId2252" ref="O874"/>
    <hyperlink r:id="rId2253" ref="P874"/>
    <hyperlink r:id="rId2254" ref="N875"/>
    <hyperlink r:id="rId2255" ref="O875"/>
    <hyperlink r:id="rId2256" ref="P875"/>
    <hyperlink r:id="rId2257" ref="N876"/>
    <hyperlink r:id="rId2258" ref="O876"/>
    <hyperlink r:id="rId2259" ref="P876"/>
    <hyperlink r:id="rId2260" ref="N877"/>
    <hyperlink r:id="rId2261" ref="O877"/>
    <hyperlink r:id="rId2262" ref="P877"/>
    <hyperlink r:id="rId2263" ref="N878"/>
    <hyperlink r:id="rId2264" ref="O878"/>
    <hyperlink r:id="rId2265" ref="P878"/>
    <hyperlink r:id="rId2266" ref="N879"/>
    <hyperlink r:id="rId2267" ref="O879"/>
    <hyperlink r:id="rId2268" ref="P879"/>
    <hyperlink r:id="rId2269" ref="N880"/>
    <hyperlink r:id="rId2270" ref="O880"/>
    <hyperlink r:id="rId2271" ref="P880"/>
    <hyperlink r:id="rId2272" ref="N881"/>
    <hyperlink r:id="rId2273" ref="O881"/>
    <hyperlink r:id="rId2274" ref="P881"/>
    <hyperlink r:id="rId2275" ref="N882"/>
    <hyperlink r:id="rId2276" ref="O882"/>
    <hyperlink r:id="rId2277" ref="P882"/>
    <hyperlink r:id="rId2278" ref="N883"/>
    <hyperlink r:id="rId2279" ref="O883"/>
    <hyperlink r:id="rId2280" ref="P883"/>
    <hyperlink r:id="rId2281" ref="N884"/>
    <hyperlink r:id="rId2282" ref="O884"/>
    <hyperlink r:id="rId2283" ref="P884"/>
    <hyperlink r:id="rId2284" ref="N885"/>
    <hyperlink r:id="rId2285" ref="O885"/>
    <hyperlink r:id="rId2286" ref="P885"/>
    <hyperlink r:id="rId2287" ref="N886"/>
    <hyperlink r:id="rId2288" ref="O886"/>
    <hyperlink r:id="rId2289" ref="P886"/>
    <hyperlink r:id="rId2290" ref="N887"/>
    <hyperlink r:id="rId2291" ref="O887"/>
    <hyperlink r:id="rId2292" ref="P887"/>
    <hyperlink r:id="rId2293" ref="N888"/>
    <hyperlink r:id="rId2294" ref="O888"/>
    <hyperlink r:id="rId2295" ref="P888"/>
    <hyperlink r:id="rId2296" ref="N889"/>
    <hyperlink r:id="rId2297" ref="O889"/>
    <hyperlink r:id="rId2298" ref="P889"/>
    <hyperlink r:id="rId2299" ref="N890"/>
    <hyperlink r:id="rId2300" ref="O890"/>
    <hyperlink r:id="rId2301" ref="P890"/>
    <hyperlink r:id="rId2302" ref="N891"/>
    <hyperlink r:id="rId2303" ref="O891"/>
    <hyperlink r:id="rId2304" ref="P891"/>
    <hyperlink r:id="rId2305" ref="N892"/>
    <hyperlink r:id="rId2306" ref="O892"/>
    <hyperlink r:id="rId2307" ref="P892"/>
    <hyperlink r:id="rId2308" ref="N893"/>
    <hyperlink r:id="rId2309" ref="O893"/>
    <hyperlink r:id="rId2310" ref="P893"/>
    <hyperlink r:id="rId2311" ref="N894"/>
    <hyperlink r:id="rId2312" ref="O894"/>
    <hyperlink r:id="rId2313" ref="N895"/>
    <hyperlink r:id="rId2314" ref="O895"/>
    <hyperlink r:id="rId2315" ref="P895"/>
    <hyperlink r:id="rId2316" ref="N896"/>
    <hyperlink r:id="rId2317" ref="O896"/>
    <hyperlink r:id="rId2318" ref="P896"/>
    <hyperlink r:id="rId2319" ref="N897"/>
    <hyperlink r:id="rId2320" ref="O897"/>
    <hyperlink r:id="rId2321" ref="P897"/>
    <hyperlink r:id="rId2322" ref="N898"/>
    <hyperlink r:id="rId2323" ref="O898"/>
    <hyperlink r:id="rId2324" ref="P898"/>
    <hyperlink r:id="rId2325" ref="N899"/>
    <hyperlink r:id="rId2326" ref="O899"/>
    <hyperlink r:id="rId2327" ref="P899"/>
    <hyperlink r:id="rId2328" ref="N900"/>
    <hyperlink r:id="rId2329" ref="O900"/>
    <hyperlink r:id="rId2330" ref="P900"/>
    <hyperlink r:id="rId2331" ref="N901"/>
    <hyperlink r:id="rId2332" ref="O901"/>
    <hyperlink r:id="rId2333" ref="P901"/>
    <hyperlink r:id="rId2334" ref="N902"/>
    <hyperlink r:id="rId2335" ref="O902"/>
    <hyperlink r:id="rId2336" ref="P902"/>
    <hyperlink r:id="rId2337" ref="N903"/>
    <hyperlink r:id="rId2338" ref="O903"/>
    <hyperlink r:id="rId2339" ref="P903"/>
    <hyperlink r:id="rId2340" ref="N904"/>
    <hyperlink r:id="rId2341" ref="O904"/>
    <hyperlink r:id="rId2342" ref="P904"/>
    <hyperlink r:id="rId2343" ref="N905"/>
    <hyperlink r:id="rId2344" ref="O905"/>
    <hyperlink r:id="rId2345" ref="P905"/>
    <hyperlink r:id="rId2346" ref="N906"/>
    <hyperlink r:id="rId2347" ref="O906"/>
    <hyperlink r:id="rId2348" ref="P906"/>
    <hyperlink r:id="rId2349" ref="N907"/>
    <hyperlink r:id="rId2350" ref="O907"/>
    <hyperlink r:id="rId2351" ref="P907"/>
    <hyperlink r:id="rId2352" ref="N908"/>
    <hyperlink r:id="rId2353" ref="O908"/>
    <hyperlink r:id="rId2354" ref="P908"/>
    <hyperlink r:id="rId2355" ref="N909"/>
    <hyperlink r:id="rId2356" ref="O909"/>
    <hyperlink r:id="rId2357" ref="P909"/>
    <hyperlink r:id="rId2358" ref="N910"/>
    <hyperlink r:id="rId2359" ref="O910"/>
    <hyperlink r:id="rId2360" ref="P910"/>
    <hyperlink r:id="rId2361" ref="N911"/>
    <hyperlink r:id="rId2362" ref="O911"/>
    <hyperlink r:id="rId2363" ref="P911"/>
    <hyperlink r:id="rId2364" ref="N912"/>
    <hyperlink r:id="rId2365" ref="O912"/>
    <hyperlink r:id="rId2366" ref="P912"/>
    <hyperlink r:id="rId2367" ref="N913"/>
    <hyperlink r:id="rId2368" ref="O913"/>
    <hyperlink r:id="rId2369" ref="P913"/>
    <hyperlink r:id="rId2370" ref="N914"/>
    <hyperlink r:id="rId2371" ref="O914"/>
    <hyperlink r:id="rId2372" ref="P914"/>
    <hyperlink r:id="rId2373" ref="N915"/>
    <hyperlink r:id="rId2374" ref="O915"/>
    <hyperlink r:id="rId2375" ref="P915"/>
    <hyperlink r:id="rId2376" ref="N916"/>
    <hyperlink r:id="rId2377" ref="O916"/>
    <hyperlink r:id="rId2378" ref="P916"/>
    <hyperlink r:id="rId2379" ref="N917"/>
    <hyperlink r:id="rId2380" ref="O917"/>
    <hyperlink r:id="rId2381" ref="P917"/>
    <hyperlink r:id="rId2382" ref="N918"/>
    <hyperlink r:id="rId2383" ref="O918"/>
    <hyperlink r:id="rId2384" ref="P918"/>
    <hyperlink r:id="rId2385" ref="N919"/>
    <hyperlink r:id="rId2386" ref="O919"/>
    <hyperlink r:id="rId2387" ref="P919"/>
    <hyperlink r:id="rId2388" ref="N920"/>
    <hyperlink r:id="rId2389" ref="O920"/>
    <hyperlink r:id="rId2390" ref="P920"/>
    <hyperlink r:id="rId2391" ref="N921"/>
    <hyperlink r:id="rId2392" ref="O921"/>
    <hyperlink r:id="rId2393" ref="P921"/>
    <hyperlink r:id="rId2394" ref="N922"/>
    <hyperlink r:id="rId2395" ref="O922"/>
    <hyperlink r:id="rId2396" ref="P922"/>
    <hyperlink r:id="rId2397" ref="N923"/>
    <hyperlink r:id="rId2398" ref="O923"/>
    <hyperlink r:id="rId2399" ref="P923"/>
    <hyperlink r:id="rId2400" ref="N924"/>
    <hyperlink r:id="rId2401" ref="O924"/>
    <hyperlink r:id="rId2402" ref="P924"/>
    <hyperlink r:id="rId2403" ref="N925"/>
    <hyperlink r:id="rId2404" ref="O925"/>
    <hyperlink r:id="rId2405" ref="P925"/>
    <hyperlink r:id="rId2406" ref="N926"/>
    <hyperlink r:id="rId2407" ref="O926"/>
    <hyperlink r:id="rId2408" ref="P926"/>
    <hyperlink r:id="rId2409" ref="N927"/>
    <hyperlink r:id="rId2410" ref="O927"/>
    <hyperlink r:id="rId2411" ref="P927"/>
    <hyperlink r:id="rId2412" ref="N928"/>
    <hyperlink r:id="rId2413" ref="O928"/>
    <hyperlink r:id="rId2414" ref="N929"/>
    <hyperlink r:id="rId2415" ref="O929"/>
    <hyperlink r:id="rId2416" ref="P929"/>
    <hyperlink r:id="rId2417" ref="N930"/>
    <hyperlink r:id="rId2418" ref="O930"/>
    <hyperlink r:id="rId2419" ref="P930"/>
    <hyperlink r:id="rId2420" ref="N931"/>
    <hyperlink r:id="rId2421" ref="O931"/>
    <hyperlink r:id="rId2422" ref="P931"/>
    <hyperlink r:id="rId2423" ref="N932"/>
    <hyperlink r:id="rId2424" ref="O932"/>
    <hyperlink r:id="rId2425" ref="P932"/>
    <hyperlink r:id="rId2426" ref="N933"/>
    <hyperlink r:id="rId2427" ref="O933"/>
    <hyperlink r:id="rId2428" ref="P933"/>
    <hyperlink r:id="rId2429" ref="N934"/>
    <hyperlink r:id="rId2430" ref="O934"/>
    <hyperlink r:id="rId2431" ref="P934"/>
    <hyperlink r:id="rId2432" ref="N935"/>
    <hyperlink r:id="rId2433" ref="O935"/>
    <hyperlink r:id="rId2434" ref="P935"/>
    <hyperlink r:id="rId2435" ref="N936"/>
    <hyperlink r:id="rId2436" ref="O936"/>
    <hyperlink r:id="rId2437" ref="P936"/>
    <hyperlink r:id="rId2438" ref="N937"/>
    <hyperlink r:id="rId2439" ref="O937"/>
    <hyperlink r:id="rId2440" ref="P937"/>
    <hyperlink r:id="rId2441" ref="N938"/>
    <hyperlink r:id="rId2442" ref="O938"/>
    <hyperlink r:id="rId2443" ref="P938"/>
    <hyperlink r:id="rId2444" ref="N939"/>
    <hyperlink r:id="rId2445" ref="O939"/>
    <hyperlink r:id="rId2446" ref="P939"/>
    <hyperlink r:id="rId2447" ref="N940"/>
    <hyperlink r:id="rId2448" ref="O940"/>
    <hyperlink r:id="rId2449" ref="P940"/>
    <hyperlink r:id="rId2450" ref="N941"/>
    <hyperlink r:id="rId2451" ref="O941"/>
    <hyperlink r:id="rId2452" ref="P941"/>
    <hyperlink r:id="rId2453" ref="N942"/>
    <hyperlink r:id="rId2454" ref="O942"/>
    <hyperlink r:id="rId2455" ref="P942"/>
    <hyperlink r:id="rId2456" ref="N943"/>
    <hyperlink r:id="rId2457" ref="O943"/>
    <hyperlink r:id="rId2458" ref="P943"/>
    <hyperlink r:id="rId2459" ref="N944"/>
    <hyperlink r:id="rId2460" ref="O944"/>
    <hyperlink r:id="rId2461" ref="P944"/>
    <hyperlink r:id="rId2462" ref="N945"/>
    <hyperlink r:id="rId2463" ref="O945"/>
    <hyperlink r:id="rId2464" ref="P945"/>
    <hyperlink r:id="rId2465" ref="N946"/>
    <hyperlink r:id="rId2466" ref="O946"/>
    <hyperlink r:id="rId2467" ref="P946"/>
    <hyperlink r:id="rId2468" ref="N947"/>
    <hyperlink r:id="rId2469" ref="O947"/>
    <hyperlink r:id="rId2470" ref="P947"/>
    <hyperlink r:id="rId2471" ref="N948"/>
    <hyperlink r:id="rId2472" ref="O948"/>
    <hyperlink r:id="rId2473" ref="P948"/>
    <hyperlink r:id="rId2474" ref="N949"/>
    <hyperlink r:id="rId2475" ref="O949"/>
    <hyperlink r:id="rId2476" ref="P949"/>
    <hyperlink r:id="rId2477" ref="N950"/>
    <hyperlink r:id="rId2478" ref="O950"/>
    <hyperlink r:id="rId2479" ref="P950"/>
    <hyperlink r:id="rId2480" ref="N951"/>
    <hyperlink r:id="rId2481" ref="O951"/>
    <hyperlink r:id="rId2482" ref="P951"/>
    <hyperlink r:id="rId2483" ref="N952"/>
    <hyperlink r:id="rId2484" ref="O952"/>
    <hyperlink r:id="rId2485" ref="P952"/>
    <hyperlink r:id="rId2486" ref="N953"/>
    <hyperlink r:id="rId2487" ref="O953"/>
    <hyperlink r:id="rId2488" ref="P953"/>
    <hyperlink r:id="rId2489" ref="N954"/>
    <hyperlink r:id="rId2490" ref="O954"/>
    <hyperlink r:id="rId2491" ref="P954"/>
    <hyperlink r:id="rId2492" ref="N955"/>
    <hyperlink r:id="rId2493" ref="O955"/>
    <hyperlink r:id="rId2494" ref="P955"/>
    <hyperlink r:id="rId2495" ref="N956"/>
    <hyperlink r:id="rId2496" ref="O956"/>
    <hyperlink r:id="rId2497" ref="P956"/>
    <hyperlink r:id="rId2498" ref="N957"/>
    <hyperlink r:id="rId2499" ref="O957"/>
    <hyperlink r:id="rId2500" ref="P957"/>
    <hyperlink r:id="rId2501" ref="N958"/>
    <hyperlink r:id="rId2502" ref="O958"/>
    <hyperlink r:id="rId2503" ref="P958"/>
    <hyperlink r:id="rId2504" ref="N959"/>
    <hyperlink r:id="rId2505" ref="O959"/>
    <hyperlink r:id="rId2506" ref="P959"/>
    <hyperlink r:id="rId2507" ref="N960"/>
    <hyperlink r:id="rId2508" ref="O960"/>
    <hyperlink r:id="rId2509" ref="P960"/>
    <hyperlink r:id="rId2510" ref="N961"/>
    <hyperlink r:id="rId2511" ref="O961"/>
    <hyperlink r:id="rId2512" ref="P961"/>
    <hyperlink r:id="rId2513" ref="N962"/>
    <hyperlink r:id="rId2514" ref="O962"/>
    <hyperlink r:id="rId2515" ref="P962"/>
    <hyperlink r:id="rId2516" ref="N963"/>
    <hyperlink r:id="rId2517" ref="O963"/>
    <hyperlink r:id="rId2518" ref="P963"/>
    <hyperlink r:id="rId2519" ref="N964"/>
    <hyperlink r:id="rId2520" ref="O964"/>
    <hyperlink r:id="rId2521" ref="P964"/>
    <hyperlink r:id="rId2522" ref="N965"/>
    <hyperlink r:id="rId2523" ref="O965"/>
    <hyperlink r:id="rId2524" ref="P965"/>
    <hyperlink r:id="rId2525" ref="N966"/>
    <hyperlink r:id="rId2526" ref="O966"/>
    <hyperlink r:id="rId2527" ref="P966"/>
    <hyperlink r:id="rId2528" ref="N967"/>
    <hyperlink r:id="rId2529" ref="O967"/>
    <hyperlink r:id="rId2530" ref="P967"/>
    <hyperlink r:id="rId2531" ref="N968"/>
    <hyperlink r:id="rId2532" ref="O968"/>
    <hyperlink r:id="rId2533" ref="P968"/>
    <hyperlink r:id="rId2534" ref="N969"/>
    <hyperlink r:id="rId2535" ref="O969"/>
    <hyperlink r:id="rId2536" ref="P969"/>
    <hyperlink r:id="rId2537" ref="N970"/>
    <hyperlink r:id="rId2538" ref="O970"/>
    <hyperlink r:id="rId2539" ref="P970"/>
    <hyperlink r:id="rId2540" ref="N971"/>
    <hyperlink r:id="rId2541" ref="O971"/>
    <hyperlink r:id="rId2542" ref="P971"/>
    <hyperlink r:id="rId2543" ref="N972"/>
    <hyperlink r:id="rId2544" ref="O972"/>
    <hyperlink r:id="rId2545" ref="P972"/>
    <hyperlink r:id="rId2546" ref="N973"/>
    <hyperlink r:id="rId2547" ref="O973"/>
    <hyperlink r:id="rId2548" ref="P973"/>
    <hyperlink r:id="rId2549" ref="N974"/>
    <hyperlink r:id="rId2550" ref="O974"/>
    <hyperlink r:id="rId2551" ref="P974"/>
    <hyperlink r:id="rId2552" ref="N975"/>
    <hyperlink r:id="rId2553" ref="O975"/>
    <hyperlink r:id="rId2554" ref="P975"/>
    <hyperlink r:id="rId2555" ref="N976"/>
    <hyperlink r:id="rId2556" ref="O976"/>
    <hyperlink r:id="rId2557" ref="P976"/>
    <hyperlink r:id="rId2558" ref="N977"/>
    <hyperlink r:id="rId2559" ref="O977"/>
    <hyperlink r:id="rId2560" ref="P977"/>
    <hyperlink r:id="rId2561" ref="N978"/>
    <hyperlink r:id="rId2562" ref="O978"/>
    <hyperlink r:id="rId2563" ref="P978"/>
    <hyperlink r:id="rId2564" ref="N979"/>
    <hyperlink r:id="rId2565" ref="O979"/>
    <hyperlink r:id="rId2566" ref="P979"/>
    <hyperlink r:id="rId2567" ref="N980"/>
    <hyperlink r:id="rId2568" ref="O980"/>
    <hyperlink r:id="rId2569" ref="P980"/>
    <hyperlink r:id="rId2570" ref="N981"/>
    <hyperlink r:id="rId2571" ref="O981"/>
    <hyperlink r:id="rId2572" ref="P981"/>
    <hyperlink r:id="rId2573" ref="N982"/>
    <hyperlink r:id="rId2574" ref="O982"/>
    <hyperlink r:id="rId2575" ref="P982"/>
    <hyperlink r:id="rId2576" ref="N983"/>
    <hyperlink r:id="rId2577" ref="O983"/>
    <hyperlink r:id="rId2578" ref="P983"/>
    <hyperlink r:id="rId2579" ref="N984"/>
    <hyperlink r:id="rId2580" ref="O984"/>
    <hyperlink r:id="rId2581" ref="P984"/>
    <hyperlink r:id="rId2582" ref="N985"/>
    <hyperlink r:id="rId2583" ref="O985"/>
    <hyperlink r:id="rId2584" ref="P985"/>
    <hyperlink r:id="rId2585" ref="N986"/>
    <hyperlink r:id="rId2586" ref="O986"/>
    <hyperlink r:id="rId2587" ref="P986"/>
    <hyperlink r:id="rId2588" ref="N987"/>
    <hyperlink r:id="rId2589" ref="O987"/>
    <hyperlink r:id="rId2590" ref="P987"/>
    <hyperlink r:id="rId2591" ref="N988"/>
    <hyperlink r:id="rId2592" ref="O988"/>
    <hyperlink r:id="rId2593" ref="P988"/>
    <hyperlink r:id="rId2594" ref="N989"/>
    <hyperlink r:id="rId2595" ref="O989"/>
    <hyperlink r:id="rId2596" ref="P989"/>
    <hyperlink r:id="rId2597" ref="N990"/>
    <hyperlink r:id="rId2598" ref="O990"/>
    <hyperlink r:id="rId2599" ref="P990"/>
    <hyperlink r:id="rId2600" ref="N991"/>
    <hyperlink r:id="rId2601" ref="O991"/>
    <hyperlink r:id="rId2602" ref="P991"/>
    <hyperlink r:id="rId2603" ref="N992"/>
    <hyperlink r:id="rId2604" ref="O992"/>
    <hyperlink r:id="rId2605" ref="P992"/>
    <hyperlink r:id="rId2606" ref="N993"/>
    <hyperlink r:id="rId2607" ref="O993"/>
    <hyperlink r:id="rId2608" ref="P993"/>
    <hyperlink r:id="rId2609" ref="N994"/>
    <hyperlink r:id="rId2610" ref="O994"/>
    <hyperlink r:id="rId2611" ref="P994"/>
    <hyperlink r:id="rId2612" ref="N995"/>
    <hyperlink r:id="rId2613" ref="O995"/>
    <hyperlink r:id="rId2614" ref="P995"/>
    <hyperlink r:id="rId2615" ref="N996"/>
    <hyperlink r:id="rId2616" ref="O996"/>
    <hyperlink r:id="rId2617" ref="P996"/>
    <hyperlink r:id="rId2618" ref="N997"/>
    <hyperlink r:id="rId2619" ref="O997"/>
    <hyperlink r:id="rId2620" ref="P997"/>
    <hyperlink r:id="rId2621" ref="N998"/>
    <hyperlink r:id="rId2622" ref="O998"/>
    <hyperlink r:id="rId2623" ref="P998"/>
    <hyperlink r:id="rId2624" ref="N999"/>
    <hyperlink r:id="rId2625" ref="O999"/>
    <hyperlink r:id="rId2626" ref="P999"/>
    <hyperlink r:id="rId2627" ref="N1000"/>
    <hyperlink r:id="rId2628" ref="O1000"/>
    <hyperlink r:id="rId2629" ref="P1000"/>
    <hyperlink r:id="rId2630" ref="N1001"/>
    <hyperlink r:id="rId2631" ref="O1001"/>
    <hyperlink r:id="rId2632" ref="P1001"/>
    <hyperlink r:id="rId2633" ref="N1002"/>
    <hyperlink r:id="rId2634" ref="O1002"/>
    <hyperlink r:id="rId2635" ref="P1002"/>
    <hyperlink r:id="rId2636" ref="N1003"/>
    <hyperlink r:id="rId2637" ref="O1003"/>
    <hyperlink r:id="rId2638" ref="P1003"/>
    <hyperlink r:id="rId2639" ref="N1004"/>
    <hyperlink r:id="rId2640" ref="O1004"/>
    <hyperlink r:id="rId2641" ref="P1004"/>
    <hyperlink r:id="rId2642" ref="N1005"/>
    <hyperlink r:id="rId2643" ref="O1005"/>
    <hyperlink r:id="rId2644" ref="P1005"/>
    <hyperlink r:id="rId2645" ref="N1006"/>
    <hyperlink r:id="rId2646" ref="O1006"/>
    <hyperlink r:id="rId2647" ref="P1006"/>
    <hyperlink r:id="rId2648" ref="N1007"/>
    <hyperlink r:id="rId2649" ref="O1007"/>
    <hyperlink r:id="rId2650" ref="P1007"/>
    <hyperlink r:id="rId2651" ref="N1008"/>
    <hyperlink r:id="rId2652" ref="O1008"/>
    <hyperlink r:id="rId2653" ref="P1008"/>
    <hyperlink r:id="rId2654" ref="N1009"/>
    <hyperlink r:id="rId2655" ref="O1009"/>
    <hyperlink r:id="rId2656" ref="P1009"/>
    <hyperlink r:id="rId2657" ref="N1010"/>
    <hyperlink r:id="rId2658" ref="O1010"/>
    <hyperlink r:id="rId2659" ref="P1010"/>
    <hyperlink r:id="rId2660" ref="N1011"/>
    <hyperlink r:id="rId2661" ref="O1011"/>
    <hyperlink r:id="rId2662" ref="P1011"/>
    <hyperlink r:id="rId2663" ref="N1012"/>
    <hyperlink r:id="rId2664" ref="O1012"/>
    <hyperlink r:id="rId2665" ref="P1012"/>
    <hyperlink r:id="rId2666" ref="N1013"/>
    <hyperlink r:id="rId2667" ref="O1013"/>
    <hyperlink r:id="rId2668" ref="P1013"/>
    <hyperlink r:id="rId2669" ref="N1014"/>
    <hyperlink r:id="rId2670" ref="O1014"/>
    <hyperlink r:id="rId2671" ref="P1014"/>
    <hyperlink r:id="rId2672" ref="N1015"/>
    <hyperlink r:id="rId2673" ref="O1015"/>
    <hyperlink r:id="rId2674" ref="P1015"/>
    <hyperlink r:id="rId2675" ref="N1016"/>
    <hyperlink r:id="rId2676" ref="O1016"/>
    <hyperlink r:id="rId2677" ref="P1016"/>
    <hyperlink r:id="rId2678" ref="N1017"/>
    <hyperlink r:id="rId2679" ref="O1017"/>
    <hyperlink r:id="rId2680" ref="P1017"/>
    <hyperlink r:id="rId2681" ref="N1018"/>
    <hyperlink r:id="rId2682" ref="O1018"/>
    <hyperlink r:id="rId2683" ref="P1018"/>
    <hyperlink r:id="rId2684" ref="N1019"/>
    <hyperlink r:id="rId2685" ref="O1019"/>
    <hyperlink r:id="rId2686" ref="P1019"/>
    <hyperlink r:id="rId2687" ref="N1020"/>
    <hyperlink r:id="rId2688" ref="O1020"/>
    <hyperlink r:id="rId2689" ref="P1020"/>
    <hyperlink r:id="rId2690" ref="N1021"/>
    <hyperlink r:id="rId2691" ref="O1021"/>
    <hyperlink r:id="rId2692" ref="P1021"/>
    <hyperlink r:id="rId2693" ref="N1022"/>
    <hyperlink r:id="rId2694" ref="O1022"/>
    <hyperlink r:id="rId2695" ref="P1022"/>
    <hyperlink r:id="rId2696" ref="N1023"/>
    <hyperlink r:id="rId2697" ref="O1023"/>
    <hyperlink r:id="rId2698" ref="P1023"/>
    <hyperlink r:id="rId2699" ref="N1024"/>
    <hyperlink r:id="rId2700" ref="O1024"/>
    <hyperlink r:id="rId2701" ref="P1024"/>
    <hyperlink r:id="rId2702" ref="N1025"/>
    <hyperlink r:id="rId2703" ref="O1025"/>
    <hyperlink r:id="rId2704" ref="P1025"/>
    <hyperlink r:id="rId2705" ref="N1026"/>
    <hyperlink r:id="rId2706" ref="O1026"/>
    <hyperlink r:id="rId2707" ref="P1026"/>
    <hyperlink r:id="rId2708" ref="N1027"/>
    <hyperlink r:id="rId2709" ref="O1027"/>
    <hyperlink r:id="rId2710" ref="P1027"/>
    <hyperlink r:id="rId2711" ref="N1028"/>
    <hyperlink r:id="rId2712" ref="O1028"/>
    <hyperlink r:id="rId2713" ref="P1028"/>
    <hyperlink r:id="rId2714" ref="N1029"/>
    <hyperlink r:id="rId2715" ref="O1029"/>
    <hyperlink r:id="rId2716" ref="P1029"/>
    <hyperlink r:id="rId2717" ref="N1030"/>
    <hyperlink r:id="rId2718" ref="O1030"/>
    <hyperlink r:id="rId2719" ref="P1030"/>
    <hyperlink r:id="rId2720" ref="N1031"/>
    <hyperlink r:id="rId2721" ref="O1031"/>
    <hyperlink r:id="rId2722" ref="P1031"/>
    <hyperlink r:id="rId2723" ref="N1032"/>
    <hyperlink r:id="rId2724" ref="O1032"/>
    <hyperlink r:id="rId2725" ref="P1032"/>
    <hyperlink r:id="rId2726" ref="N1033"/>
    <hyperlink r:id="rId2727" ref="O1033"/>
    <hyperlink r:id="rId2728" ref="P1033"/>
    <hyperlink r:id="rId2729" ref="N1034"/>
    <hyperlink r:id="rId2730" ref="O1034"/>
    <hyperlink r:id="rId2731" ref="P1034"/>
    <hyperlink r:id="rId2732" ref="N1035"/>
    <hyperlink r:id="rId2733" ref="O1035"/>
    <hyperlink r:id="rId2734" ref="P1035"/>
    <hyperlink r:id="rId2735" ref="N1036"/>
    <hyperlink r:id="rId2736" ref="O1036"/>
    <hyperlink r:id="rId2737" ref="P1036"/>
    <hyperlink r:id="rId2738" ref="N1037"/>
    <hyperlink r:id="rId2739" ref="O1037"/>
    <hyperlink r:id="rId2740" ref="P1037"/>
    <hyperlink r:id="rId2741" ref="N1038"/>
    <hyperlink r:id="rId2742" ref="O1038"/>
    <hyperlink r:id="rId2743" ref="P1038"/>
    <hyperlink r:id="rId2744" ref="N1039"/>
    <hyperlink r:id="rId2745" ref="O1039"/>
    <hyperlink r:id="rId2746" ref="P1039"/>
    <hyperlink r:id="rId2747" ref="N1040"/>
    <hyperlink r:id="rId2748" ref="O1040"/>
    <hyperlink r:id="rId2749" ref="P1040"/>
    <hyperlink r:id="rId2750" ref="N1041"/>
    <hyperlink r:id="rId2751" ref="O1041"/>
    <hyperlink r:id="rId2752" ref="P1041"/>
    <hyperlink r:id="rId2753" ref="N1042"/>
    <hyperlink r:id="rId2754" ref="O1042"/>
    <hyperlink r:id="rId2755" ref="P1042"/>
    <hyperlink r:id="rId2756" ref="N1043"/>
    <hyperlink r:id="rId2757" ref="O1043"/>
    <hyperlink r:id="rId2758" ref="P1043"/>
    <hyperlink r:id="rId2759" ref="N1044"/>
    <hyperlink r:id="rId2760" ref="O1044"/>
    <hyperlink r:id="rId2761" ref="P1044"/>
    <hyperlink r:id="rId2762" ref="N1045"/>
    <hyperlink r:id="rId2763" ref="O1045"/>
    <hyperlink r:id="rId2764" ref="P1045"/>
    <hyperlink r:id="rId2765" ref="N1046"/>
    <hyperlink r:id="rId2766" ref="O1046"/>
    <hyperlink r:id="rId2767" ref="P1046"/>
    <hyperlink r:id="rId2768" ref="N1047"/>
    <hyperlink r:id="rId2769" ref="O1047"/>
    <hyperlink r:id="rId2770" ref="P1047"/>
    <hyperlink r:id="rId2771" ref="N1048"/>
    <hyperlink r:id="rId2772" ref="O1048"/>
    <hyperlink r:id="rId2773" ref="P1048"/>
    <hyperlink r:id="rId2774" ref="N1049"/>
    <hyperlink r:id="rId2775" ref="O1049"/>
    <hyperlink r:id="rId2776" ref="P1049"/>
    <hyperlink r:id="rId2777" ref="N1050"/>
    <hyperlink r:id="rId2778" ref="O1050"/>
    <hyperlink r:id="rId2779" ref="P1050"/>
    <hyperlink r:id="rId2780" ref="N1051"/>
    <hyperlink r:id="rId2781" ref="O1051"/>
    <hyperlink r:id="rId2782" ref="P1051"/>
    <hyperlink r:id="rId2783" ref="N1052"/>
    <hyperlink r:id="rId2784" ref="O1052"/>
    <hyperlink r:id="rId2785" ref="P1052"/>
    <hyperlink r:id="rId2786" ref="N1053"/>
    <hyperlink r:id="rId2787" ref="O1053"/>
    <hyperlink r:id="rId2788" ref="P1053"/>
    <hyperlink r:id="rId2789" ref="N1054"/>
    <hyperlink r:id="rId2790" ref="O1054"/>
    <hyperlink r:id="rId2791" ref="P1054"/>
    <hyperlink r:id="rId2792" ref="N1055"/>
    <hyperlink r:id="rId2793" ref="O1055"/>
    <hyperlink r:id="rId2794" ref="P1055"/>
    <hyperlink r:id="rId2795" ref="N1056"/>
    <hyperlink r:id="rId2796" ref="O1056"/>
    <hyperlink r:id="rId2797" ref="P1056"/>
    <hyperlink r:id="rId2798" ref="N1057"/>
    <hyperlink r:id="rId2799" ref="O1057"/>
    <hyperlink r:id="rId2800" ref="P1057"/>
    <hyperlink r:id="rId2801" ref="N1058"/>
    <hyperlink r:id="rId2802" ref="O1058"/>
    <hyperlink r:id="rId2803" ref="P1058"/>
    <hyperlink r:id="rId2804" ref="N1059"/>
    <hyperlink r:id="rId2805" ref="O1059"/>
    <hyperlink r:id="rId2806" ref="P1059"/>
    <hyperlink r:id="rId2807" ref="N1060"/>
    <hyperlink r:id="rId2808" ref="O1060"/>
    <hyperlink r:id="rId2809" ref="P1060"/>
    <hyperlink r:id="rId2810" ref="N1061"/>
    <hyperlink r:id="rId2811" ref="O1061"/>
    <hyperlink r:id="rId2812" ref="P1061"/>
    <hyperlink r:id="rId2813" ref="N1062"/>
    <hyperlink r:id="rId2814" ref="O1062"/>
    <hyperlink r:id="rId2815" ref="P1062"/>
    <hyperlink r:id="rId2816" ref="N1063"/>
    <hyperlink r:id="rId2817" ref="O1063"/>
    <hyperlink r:id="rId2818" ref="P1063"/>
    <hyperlink r:id="rId2819" ref="N1064"/>
    <hyperlink r:id="rId2820" ref="O1064"/>
    <hyperlink r:id="rId2821" ref="P1064"/>
    <hyperlink r:id="rId2822" ref="N1065"/>
    <hyperlink r:id="rId2823" ref="O1065"/>
    <hyperlink r:id="rId2824" ref="P1065"/>
    <hyperlink r:id="rId2825" ref="N1066"/>
    <hyperlink r:id="rId2826" ref="O1066"/>
    <hyperlink r:id="rId2827" ref="P1066"/>
    <hyperlink r:id="rId2828" ref="N1067"/>
    <hyperlink r:id="rId2829" ref="O1067"/>
    <hyperlink r:id="rId2830" ref="P1067"/>
    <hyperlink r:id="rId2831" ref="N1068"/>
    <hyperlink r:id="rId2832" ref="O1068"/>
    <hyperlink r:id="rId2833" ref="P1068"/>
    <hyperlink r:id="rId2834" ref="N1069"/>
    <hyperlink r:id="rId2835" ref="O1069"/>
    <hyperlink r:id="rId2836" ref="P1069"/>
    <hyperlink r:id="rId2837" ref="N1070"/>
    <hyperlink r:id="rId2838" ref="O1070"/>
    <hyperlink r:id="rId2839" ref="P1070"/>
    <hyperlink r:id="rId2840" ref="N1071"/>
    <hyperlink r:id="rId2841" ref="O1071"/>
    <hyperlink r:id="rId2842" ref="P1071"/>
    <hyperlink r:id="rId2843" ref="N1072"/>
    <hyperlink r:id="rId2844" ref="O1072"/>
    <hyperlink r:id="rId2845" ref="P1072"/>
    <hyperlink r:id="rId2846" ref="N1073"/>
    <hyperlink r:id="rId2847" ref="O1073"/>
    <hyperlink r:id="rId2848" ref="P1073"/>
    <hyperlink r:id="rId2849" ref="N1074"/>
    <hyperlink r:id="rId2850" ref="O1074"/>
    <hyperlink r:id="rId2851" ref="P1074"/>
    <hyperlink r:id="rId2852" ref="N1075"/>
    <hyperlink r:id="rId2853" ref="O1075"/>
    <hyperlink r:id="rId2854" ref="N1076"/>
    <hyperlink r:id="rId2855" ref="O1076"/>
    <hyperlink r:id="rId2856" ref="P1076"/>
    <hyperlink r:id="rId2857" ref="N1077"/>
    <hyperlink r:id="rId2858" ref="O1077"/>
    <hyperlink r:id="rId2859" ref="P1077"/>
    <hyperlink r:id="rId2860" ref="N1078"/>
    <hyperlink r:id="rId2861" ref="O1078"/>
    <hyperlink r:id="rId2862" ref="P1078"/>
    <hyperlink r:id="rId2863" ref="N1079"/>
    <hyperlink r:id="rId2864" ref="O1079"/>
    <hyperlink r:id="rId2865" ref="P1079"/>
    <hyperlink r:id="rId2866" ref="N1080"/>
    <hyperlink r:id="rId2867" ref="O1080"/>
    <hyperlink r:id="rId2868" ref="P1080"/>
    <hyperlink r:id="rId2869" ref="N1081"/>
    <hyperlink r:id="rId2870" ref="O1081"/>
    <hyperlink r:id="rId2871" ref="P1081"/>
    <hyperlink r:id="rId2872" ref="N1082"/>
    <hyperlink r:id="rId2873" ref="O1082"/>
    <hyperlink r:id="rId2874" ref="P1082"/>
    <hyperlink r:id="rId2875" ref="N1083"/>
    <hyperlink r:id="rId2876" ref="O1083"/>
    <hyperlink r:id="rId2877" ref="P1083"/>
    <hyperlink r:id="rId2878" ref="N1084"/>
    <hyperlink r:id="rId2879" ref="O1084"/>
    <hyperlink r:id="rId2880" ref="P1084"/>
    <hyperlink r:id="rId2881" ref="N1085"/>
    <hyperlink r:id="rId2882" ref="O1085"/>
    <hyperlink r:id="rId2883" ref="P1085"/>
    <hyperlink r:id="rId2884" ref="N1086"/>
    <hyperlink r:id="rId2885" ref="O1086"/>
    <hyperlink r:id="rId2886" ref="P1086"/>
    <hyperlink r:id="rId2887" ref="N1087"/>
    <hyperlink r:id="rId2888" ref="O1087"/>
    <hyperlink r:id="rId2889" ref="P1087"/>
    <hyperlink r:id="rId2890" ref="N1088"/>
    <hyperlink r:id="rId2891" ref="O1088"/>
    <hyperlink r:id="rId2892" ref="P1088"/>
    <hyperlink r:id="rId2893" ref="N1089"/>
    <hyperlink r:id="rId2894" ref="O1089"/>
    <hyperlink r:id="rId2895" ref="P1089"/>
    <hyperlink r:id="rId2896" ref="N1090"/>
    <hyperlink r:id="rId2897" ref="O1090"/>
    <hyperlink r:id="rId2898" ref="P1090"/>
    <hyperlink r:id="rId2899" ref="N1091"/>
    <hyperlink r:id="rId2900" ref="O1091"/>
    <hyperlink r:id="rId2901" ref="P1091"/>
    <hyperlink r:id="rId2902" ref="N1092"/>
    <hyperlink r:id="rId2903" ref="O1092"/>
    <hyperlink r:id="rId2904" ref="P1092"/>
    <hyperlink r:id="rId2905" ref="N1093"/>
    <hyperlink r:id="rId2906" ref="O1093"/>
    <hyperlink r:id="rId2907" ref="P1093"/>
    <hyperlink r:id="rId2908" ref="N1094"/>
    <hyperlink r:id="rId2909" ref="O1094"/>
    <hyperlink r:id="rId2910" ref="P1094"/>
    <hyperlink r:id="rId2911" ref="N1095"/>
    <hyperlink r:id="rId2912" ref="O1095"/>
    <hyperlink r:id="rId2913" ref="P1095"/>
    <hyperlink r:id="rId2914" ref="N1096"/>
    <hyperlink r:id="rId2915" ref="O1096"/>
    <hyperlink r:id="rId2916" ref="P1096"/>
    <hyperlink r:id="rId2917" ref="N1097"/>
    <hyperlink r:id="rId2918" ref="O1097"/>
    <hyperlink r:id="rId2919" ref="P1097"/>
    <hyperlink r:id="rId2920" ref="N1098"/>
    <hyperlink r:id="rId2921" ref="O1098"/>
    <hyperlink r:id="rId2922" ref="P1098"/>
    <hyperlink r:id="rId2923" ref="N1099"/>
    <hyperlink r:id="rId2924" ref="O1099"/>
    <hyperlink r:id="rId2925" ref="P1099"/>
    <hyperlink r:id="rId2926" ref="N1100"/>
    <hyperlink r:id="rId2927" ref="O1100"/>
    <hyperlink r:id="rId2928" ref="P1100"/>
    <hyperlink r:id="rId2929" ref="N1101"/>
    <hyperlink r:id="rId2930" ref="O1101"/>
    <hyperlink r:id="rId2931" ref="P1101"/>
    <hyperlink r:id="rId2932" ref="N1102"/>
    <hyperlink r:id="rId2933" ref="O1102"/>
    <hyperlink r:id="rId2934" ref="P1102"/>
    <hyperlink r:id="rId2935" ref="N1103"/>
    <hyperlink r:id="rId2936" ref="O1103"/>
    <hyperlink r:id="rId2937" ref="P1103"/>
    <hyperlink r:id="rId2938" ref="N1104"/>
    <hyperlink r:id="rId2939" ref="O1104"/>
    <hyperlink r:id="rId2940" ref="P1104"/>
    <hyperlink r:id="rId2941" ref="N1105"/>
    <hyperlink r:id="rId2942" ref="O1105"/>
    <hyperlink r:id="rId2943" ref="P1105"/>
    <hyperlink r:id="rId2944" ref="N1106"/>
    <hyperlink r:id="rId2945" ref="O1106"/>
    <hyperlink r:id="rId2946" ref="P1106"/>
    <hyperlink r:id="rId2947" ref="N1107"/>
    <hyperlink r:id="rId2948" ref="O1107"/>
    <hyperlink r:id="rId2949" ref="N1108"/>
    <hyperlink r:id="rId2950" ref="O1108"/>
    <hyperlink r:id="rId2951" ref="P1108"/>
    <hyperlink r:id="rId2952" ref="N1109"/>
    <hyperlink r:id="rId2953" ref="O1109"/>
    <hyperlink r:id="rId2954" ref="P1109"/>
    <hyperlink r:id="rId2955" ref="N1110"/>
    <hyperlink r:id="rId2956" ref="O1110"/>
    <hyperlink r:id="rId2957" ref="P1110"/>
    <hyperlink r:id="rId2958" ref="N1111"/>
    <hyperlink r:id="rId2959" ref="O1111"/>
    <hyperlink r:id="rId2960" ref="P1111"/>
    <hyperlink r:id="rId2961" ref="N1112"/>
    <hyperlink r:id="rId2962" ref="O1112"/>
    <hyperlink r:id="rId2963" ref="P1112"/>
    <hyperlink r:id="rId2964" ref="N1113"/>
    <hyperlink r:id="rId2965" ref="O1113"/>
    <hyperlink r:id="rId2966" ref="P1113"/>
    <hyperlink r:id="rId2967" ref="N1114"/>
    <hyperlink r:id="rId2968" ref="O1114"/>
    <hyperlink r:id="rId2969" ref="P1114"/>
    <hyperlink r:id="rId2970" ref="N1115"/>
    <hyperlink r:id="rId2971" ref="O1115"/>
    <hyperlink r:id="rId2972" ref="P1115"/>
    <hyperlink r:id="rId2973" ref="N1116"/>
    <hyperlink r:id="rId2974" ref="O1116"/>
    <hyperlink r:id="rId2975" ref="P1116"/>
    <hyperlink r:id="rId2976" ref="N1117"/>
    <hyperlink r:id="rId2977" ref="O1117"/>
    <hyperlink r:id="rId2978" ref="P1117"/>
    <hyperlink r:id="rId2979" ref="N1118"/>
    <hyperlink r:id="rId2980" ref="O1118"/>
    <hyperlink r:id="rId2981" ref="P1118"/>
    <hyperlink r:id="rId2982" ref="N1119"/>
    <hyperlink r:id="rId2983" ref="O1119"/>
    <hyperlink r:id="rId2984" ref="P1119"/>
    <hyperlink r:id="rId2985" ref="N1120"/>
    <hyperlink r:id="rId2986" ref="O1120"/>
    <hyperlink r:id="rId2987" ref="P1120"/>
    <hyperlink r:id="rId2988" ref="N1121"/>
    <hyperlink r:id="rId2989" ref="O1121"/>
    <hyperlink r:id="rId2990" ref="P1121"/>
    <hyperlink r:id="rId2991" ref="N1122"/>
    <hyperlink r:id="rId2992" ref="O1122"/>
    <hyperlink r:id="rId2993" ref="P1122"/>
    <hyperlink r:id="rId2994" ref="N1123"/>
    <hyperlink r:id="rId2995" ref="O1123"/>
    <hyperlink r:id="rId2996" ref="P1123"/>
    <hyperlink r:id="rId2997" ref="N1124"/>
    <hyperlink r:id="rId2998" ref="O1124"/>
    <hyperlink r:id="rId2999" ref="P1124"/>
    <hyperlink r:id="rId3000" ref="N1125"/>
    <hyperlink r:id="rId3001" ref="O1125"/>
    <hyperlink r:id="rId3002" ref="P1125"/>
    <hyperlink r:id="rId3003" ref="N1126"/>
    <hyperlink r:id="rId3004" ref="O1126"/>
    <hyperlink r:id="rId3005" ref="P1126"/>
    <hyperlink r:id="rId3006" ref="N1127"/>
    <hyperlink r:id="rId3007" ref="O1127"/>
    <hyperlink r:id="rId3008" ref="P1127"/>
    <hyperlink r:id="rId3009" ref="N1128"/>
    <hyperlink r:id="rId3010" ref="O1128"/>
    <hyperlink r:id="rId3011" ref="P1128"/>
    <hyperlink r:id="rId3012" ref="N1129"/>
    <hyperlink r:id="rId3013" ref="O1129"/>
    <hyperlink r:id="rId3014" ref="P1129"/>
    <hyperlink r:id="rId3015" ref="N1130"/>
    <hyperlink r:id="rId3016" ref="O1130"/>
    <hyperlink r:id="rId3017" ref="P1130"/>
    <hyperlink r:id="rId3018" ref="N1131"/>
    <hyperlink r:id="rId3019" ref="O1131"/>
    <hyperlink r:id="rId3020" ref="P1131"/>
    <hyperlink r:id="rId3021" ref="N1132"/>
    <hyperlink r:id="rId3022" ref="O1132"/>
    <hyperlink r:id="rId3023" ref="P1132"/>
    <hyperlink r:id="rId3024" ref="N1133"/>
    <hyperlink r:id="rId3025" ref="O1133"/>
    <hyperlink r:id="rId3026" ref="P1133"/>
    <hyperlink r:id="rId3027" ref="N1134"/>
    <hyperlink r:id="rId3028" ref="O1134"/>
    <hyperlink r:id="rId3029" ref="P1134"/>
    <hyperlink r:id="rId3030" ref="N1135"/>
    <hyperlink r:id="rId3031" ref="O1135"/>
    <hyperlink r:id="rId3032" ref="P1135"/>
    <hyperlink r:id="rId3033" ref="N1136"/>
    <hyperlink r:id="rId3034" ref="O1136"/>
    <hyperlink r:id="rId3035" ref="P1136"/>
    <hyperlink r:id="rId3036" ref="N1137"/>
    <hyperlink r:id="rId3037" ref="O1137"/>
    <hyperlink r:id="rId3038" ref="P1137"/>
    <hyperlink r:id="rId3039" ref="N1138"/>
    <hyperlink r:id="rId3040" ref="O1138"/>
    <hyperlink r:id="rId3041" ref="P1138"/>
    <hyperlink r:id="rId3042" ref="N1139"/>
    <hyperlink r:id="rId3043" ref="O1139"/>
    <hyperlink r:id="rId3044" ref="P1139"/>
    <hyperlink r:id="rId3045" ref="N1140"/>
    <hyperlink r:id="rId3046" ref="O1140"/>
    <hyperlink r:id="rId3047" ref="P1140"/>
    <hyperlink r:id="rId3048" ref="N1141"/>
    <hyperlink r:id="rId3049" ref="O1141"/>
    <hyperlink r:id="rId3050" ref="P1141"/>
    <hyperlink r:id="rId3051" ref="N1142"/>
    <hyperlink r:id="rId3052" ref="O1142"/>
    <hyperlink r:id="rId3053" ref="P1142"/>
    <hyperlink r:id="rId3054" ref="N1143"/>
    <hyperlink r:id="rId3055" ref="O1143"/>
    <hyperlink r:id="rId3056" ref="P1143"/>
    <hyperlink r:id="rId3057" ref="N1144"/>
    <hyperlink r:id="rId3058" ref="O1144"/>
    <hyperlink r:id="rId3059" ref="P1144"/>
    <hyperlink r:id="rId3060" ref="N1145"/>
    <hyperlink r:id="rId3061" ref="O1145"/>
    <hyperlink r:id="rId3062" ref="P1145"/>
    <hyperlink r:id="rId3063" ref="N1146"/>
    <hyperlink r:id="rId3064" ref="O1146"/>
    <hyperlink r:id="rId3065" ref="P1146"/>
    <hyperlink r:id="rId3066" ref="N1147"/>
    <hyperlink r:id="rId3067" ref="O1147"/>
    <hyperlink r:id="rId3068" ref="P1147"/>
    <hyperlink r:id="rId3069" ref="N1148"/>
    <hyperlink r:id="rId3070" ref="O1148"/>
    <hyperlink r:id="rId3071" ref="P1148"/>
    <hyperlink r:id="rId3072" ref="N1149"/>
    <hyperlink r:id="rId3073" ref="O1149"/>
    <hyperlink r:id="rId3074" ref="P1149"/>
    <hyperlink r:id="rId3075" ref="N1150"/>
    <hyperlink r:id="rId3076" ref="O1150"/>
    <hyperlink r:id="rId3077" ref="P1150"/>
    <hyperlink r:id="rId3078" ref="N1151"/>
    <hyperlink r:id="rId3079" ref="O1151"/>
    <hyperlink r:id="rId3080" ref="P1151"/>
    <hyperlink r:id="rId3081" ref="N1152"/>
    <hyperlink r:id="rId3082" ref="O1152"/>
    <hyperlink r:id="rId3083" ref="P1152"/>
    <hyperlink r:id="rId3084" ref="N1153"/>
    <hyperlink r:id="rId3085" ref="O1153"/>
    <hyperlink r:id="rId3086" ref="P1153"/>
    <hyperlink r:id="rId3087" ref="N1154"/>
    <hyperlink r:id="rId3088" ref="O1154"/>
    <hyperlink r:id="rId3089" ref="P1154"/>
    <hyperlink r:id="rId3090" ref="N1155"/>
    <hyperlink r:id="rId3091" ref="O1155"/>
    <hyperlink r:id="rId3092" ref="P1155"/>
    <hyperlink r:id="rId3093" ref="N1156"/>
    <hyperlink r:id="rId3094" ref="O1156"/>
    <hyperlink r:id="rId3095" ref="P1156"/>
    <hyperlink r:id="rId3096" ref="N1157"/>
    <hyperlink r:id="rId3097" ref="O1157"/>
    <hyperlink r:id="rId3098" ref="P1157"/>
    <hyperlink r:id="rId3099" ref="N1158"/>
    <hyperlink r:id="rId3100" ref="O1158"/>
    <hyperlink r:id="rId3101" ref="P1158"/>
    <hyperlink r:id="rId3102" ref="N1159"/>
    <hyperlink r:id="rId3103" ref="O1159"/>
    <hyperlink r:id="rId3104" ref="P1159"/>
    <hyperlink r:id="rId3105" ref="N1160"/>
    <hyperlink r:id="rId3106" ref="O1160"/>
    <hyperlink r:id="rId3107" ref="P1160"/>
    <hyperlink r:id="rId3108" ref="N1161"/>
    <hyperlink r:id="rId3109" ref="O1161"/>
    <hyperlink r:id="rId3110" ref="P1161"/>
    <hyperlink r:id="rId3111" ref="N1162"/>
    <hyperlink r:id="rId3112" ref="O1162"/>
    <hyperlink r:id="rId3113" ref="P1162"/>
    <hyperlink r:id="rId3114" ref="N1163"/>
    <hyperlink r:id="rId3115" ref="O1163"/>
    <hyperlink r:id="rId3116" ref="P1163"/>
    <hyperlink r:id="rId3117" ref="N1164"/>
    <hyperlink r:id="rId3118" ref="O1164"/>
    <hyperlink r:id="rId3119" ref="P1164"/>
    <hyperlink r:id="rId3120" ref="N1165"/>
    <hyperlink r:id="rId3121" ref="O1165"/>
    <hyperlink r:id="rId3122" ref="P1165"/>
    <hyperlink r:id="rId3123" ref="N1166"/>
    <hyperlink r:id="rId3124" ref="O1166"/>
    <hyperlink r:id="rId3125" ref="P1166"/>
    <hyperlink r:id="rId3126" ref="N1167"/>
    <hyperlink r:id="rId3127" ref="O1167"/>
    <hyperlink r:id="rId3128" ref="P1167"/>
    <hyperlink r:id="rId3129" ref="N1168"/>
    <hyperlink r:id="rId3130" ref="O1168"/>
    <hyperlink r:id="rId3131" ref="P1168"/>
    <hyperlink r:id="rId3132" ref="N1169"/>
    <hyperlink r:id="rId3133" ref="O1169"/>
    <hyperlink r:id="rId3134" ref="P1169"/>
    <hyperlink r:id="rId3135" ref="N1170"/>
    <hyperlink r:id="rId3136" ref="O1170"/>
    <hyperlink r:id="rId3137" ref="P1170"/>
    <hyperlink r:id="rId3138" ref="N1171"/>
    <hyperlink r:id="rId3139" ref="O1171"/>
    <hyperlink r:id="rId3140" ref="P1171"/>
    <hyperlink r:id="rId3141" ref="N1172"/>
    <hyperlink r:id="rId3142" ref="O1172"/>
    <hyperlink r:id="rId3143" ref="P1172"/>
    <hyperlink r:id="rId3144" ref="N1173"/>
    <hyperlink r:id="rId3145" ref="O1173"/>
    <hyperlink r:id="rId3146" ref="P1173"/>
  </hyperlinks>
  <drawing r:id="rId31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14.0"/>
    <col customWidth="1" min="4" max="4" width="16.75"/>
  </cols>
  <sheetData>
    <row r="1">
      <c r="A1" s="52" t="s">
        <v>11020</v>
      </c>
      <c r="B1" s="52" t="s">
        <v>11021</v>
      </c>
      <c r="C1" s="52" t="s">
        <v>11022</v>
      </c>
      <c r="D1" s="52" t="s">
        <v>11023</v>
      </c>
    </row>
    <row r="2">
      <c r="A2" s="51" t="s">
        <v>11024</v>
      </c>
      <c r="B2" s="51" t="s">
        <v>11025</v>
      </c>
      <c r="C2" s="51" t="s">
        <v>25</v>
      </c>
      <c r="D2" s="53">
        <v>44219.0</v>
      </c>
    </row>
    <row r="3">
      <c r="A3" s="51" t="s">
        <v>11026</v>
      </c>
      <c r="B3" s="51" t="s">
        <v>11027</v>
      </c>
      <c r="C3" s="51" t="s">
        <v>25</v>
      </c>
      <c r="D3" s="53">
        <v>44234.0</v>
      </c>
    </row>
    <row r="4">
      <c r="A4" s="51" t="s">
        <v>11028</v>
      </c>
      <c r="B4" s="51" t="s">
        <v>11029</v>
      </c>
      <c r="C4" s="51" t="s">
        <v>25</v>
      </c>
      <c r="D4" s="53">
        <v>44234.0</v>
      </c>
    </row>
    <row r="5">
      <c r="A5" s="51" t="s">
        <v>11030</v>
      </c>
      <c r="B5" s="51" t="s">
        <v>617</v>
      </c>
      <c r="C5" s="51" t="s">
        <v>11031</v>
      </c>
      <c r="D5" s="53">
        <v>44249.0</v>
      </c>
    </row>
    <row r="6">
      <c r="A6" s="51" t="s">
        <v>11032</v>
      </c>
      <c r="B6" s="51" t="s">
        <v>11033</v>
      </c>
      <c r="C6" s="51" t="s">
        <v>1410</v>
      </c>
      <c r="D6" s="53">
        <v>44249.0</v>
      </c>
    </row>
    <row r="7">
      <c r="A7" s="51" t="s">
        <v>11032</v>
      </c>
      <c r="B7" s="51" t="s">
        <v>11034</v>
      </c>
      <c r="C7" s="51" t="s">
        <v>110</v>
      </c>
      <c r="D7" s="53">
        <v>44249.0</v>
      </c>
    </row>
    <row r="8">
      <c r="A8" s="51" t="s">
        <v>11035</v>
      </c>
      <c r="B8" s="51" t="s">
        <v>11036</v>
      </c>
      <c r="C8" s="51" t="s">
        <v>11037</v>
      </c>
      <c r="D8" s="53">
        <v>44255.0</v>
      </c>
    </row>
    <row r="9">
      <c r="A9" s="51" t="s">
        <v>11032</v>
      </c>
      <c r="B9" s="51" t="s">
        <v>11038</v>
      </c>
      <c r="C9" s="51" t="s">
        <v>275</v>
      </c>
      <c r="D9" s="53">
        <v>44258.0</v>
      </c>
    </row>
    <row r="10">
      <c r="A10" s="51" t="s">
        <v>11030</v>
      </c>
      <c r="B10" s="51" t="s">
        <v>11039</v>
      </c>
      <c r="C10" s="51" t="s">
        <v>11040</v>
      </c>
      <c r="D10" s="53">
        <v>44258.0</v>
      </c>
    </row>
    <row r="11">
      <c r="A11" s="51" t="s">
        <v>11032</v>
      </c>
      <c r="B11" s="51" t="s">
        <v>11036</v>
      </c>
      <c r="C11" s="51" t="s">
        <v>11037</v>
      </c>
      <c r="D11" s="53">
        <v>44258.0</v>
      </c>
    </row>
    <row r="12">
      <c r="A12" s="51" t="s">
        <v>11032</v>
      </c>
      <c r="B12" s="51" t="s">
        <v>11041</v>
      </c>
      <c r="C12" s="51" t="s">
        <v>11031</v>
      </c>
      <c r="D12" s="53">
        <v>44258.0</v>
      </c>
    </row>
    <row r="13">
      <c r="A13" s="51" t="s">
        <v>11042</v>
      </c>
      <c r="B13" s="51" t="s">
        <v>4992</v>
      </c>
      <c r="C13" s="51" t="s">
        <v>93</v>
      </c>
      <c r="D13" s="53">
        <v>44261.0</v>
      </c>
    </row>
    <row r="14">
      <c r="A14" s="51" t="s">
        <v>11043</v>
      </c>
      <c r="B14" s="51" t="s">
        <v>242</v>
      </c>
      <c r="C14" s="51" t="s">
        <v>11031</v>
      </c>
      <c r="D14" s="53">
        <v>44263.0</v>
      </c>
    </row>
    <row r="15">
      <c r="A15" s="51" t="s">
        <v>11044</v>
      </c>
      <c r="B15" s="51" t="s">
        <v>11045</v>
      </c>
      <c r="C15" s="51" t="s">
        <v>110</v>
      </c>
      <c r="D15" s="53">
        <v>44263.0</v>
      </c>
    </row>
    <row r="16">
      <c r="A16" s="51" t="s">
        <v>11044</v>
      </c>
      <c r="B16" s="51" t="s">
        <v>11046</v>
      </c>
      <c r="C16" s="51" t="s">
        <v>557</v>
      </c>
      <c r="D16" s="53">
        <v>44263.0</v>
      </c>
    </row>
    <row r="17">
      <c r="A17" s="51" t="s">
        <v>11044</v>
      </c>
      <c r="B17" s="51" t="s">
        <v>11047</v>
      </c>
      <c r="C17" s="51" t="s">
        <v>11031</v>
      </c>
      <c r="D17" s="53">
        <v>44263.0</v>
      </c>
    </row>
    <row r="18">
      <c r="A18" s="51" t="s">
        <v>11044</v>
      </c>
      <c r="B18" s="51" t="s">
        <v>4847</v>
      </c>
      <c r="C18" s="51" t="s">
        <v>110</v>
      </c>
      <c r="D18" s="53">
        <v>44263.0</v>
      </c>
    </row>
    <row r="19">
      <c r="A19" s="51" t="s">
        <v>11044</v>
      </c>
      <c r="B19" s="51" t="s">
        <v>10062</v>
      </c>
      <c r="C19" s="51" t="s">
        <v>157</v>
      </c>
      <c r="D19" s="53">
        <v>44263.0</v>
      </c>
    </row>
    <row r="20">
      <c r="A20" s="51" t="s">
        <v>11028</v>
      </c>
      <c r="B20" s="51" t="s">
        <v>20</v>
      </c>
      <c r="C20" s="51" t="s">
        <v>25</v>
      </c>
      <c r="D20" s="53">
        <v>44271.0</v>
      </c>
    </row>
    <row r="21">
      <c r="A21" s="51" t="s">
        <v>11028</v>
      </c>
      <c r="B21" s="51" t="s">
        <v>11048</v>
      </c>
      <c r="C21" s="51" t="s">
        <v>25</v>
      </c>
      <c r="D21" s="53">
        <v>44271.0</v>
      </c>
    </row>
    <row r="22">
      <c r="A22" s="51" t="s">
        <v>11028</v>
      </c>
      <c r="B22" s="51" t="s">
        <v>11049</v>
      </c>
      <c r="C22" s="51" t="s">
        <v>25</v>
      </c>
      <c r="D22" s="53">
        <v>44271.0</v>
      </c>
    </row>
    <row r="23">
      <c r="A23" s="51" t="s">
        <v>11028</v>
      </c>
      <c r="B23" s="51" t="s">
        <v>11050</v>
      </c>
      <c r="C23" s="51" t="s">
        <v>25</v>
      </c>
      <c r="D23" s="53">
        <v>44271.0</v>
      </c>
    </row>
    <row r="24">
      <c r="A24" s="51" t="s">
        <v>11028</v>
      </c>
      <c r="B24" s="51" t="s">
        <v>11050</v>
      </c>
      <c r="C24" s="51" t="s">
        <v>25</v>
      </c>
      <c r="D24" s="53">
        <v>44271.0</v>
      </c>
    </row>
    <row r="25">
      <c r="A25" s="51" t="s">
        <v>11032</v>
      </c>
      <c r="B25" s="51" t="s">
        <v>11051</v>
      </c>
      <c r="C25" s="51" t="s">
        <v>84</v>
      </c>
      <c r="D25" s="53">
        <v>44271.0</v>
      </c>
    </row>
    <row r="26">
      <c r="A26" s="51" t="s">
        <v>11032</v>
      </c>
      <c r="B26" s="51" t="s">
        <v>11052</v>
      </c>
      <c r="C26" s="51" t="s">
        <v>157</v>
      </c>
      <c r="D26" s="53">
        <v>44271.0</v>
      </c>
    </row>
    <row r="27">
      <c r="A27" s="51" t="s">
        <v>11028</v>
      </c>
      <c r="B27" s="51" t="s">
        <v>11053</v>
      </c>
      <c r="C27" s="51" t="s">
        <v>25</v>
      </c>
      <c r="D27" s="53">
        <v>44271.0</v>
      </c>
    </row>
    <row r="28">
      <c r="A28" s="51" t="s">
        <v>11028</v>
      </c>
      <c r="B28" s="51" t="s">
        <v>11054</v>
      </c>
      <c r="C28" s="51" t="s">
        <v>25</v>
      </c>
      <c r="D28" s="53">
        <v>44271.0</v>
      </c>
    </row>
    <row r="29">
      <c r="A29" s="51" t="s">
        <v>11028</v>
      </c>
      <c r="B29" s="51" t="s">
        <v>11055</v>
      </c>
      <c r="C29" s="51" t="s">
        <v>25</v>
      </c>
      <c r="D29" s="53">
        <v>44271.0</v>
      </c>
    </row>
    <row r="30">
      <c r="A30" s="51" t="s">
        <v>11028</v>
      </c>
      <c r="B30" s="51" t="s">
        <v>11056</v>
      </c>
      <c r="C30" s="51" t="s">
        <v>25</v>
      </c>
      <c r="D30" s="53">
        <v>44271.0</v>
      </c>
    </row>
    <row r="31">
      <c r="A31" s="51" t="s">
        <v>11028</v>
      </c>
      <c r="B31" s="51" t="s">
        <v>11057</v>
      </c>
      <c r="C31" s="51" t="s">
        <v>25</v>
      </c>
      <c r="D31" s="53">
        <v>44271.0</v>
      </c>
    </row>
    <row r="32">
      <c r="A32" s="51" t="s">
        <v>11028</v>
      </c>
      <c r="B32" s="51" t="s">
        <v>11058</v>
      </c>
      <c r="C32" s="51" t="s">
        <v>25</v>
      </c>
      <c r="D32" s="53">
        <v>44271.0</v>
      </c>
    </row>
    <row r="33">
      <c r="A33" s="51" t="s">
        <v>11028</v>
      </c>
      <c r="B33" s="51" t="s">
        <v>11059</v>
      </c>
      <c r="C33" s="51" t="s">
        <v>1410</v>
      </c>
      <c r="D33" s="53">
        <v>44271.0</v>
      </c>
    </row>
    <row r="34">
      <c r="A34" s="51" t="s">
        <v>11028</v>
      </c>
      <c r="B34" s="51" t="s">
        <v>11059</v>
      </c>
      <c r="C34" s="51" t="s">
        <v>1410</v>
      </c>
      <c r="D34" s="53">
        <v>44271.0</v>
      </c>
    </row>
    <row r="35">
      <c r="A35" s="51" t="s">
        <v>11026</v>
      </c>
      <c r="B35" s="51" t="s">
        <v>11060</v>
      </c>
      <c r="C35" s="51" t="s">
        <v>25</v>
      </c>
      <c r="D35" s="53">
        <v>44271.0</v>
      </c>
    </row>
    <row r="36">
      <c r="A36" s="51" t="s">
        <v>11028</v>
      </c>
      <c r="B36" s="51" t="s">
        <v>11061</v>
      </c>
      <c r="C36" s="51" t="s">
        <v>25</v>
      </c>
      <c r="D36" s="53">
        <v>44271.0</v>
      </c>
    </row>
    <row r="37">
      <c r="A37" s="51" t="s">
        <v>11028</v>
      </c>
      <c r="B37" s="51" t="s">
        <v>11062</v>
      </c>
      <c r="C37" s="51" t="s">
        <v>25</v>
      </c>
      <c r="D37" s="53">
        <v>44271.0</v>
      </c>
    </row>
    <row r="38">
      <c r="A38" s="51" t="s">
        <v>11028</v>
      </c>
      <c r="B38" s="51" t="s">
        <v>11063</v>
      </c>
      <c r="C38" s="51" t="s">
        <v>25</v>
      </c>
      <c r="D38" s="53">
        <v>44271.0</v>
      </c>
    </row>
    <row r="39">
      <c r="A39" s="51" t="s">
        <v>11028</v>
      </c>
      <c r="B39" s="51" t="s">
        <v>11064</v>
      </c>
      <c r="C39" s="51" t="s">
        <v>25</v>
      </c>
      <c r="D39" s="53">
        <v>44271.0</v>
      </c>
    </row>
    <row r="40">
      <c r="A40" s="51" t="s">
        <v>11065</v>
      </c>
      <c r="B40" s="51" t="s">
        <v>11066</v>
      </c>
      <c r="C40" s="51" t="s">
        <v>110</v>
      </c>
      <c r="D40" s="53">
        <v>44272.0</v>
      </c>
    </row>
    <row r="41">
      <c r="A41" s="51" t="s">
        <v>11065</v>
      </c>
      <c r="B41" s="51" t="s">
        <v>11067</v>
      </c>
      <c r="C41" s="51" t="s">
        <v>110</v>
      </c>
      <c r="D41" s="53">
        <v>44272.0</v>
      </c>
    </row>
    <row r="42">
      <c r="A42" s="51" t="s">
        <v>11065</v>
      </c>
      <c r="B42" s="51" t="s">
        <v>11068</v>
      </c>
      <c r="C42" s="51" t="s">
        <v>110</v>
      </c>
      <c r="D42" s="53">
        <v>44272.0</v>
      </c>
    </row>
    <row r="43">
      <c r="A43" s="51" t="s">
        <v>11035</v>
      </c>
      <c r="B43" s="51" t="s">
        <v>11069</v>
      </c>
      <c r="C43" s="51" t="s">
        <v>110</v>
      </c>
      <c r="D43" s="53">
        <v>44272.0</v>
      </c>
    </row>
    <row r="44">
      <c r="A44" s="51" t="s">
        <v>11065</v>
      </c>
      <c r="B44" s="51" t="s">
        <v>11070</v>
      </c>
      <c r="C44" s="51" t="s">
        <v>110</v>
      </c>
      <c r="D44" s="53">
        <v>44272.0</v>
      </c>
    </row>
    <row r="45">
      <c r="A45" s="51" t="s">
        <v>11065</v>
      </c>
      <c r="B45" s="51" t="s">
        <v>11071</v>
      </c>
      <c r="C45" s="51" t="s">
        <v>110</v>
      </c>
      <c r="D45" s="53">
        <v>44272.0</v>
      </c>
    </row>
    <row r="46">
      <c r="A46" s="51" t="s">
        <v>11065</v>
      </c>
      <c r="B46" s="51" t="s">
        <v>11034</v>
      </c>
      <c r="C46" s="51" t="s">
        <v>110</v>
      </c>
      <c r="D46" s="53">
        <v>44272.0</v>
      </c>
    </row>
    <row r="47">
      <c r="A47" s="51" t="s">
        <v>11065</v>
      </c>
      <c r="B47" s="51" t="s">
        <v>11072</v>
      </c>
      <c r="C47" s="51" t="s">
        <v>110</v>
      </c>
      <c r="D47" s="53">
        <v>44272.0</v>
      </c>
    </row>
    <row r="48">
      <c r="A48" s="51" t="s">
        <v>11065</v>
      </c>
      <c r="B48" s="51" t="s">
        <v>11073</v>
      </c>
      <c r="C48" s="51" t="s">
        <v>110</v>
      </c>
      <c r="D48" s="53">
        <v>44272.0</v>
      </c>
    </row>
    <row r="49">
      <c r="A49" s="51" t="s">
        <v>11065</v>
      </c>
      <c r="B49" s="51" t="s">
        <v>11073</v>
      </c>
      <c r="C49" s="51" t="s">
        <v>110</v>
      </c>
      <c r="D49" s="53">
        <v>44272.0</v>
      </c>
    </row>
    <row r="50">
      <c r="A50" s="51" t="s">
        <v>11065</v>
      </c>
      <c r="B50" s="51" t="s">
        <v>11073</v>
      </c>
      <c r="C50" s="51" t="s">
        <v>110</v>
      </c>
      <c r="D50" s="53">
        <v>44272.0</v>
      </c>
    </row>
    <row r="51">
      <c r="A51" s="51" t="s">
        <v>11035</v>
      </c>
      <c r="B51" s="51" t="s">
        <v>11074</v>
      </c>
      <c r="C51" s="51" t="s">
        <v>110</v>
      </c>
      <c r="D51" s="53">
        <v>44272.0</v>
      </c>
    </row>
    <row r="52">
      <c r="A52" s="51" t="s">
        <v>11065</v>
      </c>
      <c r="B52" s="51" t="s">
        <v>11074</v>
      </c>
      <c r="C52" s="51" t="s">
        <v>110</v>
      </c>
      <c r="D52" s="53">
        <v>44272.0</v>
      </c>
    </row>
    <row r="53">
      <c r="A53" s="51" t="s">
        <v>11065</v>
      </c>
      <c r="B53" s="51" t="s">
        <v>11075</v>
      </c>
      <c r="C53" s="51" t="s">
        <v>110</v>
      </c>
      <c r="D53" s="53">
        <v>44272.0</v>
      </c>
    </row>
    <row r="54">
      <c r="A54" s="51" t="s">
        <v>11065</v>
      </c>
      <c r="B54" s="51" t="s">
        <v>11075</v>
      </c>
      <c r="C54" s="51" t="s">
        <v>110</v>
      </c>
      <c r="D54" s="53">
        <v>44272.0</v>
      </c>
    </row>
    <row r="55">
      <c r="A55" s="51" t="s">
        <v>11065</v>
      </c>
      <c r="B55" s="51" t="s">
        <v>11076</v>
      </c>
      <c r="C55" s="51" t="s">
        <v>110</v>
      </c>
      <c r="D55" s="53">
        <v>44272.0</v>
      </c>
    </row>
    <row r="56">
      <c r="A56" s="51" t="s">
        <v>11065</v>
      </c>
      <c r="B56" s="51" t="s">
        <v>11077</v>
      </c>
      <c r="C56" s="51" t="s">
        <v>110</v>
      </c>
      <c r="D56" s="53">
        <v>44272.0</v>
      </c>
    </row>
    <row r="57">
      <c r="A57" s="51" t="s">
        <v>11065</v>
      </c>
      <c r="B57" s="51" t="s">
        <v>11078</v>
      </c>
      <c r="C57" s="51" t="s">
        <v>557</v>
      </c>
      <c r="D57" s="53">
        <v>44272.0</v>
      </c>
    </row>
    <row r="58">
      <c r="A58" s="51" t="s">
        <v>11035</v>
      </c>
      <c r="B58" s="51" t="s">
        <v>11078</v>
      </c>
      <c r="C58" s="51" t="s">
        <v>557</v>
      </c>
      <c r="D58" s="53">
        <v>44272.0</v>
      </c>
    </row>
    <row r="59">
      <c r="A59" s="51" t="s">
        <v>11065</v>
      </c>
      <c r="B59" s="51" t="s">
        <v>11079</v>
      </c>
      <c r="C59" s="51" t="s">
        <v>557</v>
      </c>
      <c r="D59" s="53">
        <v>44272.0</v>
      </c>
    </row>
    <row r="60">
      <c r="A60" s="51" t="s">
        <v>11065</v>
      </c>
      <c r="B60" s="51" t="s">
        <v>11080</v>
      </c>
      <c r="C60" s="51" t="s">
        <v>557</v>
      </c>
      <c r="D60" s="53">
        <v>44272.0</v>
      </c>
    </row>
    <row r="61">
      <c r="A61" s="51" t="s">
        <v>11065</v>
      </c>
      <c r="B61" s="51" t="s">
        <v>11080</v>
      </c>
      <c r="C61" s="51" t="s">
        <v>557</v>
      </c>
      <c r="D61" s="53">
        <v>44272.0</v>
      </c>
    </row>
    <row r="62">
      <c r="A62" s="51" t="s">
        <v>11065</v>
      </c>
      <c r="B62" s="51" t="s">
        <v>11081</v>
      </c>
      <c r="C62" s="51" t="s">
        <v>84</v>
      </c>
      <c r="D62" s="53">
        <v>44272.0</v>
      </c>
    </row>
    <row r="63">
      <c r="A63" s="51" t="s">
        <v>11065</v>
      </c>
      <c r="B63" s="51" t="s">
        <v>11081</v>
      </c>
      <c r="C63" s="51" t="s">
        <v>84</v>
      </c>
      <c r="D63" s="53">
        <v>44272.0</v>
      </c>
    </row>
    <row r="64">
      <c r="A64" s="51" t="s">
        <v>11065</v>
      </c>
      <c r="B64" s="51" t="s">
        <v>11082</v>
      </c>
      <c r="C64" s="51" t="s">
        <v>84</v>
      </c>
      <c r="D64" s="53">
        <v>44272.0</v>
      </c>
    </row>
    <row r="65">
      <c r="A65" s="51" t="s">
        <v>11065</v>
      </c>
      <c r="B65" s="51" t="s">
        <v>11083</v>
      </c>
      <c r="C65" s="51" t="s">
        <v>84</v>
      </c>
      <c r="D65" s="53">
        <v>44272.0</v>
      </c>
    </row>
    <row r="66">
      <c r="A66" s="51" t="s">
        <v>11084</v>
      </c>
      <c r="B66" s="51" t="s">
        <v>11080</v>
      </c>
      <c r="C66" s="51" t="s">
        <v>557</v>
      </c>
      <c r="D66" s="53">
        <v>44273.0</v>
      </c>
    </row>
    <row r="67">
      <c r="A67" s="51" t="s">
        <v>11084</v>
      </c>
      <c r="B67" s="51" t="s">
        <v>11085</v>
      </c>
      <c r="C67" s="51" t="s">
        <v>110</v>
      </c>
      <c r="D67" s="53">
        <v>44273.0</v>
      </c>
    </row>
    <row r="68">
      <c r="A68" s="51" t="s">
        <v>11086</v>
      </c>
      <c r="B68" s="51" t="s">
        <v>11087</v>
      </c>
      <c r="C68" s="51" t="s">
        <v>157</v>
      </c>
      <c r="D68" s="53">
        <v>44274.0</v>
      </c>
    </row>
    <row r="69">
      <c r="A69" s="51" t="s">
        <v>11088</v>
      </c>
      <c r="B69" s="51" t="s">
        <v>11089</v>
      </c>
      <c r="C69" s="51" t="s">
        <v>84</v>
      </c>
      <c r="D69" s="53">
        <v>44274.0</v>
      </c>
    </row>
    <row r="70">
      <c r="A70" s="51" t="s">
        <v>11088</v>
      </c>
      <c r="B70" s="51" t="s">
        <v>11090</v>
      </c>
      <c r="C70" s="51" t="s">
        <v>84</v>
      </c>
      <c r="D70" s="53">
        <v>44274.0</v>
      </c>
    </row>
    <row r="71">
      <c r="A71" s="51" t="s">
        <v>11088</v>
      </c>
      <c r="B71" s="51" t="s">
        <v>11091</v>
      </c>
      <c r="C71" s="51" t="s">
        <v>84</v>
      </c>
      <c r="D71" s="53">
        <v>44274.0</v>
      </c>
    </row>
    <row r="72">
      <c r="A72" s="51" t="s">
        <v>11092</v>
      </c>
      <c r="B72" s="51" t="s">
        <v>11061</v>
      </c>
      <c r="C72" s="51" t="s">
        <v>25</v>
      </c>
      <c r="D72" s="53">
        <v>44274.0</v>
      </c>
    </row>
    <row r="73">
      <c r="A73" s="51" t="s">
        <v>11032</v>
      </c>
      <c r="B73" s="51" t="s">
        <v>11093</v>
      </c>
      <c r="C73" s="51" t="s">
        <v>25</v>
      </c>
      <c r="D73" s="53">
        <v>44275.0</v>
      </c>
    </row>
    <row r="74">
      <c r="A74" s="51" t="s">
        <v>11032</v>
      </c>
      <c r="B74" s="51" t="s">
        <v>11094</v>
      </c>
      <c r="C74" s="51" t="s">
        <v>25</v>
      </c>
      <c r="D74" s="53">
        <v>44275.0</v>
      </c>
    </row>
    <row r="75">
      <c r="A75" s="51" t="s">
        <v>11032</v>
      </c>
      <c r="B75" s="51" t="s">
        <v>11095</v>
      </c>
      <c r="C75" s="51" t="s">
        <v>25</v>
      </c>
      <c r="D75" s="53">
        <v>44275.0</v>
      </c>
    </row>
    <row r="76">
      <c r="A76" s="51" t="s">
        <v>11032</v>
      </c>
      <c r="B76" s="51" t="s">
        <v>1012</v>
      </c>
      <c r="C76" s="51" t="s">
        <v>110</v>
      </c>
      <c r="D76" s="53">
        <v>44275.0</v>
      </c>
    </row>
    <row r="77">
      <c r="A77" s="51" t="s">
        <v>11032</v>
      </c>
      <c r="B77" s="51" t="s">
        <v>11096</v>
      </c>
      <c r="C77" s="51" t="s">
        <v>110</v>
      </c>
      <c r="D77" s="53">
        <v>44275.0</v>
      </c>
    </row>
    <row r="78">
      <c r="A78" s="51" t="s">
        <v>11032</v>
      </c>
      <c r="B78" s="51" t="s">
        <v>11096</v>
      </c>
      <c r="C78" s="51" t="s">
        <v>110</v>
      </c>
      <c r="D78" s="53">
        <v>44275.0</v>
      </c>
    </row>
    <row r="79">
      <c r="A79" s="51" t="s">
        <v>11032</v>
      </c>
      <c r="B79" s="51" t="s">
        <v>11097</v>
      </c>
      <c r="C79" s="51" t="s">
        <v>110</v>
      </c>
      <c r="D79" s="53">
        <v>44275.0</v>
      </c>
    </row>
    <row r="80">
      <c r="A80" s="51" t="s">
        <v>11032</v>
      </c>
      <c r="B80" s="51" t="s">
        <v>1012</v>
      </c>
      <c r="C80" s="51" t="s">
        <v>110</v>
      </c>
      <c r="D80" s="53">
        <v>44275.0</v>
      </c>
    </row>
    <row r="81">
      <c r="A81" s="51" t="s">
        <v>11032</v>
      </c>
      <c r="B81" s="51" t="s">
        <v>4338</v>
      </c>
      <c r="C81" s="51" t="s">
        <v>165</v>
      </c>
      <c r="D81" s="53">
        <v>44275.0</v>
      </c>
    </row>
    <row r="82">
      <c r="A82" s="51" t="s">
        <v>10992</v>
      </c>
      <c r="B82" s="51" t="s">
        <v>11098</v>
      </c>
      <c r="C82" s="51" t="s">
        <v>557</v>
      </c>
      <c r="D82" s="53">
        <v>44276.0</v>
      </c>
    </row>
    <row r="83">
      <c r="A83" s="51" t="s">
        <v>10992</v>
      </c>
      <c r="B83" s="51" t="s">
        <v>11080</v>
      </c>
      <c r="C83" s="51" t="s">
        <v>557</v>
      </c>
      <c r="D83" s="53">
        <v>44276.0</v>
      </c>
    </row>
    <row r="84">
      <c r="A84" s="51" t="s">
        <v>11099</v>
      </c>
      <c r="B84" s="51" t="s">
        <v>11100</v>
      </c>
      <c r="C84" s="51" t="s">
        <v>25</v>
      </c>
      <c r="D84" s="53">
        <v>44276.0</v>
      </c>
    </row>
    <row r="85">
      <c r="A85" s="51" t="s">
        <v>11099</v>
      </c>
      <c r="B85" s="51" t="s">
        <v>11101</v>
      </c>
      <c r="C85" s="51" t="s">
        <v>275</v>
      </c>
      <c r="D85" s="53">
        <v>44277.0</v>
      </c>
    </row>
    <row r="86">
      <c r="A86" s="51" t="s">
        <v>11102</v>
      </c>
      <c r="B86" s="51" t="s">
        <v>11061</v>
      </c>
      <c r="C86" s="51" t="s">
        <v>25</v>
      </c>
      <c r="D86" s="53">
        <v>44278.0</v>
      </c>
    </row>
    <row r="87">
      <c r="A87" s="51" t="s">
        <v>10992</v>
      </c>
      <c r="B87" s="51" t="s">
        <v>11103</v>
      </c>
      <c r="C87" s="51" t="s">
        <v>110</v>
      </c>
      <c r="D87" s="53">
        <v>44278.0</v>
      </c>
    </row>
    <row r="88">
      <c r="A88" s="51" t="s">
        <v>10992</v>
      </c>
      <c r="B88" s="51" t="s">
        <v>11104</v>
      </c>
      <c r="C88" s="51" t="s">
        <v>110</v>
      </c>
      <c r="D88" s="53">
        <v>44278.0</v>
      </c>
    </row>
    <row r="89">
      <c r="A89" s="51" t="s">
        <v>10992</v>
      </c>
      <c r="B89" s="51" t="s">
        <v>11105</v>
      </c>
      <c r="C89" s="51" t="s">
        <v>110</v>
      </c>
      <c r="D89" s="53">
        <v>44278.0</v>
      </c>
    </row>
    <row r="90">
      <c r="A90" s="51" t="s">
        <v>11102</v>
      </c>
      <c r="B90" s="51" t="s">
        <v>9027</v>
      </c>
      <c r="C90" s="51" t="s">
        <v>25</v>
      </c>
      <c r="D90" s="53">
        <v>44278.0</v>
      </c>
    </row>
    <row r="91">
      <c r="A91" s="51" t="s">
        <v>11102</v>
      </c>
      <c r="B91" s="51" t="s">
        <v>11106</v>
      </c>
      <c r="C91" s="51" t="s">
        <v>25</v>
      </c>
      <c r="D91" s="53">
        <v>44278.0</v>
      </c>
    </row>
    <row r="92">
      <c r="A92" s="51" t="s">
        <v>11099</v>
      </c>
      <c r="B92" s="51" t="s">
        <v>11107</v>
      </c>
      <c r="C92" s="51" t="s">
        <v>25</v>
      </c>
      <c r="D92" s="53">
        <v>44278.0</v>
      </c>
    </row>
    <row r="93">
      <c r="A93" s="51" t="s">
        <v>11108</v>
      </c>
      <c r="B93" s="51" t="s">
        <v>11109</v>
      </c>
      <c r="C93" s="51" t="s">
        <v>25</v>
      </c>
      <c r="D93" s="53">
        <v>44278.0</v>
      </c>
    </row>
    <row r="94">
      <c r="A94" s="51" t="s">
        <v>11110</v>
      </c>
      <c r="B94" s="51" t="s">
        <v>11111</v>
      </c>
      <c r="C94" s="51" t="s">
        <v>165</v>
      </c>
      <c r="D94" s="53">
        <v>44278.0</v>
      </c>
    </row>
    <row r="95">
      <c r="A95" s="51" t="s">
        <v>11088</v>
      </c>
      <c r="B95" s="51" t="s">
        <v>11112</v>
      </c>
      <c r="C95" s="51" t="s">
        <v>25</v>
      </c>
      <c r="D95" s="53">
        <v>44279.0</v>
      </c>
    </row>
    <row r="96">
      <c r="A96" s="51" t="s">
        <v>11088</v>
      </c>
      <c r="B96" s="51" t="s">
        <v>11113</v>
      </c>
      <c r="C96" s="51" t="s">
        <v>25</v>
      </c>
      <c r="D96" s="53">
        <v>44279.0</v>
      </c>
    </row>
    <row r="97">
      <c r="A97" s="51" t="s">
        <v>11110</v>
      </c>
      <c r="B97" s="51" t="s">
        <v>11114</v>
      </c>
      <c r="C97" s="51" t="s">
        <v>11115</v>
      </c>
      <c r="D97" s="53">
        <v>44280.0</v>
      </c>
    </row>
    <row r="98">
      <c r="A98" s="51" t="s">
        <v>11116</v>
      </c>
      <c r="B98" s="51" t="s">
        <v>11117</v>
      </c>
      <c r="C98" s="51" t="s">
        <v>25</v>
      </c>
      <c r="D98" s="53">
        <v>44280.0</v>
      </c>
    </row>
    <row r="99">
      <c r="A99" s="51" t="s">
        <v>11118</v>
      </c>
      <c r="B99" s="51" t="s">
        <v>11119</v>
      </c>
      <c r="C99" s="51" t="s">
        <v>25</v>
      </c>
      <c r="D99" s="53">
        <v>44280.0</v>
      </c>
    </row>
    <row r="100">
      <c r="A100" s="51" t="s">
        <v>11118</v>
      </c>
      <c r="B100" s="51" t="s">
        <v>11119</v>
      </c>
      <c r="C100" s="51" t="s">
        <v>25</v>
      </c>
      <c r="D100" s="53">
        <v>44280.0</v>
      </c>
    </row>
    <row r="101">
      <c r="A101" s="51" t="s">
        <v>11118</v>
      </c>
      <c r="B101" s="51" t="s">
        <v>11120</v>
      </c>
      <c r="C101" s="51" t="s">
        <v>1410</v>
      </c>
      <c r="D101" s="53">
        <v>44280.0</v>
      </c>
    </row>
    <row r="102">
      <c r="A102" s="51" t="s">
        <v>11118</v>
      </c>
      <c r="B102" s="51" t="s">
        <v>11121</v>
      </c>
      <c r="C102" s="51" t="s">
        <v>1410</v>
      </c>
      <c r="D102" s="53">
        <v>44280.0</v>
      </c>
    </row>
    <row r="103">
      <c r="A103" s="51" t="s">
        <v>11118</v>
      </c>
      <c r="B103" s="51" t="s">
        <v>11122</v>
      </c>
      <c r="C103" s="51" t="s">
        <v>1410</v>
      </c>
      <c r="D103" s="53">
        <v>44280.0</v>
      </c>
    </row>
    <row r="104">
      <c r="A104" s="51" t="s">
        <v>11110</v>
      </c>
      <c r="B104" s="51" t="s">
        <v>11123</v>
      </c>
      <c r="C104" s="51" t="s">
        <v>110</v>
      </c>
      <c r="D104" s="53">
        <v>44284.0</v>
      </c>
    </row>
    <row r="105">
      <c r="A105" s="51" t="s">
        <v>11110</v>
      </c>
      <c r="B105" s="51" t="s">
        <v>11123</v>
      </c>
      <c r="C105" s="51" t="s">
        <v>110</v>
      </c>
      <c r="D105" s="53">
        <v>44284.0</v>
      </c>
    </row>
    <row r="106">
      <c r="A106" s="51" t="s">
        <v>11110</v>
      </c>
      <c r="B106" s="51" t="s">
        <v>11123</v>
      </c>
      <c r="C106" s="51" t="s">
        <v>110</v>
      </c>
      <c r="D106" s="53">
        <v>44284.0</v>
      </c>
    </row>
    <row r="107">
      <c r="A107" s="51" t="s">
        <v>11110</v>
      </c>
      <c r="B107" s="51" t="s">
        <v>4057</v>
      </c>
      <c r="C107" s="51" t="s">
        <v>216</v>
      </c>
      <c r="D107" s="53">
        <v>44284.0</v>
      </c>
    </row>
    <row r="108">
      <c r="A108" s="51" t="s">
        <v>11110</v>
      </c>
      <c r="B108" s="51" t="s">
        <v>4057</v>
      </c>
      <c r="C108" s="51" t="s">
        <v>216</v>
      </c>
      <c r="D108" s="53">
        <v>44284.0</v>
      </c>
    </row>
    <row r="109">
      <c r="A109" s="51" t="s">
        <v>11110</v>
      </c>
      <c r="B109" s="51" t="s">
        <v>11123</v>
      </c>
      <c r="C109" s="51" t="s">
        <v>11124</v>
      </c>
      <c r="D109" s="53">
        <v>44285.0</v>
      </c>
    </row>
    <row r="110">
      <c r="A110" s="51" t="s">
        <v>11110</v>
      </c>
      <c r="B110" s="51" t="s">
        <v>11123</v>
      </c>
      <c r="C110" s="51" t="s">
        <v>11124</v>
      </c>
      <c r="D110" s="53">
        <v>44285.0</v>
      </c>
    </row>
    <row r="111">
      <c r="A111" s="51" t="s">
        <v>11110</v>
      </c>
      <c r="B111" s="51" t="s">
        <v>4057</v>
      </c>
      <c r="C111" s="51" t="s">
        <v>216</v>
      </c>
      <c r="D111" s="53">
        <v>44285.0</v>
      </c>
    </row>
    <row r="112">
      <c r="A112" s="51" t="s">
        <v>11110</v>
      </c>
      <c r="B112" s="51" t="s">
        <v>11123</v>
      </c>
      <c r="C112" s="51" t="s">
        <v>11124</v>
      </c>
      <c r="D112" s="53">
        <v>44285.0</v>
      </c>
    </row>
    <row r="113">
      <c r="A113" s="51" t="s">
        <v>11110</v>
      </c>
      <c r="B113" s="51" t="s">
        <v>11125</v>
      </c>
      <c r="C113" s="51" t="s">
        <v>1410</v>
      </c>
      <c r="D113" s="53">
        <v>44285.0</v>
      </c>
    </row>
    <row r="114">
      <c r="A114" s="51" t="s">
        <v>11110</v>
      </c>
      <c r="B114" s="51" t="s">
        <v>11125</v>
      </c>
      <c r="C114" s="51" t="s">
        <v>1410</v>
      </c>
      <c r="D114" s="53">
        <v>44285.0</v>
      </c>
    </row>
    <row r="115">
      <c r="A115" s="51" t="s">
        <v>11110</v>
      </c>
      <c r="B115" s="51" t="s">
        <v>11125</v>
      </c>
      <c r="C115" s="51" t="s">
        <v>1410</v>
      </c>
      <c r="D115" s="53">
        <v>44285.0</v>
      </c>
    </row>
    <row r="116">
      <c r="A116" s="51" t="s">
        <v>11110</v>
      </c>
      <c r="B116" s="51" t="s">
        <v>11126</v>
      </c>
      <c r="C116" s="51" t="s">
        <v>1410</v>
      </c>
      <c r="D116" s="53">
        <v>44285.0</v>
      </c>
    </row>
    <row r="117">
      <c r="A117" s="51" t="s">
        <v>11110</v>
      </c>
      <c r="B117" s="51" t="s">
        <v>11126</v>
      </c>
      <c r="C117" s="51" t="s">
        <v>1410</v>
      </c>
      <c r="D117" s="53">
        <v>44285.0</v>
      </c>
    </row>
    <row r="118">
      <c r="A118" s="51" t="s">
        <v>11110</v>
      </c>
      <c r="B118" s="51" t="s">
        <v>11127</v>
      </c>
      <c r="C118" s="51" t="s">
        <v>25</v>
      </c>
      <c r="D118" s="53">
        <v>44285.0</v>
      </c>
    </row>
    <row r="119">
      <c r="A119" s="51" t="s">
        <v>11128</v>
      </c>
      <c r="B119" s="51" t="s">
        <v>11127</v>
      </c>
      <c r="C119" s="51" t="s">
        <v>25</v>
      </c>
      <c r="D119" s="53">
        <v>44286.0</v>
      </c>
    </row>
    <row r="120">
      <c r="A120" s="51" t="s">
        <v>11128</v>
      </c>
      <c r="B120" s="51" t="s">
        <v>5819</v>
      </c>
      <c r="C120" s="51" t="s">
        <v>216</v>
      </c>
      <c r="D120" s="53">
        <v>44286.0</v>
      </c>
    </row>
    <row r="121">
      <c r="A121" s="51" t="s">
        <v>11128</v>
      </c>
      <c r="B121" s="51" t="s">
        <v>9878</v>
      </c>
      <c r="C121" s="51" t="s">
        <v>25</v>
      </c>
      <c r="D121" s="53">
        <v>44286.0</v>
      </c>
    </row>
    <row r="122">
      <c r="A122" s="51" t="s">
        <v>11128</v>
      </c>
      <c r="B122" s="51" t="s">
        <v>9878</v>
      </c>
      <c r="C122" s="51" t="s">
        <v>25</v>
      </c>
      <c r="D122" s="53">
        <v>44286.0</v>
      </c>
    </row>
    <row r="123">
      <c r="A123" s="51" t="s">
        <v>11128</v>
      </c>
      <c r="B123" s="51" t="s">
        <v>11129</v>
      </c>
      <c r="C123" s="51" t="s">
        <v>11124</v>
      </c>
      <c r="D123" s="53">
        <v>44286.0</v>
      </c>
    </row>
    <row r="124">
      <c r="A124" s="51" t="s">
        <v>11130</v>
      </c>
      <c r="B124" s="51" t="s">
        <v>11129</v>
      </c>
      <c r="C124" s="51" t="s">
        <v>11124</v>
      </c>
      <c r="D124" s="53">
        <v>44286.0</v>
      </c>
    </row>
    <row r="125">
      <c r="A125" s="51" t="s">
        <v>11130</v>
      </c>
      <c r="B125" s="51" t="s">
        <v>11129</v>
      </c>
      <c r="C125" s="51" t="s">
        <v>11124</v>
      </c>
      <c r="D125" s="53">
        <v>44286.0</v>
      </c>
    </row>
    <row r="126">
      <c r="A126" s="51" t="s">
        <v>11130</v>
      </c>
      <c r="B126" s="51" t="s">
        <v>11131</v>
      </c>
      <c r="C126" s="51" t="s">
        <v>216</v>
      </c>
      <c r="D126" s="53">
        <v>44286.0</v>
      </c>
    </row>
    <row r="127">
      <c r="A127" s="51" t="s">
        <v>11130</v>
      </c>
      <c r="B127" s="51" t="s">
        <v>11132</v>
      </c>
      <c r="C127" s="51" t="s">
        <v>216</v>
      </c>
      <c r="D127" s="53">
        <v>44286.0</v>
      </c>
    </row>
    <row r="128">
      <c r="A128" s="51" t="s">
        <v>11130</v>
      </c>
      <c r="B128" s="51" t="s">
        <v>11133</v>
      </c>
      <c r="C128" s="51" t="s">
        <v>110</v>
      </c>
      <c r="D128" s="53">
        <v>44286.0</v>
      </c>
    </row>
    <row r="129">
      <c r="A129" s="51" t="s">
        <v>10992</v>
      </c>
      <c r="B129" s="51" t="s">
        <v>11134</v>
      </c>
      <c r="C129" s="51" t="s">
        <v>11124</v>
      </c>
      <c r="D129" s="53">
        <v>44286.0</v>
      </c>
    </row>
    <row r="130">
      <c r="A130" s="51" t="s">
        <v>11110</v>
      </c>
      <c r="B130" s="51" t="s">
        <v>11135</v>
      </c>
      <c r="C130" s="51" t="s">
        <v>216</v>
      </c>
      <c r="D130" s="53">
        <v>44286.0</v>
      </c>
    </row>
    <row r="131">
      <c r="A131" s="51" t="s">
        <v>11110</v>
      </c>
      <c r="B131" s="51" t="s">
        <v>11135</v>
      </c>
      <c r="C131" s="51" t="s">
        <v>216</v>
      </c>
      <c r="D131" s="53">
        <v>44286.0</v>
      </c>
    </row>
    <row r="132">
      <c r="A132" s="51" t="s">
        <v>11136</v>
      </c>
      <c r="B132" s="51" t="s">
        <v>11137</v>
      </c>
      <c r="C132" s="51" t="s">
        <v>11115</v>
      </c>
      <c r="D132" s="53">
        <v>44286.0</v>
      </c>
    </row>
    <row r="133">
      <c r="A133" s="51" t="s">
        <v>11136</v>
      </c>
      <c r="B133" s="51" t="s">
        <v>11138</v>
      </c>
      <c r="C133" s="51" t="s">
        <v>25</v>
      </c>
      <c r="D133" s="53">
        <v>44286.0</v>
      </c>
    </row>
    <row r="134">
      <c r="A134" s="51" t="s">
        <v>11139</v>
      </c>
      <c r="B134" s="51" t="s">
        <v>11119</v>
      </c>
      <c r="C134" s="51" t="s">
        <v>11124</v>
      </c>
      <c r="D134" s="53">
        <v>44288.0</v>
      </c>
    </row>
    <row r="135">
      <c r="A135" s="51" t="s">
        <v>11139</v>
      </c>
      <c r="B135" s="51" t="s">
        <v>11120</v>
      </c>
      <c r="C135" s="51" t="s">
        <v>11124</v>
      </c>
      <c r="D135" s="53">
        <v>44288.0</v>
      </c>
    </row>
    <row r="136">
      <c r="A136" s="51" t="s">
        <v>11139</v>
      </c>
      <c r="B136" s="51" t="s">
        <v>11140</v>
      </c>
      <c r="C136" s="51" t="s">
        <v>11124</v>
      </c>
      <c r="D136" s="53">
        <v>44288.0</v>
      </c>
    </row>
    <row r="137">
      <c r="A137" s="51" t="s">
        <v>11139</v>
      </c>
      <c r="B137" s="51" t="s">
        <v>9505</v>
      </c>
      <c r="C137" s="51" t="s">
        <v>11124</v>
      </c>
      <c r="D137" s="53">
        <v>44288.0</v>
      </c>
    </row>
    <row r="138">
      <c r="A138" s="51" t="s">
        <v>11130</v>
      </c>
      <c r="B138" s="51" t="s">
        <v>9563</v>
      </c>
      <c r="C138" s="51" t="s">
        <v>84</v>
      </c>
      <c r="D138" s="53">
        <v>44288.0</v>
      </c>
    </row>
    <row r="139">
      <c r="A139" s="51" t="s">
        <v>11065</v>
      </c>
      <c r="B139" s="51" t="s">
        <v>11141</v>
      </c>
      <c r="C139" s="51" t="s">
        <v>11124</v>
      </c>
      <c r="D139" s="53">
        <v>44289.0</v>
      </c>
    </row>
    <row r="140">
      <c r="A140" s="51" t="s">
        <v>11065</v>
      </c>
      <c r="B140" s="51" t="s">
        <v>11142</v>
      </c>
      <c r="C140" s="51" t="s">
        <v>110</v>
      </c>
      <c r="D140" s="53">
        <v>44289.0</v>
      </c>
    </row>
    <row r="141">
      <c r="A141" s="51" t="s">
        <v>11065</v>
      </c>
      <c r="B141" s="51" t="s">
        <v>11143</v>
      </c>
      <c r="C141" s="51" t="s">
        <v>11031</v>
      </c>
      <c r="D141" s="53">
        <v>44289.0</v>
      </c>
    </row>
    <row r="142">
      <c r="A142" s="51" t="s">
        <v>11032</v>
      </c>
      <c r="B142" s="51" t="s">
        <v>578</v>
      </c>
      <c r="C142" s="51" t="s">
        <v>157</v>
      </c>
    </row>
    <row r="143">
      <c r="A143" s="51" t="s">
        <v>11065</v>
      </c>
      <c r="B143" s="51" t="s">
        <v>11144</v>
      </c>
      <c r="C143" s="51" t="s">
        <v>110</v>
      </c>
      <c r="D143" s="53">
        <v>44289.0</v>
      </c>
    </row>
    <row r="144">
      <c r="A144" s="51" t="s">
        <v>11065</v>
      </c>
      <c r="B144" s="51" t="s">
        <v>11142</v>
      </c>
      <c r="C144" s="51" t="s">
        <v>110</v>
      </c>
      <c r="D144" s="53">
        <v>44289.0</v>
      </c>
    </row>
    <row r="145">
      <c r="A145" s="51" t="s">
        <v>11065</v>
      </c>
      <c r="B145" s="51" t="s">
        <v>11145</v>
      </c>
      <c r="C145" s="51" t="s">
        <v>110</v>
      </c>
      <c r="D145" s="53">
        <v>44289.0</v>
      </c>
    </row>
    <row r="146">
      <c r="A146" s="51" t="s">
        <v>11065</v>
      </c>
      <c r="B146" s="51" t="s">
        <v>11146</v>
      </c>
      <c r="C146" s="51" t="s">
        <v>11147</v>
      </c>
      <c r="D146" s="53">
        <v>44289.0</v>
      </c>
    </row>
    <row r="147">
      <c r="A147" s="51" t="s">
        <v>11148</v>
      </c>
      <c r="B147" s="51" t="s">
        <v>11046</v>
      </c>
      <c r="C147" s="51" t="s">
        <v>1410</v>
      </c>
      <c r="D147" s="53">
        <v>44289.0</v>
      </c>
    </row>
    <row r="148">
      <c r="A148" s="51" t="s">
        <v>11110</v>
      </c>
      <c r="B148" s="51" t="s">
        <v>11149</v>
      </c>
      <c r="C148" s="51" t="s">
        <v>1410</v>
      </c>
      <c r="D148" s="53">
        <v>44291.0</v>
      </c>
    </row>
    <row r="149">
      <c r="A149" s="51" t="s">
        <v>11110</v>
      </c>
      <c r="B149" s="51" t="s">
        <v>11149</v>
      </c>
      <c r="C149" s="51" t="s">
        <v>1410</v>
      </c>
      <c r="D149" s="53">
        <v>44291.0</v>
      </c>
    </row>
    <row r="150">
      <c r="A150" s="51" t="s">
        <v>11110</v>
      </c>
      <c r="B150" s="51" t="s">
        <v>11150</v>
      </c>
      <c r="C150" s="51" t="s">
        <v>1410</v>
      </c>
      <c r="D150" s="53">
        <v>44291.0</v>
      </c>
    </row>
    <row r="151">
      <c r="A151" s="51" t="s">
        <v>11130</v>
      </c>
      <c r="B151" s="51" t="s">
        <v>11151</v>
      </c>
      <c r="C151" s="51" t="s">
        <v>11115</v>
      </c>
      <c r="D151" s="53">
        <v>44292.0</v>
      </c>
    </row>
    <row r="152">
      <c r="A152" s="51" t="s">
        <v>11130</v>
      </c>
      <c r="B152" s="51" t="s">
        <v>11152</v>
      </c>
      <c r="C152" s="51" t="s">
        <v>11115</v>
      </c>
      <c r="D152" s="53">
        <v>44292.0</v>
      </c>
    </row>
    <row r="153">
      <c r="A153" s="51" t="s">
        <v>11130</v>
      </c>
      <c r="B153" s="51" t="s">
        <v>11153</v>
      </c>
      <c r="C153" s="51" t="s">
        <v>11115</v>
      </c>
      <c r="D153" s="53">
        <v>44292.0</v>
      </c>
    </row>
    <row r="154">
      <c r="A154" s="51" t="s">
        <v>11130</v>
      </c>
      <c r="B154" s="51" t="s">
        <v>2042</v>
      </c>
      <c r="C154" s="51" t="s">
        <v>11115</v>
      </c>
      <c r="D154" s="53">
        <v>44292.0</v>
      </c>
    </row>
    <row r="155">
      <c r="A155" s="51" t="s">
        <v>11130</v>
      </c>
      <c r="B155" s="51" t="s">
        <v>11052</v>
      </c>
      <c r="C155" s="51" t="s">
        <v>11115</v>
      </c>
      <c r="D155" s="53">
        <v>44292.0</v>
      </c>
    </row>
    <row r="156">
      <c r="A156" s="51" t="s">
        <v>11130</v>
      </c>
      <c r="B156" s="51" t="s">
        <v>2470</v>
      </c>
      <c r="C156" s="51" t="s">
        <v>11115</v>
      </c>
      <c r="D156" s="53">
        <v>44292.0</v>
      </c>
    </row>
    <row r="157">
      <c r="A157" s="51" t="s">
        <v>11136</v>
      </c>
      <c r="B157" s="51" t="s">
        <v>11154</v>
      </c>
      <c r="C157" s="51" t="s">
        <v>25</v>
      </c>
      <c r="D157" s="53">
        <v>44293.0</v>
      </c>
    </row>
    <row r="158">
      <c r="A158" s="51" t="s">
        <v>11136</v>
      </c>
      <c r="B158" s="51" t="s">
        <v>11155</v>
      </c>
      <c r="C158" s="51" t="s">
        <v>25</v>
      </c>
      <c r="D158" s="53">
        <v>44293.0</v>
      </c>
    </row>
    <row r="159">
      <c r="A159" s="51" t="s">
        <v>11084</v>
      </c>
      <c r="B159" s="51" t="s">
        <v>11120</v>
      </c>
      <c r="C159" s="51" t="s">
        <v>1410</v>
      </c>
      <c r="D159" s="53">
        <v>44293.0</v>
      </c>
    </row>
    <row r="160">
      <c r="A160" s="51" t="s">
        <v>11084</v>
      </c>
      <c r="B160" s="51" t="s">
        <v>11120</v>
      </c>
      <c r="C160" s="51" t="s">
        <v>1410</v>
      </c>
      <c r="D160" s="53">
        <v>44293.0</v>
      </c>
    </row>
    <row r="161">
      <c r="A161" s="51" t="s">
        <v>11084</v>
      </c>
      <c r="B161" s="51" t="s">
        <v>11120</v>
      </c>
      <c r="C161" s="51" t="s">
        <v>1410</v>
      </c>
      <c r="D161" s="53">
        <v>44293.0</v>
      </c>
    </row>
    <row r="162">
      <c r="A162" s="51" t="s">
        <v>11084</v>
      </c>
      <c r="B162" s="51" t="s">
        <v>11140</v>
      </c>
      <c r="C162" s="51" t="s">
        <v>1410</v>
      </c>
      <c r="D162" s="53">
        <v>44293.0</v>
      </c>
    </row>
    <row r="163">
      <c r="A163" s="51" t="s">
        <v>11084</v>
      </c>
      <c r="B163" s="51" t="s">
        <v>11156</v>
      </c>
      <c r="C163" s="51" t="s">
        <v>1410</v>
      </c>
      <c r="D163" s="53">
        <v>44293.0</v>
      </c>
    </row>
    <row r="164">
      <c r="A164" s="51" t="s">
        <v>11084</v>
      </c>
      <c r="B164" s="51" t="s">
        <v>11156</v>
      </c>
      <c r="C164" s="51" t="s">
        <v>1410</v>
      </c>
      <c r="D164" s="53">
        <v>44293.0</v>
      </c>
    </row>
    <row r="165">
      <c r="A165" s="51" t="s">
        <v>11084</v>
      </c>
      <c r="B165" s="51" t="s">
        <v>11156</v>
      </c>
      <c r="C165" s="51" t="s">
        <v>1410</v>
      </c>
      <c r="D165" s="53">
        <v>44293.0</v>
      </c>
    </row>
    <row r="166">
      <c r="A166" s="51" t="s">
        <v>11084</v>
      </c>
      <c r="B166" s="51" t="s">
        <v>11156</v>
      </c>
      <c r="C166" s="51" t="s">
        <v>1410</v>
      </c>
      <c r="D166" s="53">
        <v>44293.0</v>
      </c>
    </row>
    <row r="167">
      <c r="A167" s="51" t="s">
        <v>11084</v>
      </c>
      <c r="B167" s="51" t="s">
        <v>11156</v>
      </c>
      <c r="C167" s="51" t="s">
        <v>1410</v>
      </c>
      <c r="D167" s="53">
        <v>44293.0</v>
      </c>
    </row>
    <row r="168">
      <c r="A168" s="51" t="s">
        <v>11130</v>
      </c>
      <c r="B168" s="51" t="s">
        <v>8452</v>
      </c>
      <c r="C168" s="51" t="s">
        <v>11115</v>
      </c>
      <c r="D168" s="53">
        <v>44293.0</v>
      </c>
    </row>
    <row r="169">
      <c r="A169" s="51" t="s">
        <v>11136</v>
      </c>
      <c r="B169" s="51" t="s">
        <v>11157</v>
      </c>
      <c r="C169" s="51" t="s">
        <v>25</v>
      </c>
      <c r="D169" s="53">
        <v>44293.0</v>
      </c>
    </row>
    <row r="170">
      <c r="A170" s="51" t="s">
        <v>11088</v>
      </c>
      <c r="B170" s="51" t="s">
        <v>11158</v>
      </c>
      <c r="C170" s="51" t="s">
        <v>11159</v>
      </c>
      <c r="D170" s="53">
        <v>44294.0</v>
      </c>
    </row>
    <row r="171">
      <c r="A171" s="51" t="s">
        <v>11088</v>
      </c>
      <c r="B171" s="51" t="s">
        <v>11160</v>
      </c>
      <c r="C171" s="51" t="s">
        <v>25</v>
      </c>
      <c r="D171" s="53">
        <v>44294.0</v>
      </c>
    </row>
    <row r="172">
      <c r="A172" s="51" t="s">
        <v>11088</v>
      </c>
      <c r="B172" s="51" t="s">
        <v>9888</v>
      </c>
      <c r="C172" s="51" t="s">
        <v>1410</v>
      </c>
      <c r="D172" s="53">
        <v>44294.0</v>
      </c>
    </row>
    <row r="173">
      <c r="A173" s="51" t="s">
        <v>11161</v>
      </c>
      <c r="B173" s="51" t="s">
        <v>3331</v>
      </c>
      <c r="C173" s="51" t="s">
        <v>1410</v>
      </c>
      <c r="D173" s="53">
        <v>44294.0</v>
      </c>
    </row>
    <row r="174">
      <c r="A174" s="51" t="s">
        <v>11161</v>
      </c>
      <c r="B174" s="51" t="s">
        <v>3331</v>
      </c>
      <c r="C174" s="51" t="s">
        <v>1410</v>
      </c>
      <c r="D174" s="53">
        <v>44294.0</v>
      </c>
    </row>
    <row r="175">
      <c r="A175" s="51" t="s">
        <v>11161</v>
      </c>
      <c r="B175" s="51" t="s">
        <v>11162</v>
      </c>
      <c r="C175" s="51" t="s">
        <v>25</v>
      </c>
      <c r="D175" s="53">
        <v>44294.0</v>
      </c>
    </row>
    <row r="176">
      <c r="A176" s="51" t="s">
        <v>11163</v>
      </c>
      <c r="B176" s="51" t="s">
        <v>11162</v>
      </c>
      <c r="C176" s="51" t="s">
        <v>25</v>
      </c>
      <c r="D176" s="53">
        <v>44294.0</v>
      </c>
    </row>
    <row r="177">
      <c r="A177" s="51" t="s">
        <v>11163</v>
      </c>
      <c r="B177" s="51" t="s">
        <v>11164</v>
      </c>
      <c r="C177" s="51" t="s">
        <v>11165</v>
      </c>
      <c r="D177" s="53">
        <v>44294.0</v>
      </c>
    </row>
    <row r="178">
      <c r="A178" s="51" t="s">
        <v>11163</v>
      </c>
      <c r="B178" s="51" t="s">
        <v>11166</v>
      </c>
      <c r="C178" s="51" t="s">
        <v>25</v>
      </c>
      <c r="D178" s="53">
        <v>44294.0</v>
      </c>
    </row>
    <row r="179">
      <c r="A179" s="51" t="s">
        <v>11163</v>
      </c>
      <c r="B179" s="51" t="s">
        <v>11166</v>
      </c>
      <c r="C179" s="51" t="s">
        <v>25</v>
      </c>
      <c r="D179" s="53">
        <v>44294.0</v>
      </c>
    </row>
    <row r="180">
      <c r="A180" s="51" t="s">
        <v>11161</v>
      </c>
      <c r="B180" s="51" t="s">
        <v>11166</v>
      </c>
      <c r="C180" s="51" t="s">
        <v>25</v>
      </c>
      <c r="D180" s="53">
        <v>44294.0</v>
      </c>
    </row>
    <row r="181">
      <c r="A181" s="51" t="s">
        <v>11163</v>
      </c>
      <c r="B181" s="51" t="s">
        <v>11167</v>
      </c>
      <c r="C181" s="51" t="s">
        <v>11115</v>
      </c>
      <c r="D181" s="53">
        <v>44295.0</v>
      </c>
    </row>
    <row r="182">
      <c r="A182" s="51" t="s">
        <v>11163</v>
      </c>
      <c r="B182" s="51" t="s">
        <v>3331</v>
      </c>
      <c r="C182" s="51" t="s">
        <v>11115</v>
      </c>
      <c r="D182" s="53">
        <v>44295.0</v>
      </c>
    </row>
    <row r="183">
      <c r="A183" s="51" t="s">
        <v>11163</v>
      </c>
      <c r="B183" s="51" t="s">
        <v>3331</v>
      </c>
      <c r="C183" s="51" t="s">
        <v>11115</v>
      </c>
      <c r="D183" s="53">
        <v>44295.0</v>
      </c>
    </row>
    <row r="184">
      <c r="A184" s="51" t="s">
        <v>11099</v>
      </c>
      <c r="B184" s="51" t="s">
        <v>8060</v>
      </c>
      <c r="C184" s="51" t="s">
        <v>25</v>
      </c>
      <c r="D184" s="53">
        <v>44297.0</v>
      </c>
    </row>
    <row r="185">
      <c r="A185" s="51" t="s">
        <v>11099</v>
      </c>
      <c r="B185" s="51" t="s">
        <v>11168</v>
      </c>
      <c r="C185" s="51" t="s">
        <v>25</v>
      </c>
      <c r="D185" s="53">
        <v>44297.0</v>
      </c>
    </row>
    <row r="186">
      <c r="A186" s="51" t="s">
        <v>11099</v>
      </c>
      <c r="B186" s="51" t="s">
        <v>11168</v>
      </c>
      <c r="C186" s="51" t="s">
        <v>25</v>
      </c>
      <c r="D186" s="53">
        <v>44297.0</v>
      </c>
    </row>
    <row r="187">
      <c r="A187" s="51" t="s">
        <v>11099</v>
      </c>
      <c r="B187" s="51" t="s">
        <v>8060</v>
      </c>
      <c r="C187" s="51" t="s">
        <v>25</v>
      </c>
      <c r="D187" s="53">
        <v>44297.0</v>
      </c>
    </row>
    <row r="188">
      <c r="A188" s="51" t="s">
        <v>11169</v>
      </c>
      <c r="B188" s="51" t="s">
        <v>186</v>
      </c>
      <c r="C188" s="51" t="s">
        <v>25</v>
      </c>
      <c r="D188" s="53">
        <v>44297.0</v>
      </c>
    </row>
    <row r="189">
      <c r="A189" s="51" t="s">
        <v>11169</v>
      </c>
      <c r="B189" s="51" t="s">
        <v>6274</v>
      </c>
      <c r="C189" s="51" t="s">
        <v>11170</v>
      </c>
      <c r="D189" s="53">
        <v>44297.0</v>
      </c>
    </row>
    <row r="190">
      <c r="A190" s="51" t="s">
        <v>11110</v>
      </c>
      <c r="B190" s="51" t="s">
        <v>6274</v>
      </c>
      <c r="C190" s="51" t="s">
        <v>11170</v>
      </c>
      <c r="D190" s="53">
        <v>44297.0</v>
      </c>
    </row>
    <row r="191">
      <c r="A191" s="51" t="s">
        <v>11171</v>
      </c>
      <c r="B191" s="51" t="s">
        <v>11149</v>
      </c>
      <c r="C191" s="51" t="s">
        <v>1410</v>
      </c>
      <c r="D191" s="53">
        <v>44297.0</v>
      </c>
    </row>
    <row r="192">
      <c r="A192" s="51" t="s">
        <v>11171</v>
      </c>
      <c r="B192" s="51" t="s">
        <v>11149</v>
      </c>
      <c r="C192" s="51" t="s">
        <v>1410</v>
      </c>
      <c r="D192" s="53">
        <v>44297.0</v>
      </c>
    </row>
    <row r="193">
      <c r="A193" s="51" t="s">
        <v>11172</v>
      </c>
      <c r="B193" s="51" t="s">
        <v>11173</v>
      </c>
      <c r="C193" s="51" t="s">
        <v>1410</v>
      </c>
      <c r="D193" s="53">
        <v>44297.0</v>
      </c>
    </row>
    <row r="194">
      <c r="A194" s="51" t="s">
        <v>11169</v>
      </c>
      <c r="B194" s="51" t="s">
        <v>20</v>
      </c>
      <c r="C194" s="51" t="s">
        <v>25</v>
      </c>
      <c r="D194" s="53">
        <v>44297.0</v>
      </c>
    </row>
    <row r="195">
      <c r="A195" s="51" t="s">
        <v>11174</v>
      </c>
      <c r="B195" s="51" t="s">
        <v>11122</v>
      </c>
      <c r="C195" s="51" t="s">
        <v>1410</v>
      </c>
      <c r="D195" s="53">
        <v>44297.0</v>
      </c>
    </row>
    <row r="196">
      <c r="A196" s="51" t="s">
        <v>11172</v>
      </c>
      <c r="B196" s="51" t="s">
        <v>11173</v>
      </c>
      <c r="C196" s="51" t="s">
        <v>1410</v>
      </c>
      <c r="D196" s="53">
        <v>44297.0</v>
      </c>
    </row>
    <row r="197">
      <c r="A197" s="51" t="s">
        <v>11175</v>
      </c>
      <c r="B197" s="51" t="s">
        <v>11119</v>
      </c>
      <c r="C197" s="51" t="s">
        <v>1410</v>
      </c>
      <c r="D197" s="53">
        <v>44297.0</v>
      </c>
    </row>
    <row r="198">
      <c r="A198" s="51" t="s">
        <v>11172</v>
      </c>
      <c r="B198" s="51" t="s">
        <v>11176</v>
      </c>
      <c r="C198" s="51" t="s">
        <v>25</v>
      </c>
      <c r="D198" s="53">
        <v>44297.0</v>
      </c>
    </row>
    <row r="199">
      <c r="A199" s="51" t="s">
        <v>11172</v>
      </c>
      <c r="B199" s="51" t="s">
        <v>11177</v>
      </c>
      <c r="C199" s="51" t="s">
        <v>1410</v>
      </c>
      <c r="D199" s="53">
        <v>44297.0</v>
      </c>
    </row>
    <row r="200">
      <c r="A200" s="51" t="s">
        <v>11175</v>
      </c>
      <c r="B200" s="51" t="s">
        <v>11122</v>
      </c>
      <c r="C200" s="51" t="s">
        <v>1410</v>
      </c>
      <c r="D200" s="53">
        <v>44297.0</v>
      </c>
    </row>
    <row r="201">
      <c r="A201" s="51" t="s">
        <v>11172</v>
      </c>
      <c r="B201" s="51" t="s">
        <v>11178</v>
      </c>
      <c r="C201" s="51" t="s">
        <v>1410</v>
      </c>
      <c r="D201" s="53">
        <v>44298.0</v>
      </c>
    </row>
    <row r="202">
      <c r="A202" s="51" t="s">
        <v>11172</v>
      </c>
      <c r="B202" s="51" t="s">
        <v>9888</v>
      </c>
      <c r="C202" s="51" t="s">
        <v>1410</v>
      </c>
      <c r="D202" s="53">
        <v>44298.0</v>
      </c>
    </row>
    <row r="203">
      <c r="A203" s="51" t="s">
        <v>11172</v>
      </c>
      <c r="B203" s="51" t="s">
        <v>11179</v>
      </c>
      <c r="C203" s="51" t="s">
        <v>1410</v>
      </c>
      <c r="D203" s="53">
        <v>44298.0</v>
      </c>
    </row>
    <row r="204">
      <c r="A204" s="51" t="s">
        <v>11028</v>
      </c>
      <c r="B204" s="51" t="s">
        <v>11180</v>
      </c>
      <c r="C204" s="51" t="s">
        <v>25</v>
      </c>
      <c r="D204" s="53">
        <v>44298.0</v>
      </c>
    </row>
    <row r="205">
      <c r="A205" s="51" t="s">
        <v>11028</v>
      </c>
      <c r="B205" s="51" t="s">
        <v>11181</v>
      </c>
      <c r="C205" s="51" t="s">
        <v>25</v>
      </c>
      <c r="D205" s="53">
        <v>44298.0</v>
      </c>
    </row>
    <row r="206">
      <c r="A206" s="51" t="s">
        <v>11028</v>
      </c>
      <c r="B206" s="51" t="s">
        <v>11182</v>
      </c>
      <c r="C206" s="51" t="s">
        <v>25</v>
      </c>
      <c r="D206" s="53">
        <v>44298.0</v>
      </c>
    </row>
    <row r="207">
      <c r="A207" s="51" t="s">
        <v>11028</v>
      </c>
      <c r="B207" s="51" t="s">
        <v>11183</v>
      </c>
      <c r="C207" s="51" t="s">
        <v>25</v>
      </c>
      <c r="D207" s="53">
        <v>44298.0</v>
      </c>
    </row>
    <row r="208">
      <c r="A208" s="51" t="s">
        <v>11028</v>
      </c>
      <c r="B208" s="51" t="s">
        <v>11183</v>
      </c>
      <c r="C208" s="51" t="s">
        <v>25</v>
      </c>
      <c r="D208" s="53">
        <v>44298.0</v>
      </c>
    </row>
    <row r="209">
      <c r="A209" s="51" t="s">
        <v>11028</v>
      </c>
      <c r="B209" s="51" t="s">
        <v>11184</v>
      </c>
      <c r="C209" s="51" t="s">
        <v>25</v>
      </c>
      <c r="D209" s="53">
        <v>44298.0</v>
      </c>
    </row>
    <row r="210">
      <c r="A210" s="51" t="s">
        <v>11028</v>
      </c>
      <c r="B210" s="51" t="s">
        <v>11185</v>
      </c>
      <c r="C210" s="51" t="s">
        <v>25</v>
      </c>
      <c r="D210" s="53">
        <v>44298.0</v>
      </c>
    </row>
    <row r="211">
      <c r="A211" s="51" t="s">
        <v>11028</v>
      </c>
      <c r="B211" s="51" t="s">
        <v>11185</v>
      </c>
      <c r="C211" s="51" t="s">
        <v>25</v>
      </c>
      <c r="D211" s="53">
        <v>44298.0</v>
      </c>
    </row>
    <row r="212">
      <c r="A212" s="51" t="s">
        <v>11028</v>
      </c>
      <c r="B212" s="51" t="s">
        <v>3586</v>
      </c>
      <c r="C212" s="51" t="s">
        <v>25</v>
      </c>
      <c r="D212" s="53">
        <v>44298.0</v>
      </c>
    </row>
    <row r="213">
      <c r="A213" s="51" t="s">
        <v>11028</v>
      </c>
      <c r="B213" s="51" t="s">
        <v>11186</v>
      </c>
      <c r="C213" s="51" t="s">
        <v>25</v>
      </c>
      <c r="D213" s="53">
        <v>44298.0</v>
      </c>
    </row>
    <row r="214">
      <c r="A214" s="51" t="s">
        <v>11028</v>
      </c>
      <c r="B214" s="51" t="s">
        <v>11162</v>
      </c>
      <c r="C214" s="51" t="s">
        <v>25</v>
      </c>
      <c r="D214" s="53">
        <v>44298.0</v>
      </c>
    </row>
    <row r="215">
      <c r="A215" s="54" t="s">
        <v>11187</v>
      </c>
      <c r="B215" s="54" t="s">
        <v>11188</v>
      </c>
      <c r="C215" s="54" t="s">
        <v>284</v>
      </c>
      <c r="D215" s="55">
        <v>44315.0</v>
      </c>
    </row>
    <row r="216">
      <c r="A216" s="54" t="s">
        <v>11187</v>
      </c>
      <c r="B216" s="54" t="s">
        <v>9298</v>
      </c>
      <c r="C216" s="54" t="s">
        <v>557</v>
      </c>
      <c r="D216" s="55">
        <v>44315.0</v>
      </c>
    </row>
    <row r="217">
      <c r="A217" s="54" t="s">
        <v>11187</v>
      </c>
      <c r="B217" s="54" t="s">
        <v>5315</v>
      </c>
      <c r="C217" s="54" t="s">
        <v>52</v>
      </c>
      <c r="D217" s="55">
        <v>44315.0</v>
      </c>
    </row>
    <row r="218">
      <c r="A218" s="54" t="s">
        <v>11187</v>
      </c>
      <c r="B218" s="54" t="s">
        <v>3313</v>
      </c>
      <c r="C218" s="54" t="s">
        <v>52</v>
      </c>
      <c r="D218" s="55">
        <v>44315.0</v>
      </c>
    </row>
    <row r="219">
      <c r="A219" s="54" t="s">
        <v>11187</v>
      </c>
      <c r="B219" s="56" t="s">
        <v>11189</v>
      </c>
      <c r="C219" s="54" t="s">
        <v>52</v>
      </c>
      <c r="D219" s="55">
        <v>44315.0</v>
      </c>
    </row>
    <row r="220">
      <c r="A220" s="54" t="s">
        <v>11187</v>
      </c>
      <c r="B220" s="54" t="s">
        <v>882</v>
      </c>
      <c r="C220" s="54" t="s">
        <v>52</v>
      </c>
      <c r="D220" s="55">
        <v>44315.0</v>
      </c>
    </row>
    <row r="221">
      <c r="A221" s="54" t="s">
        <v>11187</v>
      </c>
      <c r="B221" s="54" t="s">
        <v>8408</v>
      </c>
      <c r="C221" s="54" t="s">
        <v>52</v>
      </c>
      <c r="D221" s="55">
        <v>44315.0</v>
      </c>
    </row>
    <row r="222">
      <c r="A222" s="54" t="s">
        <v>11187</v>
      </c>
      <c r="B222" s="54" t="s">
        <v>6661</v>
      </c>
      <c r="C222" s="54" t="s">
        <v>6246</v>
      </c>
      <c r="D222" s="55">
        <v>44315.0</v>
      </c>
    </row>
    <row r="223">
      <c r="A223" s="51" t="s">
        <v>11187</v>
      </c>
      <c r="B223" s="51" t="s">
        <v>9219</v>
      </c>
      <c r="C223" s="51" t="s">
        <v>6246</v>
      </c>
      <c r="D223" s="57">
        <v>44314.326148356486</v>
      </c>
    </row>
    <row r="224">
      <c r="A224" s="51" t="s">
        <v>11187</v>
      </c>
      <c r="B224" s="51" t="s">
        <v>2460</v>
      </c>
      <c r="C224" s="51" t="s">
        <v>1410</v>
      </c>
      <c r="D224" s="57">
        <v>44314.33442424769</v>
      </c>
    </row>
    <row r="225">
      <c r="A225" s="51" t="s">
        <v>11187</v>
      </c>
      <c r="B225" s="51" t="s">
        <v>48</v>
      </c>
      <c r="C225" s="51" t="s">
        <v>52</v>
      </c>
      <c r="D225" s="57">
        <v>44314.34640943287</v>
      </c>
    </row>
    <row r="226">
      <c r="A226" s="51" t="s">
        <v>11190</v>
      </c>
      <c r="B226" s="51" t="s">
        <v>912</v>
      </c>
      <c r="C226" s="51" t="s">
        <v>84</v>
      </c>
      <c r="D226" s="57">
        <v>44314.365889479166</v>
      </c>
    </row>
    <row r="227">
      <c r="A227" s="51" t="s">
        <v>11191</v>
      </c>
      <c r="B227" s="51" t="s">
        <v>6526</v>
      </c>
      <c r="C227" s="51" t="s">
        <v>110</v>
      </c>
      <c r="D227" s="57">
        <v>44315.09204895834</v>
      </c>
    </row>
    <row r="228">
      <c r="A228" s="51" t="s">
        <v>11191</v>
      </c>
      <c r="B228" s="51" t="s">
        <v>6526</v>
      </c>
      <c r="C228" s="51" t="s">
        <v>110</v>
      </c>
      <c r="D228" s="57">
        <v>44315.0924250463</v>
      </c>
    </row>
    <row r="229">
      <c r="A229" s="51" t="s">
        <v>11191</v>
      </c>
      <c r="B229" s="51" t="s">
        <v>6526</v>
      </c>
      <c r="C229" s="51" t="s">
        <v>110</v>
      </c>
      <c r="D229" s="57">
        <v>44315.094516805555</v>
      </c>
    </row>
    <row r="230">
      <c r="A230" s="51" t="s">
        <v>11187</v>
      </c>
      <c r="B230" s="51" t="s">
        <v>48</v>
      </c>
      <c r="C230" s="51" t="s">
        <v>52</v>
      </c>
      <c r="D230" s="57">
        <v>44315.186997013894</v>
      </c>
    </row>
    <row r="231">
      <c r="A231" s="51" t="s">
        <v>11187</v>
      </c>
      <c r="B231" s="51" t="s">
        <v>48</v>
      </c>
      <c r="C231" s="51" t="s">
        <v>52</v>
      </c>
      <c r="D231" s="57">
        <v>44315.367522071756</v>
      </c>
    </row>
    <row r="232">
      <c r="A232" s="51" t="s">
        <v>11191</v>
      </c>
      <c r="B232" s="51" t="s">
        <v>8765</v>
      </c>
      <c r="C232" s="51" t="s">
        <v>110</v>
      </c>
      <c r="D232" s="57">
        <v>44316.34888605324</v>
      </c>
    </row>
    <row r="233">
      <c r="A233" s="51" t="s">
        <v>11191</v>
      </c>
      <c r="B233" s="51" t="s">
        <v>9277</v>
      </c>
      <c r="C233" s="51" t="s">
        <v>110</v>
      </c>
      <c r="D233" s="57">
        <v>44316.35744221065</v>
      </c>
    </row>
    <row r="234">
      <c r="A234" s="51" t="s">
        <v>11191</v>
      </c>
      <c r="B234" s="51" t="s">
        <v>10991</v>
      </c>
      <c r="C234" s="51" t="s">
        <v>316</v>
      </c>
      <c r="D234" s="57">
        <v>44317.22174466435</v>
      </c>
    </row>
    <row r="235">
      <c r="A235" s="51" t="s">
        <v>11191</v>
      </c>
      <c r="B235" s="51" t="s">
        <v>9368</v>
      </c>
      <c r="C235" s="51" t="s">
        <v>84</v>
      </c>
      <c r="D235" s="57">
        <v>44317.259929583335</v>
      </c>
    </row>
    <row r="236">
      <c r="A236" s="51" t="s">
        <v>11192</v>
      </c>
      <c r="B236" s="51" t="s">
        <v>7884</v>
      </c>
      <c r="C236" s="51" t="s">
        <v>165</v>
      </c>
      <c r="D236" s="57">
        <v>44318.233115717594</v>
      </c>
    </row>
    <row r="237">
      <c r="A237" s="51" t="s">
        <v>11191</v>
      </c>
      <c r="B237" s="51" t="s">
        <v>10327</v>
      </c>
      <c r="C237" s="51" t="s">
        <v>110</v>
      </c>
      <c r="D237" s="57">
        <v>44318.258640844906</v>
      </c>
    </row>
    <row r="238">
      <c r="A238" s="51" t="s">
        <v>11191</v>
      </c>
      <c r="B238" s="51" t="s">
        <v>10327</v>
      </c>
      <c r="C238" s="51" t="s">
        <v>110</v>
      </c>
      <c r="D238" s="57">
        <v>44318.29580446759</v>
      </c>
    </row>
    <row r="239">
      <c r="A239" s="51" t="s">
        <v>11191</v>
      </c>
      <c r="B239" s="51" t="s">
        <v>10542</v>
      </c>
      <c r="C239" s="51" t="s">
        <v>25</v>
      </c>
      <c r="D239" s="57">
        <v>44318.308416562504</v>
      </c>
    </row>
    <row r="240">
      <c r="A240" s="51" t="s">
        <v>11191</v>
      </c>
      <c r="B240" s="51" t="s">
        <v>10514</v>
      </c>
      <c r="C240" s="51" t="s">
        <v>84</v>
      </c>
      <c r="D240" s="57">
        <v>44318.32566883102</v>
      </c>
    </row>
    <row r="241">
      <c r="A241" s="51" t="s">
        <v>11191</v>
      </c>
      <c r="B241" s="51" t="s">
        <v>10874</v>
      </c>
      <c r="C241" s="51" t="s">
        <v>110</v>
      </c>
      <c r="D241" s="57">
        <v>44318.32777971065</v>
      </c>
    </row>
    <row r="242">
      <c r="A242" s="51" t="s">
        <v>11191</v>
      </c>
      <c r="B242" s="51" t="s">
        <v>7265</v>
      </c>
      <c r="C242" s="51" t="s">
        <v>110</v>
      </c>
      <c r="D242" s="57">
        <v>44318.67265807871</v>
      </c>
    </row>
    <row r="243">
      <c r="A243" s="51" t="s">
        <v>11191</v>
      </c>
      <c r="B243" s="51" t="s">
        <v>5760</v>
      </c>
      <c r="C243" s="51" t="s">
        <v>557</v>
      </c>
      <c r="D243" s="57">
        <v>44318.67471222222</v>
      </c>
    </row>
    <row r="244">
      <c r="A244" s="51" t="s">
        <v>11193</v>
      </c>
      <c r="B244" s="51" t="s">
        <v>817</v>
      </c>
      <c r="C244" s="51" t="s">
        <v>165</v>
      </c>
      <c r="D244" s="57">
        <v>44319.12756920139</v>
      </c>
    </row>
    <row r="245">
      <c r="A245" s="51" t="s">
        <v>11191</v>
      </c>
      <c r="B245" s="51" t="s">
        <v>10456</v>
      </c>
      <c r="C245" s="51" t="s">
        <v>110</v>
      </c>
      <c r="D245" s="57">
        <v>44319.37680650463</v>
      </c>
    </row>
    <row r="246">
      <c r="A246" s="51" t="s">
        <v>11191</v>
      </c>
      <c r="B246" s="51" t="s">
        <v>10991</v>
      </c>
      <c r="C246" s="51" t="s">
        <v>316</v>
      </c>
      <c r="D246" s="57">
        <v>44319.42244226852</v>
      </c>
    </row>
    <row r="247">
      <c r="A247" s="51" t="s">
        <v>11191</v>
      </c>
      <c r="B247" s="51" t="s">
        <v>10991</v>
      </c>
      <c r="C247" s="51" t="s">
        <v>316</v>
      </c>
      <c r="D247" s="57">
        <v>44319.42283752315</v>
      </c>
    </row>
    <row r="248">
      <c r="A248" s="51" t="s">
        <v>11193</v>
      </c>
      <c r="B248" s="51" t="s">
        <v>10904</v>
      </c>
      <c r="C248" s="51" t="s">
        <v>25</v>
      </c>
      <c r="D248" s="57">
        <v>44319.606806192125</v>
      </c>
    </row>
    <row r="249">
      <c r="A249" s="51" t="s">
        <v>11193</v>
      </c>
      <c r="B249" s="51" t="s">
        <v>10991</v>
      </c>
      <c r="C249" s="51" t="s">
        <v>316</v>
      </c>
      <c r="D249" s="57">
        <v>44319.61335840278</v>
      </c>
    </row>
    <row r="250">
      <c r="A250" s="51" t="s">
        <v>11193</v>
      </c>
      <c r="B250" s="51" t="s">
        <v>10874</v>
      </c>
      <c r="C250" s="51" t="s">
        <v>110</v>
      </c>
      <c r="D250" s="57">
        <v>44319.61457631944</v>
      </c>
    </row>
    <row r="251">
      <c r="A251" s="51" t="s">
        <v>11191</v>
      </c>
      <c r="B251" s="51" t="s">
        <v>6526</v>
      </c>
      <c r="C251" s="51" t="s">
        <v>110</v>
      </c>
      <c r="D251" s="57">
        <v>44323.319002118056</v>
      </c>
    </row>
    <row r="252">
      <c r="A252" s="51" t="s">
        <v>11191</v>
      </c>
      <c r="B252" s="51" t="s">
        <v>9505</v>
      </c>
      <c r="C252" s="51" t="s">
        <v>110</v>
      </c>
      <c r="D252" s="57">
        <v>44323.320465717596</v>
      </c>
    </row>
    <row r="253">
      <c r="A253" s="51" t="s">
        <v>11191</v>
      </c>
      <c r="B253" s="51" t="s">
        <v>9277</v>
      </c>
      <c r="C253" s="51" t="s">
        <v>110</v>
      </c>
      <c r="D253" s="57">
        <v>44323.32142266203</v>
      </c>
    </row>
    <row r="254">
      <c r="A254" s="51" t="s">
        <v>11191</v>
      </c>
      <c r="B254" s="51" t="s">
        <v>10456</v>
      </c>
      <c r="C254" s="51" t="s">
        <v>110</v>
      </c>
      <c r="D254" s="57">
        <v>44323.45223243056</v>
      </c>
    </row>
    <row r="255">
      <c r="A255" s="51" t="s">
        <v>11191</v>
      </c>
      <c r="B255" s="51" t="s">
        <v>9338</v>
      </c>
      <c r="C255" s="51" t="s">
        <v>110</v>
      </c>
      <c r="D255" s="57">
        <v>44323.897188738425</v>
      </c>
    </row>
    <row r="256">
      <c r="A256" s="51" t="s">
        <v>11191</v>
      </c>
      <c r="B256" s="51" t="s">
        <v>10783</v>
      </c>
      <c r="C256" s="51" t="s">
        <v>68</v>
      </c>
      <c r="D256" s="57">
        <v>44323.90106428241</v>
      </c>
    </row>
    <row r="257">
      <c r="A257" s="51" t="s">
        <v>11191</v>
      </c>
      <c r="B257" s="51" t="s">
        <v>10456</v>
      </c>
      <c r="C257" s="51" t="s">
        <v>110</v>
      </c>
      <c r="D257" s="57">
        <v>44324.366712800926</v>
      </c>
    </row>
    <row r="258">
      <c r="A258" s="51" t="s">
        <v>11191</v>
      </c>
      <c r="B258" s="51" t="s">
        <v>10456</v>
      </c>
      <c r="C258" s="51" t="s">
        <v>110</v>
      </c>
      <c r="D258" s="57">
        <v>44324.3667147338</v>
      </c>
    </row>
    <row r="259">
      <c r="A259" s="51" t="s">
        <v>11191</v>
      </c>
      <c r="B259" s="51" t="s">
        <v>10456</v>
      </c>
      <c r="C259" s="51" t="s">
        <v>110</v>
      </c>
      <c r="D259" s="57">
        <v>44324.36746195602</v>
      </c>
    </row>
    <row r="260">
      <c r="A260" s="51" t="s">
        <v>11191</v>
      </c>
      <c r="B260" s="51" t="s">
        <v>10456</v>
      </c>
      <c r="C260" s="51" t="s">
        <v>110</v>
      </c>
      <c r="D260" s="57">
        <v>44324.36746820602</v>
      </c>
    </row>
    <row r="261">
      <c r="A261" s="51" t="s">
        <v>11191</v>
      </c>
      <c r="B261" s="51" t="s">
        <v>10456</v>
      </c>
      <c r="C261" s="51" t="s">
        <v>110</v>
      </c>
      <c r="D261" s="57">
        <v>44324.3679109375</v>
      </c>
    </row>
    <row r="262">
      <c r="A262" s="51" t="s">
        <v>11191</v>
      </c>
      <c r="B262" s="51" t="s">
        <v>10327</v>
      </c>
      <c r="C262" s="51" t="s">
        <v>110</v>
      </c>
      <c r="D262" s="57">
        <v>44324.3720137037</v>
      </c>
    </row>
    <row r="263">
      <c r="A263" s="51" t="s">
        <v>11191</v>
      </c>
      <c r="B263" s="51" t="s">
        <v>10327</v>
      </c>
      <c r="C263" s="51" t="s">
        <v>110</v>
      </c>
      <c r="D263" s="57">
        <v>44324.37201622685</v>
      </c>
    </row>
    <row r="264">
      <c r="A264" s="51" t="s">
        <v>11191</v>
      </c>
      <c r="B264" s="51" t="s">
        <v>10327</v>
      </c>
      <c r="C264" s="51" t="s">
        <v>110</v>
      </c>
      <c r="D264" s="57">
        <v>44324.372022048614</v>
      </c>
    </row>
    <row r="265">
      <c r="A265" s="51" t="s">
        <v>11191</v>
      </c>
      <c r="B265" s="51" t="s">
        <v>10327</v>
      </c>
      <c r="C265" s="51" t="s">
        <v>110</v>
      </c>
      <c r="D265" s="57">
        <v>44324.37202872685</v>
      </c>
    </row>
    <row r="266">
      <c r="A266" s="51" t="s">
        <v>11191</v>
      </c>
      <c r="B266" s="51" t="s">
        <v>9888</v>
      </c>
      <c r="C266" s="51" t="s">
        <v>110</v>
      </c>
      <c r="D266" s="57">
        <v>44324.372912743056</v>
      </c>
    </row>
    <row r="267">
      <c r="A267" s="51" t="s">
        <v>11191</v>
      </c>
      <c r="B267" s="51" t="s">
        <v>9888</v>
      </c>
      <c r="C267" s="51" t="s">
        <v>110</v>
      </c>
      <c r="D267" s="57">
        <v>44324.37291719907</v>
      </c>
    </row>
    <row r="268">
      <c r="A268" s="51" t="s">
        <v>11191</v>
      </c>
      <c r="B268" s="51" t="s">
        <v>9338</v>
      </c>
      <c r="C268" s="51" t="s">
        <v>110</v>
      </c>
      <c r="D268" s="57">
        <v>44324.374753993055</v>
      </c>
    </row>
    <row r="269">
      <c r="A269" s="51" t="s">
        <v>11191</v>
      </c>
      <c r="B269" s="51" t="s">
        <v>9338</v>
      </c>
      <c r="C269" s="51" t="s">
        <v>110</v>
      </c>
      <c r="D269" s="57">
        <v>44324.37475523148</v>
      </c>
    </row>
    <row r="270">
      <c r="A270" s="51" t="s">
        <v>11191</v>
      </c>
      <c r="B270" s="51" t="s">
        <v>9298</v>
      </c>
      <c r="C270" s="51" t="s">
        <v>557</v>
      </c>
      <c r="D270" s="57">
        <v>44324.37658951389</v>
      </c>
    </row>
    <row r="271">
      <c r="A271" s="51" t="s">
        <v>11187</v>
      </c>
      <c r="B271" s="51" t="s">
        <v>10964</v>
      </c>
      <c r="C271" s="51" t="s">
        <v>157</v>
      </c>
      <c r="D271" s="57">
        <v>44324.77211612268</v>
      </c>
    </row>
    <row r="272">
      <c r="A272" s="51" t="s">
        <v>11187</v>
      </c>
      <c r="B272" s="51" t="s">
        <v>10964</v>
      </c>
      <c r="C272" s="51" t="s">
        <v>157</v>
      </c>
      <c r="D272" s="57">
        <v>44326.30869399305</v>
      </c>
    </row>
    <row r="273">
      <c r="A273" s="51" t="s">
        <v>11191</v>
      </c>
      <c r="B273" s="51" t="s">
        <v>10874</v>
      </c>
      <c r="C273" s="51" t="s">
        <v>110</v>
      </c>
      <c r="D273" s="57">
        <v>44326.37432128472</v>
      </c>
    </row>
    <row r="274">
      <c r="A274" s="51" t="s">
        <v>11191</v>
      </c>
      <c r="B274" s="51" t="s">
        <v>10874</v>
      </c>
      <c r="C274" s="51" t="s">
        <v>110</v>
      </c>
      <c r="D274" s="57">
        <v>44326.37432369213</v>
      </c>
    </row>
    <row r="275">
      <c r="A275" s="51" t="s">
        <v>11191</v>
      </c>
      <c r="B275" s="51" t="s">
        <v>10456</v>
      </c>
      <c r="C275" s="51" t="s">
        <v>110</v>
      </c>
      <c r="D275" s="57">
        <v>44326.49679671296</v>
      </c>
    </row>
    <row r="276">
      <c r="A276" s="51" t="s">
        <v>11191</v>
      </c>
      <c r="B276" s="51" t="s">
        <v>10327</v>
      </c>
      <c r="C276" s="51" t="s">
        <v>110</v>
      </c>
      <c r="D276" s="57">
        <v>44326.498073877316</v>
      </c>
    </row>
    <row r="277">
      <c r="A277" s="51" t="s">
        <v>11191</v>
      </c>
      <c r="B277" s="51" t="s">
        <v>10327</v>
      </c>
      <c r="C277" s="51" t="s">
        <v>110</v>
      </c>
      <c r="D277" s="57">
        <v>44326.49808099537</v>
      </c>
    </row>
    <row r="278">
      <c r="A278" s="51" t="s">
        <v>11191</v>
      </c>
      <c r="B278" s="51" t="s">
        <v>10874</v>
      </c>
      <c r="C278" s="51" t="s">
        <v>110</v>
      </c>
      <c r="D278" s="57">
        <v>44326.9564305324</v>
      </c>
    </row>
    <row r="279">
      <c r="A279" s="51" t="s">
        <v>11191</v>
      </c>
      <c r="B279" s="51" t="s">
        <v>10874</v>
      </c>
      <c r="C279" s="51" t="s">
        <v>110</v>
      </c>
      <c r="D279" s="57">
        <v>44326.95643975695</v>
      </c>
    </row>
    <row r="280">
      <c r="A280" s="51" t="s">
        <v>11191</v>
      </c>
      <c r="B280" s="51" t="s">
        <v>10874</v>
      </c>
      <c r="C280" s="51" t="s">
        <v>110</v>
      </c>
      <c r="D280" s="57">
        <v>44326.95644069444</v>
      </c>
    </row>
    <row r="281">
      <c r="A281" s="51" t="s">
        <v>11191</v>
      </c>
      <c r="B281" s="51" t="s">
        <v>10456</v>
      </c>
      <c r="C281" s="51" t="s">
        <v>110</v>
      </c>
      <c r="D281" s="57">
        <v>44326.959515925926</v>
      </c>
    </row>
    <row r="282">
      <c r="A282" s="51" t="s">
        <v>11191</v>
      </c>
      <c r="B282" s="51" t="s">
        <v>10456</v>
      </c>
      <c r="C282" s="51" t="s">
        <v>110</v>
      </c>
      <c r="D282" s="57">
        <v>44326.959517905096</v>
      </c>
    </row>
    <row r="283">
      <c r="A283" s="51" t="s">
        <v>11191</v>
      </c>
      <c r="B283" s="51" t="s">
        <v>10456</v>
      </c>
      <c r="C283" s="51" t="s">
        <v>110</v>
      </c>
      <c r="D283" s="57">
        <v>44326.95952020833</v>
      </c>
    </row>
    <row r="284">
      <c r="A284" s="51" t="s">
        <v>11191</v>
      </c>
      <c r="B284" s="51" t="s">
        <v>10327</v>
      </c>
      <c r="C284" s="51" t="s">
        <v>110</v>
      </c>
      <c r="D284" s="57">
        <v>44327.03648484954</v>
      </c>
    </row>
    <row r="285">
      <c r="A285" s="51" t="s">
        <v>11191</v>
      </c>
      <c r="B285" s="51" t="s">
        <v>9888</v>
      </c>
      <c r="C285" s="51" t="s">
        <v>110</v>
      </c>
      <c r="D285" s="57">
        <v>44327.040131898146</v>
      </c>
    </row>
    <row r="286">
      <c r="A286" s="51" t="s">
        <v>11191</v>
      </c>
      <c r="B286" s="51" t="s">
        <v>9888</v>
      </c>
      <c r="C286" s="51" t="s">
        <v>110</v>
      </c>
      <c r="D286" s="57">
        <v>44327.040134062496</v>
      </c>
    </row>
    <row r="287">
      <c r="A287" s="51" t="s">
        <v>11187</v>
      </c>
      <c r="B287" s="51" t="s">
        <v>415</v>
      </c>
      <c r="C287" s="51" t="s">
        <v>292</v>
      </c>
      <c r="D287" s="57">
        <v>44327.14591314815</v>
      </c>
    </row>
    <row r="288">
      <c r="A288" s="51" t="s">
        <v>11130</v>
      </c>
      <c r="B288" s="51" t="s">
        <v>10874</v>
      </c>
      <c r="C288" s="51" t="s">
        <v>110</v>
      </c>
      <c r="D288" s="57">
        <v>44327.98440424768</v>
      </c>
    </row>
    <row r="289">
      <c r="A289" s="51" t="s">
        <v>11130</v>
      </c>
      <c r="B289" s="51" t="s">
        <v>10944</v>
      </c>
      <c r="C289" s="51" t="s">
        <v>84</v>
      </c>
      <c r="D289" s="57">
        <v>44327.98573234954</v>
      </c>
    </row>
    <row r="290">
      <c r="A290" s="51" t="s">
        <v>11130</v>
      </c>
      <c r="B290" s="51" t="s">
        <v>10602</v>
      </c>
      <c r="C290" s="51" t="s">
        <v>84</v>
      </c>
      <c r="D290" s="57">
        <v>44327.987169722226</v>
      </c>
    </row>
    <row r="291">
      <c r="A291" s="51" t="s">
        <v>11187</v>
      </c>
      <c r="B291" s="51" t="s">
        <v>9298</v>
      </c>
      <c r="C291" s="51" t="s">
        <v>557</v>
      </c>
      <c r="D291" s="57">
        <v>44330.43717503472</v>
      </c>
    </row>
    <row r="292">
      <c r="A292" s="51" t="s">
        <v>11194</v>
      </c>
      <c r="B292" s="51" t="s">
        <v>383</v>
      </c>
      <c r="C292" s="51" t="s">
        <v>386</v>
      </c>
      <c r="D292" s="57">
        <v>44330.765292129625</v>
      </c>
    </row>
    <row r="293">
      <c r="A293" s="51" t="s">
        <v>11194</v>
      </c>
      <c r="B293" s="51" t="s">
        <v>6343</v>
      </c>
      <c r="C293" s="51" t="s">
        <v>110</v>
      </c>
      <c r="D293" s="57">
        <v>44330.94078395833</v>
      </c>
    </row>
    <row r="294">
      <c r="A294" s="51" t="s">
        <v>11187</v>
      </c>
      <c r="B294" s="51" t="s">
        <v>3304</v>
      </c>
      <c r="C294" s="51" t="s">
        <v>141</v>
      </c>
      <c r="D294" s="57">
        <v>44331.21440894676</v>
      </c>
    </row>
    <row r="295">
      <c r="A295" s="51" t="s">
        <v>11187</v>
      </c>
      <c r="B295" s="51" t="s">
        <v>10874</v>
      </c>
      <c r="C295" s="51" t="s">
        <v>110</v>
      </c>
      <c r="D295" s="57">
        <v>44331.21692453704</v>
      </c>
    </row>
    <row r="296">
      <c r="A296" s="51" t="s">
        <v>11195</v>
      </c>
      <c r="B296" s="51" t="s">
        <v>10365</v>
      </c>
      <c r="C296" s="51" t="s">
        <v>84</v>
      </c>
      <c r="D296" s="57">
        <v>44331.26201622685</v>
      </c>
    </row>
    <row r="297">
      <c r="A297" s="51" t="s">
        <v>11187</v>
      </c>
      <c r="B297" s="51" t="s">
        <v>9298</v>
      </c>
      <c r="C297" s="51" t="s">
        <v>557</v>
      </c>
      <c r="D297" s="57">
        <v>44331.31815100694</v>
      </c>
    </row>
    <row r="298">
      <c r="A298" s="51" t="s">
        <v>11195</v>
      </c>
      <c r="B298" s="51" t="s">
        <v>81</v>
      </c>
      <c r="C298" s="51" t="s">
        <v>84</v>
      </c>
      <c r="D298" s="57">
        <v>44331.95930017361</v>
      </c>
    </row>
    <row r="299">
      <c r="A299" s="51" t="s">
        <v>11195</v>
      </c>
      <c r="B299" s="51" t="s">
        <v>10874</v>
      </c>
      <c r="C299" s="51" t="s">
        <v>110</v>
      </c>
      <c r="D299" s="57">
        <v>44331.96042319444</v>
      </c>
    </row>
    <row r="300">
      <c r="A300" s="51" t="s">
        <v>11195</v>
      </c>
      <c r="B300" s="51" t="s">
        <v>9545</v>
      </c>
      <c r="C300" s="51" t="s">
        <v>165</v>
      </c>
      <c r="D300" s="57">
        <v>44331.96246462963</v>
      </c>
    </row>
    <row r="301">
      <c r="A301" s="51" t="s">
        <v>11194</v>
      </c>
      <c r="B301" s="51" t="s">
        <v>1339</v>
      </c>
      <c r="C301" s="51" t="s">
        <v>386</v>
      </c>
      <c r="D301" s="57">
        <v>44332.128023819445</v>
      </c>
    </row>
    <row r="302">
      <c r="A302" s="51" t="s">
        <v>11194</v>
      </c>
      <c r="B302" s="51" t="s">
        <v>10874</v>
      </c>
      <c r="C302" s="51" t="s">
        <v>110</v>
      </c>
      <c r="D302" s="57">
        <v>44332.13463399306</v>
      </c>
    </row>
    <row r="303">
      <c r="A303" s="51" t="s">
        <v>11194</v>
      </c>
      <c r="B303" s="51" t="s">
        <v>10456</v>
      </c>
      <c r="C303" s="51" t="s">
        <v>110</v>
      </c>
      <c r="D303" s="57">
        <v>44332.18180118056</v>
      </c>
    </row>
    <row r="304">
      <c r="A304" s="51" t="s">
        <v>11194</v>
      </c>
      <c r="B304" s="51" t="s">
        <v>10327</v>
      </c>
      <c r="C304" s="51" t="s">
        <v>110</v>
      </c>
      <c r="D304" s="57">
        <v>44332.18694615741</v>
      </c>
    </row>
    <row r="305">
      <c r="A305" s="51" t="s">
        <v>11194</v>
      </c>
      <c r="B305" s="51" t="s">
        <v>9888</v>
      </c>
      <c r="C305" s="51" t="s">
        <v>110</v>
      </c>
      <c r="D305" s="57">
        <v>44332.188426423614</v>
      </c>
    </row>
    <row r="306">
      <c r="A306" s="51" t="s">
        <v>11194</v>
      </c>
      <c r="B306" s="51" t="s">
        <v>9505</v>
      </c>
      <c r="C306" s="51" t="s">
        <v>110</v>
      </c>
      <c r="D306" s="57">
        <v>44332.189326736116</v>
      </c>
    </row>
    <row r="307">
      <c r="A307" s="51" t="s">
        <v>11194</v>
      </c>
      <c r="B307" s="51" t="s">
        <v>9505</v>
      </c>
      <c r="C307" s="51" t="s">
        <v>110</v>
      </c>
      <c r="D307" s="57">
        <v>44332.18951431713</v>
      </c>
    </row>
    <row r="308">
      <c r="A308" s="51" t="s">
        <v>11191</v>
      </c>
      <c r="B308" s="51" t="s">
        <v>9338</v>
      </c>
      <c r="C308" s="51" t="s">
        <v>110</v>
      </c>
      <c r="D308" s="57">
        <v>44333.18006641204</v>
      </c>
    </row>
    <row r="309">
      <c r="A309" s="51" t="s">
        <v>11191</v>
      </c>
      <c r="B309" s="51" t="s">
        <v>7086</v>
      </c>
      <c r="C309" s="51" t="s">
        <v>110</v>
      </c>
      <c r="D309" s="57">
        <v>44333.181223217594</v>
      </c>
    </row>
    <row r="310">
      <c r="A310" s="51" t="s">
        <v>11187</v>
      </c>
      <c r="B310" s="51" t="s">
        <v>10793</v>
      </c>
      <c r="C310" s="51" t="s">
        <v>84</v>
      </c>
      <c r="D310" s="57">
        <v>44333.799174432876</v>
      </c>
    </row>
    <row r="311">
      <c r="A311" s="51" t="s">
        <v>11187</v>
      </c>
      <c r="B311" s="51" t="s">
        <v>10783</v>
      </c>
      <c r="C311" s="51" t="s">
        <v>68</v>
      </c>
      <c r="D311" s="57">
        <v>44333.80357350694</v>
      </c>
    </row>
    <row r="312">
      <c r="A312" s="51" t="s">
        <v>11193</v>
      </c>
      <c r="B312" s="51" t="s">
        <v>10456</v>
      </c>
      <c r="C312" s="51" t="s">
        <v>110</v>
      </c>
      <c r="D312" s="57">
        <v>44334.1343053125</v>
      </c>
    </row>
    <row r="313">
      <c r="A313" s="51" t="s">
        <v>11193</v>
      </c>
      <c r="B313" s="51" t="s">
        <v>10327</v>
      </c>
      <c r="C313" s="51" t="s">
        <v>110</v>
      </c>
      <c r="D313" s="57">
        <v>44334.134752592596</v>
      </c>
    </row>
    <row r="314">
      <c r="A314" s="51" t="s">
        <v>11191</v>
      </c>
      <c r="B314" s="51" t="s">
        <v>10991</v>
      </c>
      <c r="C314" s="51" t="s">
        <v>316</v>
      </c>
      <c r="D314" s="57">
        <v>44334.13493673611</v>
      </c>
    </row>
    <row r="315">
      <c r="A315" s="51" t="s">
        <v>11191</v>
      </c>
      <c r="B315" s="51" t="s">
        <v>10991</v>
      </c>
      <c r="C315" s="51" t="s">
        <v>316</v>
      </c>
      <c r="D315" s="57">
        <v>44334.13493758102</v>
      </c>
    </row>
    <row r="316">
      <c r="A316" s="51" t="s">
        <v>11191</v>
      </c>
      <c r="B316" s="51" t="s">
        <v>10991</v>
      </c>
      <c r="C316" s="51" t="s">
        <v>316</v>
      </c>
      <c r="D316" s="57">
        <v>44334.13594417824</v>
      </c>
    </row>
    <row r="317">
      <c r="A317" s="51" t="s">
        <v>11191</v>
      </c>
      <c r="B317" s="51" t="s">
        <v>10991</v>
      </c>
      <c r="C317" s="51" t="s">
        <v>316</v>
      </c>
      <c r="D317" s="57">
        <v>44334.13697813658</v>
      </c>
    </row>
    <row r="318">
      <c r="A318" s="51" t="s">
        <v>11196</v>
      </c>
      <c r="B318" s="51" t="s">
        <v>9318</v>
      </c>
      <c r="C318" s="51" t="s">
        <v>25</v>
      </c>
      <c r="D318" s="57">
        <v>44334.32734998842</v>
      </c>
    </row>
    <row r="319">
      <c r="A319" s="51" t="s">
        <v>11187</v>
      </c>
      <c r="B319" s="51" t="s">
        <v>5315</v>
      </c>
      <c r="C319" s="51" t="s">
        <v>52</v>
      </c>
      <c r="D319" s="57">
        <v>44334.916489930554</v>
      </c>
    </row>
    <row r="320">
      <c r="A320" s="51" t="s">
        <v>11191</v>
      </c>
      <c r="B320" s="51" t="s">
        <v>10682</v>
      </c>
      <c r="C320" s="51" t="s">
        <v>25</v>
      </c>
      <c r="D320" s="57">
        <v>44335.145055960646</v>
      </c>
    </row>
    <row r="321">
      <c r="A321" s="51" t="s">
        <v>11187</v>
      </c>
      <c r="B321" s="51" t="s">
        <v>9219</v>
      </c>
      <c r="C321" s="51" t="s">
        <v>6246</v>
      </c>
      <c r="D321" s="57">
        <v>44335.166717939814</v>
      </c>
    </row>
    <row r="322">
      <c r="A322" s="51" t="s">
        <v>11191</v>
      </c>
      <c r="B322" s="51" t="s">
        <v>9888</v>
      </c>
      <c r="C322" s="51" t="s">
        <v>110</v>
      </c>
      <c r="D322" s="57">
        <v>44335.956109328705</v>
      </c>
    </row>
    <row r="323">
      <c r="A323" s="51" t="s">
        <v>11187</v>
      </c>
      <c r="B323" s="51" t="s">
        <v>9399</v>
      </c>
      <c r="C323" s="51" t="s">
        <v>165</v>
      </c>
      <c r="D323" s="57">
        <v>44336.33378927084</v>
      </c>
    </row>
    <row r="324">
      <c r="A324" s="51" t="s">
        <v>11197</v>
      </c>
      <c r="B324" s="51" t="s">
        <v>10383</v>
      </c>
      <c r="C324" s="51" t="s">
        <v>25</v>
      </c>
      <c r="D324" s="57">
        <v>44337.139570115745</v>
      </c>
    </row>
    <row r="325">
      <c r="A325" s="51" t="s">
        <v>11198</v>
      </c>
      <c r="B325" s="51" t="s">
        <v>9505</v>
      </c>
      <c r="C325" s="51" t="s">
        <v>110</v>
      </c>
      <c r="D325" s="57">
        <v>44339.87719575231</v>
      </c>
    </row>
    <row r="326">
      <c r="A326" s="51" t="s">
        <v>11198</v>
      </c>
      <c r="B326" s="51" t="s">
        <v>9277</v>
      </c>
      <c r="C326" s="51" t="s">
        <v>110</v>
      </c>
      <c r="D326" s="57">
        <v>44339.882747384254</v>
      </c>
    </row>
    <row r="327">
      <c r="A327" s="51" t="s">
        <v>11198</v>
      </c>
      <c r="B327" s="51" t="s">
        <v>10874</v>
      </c>
      <c r="C327" s="51" t="s">
        <v>110</v>
      </c>
      <c r="D327" s="57">
        <v>44339.88452644676</v>
      </c>
    </row>
    <row r="328">
      <c r="A328" s="51" t="s">
        <v>11198</v>
      </c>
      <c r="B328" s="51" t="s">
        <v>9888</v>
      </c>
      <c r="C328" s="51" t="s">
        <v>110</v>
      </c>
      <c r="D328" s="57">
        <v>44339.88555153935</v>
      </c>
    </row>
    <row r="329">
      <c r="A329" s="51" t="s">
        <v>11199</v>
      </c>
      <c r="B329" s="51" t="s">
        <v>115</v>
      </c>
      <c r="C329" s="51" t="s">
        <v>84</v>
      </c>
      <c r="D329" s="57">
        <v>44340.288665706015</v>
      </c>
    </row>
    <row r="330">
      <c r="A330" s="51" t="s">
        <v>11195</v>
      </c>
      <c r="B330" s="51" t="s">
        <v>10793</v>
      </c>
      <c r="C330" s="51" t="s">
        <v>84</v>
      </c>
      <c r="D330" s="57">
        <v>44340.77848997685</v>
      </c>
    </row>
    <row r="331">
      <c r="A331" s="51" t="s">
        <v>11200</v>
      </c>
      <c r="B331" s="51" t="s">
        <v>1302</v>
      </c>
      <c r="C331" s="51" t="s">
        <v>68</v>
      </c>
      <c r="D331" s="57">
        <v>44341.18576342592</v>
      </c>
    </row>
    <row r="332">
      <c r="A332" s="51" t="s">
        <v>11200</v>
      </c>
      <c r="B332" s="51" t="s">
        <v>10653</v>
      </c>
      <c r="C332" s="51" t="s">
        <v>25</v>
      </c>
      <c r="D332" s="57">
        <v>44341.18798934028</v>
      </c>
    </row>
    <row r="333">
      <c r="A333" s="51" t="s">
        <v>11191</v>
      </c>
      <c r="B333" s="51" t="s">
        <v>8079</v>
      </c>
      <c r="C333" s="51" t="s">
        <v>110</v>
      </c>
      <c r="D333" s="57">
        <v>44341.298087546296</v>
      </c>
    </row>
    <row r="334">
      <c r="A334" s="51" t="s">
        <v>11199</v>
      </c>
      <c r="B334" s="51" t="s">
        <v>9790</v>
      </c>
      <c r="C334" s="51" t="s">
        <v>25</v>
      </c>
      <c r="D334" s="57">
        <v>44343.231384467595</v>
      </c>
    </row>
    <row r="335">
      <c r="A335" s="51" t="s">
        <v>11201</v>
      </c>
      <c r="B335" s="51" t="s">
        <v>9790</v>
      </c>
      <c r="C335" s="51" t="s">
        <v>25</v>
      </c>
      <c r="D335" s="57">
        <v>44343.23499028935</v>
      </c>
    </row>
    <row r="336">
      <c r="A336" s="51" t="s">
        <v>11200</v>
      </c>
      <c r="B336" s="51" t="s">
        <v>9277</v>
      </c>
      <c r="C336" s="51" t="s">
        <v>110</v>
      </c>
      <c r="D336" s="57">
        <v>44353.33225739583</v>
      </c>
    </row>
    <row r="337">
      <c r="A337" s="51" t="s">
        <v>11200</v>
      </c>
      <c r="B337" s="51" t="s">
        <v>3506</v>
      </c>
      <c r="C337" s="51" t="s">
        <v>110</v>
      </c>
      <c r="D337" s="57">
        <v>44353.33857226852</v>
      </c>
    </row>
    <row r="338">
      <c r="A338" s="51" t="s">
        <v>11202</v>
      </c>
      <c r="B338" s="51" t="s">
        <v>8226</v>
      </c>
      <c r="C338" s="51" t="s">
        <v>25</v>
      </c>
      <c r="D338" s="57">
        <v>44353.41266699074</v>
      </c>
    </row>
    <row r="339">
      <c r="A339" s="51" t="s">
        <v>11202</v>
      </c>
      <c r="B339" s="51" t="s">
        <v>10682</v>
      </c>
      <c r="C339" s="51" t="s">
        <v>25</v>
      </c>
      <c r="D339" s="57">
        <v>44353.414049212966</v>
      </c>
    </row>
    <row r="340">
      <c r="A340" s="51" t="s">
        <v>11202</v>
      </c>
      <c r="B340" s="51" t="s">
        <v>7365</v>
      </c>
      <c r="C340" s="51" t="s">
        <v>25</v>
      </c>
      <c r="D340" s="57">
        <v>44353.415636273145</v>
      </c>
    </row>
    <row r="341">
      <c r="A341" s="51" t="s">
        <v>11203</v>
      </c>
      <c r="B341" s="51" t="s">
        <v>11203</v>
      </c>
      <c r="C341" s="51" t="s">
        <v>25</v>
      </c>
      <c r="D341" s="57">
        <v>44354.165403506944</v>
      </c>
    </row>
    <row r="342">
      <c r="A342" s="51" t="s">
        <v>11203</v>
      </c>
      <c r="B342" s="51" t="s">
        <v>8226</v>
      </c>
      <c r="C342" s="51" t="s">
        <v>25</v>
      </c>
      <c r="D342" s="57">
        <v>44354.16624788195</v>
      </c>
    </row>
    <row r="343">
      <c r="A343" s="51" t="s">
        <v>11203</v>
      </c>
      <c r="B343" s="51" t="s">
        <v>7365</v>
      </c>
      <c r="C343" s="51" t="s">
        <v>25</v>
      </c>
      <c r="D343" s="57">
        <v>44354.16663396991</v>
      </c>
    </row>
    <row r="344">
      <c r="A344" s="51" t="s">
        <v>11200</v>
      </c>
      <c r="B344" s="51" t="s">
        <v>9409</v>
      </c>
      <c r="C344" s="51" t="s">
        <v>25</v>
      </c>
      <c r="D344" s="57">
        <v>44360.00527587963</v>
      </c>
    </row>
    <row r="345">
      <c r="A345" s="51" t="s">
        <v>11204</v>
      </c>
      <c r="B345" s="51" t="s">
        <v>8649</v>
      </c>
      <c r="C345" s="51" t="s">
        <v>316</v>
      </c>
      <c r="D345" s="57">
        <v>44364.40805819444</v>
      </c>
    </row>
    <row r="346">
      <c r="A346" s="51" t="s">
        <v>11204</v>
      </c>
      <c r="B346" s="51" t="s">
        <v>8794</v>
      </c>
      <c r="C346" s="51" t="s">
        <v>316</v>
      </c>
      <c r="D346" s="57">
        <v>44364.41016428241</v>
      </c>
    </row>
    <row r="347">
      <c r="A347" s="51" t="s">
        <v>11204</v>
      </c>
      <c r="B347" s="51" t="s">
        <v>967</v>
      </c>
      <c r="C347" s="51" t="s">
        <v>316</v>
      </c>
      <c r="D347" s="57">
        <v>44364.419916087965</v>
      </c>
    </row>
    <row r="348">
      <c r="A348" s="51" t="s">
        <v>11204</v>
      </c>
      <c r="B348" s="51" t="s">
        <v>8293</v>
      </c>
      <c r="C348" s="51" t="s">
        <v>316</v>
      </c>
      <c r="D348" s="57">
        <v>44364.44078244213</v>
      </c>
    </row>
    <row r="349">
      <c r="A349" s="51" t="s">
        <v>11204</v>
      </c>
      <c r="B349" s="51" t="s">
        <v>10289</v>
      </c>
      <c r="C349" s="51" t="s">
        <v>165</v>
      </c>
      <c r="D349" s="57">
        <v>44364.442659259264</v>
      </c>
    </row>
    <row r="350">
      <c r="A350" s="51" t="s">
        <v>11187</v>
      </c>
      <c r="B350" s="51" t="s">
        <v>2511</v>
      </c>
      <c r="C350" s="51" t="s">
        <v>25</v>
      </c>
      <c r="D350" s="57">
        <v>44365.75276444445</v>
      </c>
    </row>
    <row r="351">
      <c r="A351" s="51" t="s">
        <v>11199</v>
      </c>
      <c r="B351" s="51" t="s">
        <v>9740</v>
      </c>
      <c r="C351" s="51" t="s">
        <v>25</v>
      </c>
      <c r="D351" s="57">
        <v>44369.246574108794</v>
      </c>
    </row>
    <row r="352">
      <c r="A352" s="51" t="s">
        <v>11199</v>
      </c>
      <c r="B352" s="51" t="s">
        <v>10542</v>
      </c>
      <c r="C352" s="51" t="s">
        <v>25</v>
      </c>
      <c r="D352" s="57">
        <v>44369.28616417824</v>
      </c>
    </row>
    <row r="353">
      <c r="A353" s="51" t="s">
        <v>11199</v>
      </c>
      <c r="B353" s="51" t="s">
        <v>10542</v>
      </c>
      <c r="C353" s="51" t="s">
        <v>25</v>
      </c>
      <c r="D353" s="57">
        <v>44369.322891585645</v>
      </c>
    </row>
    <row r="354">
      <c r="A354" s="51" t="s">
        <v>11205</v>
      </c>
      <c r="B354" s="51" t="s">
        <v>10542</v>
      </c>
      <c r="C354" s="51" t="s">
        <v>25</v>
      </c>
      <c r="D354" s="57">
        <v>44369.330774999995</v>
      </c>
    </row>
    <row r="355">
      <c r="A355" s="51" t="s">
        <v>11203</v>
      </c>
      <c r="B355" s="51" t="s">
        <v>10653</v>
      </c>
      <c r="C355" s="51" t="s">
        <v>25</v>
      </c>
      <c r="D355" s="57">
        <v>44371.338427916664</v>
      </c>
    </row>
    <row r="356">
      <c r="A356" s="51" t="s">
        <v>11191</v>
      </c>
      <c r="B356" s="51" t="s">
        <v>10991</v>
      </c>
      <c r="C356" s="51" t="s">
        <v>316</v>
      </c>
      <c r="D356" s="57">
        <v>44376.22737141204</v>
      </c>
    </row>
    <row r="357">
      <c r="A357" s="51" t="s">
        <v>11191</v>
      </c>
      <c r="B357" s="51" t="s">
        <v>10874</v>
      </c>
      <c r="C357" s="51" t="s">
        <v>110</v>
      </c>
      <c r="D357" s="57">
        <v>44376.22856138889</v>
      </c>
    </row>
    <row r="358">
      <c r="A358" s="51" t="s">
        <v>11191</v>
      </c>
      <c r="B358" s="51" t="s">
        <v>7086</v>
      </c>
      <c r="C358" s="51" t="s">
        <v>110</v>
      </c>
      <c r="D358" s="57">
        <v>44376.3482289699</v>
      </c>
    </row>
    <row r="359">
      <c r="A359" s="51" t="s">
        <v>11191</v>
      </c>
      <c r="B359" s="51" t="s">
        <v>7086</v>
      </c>
      <c r="C359" s="51" t="s">
        <v>110</v>
      </c>
      <c r="D359" s="57">
        <v>44376.36142366898</v>
      </c>
    </row>
    <row r="360">
      <c r="A360" s="51" t="s">
        <v>11191</v>
      </c>
      <c r="B360" s="51" t="s">
        <v>7086</v>
      </c>
      <c r="C360" s="51" t="s">
        <v>110</v>
      </c>
      <c r="D360" s="57">
        <v>44376.36142574074</v>
      </c>
    </row>
    <row r="361">
      <c r="A361" s="51" t="s">
        <v>11191</v>
      </c>
      <c r="B361" s="51" t="s">
        <v>7086</v>
      </c>
      <c r="C361" s="51" t="s">
        <v>110</v>
      </c>
      <c r="D361" s="57">
        <v>44376.36143888889</v>
      </c>
    </row>
    <row r="362">
      <c r="A362" s="51" t="s">
        <v>11191</v>
      </c>
      <c r="B362" s="51" t="s">
        <v>7086</v>
      </c>
      <c r="C362" s="51" t="s">
        <v>110</v>
      </c>
      <c r="D362" s="57">
        <v>44376.3614825463</v>
      </c>
    </row>
    <row r="363">
      <c r="A363" s="51" t="s">
        <v>11191</v>
      </c>
      <c r="B363" s="51" t="s">
        <v>9338</v>
      </c>
      <c r="C363" s="51" t="s">
        <v>110</v>
      </c>
      <c r="D363" s="57">
        <v>44376.36452659722</v>
      </c>
    </row>
    <row r="364">
      <c r="A364" s="51" t="s">
        <v>11191</v>
      </c>
      <c r="B364" s="51" t="s">
        <v>8716</v>
      </c>
      <c r="C364" s="51" t="s">
        <v>110</v>
      </c>
      <c r="D364" s="57">
        <v>44376.365679490744</v>
      </c>
    </row>
    <row r="365">
      <c r="A365" s="51" t="s">
        <v>11191</v>
      </c>
      <c r="B365" s="51" t="s">
        <v>8716</v>
      </c>
      <c r="C365" s="51" t="s">
        <v>110</v>
      </c>
      <c r="D365" s="57">
        <v>44376.36568155093</v>
      </c>
    </row>
    <row r="366">
      <c r="A366" s="51" t="s">
        <v>11187</v>
      </c>
      <c r="B366" s="51" t="s">
        <v>48</v>
      </c>
      <c r="C366" s="51" t="s">
        <v>52</v>
      </c>
      <c r="D366" s="57">
        <v>44386.17112929398</v>
      </c>
    </row>
    <row r="367">
      <c r="A367" s="51" t="s">
        <v>11206</v>
      </c>
      <c r="B367" s="51" t="s">
        <v>11001</v>
      </c>
      <c r="C367" s="51" t="s">
        <v>84</v>
      </c>
      <c r="D367" s="57">
        <v>44386.191952685185</v>
      </c>
    </row>
    <row r="368">
      <c r="A368" s="51" t="s">
        <v>11187</v>
      </c>
      <c r="B368" s="51" t="s">
        <v>6243</v>
      </c>
      <c r="C368" s="51" t="s">
        <v>6246</v>
      </c>
      <c r="D368" s="57">
        <v>44388.15658822916</v>
      </c>
    </row>
    <row r="369">
      <c r="A369" s="51" t="s">
        <v>11207</v>
      </c>
      <c r="B369" s="51" t="s">
        <v>9505</v>
      </c>
      <c r="C369" s="51" t="s">
        <v>110</v>
      </c>
      <c r="D369" s="57">
        <v>44390.860320231484</v>
      </c>
    </row>
    <row r="370">
      <c r="A370" s="51" t="s">
        <v>11206</v>
      </c>
      <c r="B370" s="51" t="s">
        <v>10944</v>
      </c>
      <c r="C370" s="51" t="s">
        <v>84</v>
      </c>
      <c r="D370" s="57">
        <v>44390.99589319444</v>
      </c>
    </row>
    <row r="371">
      <c r="A371" s="51" t="s">
        <v>11206</v>
      </c>
      <c r="B371" s="51" t="s">
        <v>10823</v>
      </c>
      <c r="C371" s="51" t="s">
        <v>84</v>
      </c>
      <c r="D371" s="57">
        <v>44391.01934162037</v>
      </c>
    </row>
    <row r="372">
      <c r="A372" s="51" t="s">
        <v>11206</v>
      </c>
      <c r="B372" s="51" t="s">
        <v>10486</v>
      </c>
      <c r="C372" s="51" t="s">
        <v>84</v>
      </c>
      <c r="D372" s="57">
        <v>44391.02237027777</v>
      </c>
    </row>
    <row r="373">
      <c r="A373" s="51" t="s">
        <v>11206</v>
      </c>
      <c r="B373" s="51" t="s">
        <v>10602</v>
      </c>
      <c r="C373" s="51" t="s">
        <v>84</v>
      </c>
      <c r="D373" s="57">
        <v>44391.024677141206</v>
      </c>
    </row>
    <row r="374">
      <c r="A374" s="51" t="s">
        <v>11206</v>
      </c>
      <c r="B374" s="51" t="s">
        <v>10621</v>
      </c>
      <c r="C374" s="51" t="s">
        <v>84</v>
      </c>
      <c r="D374" s="57">
        <v>44391.026561782404</v>
      </c>
    </row>
    <row r="375">
      <c r="A375" s="51" t="s">
        <v>11206</v>
      </c>
      <c r="B375" s="51" t="s">
        <v>10504</v>
      </c>
      <c r="C375" s="51" t="s">
        <v>84</v>
      </c>
      <c r="D375" s="57">
        <v>44391.029738391204</v>
      </c>
    </row>
    <row r="376">
      <c r="A376" s="51" t="s">
        <v>11208</v>
      </c>
      <c r="B376" s="51" t="s">
        <v>2978</v>
      </c>
      <c r="C376" s="51" t="s">
        <v>25</v>
      </c>
      <c r="D376" s="57">
        <v>44391.985952048606</v>
      </c>
    </row>
    <row r="377">
      <c r="A377" s="51" t="s">
        <v>11208</v>
      </c>
      <c r="B377" s="51" t="s">
        <v>7912</v>
      </c>
      <c r="C377" s="51" t="s">
        <v>25</v>
      </c>
      <c r="D377" s="57">
        <v>44391.991598125</v>
      </c>
    </row>
    <row r="378">
      <c r="A378" s="51" t="s">
        <v>11208</v>
      </c>
      <c r="B378" s="51" t="s">
        <v>10553</v>
      </c>
      <c r="C378" s="51" t="s">
        <v>1070</v>
      </c>
      <c r="D378" s="57">
        <v>44397.9787658912</v>
      </c>
    </row>
    <row r="379">
      <c r="A379" s="51" t="s">
        <v>11209</v>
      </c>
      <c r="B379" s="51" t="s">
        <v>9986</v>
      </c>
      <c r="C379" s="51" t="s">
        <v>93</v>
      </c>
      <c r="D379" s="57">
        <v>44397.99187037037</v>
      </c>
    </row>
    <row r="380">
      <c r="A380" s="51" t="s">
        <v>11206</v>
      </c>
      <c r="B380" s="51" t="s">
        <v>10476</v>
      </c>
      <c r="C380" s="51" t="s">
        <v>84</v>
      </c>
      <c r="D380" s="57">
        <v>44398.94458947917</v>
      </c>
    </row>
    <row r="381">
      <c r="A381" s="51" t="s">
        <v>11210</v>
      </c>
      <c r="B381" s="51" t="s">
        <v>9505</v>
      </c>
      <c r="C381" s="51" t="s">
        <v>110</v>
      </c>
      <c r="D381" s="57">
        <v>44408.77978353009</v>
      </c>
    </row>
    <row r="382">
      <c r="A382" s="51" t="s">
        <v>11211</v>
      </c>
      <c r="B382" s="51" t="s">
        <v>9505</v>
      </c>
      <c r="C382" s="51" t="s">
        <v>110</v>
      </c>
      <c r="D382" s="57">
        <v>44410.26585469907</v>
      </c>
    </row>
    <row r="383">
      <c r="A383" s="51" t="s">
        <v>11187</v>
      </c>
      <c r="B383" s="51" t="s">
        <v>6874</v>
      </c>
      <c r="C383" s="51" t="s">
        <v>275</v>
      </c>
      <c r="D383" s="57">
        <v>44411.84341195602</v>
      </c>
    </row>
    <row r="384">
      <c r="A384" s="51" t="s">
        <v>11212</v>
      </c>
      <c r="B384" s="51" t="s">
        <v>162</v>
      </c>
      <c r="C384" s="51" t="s">
        <v>165</v>
      </c>
      <c r="D384" s="57">
        <v>44412.2543065162</v>
      </c>
    </row>
    <row r="385">
      <c r="A385" s="51" t="s">
        <v>11212</v>
      </c>
      <c r="B385" s="51" t="s">
        <v>10168</v>
      </c>
      <c r="C385" s="51" t="s">
        <v>165</v>
      </c>
      <c r="D385" s="57">
        <v>44412.25936696759</v>
      </c>
    </row>
    <row r="386">
      <c r="A386" s="51" t="s">
        <v>11212</v>
      </c>
      <c r="B386" s="51" t="s">
        <v>9626</v>
      </c>
      <c r="C386" s="51" t="s">
        <v>165</v>
      </c>
      <c r="D386" s="57">
        <v>44412.27381844907</v>
      </c>
    </row>
    <row r="387">
      <c r="A387" s="51" t="s">
        <v>11210</v>
      </c>
      <c r="B387" s="51" t="s">
        <v>10456</v>
      </c>
      <c r="C387" s="51" t="s">
        <v>110</v>
      </c>
      <c r="D387" s="57">
        <v>44425.08201990741</v>
      </c>
    </row>
    <row r="388">
      <c r="A388" s="51" t="s">
        <v>11213</v>
      </c>
      <c r="B388" s="51" t="s">
        <v>10983</v>
      </c>
      <c r="C388" s="51" t="s">
        <v>1410</v>
      </c>
      <c r="D388" s="57">
        <v>44425.269798761576</v>
      </c>
    </row>
    <row r="389">
      <c r="A389" s="51" t="s">
        <v>11210</v>
      </c>
      <c r="B389" s="51" t="s">
        <v>10514</v>
      </c>
      <c r="C389" s="51" t="s">
        <v>84</v>
      </c>
      <c r="D389" s="57">
        <v>44426.742025949075</v>
      </c>
    </row>
    <row r="390">
      <c r="A390" s="51" t="s">
        <v>11210</v>
      </c>
      <c r="B390" s="51" t="s">
        <v>6651</v>
      </c>
      <c r="C390" s="51" t="s">
        <v>165</v>
      </c>
      <c r="D390" s="57">
        <v>44426.745745625</v>
      </c>
    </row>
    <row r="391">
      <c r="A391" s="51" t="s">
        <v>11210</v>
      </c>
      <c r="B391" s="51" t="s">
        <v>10188</v>
      </c>
      <c r="C391" s="51" t="s">
        <v>165</v>
      </c>
      <c r="D391" s="57">
        <v>44426.74929894676</v>
      </c>
    </row>
    <row r="392">
      <c r="A392" s="51" t="s">
        <v>11213</v>
      </c>
      <c r="B392" s="51" t="s">
        <v>400</v>
      </c>
      <c r="C392" s="51" t="s">
        <v>284</v>
      </c>
      <c r="D392" s="57">
        <v>44426.88025295139</v>
      </c>
    </row>
    <row r="393">
      <c r="A393" s="51" t="s">
        <v>11213</v>
      </c>
      <c r="B393" s="51" t="s">
        <v>499</v>
      </c>
      <c r="C393" s="51" t="s">
        <v>284</v>
      </c>
      <c r="D393" s="57">
        <v>44426.90895376157</v>
      </c>
    </row>
    <row r="394">
      <c r="A394" s="51" t="s">
        <v>11206</v>
      </c>
      <c r="B394" s="51" t="s">
        <v>9888</v>
      </c>
      <c r="C394" s="51" t="s">
        <v>110</v>
      </c>
      <c r="D394" s="57">
        <v>44427.2889802662</v>
      </c>
    </row>
    <row r="395">
      <c r="A395" s="51" t="s">
        <v>11206</v>
      </c>
      <c r="B395" s="51" t="s">
        <v>10456</v>
      </c>
      <c r="C395" s="51" t="s">
        <v>110</v>
      </c>
      <c r="D395" s="57">
        <v>44427.290157511576</v>
      </c>
    </row>
    <row r="396">
      <c r="A396" s="51" t="s">
        <v>11214</v>
      </c>
      <c r="B396" s="51" t="s">
        <v>10682</v>
      </c>
      <c r="C396" s="51" t="s">
        <v>25</v>
      </c>
      <c r="D396" s="57">
        <v>44482.323126250005</v>
      </c>
    </row>
    <row r="397">
      <c r="A397" s="51" t="s">
        <v>11215</v>
      </c>
      <c r="B397" s="51" t="s">
        <v>10673</v>
      </c>
      <c r="C397" s="51" t="s">
        <v>25</v>
      </c>
      <c r="D397" s="57">
        <v>44482.33302199074</v>
      </c>
    </row>
    <row r="398">
      <c r="A398" s="51" t="s">
        <v>11215</v>
      </c>
      <c r="B398" s="51" t="s">
        <v>9308</v>
      </c>
      <c r="C398" s="51" t="s">
        <v>25</v>
      </c>
      <c r="D398" s="57">
        <v>44482.3555115162</v>
      </c>
    </row>
    <row r="399">
      <c r="A399" s="51" t="s">
        <v>11210</v>
      </c>
      <c r="B399" s="51" t="s">
        <v>10456</v>
      </c>
      <c r="C399" s="51" t="s">
        <v>110</v>
      </c>
      <c r="D399" s="57">
        <v>44484.35958538194</v>
      </c>
    </row>
    <row r="400">
      <c r="A400" s="51" t="s">
        <v>11216</v>
      </c>
      <c r="B400" s="51" t="s">
        <v>9467</v>
      </c>
      <c r="C400" s="51" t="s">
        <v>84</v>
      </c>
      <c r="D400" s="57">
        <v>44487.12006128472</v>
      </c>
    </row>
    <row r="401">
      <c r="A401" s="51" t="s">
        <v>11216</v>
      </c>
      <c r="B401" s="51" t="s">
        <v>10141</v>
      </c>
      <c r="C401" s="51" t="s">
        <v>84</v>
      </c>
      <c r="D401" s="57">
        <v>44487.126417060186</v>
      </c>
    </row>
    <row r="402">
      <c r="A402" s="51" t="s">
        <v>11216</v>
      </c>
      <c r="B402" s="51" t="s">
        <v>10793</v>
      </c>
      <c r="C402" s="51" t="s">
        <v>84</v>
      </c>
      <c r="D402" s="57">
        <v>44487.1295340162</v>
      </c>
    </row>
    <row r="403">
      <c r="A403" s="51" t="s">
        <v>11217</v>
      </c>
      <c r="B403" s="51" t="s">
        <v>951</v>
      </c>
      <c r="C403" s="51" t="s">
        <v>216</v>
      </c>
      <c r="D403" s="57">
        <v>44488.799650914356</v>
      </c>
    </row>
    <row r="404">
      <c r="A404" s="51" t="s">
        <v>11217</v>
      </c>
      <c r="B404" s="51" t="s">
        <v>213</v>
      </c>
      <c r="C404" s="51" t="s">
        <v>216</v>
      </c>
      <c r="D404" s="57">
        <v>44488.902454930554</v>
      </c>
    </row>
    <row r="405">
      <c r="A405" s="51" t="s">
        <v>11206</v>
      </c>
      <c r="B405" s="51" t="s">
        <v>10198</v>
      </c>
      <c r="C405" s="51" t="s">
        <v>84</v>
      </c>
      <c r="D405" s="57">
        <v>44490.938306875</v>
      </c>
    </row>
    <row r="406">
      <c r="A406" s="51" t="s">
        <v>11214</v>
      </c>
      <c r="B406" s="51" t="s">
        <v>4935</v>
      </c>
      <c r="C406" s="51" t="s">
        <v>25</v>
      </c>
      <c r="D406" s="57">
        <v>44492.854893993055</v>
      </c>
    </row>
    <row r="407">
      <c r="A407" s="51" t="s">
        <v>11214</v>
      </c>
      <c r="B407" s="51" t="s">
        <v>4935</v>
      </c>
      <c r="C407" s="51" t="s">
        <v>25</v>
      </c>
      <c r="D407" s="57">
        <v>44492.855184837965</v>
      </c>
    </row>
    <row r="408">
      <c r="A408" s="51" t="s">
        <v>11214</v>
      </c>
      <c r="B408" s="51" t="s">
        <v>4935</v>
      </c>
      <c r="C408" s="51" t="s">
        <v>25</v>
      </c>
      <c r="D408" s="57">
        <v>44492.86262467592</v>
      </c>
    </row>
    <row r="409">
      <c r="A409" s="51" t="s">
        <v>11214</v>
      </c>
      <c r="B409" s="51" t="s">
        <v>10682</v>
      </c>
      <c r="C409" s="51" t="s">
        <v>25</v>
      </c>
      <c r="D409" s="57">
        <v>44492.86346864583</v>
      </c>
    </row>
    <row r="410">
      <c r="A410" s="51" t="s">
        <v>11214</v>
      </c>
      <c r="B410" s="51" t="s">
        <v>10682</v>
      </c>
      <c r="C410" s="51" t="s">
        <v>25</v>
      </c>
      <c r="D410" s="57">
        <v>44492.865920324075</v>
      </c>
    </row>
    <row r="411">
      <c r="A411" s="51" t="s">
        <v>11214</v>
      </c>
      <c r="B411" s="51" t="s">
        <v>8930</v>
      </c>
      <c r="C411" s="51" t="s">
        <v>25</v>
      </c>
      <c r="D411" s="57">
        <v>44492.86709865741</v>
      </c>
    </row>
    <row r="412">
      <c r="A412" s="51" t="s">
        <v>11218</v>
      </c>
      <c r="B412" s="51" t="s">
        <v>8863</v>
      </c>
      <c r="C412" s="51" t="s">
        <v>52</v>
      </c>
      <c r="D412" s="57">
        <v>44493.12069199074</v>
      </c>
    </row>
    <row r="413">
      <c r="A413" s="51" t="s">
        <v>11218</v>
      </c>
      <c r="B413" s="51" t="s">
        <v>5500</v>
      </c>
      <c r="C413" s="51" t="s">
        <v>110</v>
      </c>
      <c r="D413" s="57">
        <v>44493.12119884259</v>
      </c>
    </row>
    <row r="414">
      <c r="A414" s="51" t="s">
        <v>11214</v>
      </c>
      <c r="B414" s="51" t="s">
        <v>1868</v>
      </c>
      <c r="C414" s="51" t="s">
        <v>165</v>
      </c>
      <c r="D414" s="57">
        <v>44495.09070027778</v>
      </c>
    </row>
    <row r="415">
      <c r="A415" s="51" t="s">
        <v>11214</v>
      </c>
      <c r="B415" s="51" t="s">
        <v>1868</v>
      </c>
      <c r="C415" s="51" t="s">
        <v>165</v>
      </c>
      <c r="D415" s="57">
        <v>44495.09104903935</v>
      </c>
    </row>
    <row r="416">
      <c r="A416" s="51" t="s">
        <v>11214</v>
      </c>
      <c r="B416" s="51" t="s">
        <v>1868</v>
      </c>
      <c r="C416" s="51" t="s">
        <v>165</v>
      </c>
      <c r="D416" s="57">
        <v>44495.09930913194</v>
      </c>
    </row>
    <row r="417">
      <c r="A417" s="51" t="s">
        <v>11214</v>
      </c>
      <c r="B417" s="51" t="s">
        <v>6486</v>
      </c>
      <c r="C417" s="51" t="s">
        <v>165</v>
      </c>
      <c r="D417" s="57">
        <v>44495.09952200232</v>
      </c>
    </row>
    <row r="418">
      <c r="A418" s="51" t="s">
        <v>11214</v>
      </c>
      <c r="B418" s="51" t="s">
        <v>5275</v>
      </c>
      <c r="C418" s="51" t="s">
        <v>165</v>
      </c>
      <c r="D418" s="57">
        <v>44495.103427511574</v>
      </c>
    </row>
    <row r="419">
      <c r="A419" s="51" t="s">
        <v>11214</v>
      </c>
      <c r="B419" s="51" t="s">
        <v>5275</v>
      </c>
      <c r="C419" s="51" t="s">
        <v>165</v>
      </c>
      <c r="D419" s="57">
        <v>44495.103566562495</v>
      </c>
    </row>
    <row r="420">
      <c r="A420" s="51" t="s">
        <v>11214</v>
      </c>
      <c r="B420" s="51" t="s">
        <v>5275</v>
      </c>
      <c r="C420" s="51" t="s">
        <v>165</v>
      </c>
      <c r="D420" s="57">
        <v>44495.10357715278</v>
      </c>
    </row>
    <row r="421">
      <c r="A421" s="51" t="s">
        <v>11214</v>
      </c>
      <c r="B421" s="51" t="s">
        <v>7834</v>
      </c>
      <c r="C421" s="51" t="s">
        <v>517</v>
      </c>
      <c r="D421" s="57">
        <v>44495.11766866899</v>
      </c>
    </row>
    <row r="422">
      <c r="A422" s="51" t="s">
        <v>11214</v>
      </c>
      <c r="B422" s="51" t="s">
        <v>7834</v>
      </c>
      <c r="C422" s="51" t="s">
        <v>517</v>
      </c>
      <c r="D422" s="57">
        <v>44495.11775225695</v>
      </c>
    </row>
    <row r="423">
      <c r="A423" s="51" t="s">
        <v>11214</v>
      </c>
      <c r="B423" s="51" t="s">
        <v>153</v>
      </c>
      <c r="C423" s="51" t="s">
        <v>157</v>
      </c>
      <c r="D423" s="57">
        <v>44495.22394189815</v>
      </c>
    </row>
    <row r="424">
      <c r="A424" s="51" t="s">
        <v>11214</v>
      </c>
      <c r="B424" s="51" t="s">
        <v>153</v>
      </c>
      <c r="C424" s="51" t="s">
        <v>157</v>
      </c>
      <c r="D424" s="57">
        <v>44495.22405908565</v>
      </c>
    </row>
    <row r="425">
      <c r="A425" s="51" t="s">
        <v>11219</v>
      </c>
      <c r="B425" s="51" t="s">
        <v>1868</v>
      </c>
      <c r="C425" s="51" t="s">
        <v>165</v>
      </c>
      <c r="D425" s="57">
        <v>44495.363834421296</v>
      </c>
    </row>
    <row r="426">
      <c r="A426" s="51" t="s">
        <v>11220</v>
      </c>
      <c r="B426" s="51" t="s">
        <v>671</v>
      </c>
      <c r="C426" s="51" t="s">
        <v>165</v>
      </c>
      <c r="D426" s="57">
        <v>44495.36967813657</v>
      </c>
    </row>
    <row r="427">
      <c r="A427" s="51" t="s">
        <v>11221</v>
      </c>
      <c r="B427" s="51" t="s">
        <v>7786</v>
      </c>
      <c r="C427" s="51" t="s">
        <v>25</v>
      </c>
      <c r="D427" s="57">
        <v>44495.377476180554</v>
      </c>
    </row>
    <row r="428">
      <c r="A428" s="51" t="s">
        <v>11214</v>
      </c>
      <c r="B428" s="51" t="s">
        <v>817</v>
      </c>
      <c r="C428" s="51" t="s">
        <v>165</v>
      </c>
      <c r="D428" s="57">
        <v>44495.82639361111</v>
      </c>
    </row>
    <row r="429">
      <c r="A429" s="51" t="s">
        <v>11214</v>
      </c>
      <c r="B429" s="51" t="s">
        <v>817</v>
      </c>
      <c r="C429" s="51" t="s">
        <v>165</v>
      </c>
      <c r="D429" s="57">
        <v>44495.82661163194</v>
      </c>
    </row>
    <row r="430">
      <c r="A430" s="51" t="s">
        <v>11214</v>
      </c>
      <c r="B430" s="51" t="s">
        <v>817</v>
      </c>
      <c r="C430" s="51" t="s">
        <v>165</v>
      </c>
      <c r="D430" s="57">
        <v>44495.84350834491</v>
      </c>
    </row>
    <row r="431">
      <c r="A431" s="51" t="s">
        <v>11214</v>
      </c>
      <c r="B431" s="51" t="s">
        <v>7766</v>
      </c>
      <c r="C431" s="51" t="s">
        <v>165</v>
      </c>
      <c r="D431" s="57">
        <v>44495.84360815972</v>
      </c>
    </row>
    <row r="432">
      <c r="A432" s="51" t="s">
        <v>11214</v>
      </c>
      <c r="B432" s="51" t="s">
        <v>7152</v>
      </c>
      <c r="C432" s="51" t="s">
        <v>165</v>
      </c>
      <c r="D432" s="57">
        <v>44495.918292546296</v>
      </c>
    </row>
    <row r="433">
      <c r="A433" s="51" t="s">
        <v>11219</v>
      </c>
      <c r="B433" s="51" t="s">
        <v>817</v>
      </c>
      <c r="C433" s="51" t="s">
        <v>165</v>
      </c>
      <c r="D433" s="57">
        <v>44495.98918394676</v>
      </c>
    </row>
    <row r="434">
      <c r="A434" s="51" t="s">
        <v>11214</v>
      </c>
      <c r="B434" s="51" t="s">
        <v>6188</v>
      </c>
      <c r="C434" s="51" t="s">
        <v>165</v>
      </c>
      <c r="D434" s="57">
        <v>44496.037131087964</v>
      </c>
    </row>
    <row r="435">
      <c r="A435" s="51" t="s">
        <v>11214</v>
      </c>
      <c r="B435" s="51" t="s">
        <v>6188</v>
      </c>
      <c r="C435" s="51" t="s">
        <v>165</v>
      </c>
      <c r="D435" s="57">
        <v>44496.03727158565</v>
      </c>
    </row>
    <row r="436">
      <c r="A436" s="51" t="s">
        <v>11214</v>
      </c>
      <c r="B436" s="51" t="s">
        <v>3961</v>
      </c>
      <c r="C436" s="51" t="s">
        <v>165</v>
      </c>
      <c r="D436" s="57">
        <v>44496.34756123842</v>
      </c>
    </row>
    <row r="437">
      <c r="A437" s="51" t="s">
        <v>11214</v>
      </c>
      <c r="B437" s="51" t="s">
        <v>3961</v>
      </c>
      <c r="C437" s="51" t="s">
        <v>165</v>
      </c>
      <c r="D437" s="57">
        <v>44496.34762346065</v>
      </c>
    </row>
    <row r="438">
      <c r="A438" s="51" t="s">
        <v>11222</v>
      </c>
      <c r="B438" s="51" t="s">
        <v>2643</v>
      </c>
      <c r="C438" s="51" t="s">
        <v>110</v>
      </c>
      <c r="D438" s="57">
        <v>44497.05735258102</v>
      </c>
    </row>
    <row r="439">
      <c r="A439" s="51" t="s">
        <v>11222</v>
      </c>
      <c r="B439" s="51" t="s">
        <v>2643</v>
      </c>
      <c r="C439" s="51" t="s">
        <v>110</v>
      </c>
      <c r="D439" s="57">
        <v>44497.057507314814</v>
      </c>
    </row>
    <row r="440">
      <c r="A440" s="51" t="s">
        <v>11223</v>
      </c>
      <c r="B440" s="51" t="s">
        <v>8949</v>
      </c>
      <c r="C440" s="51" t="s">
        <v>25</v>
      </c>
      <c r="D440" s="57">
        <v>44498.334597685185</v>
      </c>
    </row>
    <row r="441">
      <c r="A441" s="51" t="s">
        <v>11223</v>
      </c>
      <c r="B441" s="51" t="s">
        <v>8776</v>
      </c>
      <c r="C441" s="51" t="s">
        <v>25</v>
      </c>
      <c r="D441" s="57">
        <v>44498.33539462963</v>
      </c>
    </row>
    <row r="442">
      <c r="A442" s="51" t="s">
        <v>11223</v>
      </c>
      <c r="B442" s="51" t="s">
        <v>8177</v>
      </c>
      <c r="C442" s="51" t="s">
        <v>25</v>
      </c>
      <c r="D442" s="57">
        <v>44498.335975752314</v>
      </c>
    </row>
    <row r="443">
      <c r="A443" s="51" t="s">
        <v>11224</v>
      </c>
      <c r="B443" s="51" t="s">
        <v>431</v>
      </c>
      <c r="C443" s="51" t="s">
        <v>25</v>
      </c>
      <c r="D443" s="57">
        <v>44498.71489300926</v>
      </c>
    </row>
    <row r="444">
      <c r="A444" s="51" t="s">
        <v>11224</v>
      </c>
      <c r="B444" s="51" t="s">
        <v>3248</v>
      </c>
      <c r="C444" s="51" t="s">
        <v>25</v>
      </c>
      <c r="D444" s="57">
        <v>44498.721505520836</v>
      </c>
    </row>
    <row r="445">
      <c r="A445" s="51" t="s">
        <v>11224</v>
      </c>
      <c r="B445" s="51" t="s">
        <v>3497</v>
      </c>
      <c r="C445" s="51" t="s">
        <v>25</v>
      </c>
      <c r="D445" s="57">
        <v>44498.72362821759</v>
      </c>
    </row>
    <row r="446">
      <c r="A446" s="51" t="s">
        <v>11224</v>
      </c>
      <c r="B446" s="51" t="s">
        <v>3777</v>
      </c>
      <c r="C446" s="51" t="s">
        <v>25</v>
      </c>
      <c r="D446" s="57">
        <v>44498.7242191088</v>
      </c>
    </row>
    <row r="447">
      <c r="A447" s="51" t="s">
        <v>11224</v>
      </c>
      <c r="B447" s="51" t="s">
        <v>3857</v>
      </c>
      <c r="C447" s="51" t="s">
        <v>25</v>
      </c>
      <c r="D447" s="57">
        <v>44498.72488652778</v>
      </c>
    </row>
    <row r="448">
      <c r="A448" s="51" t="s">
        <v>11224</v>
      </c>
      <c r="B448" s="51" t="s">
        <v>4896</v>
      </c>
      <c r="C448" s="51" t="s">
        <v>25</v>
      </c>
      <c r="D448" s="57">
        <v>44498.72664108797</v>
      </c>
    </row>
    <row r="449">
      <c r="A449" s="51" t="s">
        <v>11224</v>
      </c>
      <c r="B449" s="51" t="s">
        <v>5132</v>
      </c>
      <c r="C449" s="51" t="s">
        <v>25</v>
      </c>
      <c r="D449" s="57">
        <v>44498.727276261576</v>
      </c>
    </row>
    <row r="450">
      <c r="A450" s="51" t="s">
        <v>11224</v>
      </c>
      <c r="B450" s="51" t="s">
        <v>5898</v>
      </c>
      <c r="C450" s="51" t="s">
        <v>25</v>
      </c>
      <c r="D450" s="57">
        <v>44498.7283834838</v>
      </c>
    </row>
    <row r="451">
      <c r="A451" s="51" t="s">
        <v>11222</v>
      </c>
      <c r="B451" s="51" t="s">
        <v>3151</v>
      </c>
      <c r="C451" s="51" t="s">
        <v>84</v>
      </c>
      <c r="D451" s="57">
        <v>44498.76609873843</v>
      </c>
    </row>
    <row r="452">
      <c r="A452" s="51" t="s">
        <v>11214</v>
      </c>
      <c r="B452" s="51" t="s">
        <v>6416</v>
      </c>
      <c r="C452" s="51" t="s">
        <v>25</v>
      </c>
      <c r="D452" s="57">
        <v>44500.092851967594</v>
      </c>
    </row>
    <row r="453">
      <c r="A453" s="51" t="s">
        <v>11214</v>
      </c>
      <c r="B453" s="51" t="s">
        <v>6416</v>
      </c>
      <c r="C453" s="51" t="s">
        <v>25</v>
      </c>
      <c r="D453" s="57">
        <v>44500.093173807865</v>
      </c>
    </row>
    <row r="454">
      <c r="A454" s="51" t="s">
        <v>11225</v>
      </c>
      <c r="B454" s="51" t="s">
        <v>3360</v>
      </c>
      <c r="C454" s="51" t="s">
        <v>25</v>
      </c>
      <c r="D454" s="57">
        <v>44502.12188449074</v>
      </c>
    </row>
    <row r="455">
      <c r="A455" s="51" t="s">
        <v>11225</v>
      </c>
      <c r="B455" s="51" t="s">
        <v>3360</v>
      </c>
      <c r="C455" s="51" t="s">
        <v>25</v>
      </c>
      <c r="D455" s="57">
        <v>44502.13221788194</v>
      </c>
    </row>
    <row r="456">
      <c r="A456" s="51" t="s">
        <v>11225</v>
      </c>
      <c r="B456" s="51" t="s">
        <v>8001</v>
      </c>
      <c r="C456" s="51" t="s">
        <v>25</v>
      </c>
      <c r="D456" s="57">
        <v>44502.13318079861</v>
      </c>
    </row>
    <row r="457">
      <c r="A457" s="51" t="s">
        <v>11225</v>
      </c>
      <c r="B457" s="51" t="s">
        <v>7306</v>
      </c>
      <c r="C457" s="51" t="s">
        <v>84</v>
      </c>
      <c r="D457" s="57">
        <v>44502.14053428241</v>
      </c>
    </row>
    <row r="458">
      <c r="A458" s="51" t="s">
        <v>11226</v>
      </c>
      <c r="B458" s="51" t="s">
        <v>8001</v>
      </c>
      <c r="C458" s="51" t="s">
        <v>25</v>
      </c>
      <c r="D458" s="57">
        <v>44502.15549844908</v>
      </c>
    </row>
    <row r="459">
      <c r="A459" s="51" t="s">
        <v>11226</v>
      </c>
      <c r="B459" s="51" t="s">
        <v>10934</v>
      </c>
      <c r="C459" s="51" t="s">
        <v>25</v>
      </c>
      <c r="D459" s="57">
        <v>44502.15788679398</v>
      </c>
    </row>
    <row r="460">
      <c r="A460" s="51" t="s">
        <v>11227</v>
      </c>
      <c r="B460" s="51" t="s">
        <v>10062</v>
      </c>
      <c r="C460" s="51" t="s">
        <v>517</v>
      </c>
      <c r="D460" s="57">
        <v>44503.36436928241</v>
      </c>
    </row>
    <row r="461">
      <c r="A461" s="51" t="s">
        <v>11218</v>
      </c>
      <c r="B461" s="51" t="s">
        <v>1132</v>
      </c>
      <c r="C461" s="51" t="s">
        <v>84</v>
      </c>
      <c r="D461" s="57">
        <v>44504.326287083335</v>
      </c>
    </row>
    <row r="462">
      <c r="A462" s="51" t="s">
        <v>11218</v>
      </c>
      <c r="B462" s="51" t="s">
        <v>1132</v>
      </c>
      <c r="C462" s="51" t="s">
        <v>84</v>
      </c>
      <c r="D462" s="57">
        <v>44504.326728368054</v>
      </c>
    </row>
    <row r="463">
      <c r="A463" s="51" t="s">
        <v>11214</v>
      </c>
      <c r="D463" s="57">
        <v>44505.29247934028</v>
      </c>
    </row>
    <row r="464">
      <c r="A464" s="51" t="s">
        <v>11214</v>
      </c>
      <c r="B464" s="51" t="s">
        <v>8226</v>
      </c>
      <c r="C464" s="51" t="s">
        <v>25</v>
      </c>
      <c r="D464" s="57">
        <v>44505.29266972222</v>
      </c>
    </row>
    <row r="465">
      <c r="A465" s="51" t="s">
        <v>11210</v>
      </c>
      <c r="B465" s="51" t="s">
        <v>10632</v>
      </c>
      <c r="C465" s="51" t="s">
        <v>1070</v>
      </c>
      <c r="D465" s="57">
        <v>44509.85681388889</v>
      </c>
    </row>
    <row r="466">
      <c r="A466" s="51" t="s">
        <v>11210</v>
      </c>
      <c r="B466" s="51" t="s">
        <v>10632</v>
      </c>
      <c r="C466" s="51" t="s">
        <v>1070</v>
      </c>
      <c r="D466" s="57">
        <v>44509.856834583334</v>
      </c>
    </row>
    <row r="467">
      <c r="A467" s="51" t="s">
        <v>11210</v>
      </c>
      <c r="B467" s="51" t="s">
        <v>10632</v>
      </c>
      <c r="C467" s="51" t="s">
        <v>1070</v>
      </c>
      <c r="D467" s="57">
        <v>44509.85705505787</v>
      </c>
    </row>
    <row r="468">
      <c r="A468" s="51" t="s">
        <v>11210</v>
      </c>
      <c r="B468" s="51" t="s">
        <v>10632</v>
      </c>
      <c r="C468" s="51" t="s">
        <v>1070</v>
      </c>
      <c r="D468" s="57">
        <v>44509.85709525463</v>
      </c>
    </row>
    <row r="469">
      <c r="A469" s="51" t="s">
        <v>11210</v>
      </c>
      <c r="B469" s="51" t="s">
        <v>10632</v>
      </c>
      <c r="C469" s="51" t="s">
        <v>1070</v>
      </c>
      <c r="D469" s="57">
        <v>44509.85833855324</v>
      </c>
    </row>
    <row r="470">
      <c r="A470" s="51" t="s">
        <v>11210</v>
      </c>
      <c r="B470" s="51" t="s">
        <v>10632</v>
      </c>
      <c r="C470" s="51" t="s">
        <v>1070</v>
      </c>
      <c r="D470" s="57">
        <v>44509.861632569446</v>
      </c>
    </row>
    <row r="471">
      <c r="A471" s="51" t="s">
        <v>11210</v>
      </c>
      <c r="B471" s="51" t="s">
        <v>10632</v>
      </c>
      <c r="C471" s="51" t="s">
        <v>1070</v>
      </c>
      <c r="D471" s="57">
        <v>44509.86164321759</v>
      </c>
    </row>
    <row r="472">
      <c r="A472" s="51" t="s">
        <v>11210</v>
      </c>
      <c r="B472" s="51" t="s">
        <v>10632</v>
      </c>
      <c r="C472" s="51" t="s">
        <v>1070</v>
      </c>
      <c r="D472" s="57">
        <v>44509.861664791664</v>
      </c>
    </row>
    <row r="473">
      <c r="A473" s="51" t="s">
        <v>11210</v>
      </c>
      <c r="B473" s="51" t="s">
        <v>10632</v>
      </c>
      <c r="C473" s="51" t="s">
        <v>1070</v>
      </c>
      <c r="D473" s="57">
        <v>44509.861683738425</v>
      </c>
    </row>
    <row r="474">
      <c r="A474" s="51" t="s">
        <v>11210</v>
      </c>
      <c r="B474" s="51" t="s">
        <v>10632</v>
      </c>
      <c r="C474" s="51" t="s">
        <v>1070</v>
      </c>
      <c r="D474" s="57">
        <v>44509.86168903935</v>
      </c>
    </row>
    <row r="475">
      <c r="A475" s="51" t="s">
        <v>11210</v>
      </c>
      <c r="B475" s="51" t="s">
        <v>10632</v>
      </c>
      <c r="C475" s="51" t="s">
        <v>1070</v>
      </c>
      <c r="D475" s="57">
        <v>44509.86218177083</v>
      </c>
    </row>
    <row r="476">
      <c r="A476" s="51" t="s">
        <v>11210</v>
      </c>
      <c r="B476" s="51" t="s">
        <v>10632</v>
      </c>
      <c r="C476" s="51" t="s">
        <v>1070</v>
      </c>
      <c r="D476" s="57">
        <v>44509.86220121528</v>
      </c>
    </row>
    <row r="477">
      <c r="A477" s="51" t="s">
        <v>11210</v>
      </c>
      <c r="B477" s="51" t="s">
        <v>10632</v>
      </c>
      <c r="C477" s="51" t="s">
        <v>1070</v>
      </c>
      <c r="D477" s="57">
        <v>44509.86223355324</v>
      </c>
    </row>
    <row r="478">
      <c r="A478" s="51" t="s">
        <v>11210</v>
      </c>
      <c r="B478" s="51" t="s">
        <v>10632</v>
      </c>
      <c r="C478" s="51" t="s">
        <v>1070</v>
      </c>
      <c r="D478" s="57">
        <v>44509.86224017361</v>
      </c>
    </row>
    <row r="479">
      <c r="A479" s="51" t="s">
        <v>11210</v>
      </c>
      <c r="B479" s="51" t="s">
        <v>10632</v>
      </c>
      <c r="C479" s="51" t="s">
        <v>1070</v>
      </c>
      <c r="D479" s="57">
        <v>44509.86225665509</v>
      </c>
    </row>
    <row r="480">
      <c r="A480" s="51" t="s">
        <v>11210</v>
      </c>
      <c r="B480" s="51" t="s">
        <v>10632</v>
      </c>
      <c r="C480" s="51" t="s">
        <v>1070</v>
      </c>
      <c r="D480" s="57">
        <v>44509.86230493056</v>
      </c>
    </row>
    <row r="481">
      <c r="A481" s="51" t="s">
        <v>11210</v>
      </c>
      <c r="B481" s="51" t="s">
        <v>10632</v>
      </c>
      <c r="C481" s="51" t="s">
        <v>1070</v>
      </c>
      <c r="D481" s="57">
        <v>44509.862305787035</v>
      </c>
    </row>
    <row r="482">
      <c r="A482" s="51" t="s">
        <v>11210</v>
      </c>
      <c r="B482" s="51" t="s">
        <v>10632</v>
      </c>
      <c r="C482" s="51" t="s">
        <v>1070</v>
      </c>
      <c r="D482" s="57">
        <v>44509.86231060185</v>
      </c>
    </row>
    <row r="483">
      <c r="A483" s="51" t="s">
        <v>11210</v>
      </c>
      <c r="B483" s="51" t="s">
        <v>10632</v>
      </c>
      <c r="C483" s="51" t="s">
        <v>1070</v>
      </c>
      <c r="D483" s="57">
        <v>44509.86233643518</v>
      </c>
    </row>
    <row r="484">
      <c r="A484" s="51" t="s">
        <v>11210</v>
      </c>
      <c r="B484" s="51" t="s">
        <v>10632</v>
      </c>
      <c r="C484" s="51" t="s">
        <v>1070</v>
      </c>
      <c r="D484" s="57">
        <v>44509.86234998843</v>
      </c>
    </row>
    <row r="485">
      <c r="A485" s="51" t="s">
        <v>11210</v>
      </c>
      <c r="B485" s="51" t="s">
        <v>10632</v>
      </c>
      <c r="C485" s="51" t="s">
        <v>1070</v>
      </c>
      <c r="D485" s="57">
        <v>44509.862367430556</v>
      </c>
    </row>
    <row r="486">
      <c r="A486" s="51" t="s">
        <v>11210</v>
      </c>
      <c r="B486" s="51" t="s">
        <v>10632</v>
      </c>
      <c r="C486" s="51" t="s">
        <v>1070</v>
      </c>
      <c r="D486" s="57">
        <v>44509.8624027662</v>
      </c>
    </row>
    <row r="487">
      <c r="A487" s="51" t="s">
        <v>11210</v>
      </c>
      <c r="B487" s="51" t="s">
        <v>10632</v>
      </c>
      <c r="C487" s="51" t="s">
        <v>1070</v>
      </c>
      <c r="D487" s="57">
        <v>44509.86240896991</v>
      </c>
    </row>
    <row r="488">
      <c r="A488" s="51" t="s">
        <v>11210</v>
      </c>
      <c r="B488" s="51" t="s">
        <v>10632</v>
      </c>
      <c r="C488" s="51" t="s">
        <v>1070</v>
      </c>
      <c r="D488" s="57">
        <v>44509.862470486114</v>
      </c>
    </row>
    <row r="489">
      <c r="A489" s="51" t="s">
        <v>11210</v>
      </c>
      <c r="B489" s="51" t="s">
        <v>10632</v>
      </c>
      <c r="C489" s="51" t="s">
        <v>1070</v>
      </c>
      <c r="D489" s="57">
        <v>44509.862505439814</v>
      </c>
    </row>
    <row r="490">
      <c r="A490" s="51" t="s">
        <v>11210</v>
      </c>
      <c r="B490" s="51" t="s">
        <v>10632</v>
      </c>
      <c r="C490" s="51" t="s">
        <v>1070</v>
      </c>
      <c r="D490" s="57">
        <v>44509.862703148145</v>
      </c>
    </row>
    <row r="491">
      <c r="A491" s="51" t="s">
        <v>11210</v>
      </c>
      <c r="B491" s="51" t="s">
        <v>10632</v>
      </c>
      <c r="C491" s="51" t="s">
        <v>1070</v>
      </c>
      <c r="D491" s="57">
        <v>44509.86271591435</v>
      </c>
    </row>
    <row r="492">
      <c r="A492" s="51" t="s">
        <v>11210</v>
      </c>
      <c r="B492" s="51" t="s">
        <v>10632</v>
      </c>
      <c r="C492" s="51" t="s">
        <v>1070</v>
      </c>
      <c r="D492" s="57">
        <v>44509.8627218287</v>
      </c>
    </row>
    <row r="493">
      <c r="A493" s="51" t="s">
        <v>11210</v>
      </c>
      <c r="B493" s="51" t="s">
        <v>10632</v>
      </c>
      <c r="C493" s="51" t="s">
        <v>1070</v>
      </c>
      <c r="D493" s="57">
        <v>44509.86275028935</v>
      </c>
    </row>
    <row r="494">
      <c r="A494" s="51" t="s">
        <v>11210</v>
      </c>
      <c r="B494" s="51" t="s">
        <v>10632</v>
      </c>
      <c r="C494" s="51" t="s">
        <v>1070</v>
      </c>
      <c r="D494" s="57">
        <v>44509.86275047454</v>
      </c>
    </row>
    <row r="495">
      <c r="A495" s="51" t="s">
        <v>11210</v>
      </c>
      <c r="B495" s="51" t="s">
        <v>10632</v>
      </c>
      <c r="C495" s="51" t="s">
        <v>1070</v>
      </c>
      <c r="D495" s="57">
        <v>44509.86275355324</v>
      </c>
    </row>
    <row r="496">
      <c r="A496" s="51" t="s">
        <v>11210</v>
      </c>
      <c r="B496" s="51" t="s">
        <v>10632</v>
      </c>
      <c r="C496" s="51" t="s">
        <v>1070</v>
      </c>
      <c r="D496" s="57">
        <v>44509.862774050926</v>
      </c>
    </row>
    <row r="497">
      <c r="A497" s="51" t="s">
        <v>11210</v>
      </c>
      <c r="B497" s="51" t="s">
        <v>10632</v>
      </c>
      <c r="C497" s="51" t="s">
        <v>1070</v>
      </c>
      <c r="D497" s="57">
        <v>44509.8627887037</v>
      </c>
    </row>
    <row r="498">
      <c r="A498" s="51" t="s">
        <v>11210</v>
      </c>
      <c r="B498" s="51" t="s">
        <v>10632</v>
      </c>
      <c r="C498" s="51" t="s">
        <v>1070</v>
      </c>
      <c r="D498" s="57">
        <v>44509.86278971065</v>
      </c>
    </row>
    <row r="499">
      <c r="A499" s="51" t="s">
        <v>11210</v>
      </c>
      <c r="B499" s="51" t="s">
        <v>10632</v>
      </c>
      <c r="C499" s="51" t="s">
        <v>1070</v>
      </c>
      <c r="D499" s="57">
        <v>44509.86521581019</v>
      </c>
    </row>
    <row r="500">
      <c r="A500" s="51" t="s">
        <v>11210</v>
      </c>
      <c r="B500" s="51" t="s">
        <v>10632</v>
      </c>
      <c r="C500" s="51" t="s">
        <v>1070</v>
      </c>
      <c r="D500" s="57">
        <v>44509.86537803241</v>
      </c>
    </row>
    <row r="501">
      <c r="A501" s="51" t="s">
        <v>11210</v>
      </c>
      <c r="B501" s="51" t="s">
        <v>10632</v>
      </c>
      <c r="C501" s="51" t="s">
        <v>1070</v>
      </c>
      <c r="D501" s="57">
        <v>44509.86538971065</v>
      </c>
    </row>
    <row r="502">
      <c r="A502" s="51" t="s">
        <v>11210</v>
      </c>
      <c r="B502" s="51" t="s">
        <v>10632</v>
      </c>
      <c r="C502" s="51" t="s">
        <v>1070</v>
      </c>
      <c r="D502" s="57">
        <v>44509.86539304398</v>
      </c>
    </row>
    <row r="503">
      <c r="A503" s="51" t="s">
        <v>11210</v>
      </c>
      <c r="B503" s="51" t="s">
        <v>10632</v>
      </c>
      <c r="C503" s="51" t="s">
        <v>1070</v>
      </c>
      <c r="D503" s="57">
        <v>44509.8653962963</v>
      </c>
    </row>
    <row r="504">
      <c r="A504" s="51" t="s">
        <v>11210</v>
      </c>
      <c r="B504" s="51" t="s">
        <v>10632</v>
      </c>
      <c r="C504" s="51" t="s">
        <v>1070</v>
      </c>
      <c r="D504" s="57">
        <v>44509.865654918976</v>
      </c>
    </row>
    <row r="505">
      <c r="A505" s="51" t="s">
        <v>11210</v>
      </c>
      <c r="B505" s="51" t="s">
        <v>10632</v>
      </c>
      <c r="C505" s="51" t="s">
        <v>1070</v>
      </c>
      <c r="D505" s="57">
        <v>44509.865667743055</v>
      </c>
    </row>
    <row r="506">
      <c r="A506" s="51" t="s">
        <v>11210</v>
      </c>
      <c r="B506" s="51" t="s">
        <v>10632</v>
      </c>
      <c r="C506" s="51" t="s">
        <v>1070</v>
      </c>
      <c r="D506" s="57">
        <v>44509.86584747685</v>
      </c>
    </row>
    <row r="507">
      <c r="A507" s="51" t="s">
        <v>11210</v>
      </c>
      <c r="B507" s="51" t="s">
        <v>10632</v>
      </c>
      <c r="C507" s="51" t="s">
        <v>1070</v>
      </c>
      <c r="D507" s="57">
        <v>44509.8658487963</v>
      </c>
    </row>
    <row r="508">
      <c r="A508" s="51" t="s">
        <v>11228</v>
      </c>
      <c r="B508" s="51" t="s">
        <v>235</v>
      </c>
      <c r="C508" s="51" t="s">
        <v>84</v>
      </c>
      <c r="D508" s="57">
        <v>44509.89739894676</v>
      </c>
    </row>
    <row r="509">
      <c r="A509" s="51" t="s">
        <v>11228</v>
      </c>
      <c r="B509" s="51" t="s">
        <v>235</v>
      </c>
      <c r="C509" s="51" t="s">
        <v>84</v>
      </c>
      <c r="D509" s="57">
        <v>44509.897802210646</v>
      </c>
    </row>
    <row r="510">
      <c r="A510" s="51" t="s">
        <v>11229</v>
      </c>
      <c r="B510" s="51" t="s">
        <v>10033</v>
      </c>
      <c r="C510" s="51" t="s">
        <v>84</v>
      </c>
      <c r="D510" s="57">
        <v>44511.895119513894</v>
      </c>
    </row>
    <row r="511">
      <c r="A511" s="51" t="s">
        <v>11229</v>
      </c>
      <c r="B511" s="51" t="s">
        <v>6949</v>
      </c>
      <c r="C511" s="51" t="s">
        <v>110</v>
      </c>
      <c r="D511" s="57">
        <v>44511.89980332176</v>
      </c>
    </row>
    <row r="512">
      <c r="A512" s="51" t="s">
        <v>11229</v>
      </c>
      <c r="B512" s="51" t="s">
        <v>9210</v>
      </c>
      <c r="C512" s="51" t="s">
        <v>517</v>
      </c>
      <c r="D512" s="57">
        <v>44511.90143541667</v>
      </c>
    </row>
    <row r="513">
      <c r="A513" s="51" t="s">
        <v>11229</v>
      </c>
      <c r="B513" s="51" t="s">
        <v>9486</v>
      </c>
      <c r="C513" s="51" t="s">
        <v>141</v>
      </c>
      <c r="D513" s="57">
        <v>44513.27625456019</v>
      </c>
    </row>
    <row r="514">
      <c r="A514" s="51" t="s">
        <v>11222</v>
      </c>
      <c r="B514" s="51" t="s">
        <v>10793</v>
      </c>
      <c r="C514" s="51" t="s">
        <v>84</v>
      </c>
      <c r="D514" s="57">
        <v>44513.91073203704</v>
      </c>
    </row>
    <row r="515">
      <c r="A515" s="51" t="s">
        <v>11222</v>
      </c>
      <c r="B515" s="51" t="s">
        <v>10217</v>
      </c>
      <c r="C515" s="51" t="s">
        <v>84</v>
      </c>
      <c r="D515" s="57">
        <v>44513.912451261574</v>
      </c>
    </row>
    <row r="516">
      <c r="A516" s="51" t="s">
        <v>11218</v>
      </c>
      <c r="B516" s="51" t="s">
        <v>10793</v>
      </c>
      <c r="C516" s="51" t="s">
        <v>84</v>
      </c>
      <c r="D516" s="57">
        <v>44515.03506983796</v>
      </c>
    </row>
    <row r="517">
      <c r="A517" s="51" t="s">
        <v>11218</v>
      </c>
      <c r="B517" s="51" t="s">
        <v>10365</v>
      </c>
      <c r="C517" s="51" t="s">
        <v>84</v>
      </c>
      <c r="D517" s="57">
        <v>44515.03568583333</v>
      </c>
    </row>
    <row r="518">
      <c r="A518" s="51" t="s">
        <v>11218</v>
      </c>
      <c r="B518" s="51" t="s">
        <v>10365</v>
      </c>
      <c r="C518" s="51" t="s">
        <v>84</v>
      </c>
      <c r="D518" s="57">
        <v>44515.03617685185</v>
      </c>
    </row>
    <row r="519">
      <c r="A519" s="51" t="s">
        <v>11218</v>
      </c>
      <c r="B519" s="51" t="s">
        <v>10793</v>
      </c>
      <c r="C519" s="51" t="s">
        <v>84</v>
      </c>
      <c r="D519" s="57">
        <v>44515.03882555556</v>
      </c>
    </row>
    <row r="520">
      <c r="A520" s="51" t="s">
        <v>11218</v>
      </c>
      <c r="B520" s="51" t="s">
        <v>10793</v>
      </c>
      <c r="C520" s="51" t="s">
        <v>84</v>
      </c>
      <c r="D520" s="57">
        <v>44515.03907601852</v>
      </c>
    </row>
    <row r="521">
      <c r="A521" s="51" t="s">
        <v>11218</v>
      </c>
      <c r="B521" s="51" t="s">
        <v>10198</v>
      </c>
      <c r="C521" s="51" t="s">
        <v>84</v>
      </c>
      <c r="D521" s="57">
        <v>44515.049845601854</v>
      </c>
    </row>
    <row r="522">
      <c r="A522" s="51" t="s">
        <v>11230</v>
      </c>
      <c r="B522" s="51" t="s">
        <v>8834</v>
      </c>
      <c r="C522" s="51" t="s">
        <v>275</v>
      </c>
      <c r="D522" s="57">
        <v>44516.27370680556</v>
      </c>
    </row>
    <row r="523">
      <c r="A523" s="51" t="s">
        <v>11194</v>
      </c>
      <c r="B523" s="51" t="s">
        <v>1253</v>
      </c>
      <c r="C523" s="51" t="s">
        <v>284</v>
      </c>
      <c r="D523" s="57">
        <v>44517.89735798611</v>
      </c>
    </row>
    <row r="524">
      <c r="A524" s="51" t="s">
        <v>11194</v>
      </c>
      <c r="B524" s="51" t="s">
        <v>1253</v>
      </c>
      <c r="C524" s="51" t="s">
        <v>284</v>
      </c>
      <c r="D524" s="57">
        <v>44517.909195914355</v>
      </c>
    </row>
    <row r="525">
      <c r="A525" s="51" t="s">
        <v>11221</v>
      </c>
      <c r="B525" s="51" t="s">
        <v>7786</v>
      </c>
      <c r="C525" s="51" t="s">
        <v>25</v>
      </c>
      <c r="D525" s="57">
        <v>44518.2691699537</v>
      </c>
    </row>
    <row r="526">
      <c r="A526" s="51" t="s">
        <v>11221</v>
      </c>
      <c r="B526" s="51" t="s">
        <v>7786</v>
      </c>
      <c r="C526" s="51" t="s">
        <v>25</v>
      </c>
      <c r="D526" s="57">
        <v>44518.27042564815</v>
      </c>
    </row>
    <row r="527">
      <c r="A527" s="51" t="s">
        <v>11231</v>
      </c>
      <c r="B527" s="51" t="s">
        <v>10682</v>
      </c>
      <c r="C527" s="51" t="s">
        <v>25</v>
      </c>
      <c r="D527" s="57">
        <v>44518.28399269676</v>
      </c>
    </row>
    <row r="528">
      <c r="A528" s="51" t="s">
        <v>11231</v>
      </c>
      <c r="B528" s="51" t="s">
        <v>7991</v>
      </c>
      <c r="C528" s="51" t="s">
        <v>25</v>
      </c>
      <c r="D528" s="57">
        <v>44518.2960944213</v>
      </c>
    </row>
    <row r="529">
      <c r="A529" s="51" t="s">
        <v>11221</v>
      </c>
      <c r="B529" s="51" t="s">
        <v>7066</v>
      </c>
      <c r="C529" s="51" t="s">
        <v>25</v>
      </c>
      <c r="D529" s="57">
        <v>44518.305169259256</v>
      </c>
    </row>
    <row r="530">
      <c r="A530" s="51" t="s">
        <v>11231</v>
      </c>
      <c r="B530" s="51" t="s">
        <v>10682</v>
      </c>
      <c r="C530" s="51" t="s">
        <v>25</v>
      </c>
      <c r="D530" s="57">
        <v>44518.30537829861</v>
      </c>
    </row>
    <row r="531">
      <c r="A531" s="51" t="s">
        <v>11205</v>
      </c>
      <c r="B531" s="51" t="s">
        <v>6058</v>
      </c>
      <c r="C531" s="51" t="s">
        <v>25</v>
      </c>
      <c r="D531" s="57">
        <v>44518.33022942129</v>
      </c>
    </row>
    <row r="532">
      <c r="A532" s="51" t="s">
        <v>11205</v>
      </c>
      <c r="B532" s="51" t="s">
        <v>958</v>
      </c>
      <c r="C532" s="51" t="s">
        <v>84</v>
      </c>
      <c r="D532" s="57">
        <v>44518.36893909722</v>
      </c>
    </row>
    <row r="533">
      <c r="A533" s="51" t="s">
        <v>11205</v>
      </c>
      <c r="B533" s="51" t="s">
        <v>3586</v>
      </c>
      <c r="C533" s="51" t="s">
        <v>25</v>
      </c>
      <c r="D533" s="57">
        <v>44518.369255937505</v>
      </c>
    </row>
    <row r="534">
      <c r="A534" s="51" t="s">
        <v>11205</v>
      </c>
      <c r="B534" s="51" t="s">
        <v>9839</v>
      </c>
      <c r="C534" s="51" t="s">
        <v>25</v>
      </c>
      <c r="D534" s="57">
        <v>44518.36961836806</v>
      </c>
    </row>
    <row r="535">
      <c r="A535" s="51" t="s">
        <v>11232</v>
      </c>
      <c r="B535" s="51" t="s">
        <v>1177</v>
      </c>
      <c r="C535" s="51" t="s">
        <v>52</v>
      </c>
      <c r="D535" s="57">
        <v>44519.804965717594</v>
      </c>
    </row>
    <row r="536">
      <c r="A536" s="51" t="s">
        <v>11232</v>
      </c>
      <c r="B536" s="51" t="s">
        <v>2595</v>
      </c>
      <c r="C536" s="51" t="s">
        <v>52</v>
      </c>
      <c r="D536" s="57">
        <v>44519.806351238425</v>
      </c>
    </row>
    <row r="537">
      <c r="A537" s="51" t="s">
        <v>11232</v>
      </c>
      <c r="B537" s="51" t="s">
        <v>2595</v>
      </c>
      <c r="C537" s="51" t="s">
        <v>52</v>
      </c>
      <c r="D537" s="57">
        <v>44519.80787996528</v>
      </c>
    </row>
    <row r="538">
      <c r="A538" s="51" t="s">
        <v>11232</v>
      </c>
      <c r="B538" s="51" t="s">
        <v>213</v>
      </c>
      <c r="C538" s="51" t="s">
        <v>216</v>
      </c>
      <c r="D538" s="57">
        <v>44519.81003517361</v>
      </c>
    </row>
    <row r="539">
      <c r="A539" s="51" t="s">
        <v>11232</v>
      </c>
      <c r="D539" s="57">
        <v>44519.810867719905</v>
      </c>
    </row>
    <row r="540">
      <c r="A540" s="51" t="s">
        <v>11232</v>
      </c>
      <c r="B540" s="51" t="s">
        <v>1051</v>
      </c>
      <c r="C540" s="51" t="s">
        <v>216</v>
      </c>
      <c r="D540" s="57">
        <v>44519.81092430555</v>
      </c>
    </row>
    <row r="541">
      <c r="A541" s="51" t="s">
        <v>11232</v>
      </c>
      <c r="B541" s="51" t="s">
        <v>6389</v>
      </c>
      <c r="C541" s="51" t="s">
        <v>517</v>
      </c>
      <c r="D541" s="57">
        <v>44519.81154605324</v>
      </c>
    </row>
    <row r="542">
      <c r="A542" s="51" t="s">
        <v>11232</v>
      </c>
      <c r="B542" s="51" t="s">
        <v>726</v>
      </c>
      <c r="C542" s="51" t="s">
        <v>292</v>
      </c>
      <c r="D542" s="57">
        <v>44519.81215414352</v>
      </c>
    </row>
    <row r="543">
      <c r="A543" s="51" t="s">
        <v>11232</v>
      </c>
      <c r="B543" s="51" t="s">
        <v>726</v>
      </c>
      <c r="C543" s="51" t="s">
        <v>292</v>
      </c>
      <c r="D543" s="57">
        <v>44519.8137931713</v>
      </c>
    </row>
    <row r="544">
      <c r="A544" s="51" t="s">
        <v>11232</v>
      </c>
      <c r="B544" s="51" t="s">
        <v>726</v>
      </c>
      <c r="C544" s="51" t="s">
        <v>292</v>
      </c>
      <c r="D544" s="57">
        <v>44519.81379638889</v>
      </c>
    </row>
    <row r="545">
      <c r="A545" s="51" t="s">
        <v>11232</v>
      </c>
      <c r="B545" s="51" t="s">
        <v>1177</v>
      </c>
      <c r="C545" s="51" t="s">
        <v>52</v>
      </c>
      <c r="D545" s="57">
        <v>44519.81432496528</v>
      </c>
    </row>
    <row r="546">
      <c r="A546" s="51" t="s">
        <v>11232</v>
      </c>
      <c r="B546" s="51" t="s">
        <v>1177</v>
      </c>
      <c r="C546" s="51" t="s">
        <v>52</v>
      </c>
      <c r="D546" s="57">
        <v>44519.8149591088</v>
      </c>
    </row>
    <row r="547">
      <c r="A547" s="51" t="s">
        <v>11232</v>
      </c>
      <c r="B547" s="51" t="s">
        <v>2880</v>
      </c>
      <c r="C547" s="51" t="s">
        <v>52</v>
      </c>
      <c r="D547" s="57">
        <v>44519.81881315973</v>
      </c>
    </row>
    <row r="548">
      <c r="A548" s="51" t="s">
        <v>11232</v>
      </c>
      <c r="B548" s="51" t="s">
        <v>1051</v>
      </c>
      <c r="C548" s="51" t="s">
        <v>216</v>
      </c>
      <c r="D548" s="57">
        <v>44519.81908710648</v>
      </c>
    </row>
    <row r="549">
      <c r="A549" s="51" t="s">
        <v>11232</v>
      </c>
      <c r="B549" s="51" t="s">
        <v>1051</v>
      </c>
      <c r="C549" s="51" t="s">
        <v>216</v>
      </c>
      <c r="D549" s="57">
        <v>44519.81931056713</v>
      </c>
    </row>
    <row r="550">
      <c r="A550" s="51" t="s">
        <v>11232</v>
      </c>
      <c r="B550" s="51" t="s">
        <v>9829</v>
      </c>
      <c r="C550" s="51" t="s">
        <v>216</v>
      </c>
      <c r="D550" s="57">
        <v>44519.841838541666</v>
      </c>
    </row>
    <row r="551">
      <c r="A551" s="51" t="s">
        <v>11232</v>
      </c>
      <c r="B551" s="51" t="s">
        <v>624</v>
      </c>
      <c r="C551" s="51" t="s">
        <v>517</v>
      </c>
      <c r="D551" s="57">
        <v>44519.84327027778</v>
      </c>
    </row>
    <row r="552">
      <c r="A552" s="51" t="s">
        <v>11232</v>
      </c>
      <c r="B552" s="51" t="s">
        <v>5819</v>
      </c>
      <c r="C552" s="51" t="s">
        <v>216</v>
      </c>
      <c r="D552" s="57">
        <v>44519.844395416665</v>
      </c>
    </row>
    <row r="553">
      <c r="A553" s="51" t="s">
        <v>11232</v>
      </c>
      <c r="B553" s="51" t="s">
        <v>1051</v>
      </c>
      <c r="C553" s="51" t="s">
        <v>216</v>
      </c>
      <c r="D553" s="57">
        <v>44519.84573891204</v>
      </c>
    </row>
    <row r="554">
      <c r="A554" s="51" t="s">
        <v>11232</v>
      </c>
      <c r="B554" s="51" t="s">
        <v>2204</v>
      </c>
      <c r="C554" s="51" t="s">
        <v>165</v>
      </c>
      <c r="D554" s="57">
        <v>44519.84708905093</v>
      </c>
    </row>
    <row r="555">
      <c r="A555" s="51" t="s">
        <v>11232</v>
      </c>
      <c r="B555" s="51" t="s">
        <v>4357</v>
      </c>
      <c r="C555" s="51" t="s">
        <v>165</v>
      </c>
      <c r="D555" s="57">
        <v>44519.84764760417</v>
      </c>
    </row>
    <row r="556">
      <c r="A556" s="51" t="s">
        <v>11231</v>
      </c>
      <c r="B556" s="51" t="s">
        <v>2605</v>
      </c>
      <c r="C556" s="51" t="s">
        <v>25</v>
      </c>
      <c r="D556" s="57">
        <v>44520.301281249995</v>
      </c>
    </row>
    <row r="557">
      <c r="A557" s="51" t="s">
        <v>11232</v>
      </c>
      <c r="B557" s="51" t="s">
        <v>1051</v>
      </c>
      <c r="C557" s="51" t="s">
        <v>216</v>
      </c>
      <c r="D557" s="57">
        <v>44520.90426247685</v>
      </c>
    </row>
    <row r="558">
      <c r="A558" s="51" t="s">
        <v>11232</v>
      </c>
      <c r="B558" s="51" t="s">
        <v>1051</v>
      </c>
      <c r="C558" s="51" t="s">
        <v>216</v>
      </c>
      <c r="D558" s="57">
        <v>44520.90562377315</v>
      </c>
    </row>
    <row r="559">
      <c r="A559" s="51" t="s">
        <v>11232</v>
      </c>
      <c r="B559" s="51" t="s">
        <v>2404</v>
      </c>
      <c r="C559" s="51" t="s">
        <v>216</v>
      </c>
      <c r="D559" s="57">
        <v>44520.905735486114</v>
      </c>
    </row>
    <row r="560">
      <c r="A560" s="51" t="s">
        <v>11231</v>
      </c>
      <c r="B560" s="51" t="s">
        <v>10673</v>
      </c>
      <c r="C560" s="51" t="s">
        <v>25</v>
      </c>
      <c r="D560" s="57">
        <v>44521.14576254629</v>
      </c>
    </row>
    <row r="561">
      <c r="A561" s="51" t="s">
        <v>11229</v>
      </c>
      <c r="B561" s="51" t="s">
        <v>9210</v>
      </c>
      <c r="C561" s="51" t="s">
        <v>517</v>
      </c>
      <c r="D561" s="57">
        <v>44522.11449197917</v>
      </c>
    </row>
    <row r="562">
      <c r="A562" s="51" t="s">
        <v>11233</v>
      </c>
      <c r="B562" s="51" t="s">
        <v>5511</v>
      </c>
      <c r="C562" s="51" t="s">
        <v>84</v>
      </c>
      <c r="D562" s="57">
        <v>44522.12806454861</v>
      </c>
    </row>
    <row r="563">
      <c r="A563" s="51" t="s">
        <v>11233</v>
      </c>
      <c r="B563" s="51" t="s">
        <v>5511</v>
      </c>
      <c r="C563" s="51" t="s">
        <v>84</v>
      </c>
      <c r="D563" s="57">
        <v>44522.13924633102</v>
      </c>
    </row>
    <row r="564">
      <c r="A564" s="51" t="s">
        <v>11234</v>
      </c>
      <c r="B564" s="51" t="s">
        <v>10793</v>
      </c>
      <c r="C564" s="51" t="s">
        <v>84</v>
      </c>
      <c r="D564" s="57">
        <v>44523.791560868056</v>
      </c>
    </row>
    <row r="565">
      <c r="A565" s="51" t="s">
        <v>11229</v>
      </c>
      <c r="B565" s="51" t="s">
        <v>1261</v>
      </c>
      <c r="C565" s="51" t="s">
        <v>165</v>
      </c>
      <c r="D565" s="57">
        <v>44523.90586099537</v>
      </c>
    </row>
    <row r="566">
      <c r="A566" s="51" t="s">
        <v>11229</v>
      </c>
      <c r="B566" s="51" t="s">
        <v>10765</v>
      </c>
      <c r="C566" s="51" t="s">
        <v>517</v>
      </c>
      <c r="D566" s="57">
        <v>44523.911685046296</v>
      </c>
    </row>
    <row r="567">
      <c r="A567" s="51" t="s">
        <v>11229</v>
      </c>
      <c r="B567" s="51" t="s">
        <v>817</v>
      </c>
      <c r="C567" s="51" t="s">
        <v>165</v>
      </c>
      <c r="D567" s="57">
        <v>44523.92804099537</v>
      </c>
    </row>
    <row r="568">
      <c r="A568" s="51" t="s">
        <v>11234</v>
      </c>
      <c r="B568" s="51" t="s">
        <v>1234</v>
      </c>
      <c r="C568" s="51" t="s">
        <v>25</v>
      </c>
      <c r="D568" s="57">
        <v>44525.85928234954</v>
      </c>
    </row>
    <row r="569">
      <c r="A569" s="51" t="s">
        <v>11235</v>
      </c>
      <c r="B569" s="51" t="s">
        <v>1878</v>
      </c>
      <c r="C569" s="51" t="s">
        <v>157</v>
      </c>
      <c r="D569" s="57">
        <v>44525.87332274306</v>
      </c>
    </row>
    <row r="570">
      <c r="A570" s="51" t="s">
        <v>11214</v>
      </c>
      <c r="B570" s="51" t="s">
        <v>11012</v>
      </c>
      <c r="C570" s="51" t="s">
        <v>25</v>
      </c>
      <c r="D570" s="57">
        <v>44530.352209143515</v>
      </c>
    </row>
    <row r="571">
      <c r="A571" s="51" t="s">
        <v>11232</v>
      </c>
      <c r="B571" s="51" t="s">
        <v>1051</v>
      </c>
      <c r="C571" s="51" t="s">
        <v>216</v>
      </c>
      <c r="D571" s="57">
        <v>44531.31003965277</v>
      </c>
    </row>
    <row r="572">
      <c r="A572" s="51" t="s">
        <v>11213</v>
      </c>
      <c r="B572" s="51" t="s">
        <v>2624</v>
      </c>
      <c r="C572" s="51" t="s">
        <v>284</v>
      </c>
      <c r="D572" s="57">
        <v>44533.31589570602</v>
      </c>
    </row>
    <row r="573">
      <c r="A573" s="51" t="s">
        <v>11232</v>
      </c>
      <c r="B573" s="51" t="s">
        <v>4646</v>
      </c>
      <c r="C573" s="51" t="s">
        <v>216</v>
      </c>
      <c r="D573" s="57">
        <v>44533.42217239583</v>
      </c>
    </row>
    <row r="574">
      <c r="A574" s="51" t="s">
        <v>11232</v>
      </c>
      <c r="B574" s="51" t="s">
        <v>4646</v>
      </c>
      <c r="C574" s="51" t="s">
        <v>216</v>
      </c>
      <c r="D574" s="57">
        <v>44533.4222586574</v>
      </c>
    </row>
    <row r="575">
      <c r="A575" s="51" t="s">
        <v>11193</v>
      </c>
      <c r="B575" s="51" t="s">
        <v>686</v>
      </c>
      <c r="C575" s="51" t="s">
        <v>141</v>
      </c>
      <c r="D575" s="57">
        <v>44534.07486920139</v>
      </c>
    </row>
    <row r="576">
      <c r="A576" s="51" t="s">
        <v>11193</v>
      </c>
      <c r="B576" s="51" t="s">
        <v>297</v>
      </c>
      <c r="C576" s="51" t="s">
        <v>141</v>
      </c>
      <c r="D576" s="57">
        <v>44534.08400553241</v>
      </c>
    </row>
    <row r="577">
      <c r="A577" s="51" t="s">
        <v>11236</v>
      </c>
      <c r="B577" s="51" t="s">
        <v>7903</v>
      </c>
      <c r="C577" s="51" t="s">
        <v>25</v>
      </c>
      <c r="D577" s="57">
        <v>44535.25967439815</v>
      </c>
    </row>
    <row r="578">
      <c r="A578" s="51" t="s">
        <v>11236</v>
      </c>
      <c r="B578" s="51" t="s">
        <v>7903</v>
      </c>
      <c r="C578" s="51" t="s">
        <v>25</v>
      </c>
      <c r="D578" s="57">
        <v>44535.259918599535</v>
      </c>
    </row>
    <row r="579">
      <c r="A579" s="51" t="s">
        <v>11236</v>
      </c>
      <c r="B579" s="51" t="s">
        <v>10581</v>
      </c>
      <c r="C579" s="51" t="s">
        <v>25</v>
      </c>
      <c r="D579" s="57">
        <v>44535.271172430555</v>
      </c>
    </row>
    <row r="580">
      <c r="A580" s="51" t="s">
        <v>11236</v>
      </c>
      <c r="B580" s="51" t="s">
        <v>10466</v>
      </c>
      <c r="C580" s="51" t="s">
        <v>25</v>
      </c>
      <c r="D580" s="57">
        <v>44535.277452372684</v>
      </c>
    </row>
    <row r="581">
      <c r="A581" s="51" t="s">
        <v>11236</v>
      </c>
      <c r="B581" s="51" t="s">
        <v>8765</v>
      </c>
      <c r="C581" s="51" t="s">
        <v>110</v>
      </c>
      <c r="D581" s="57">
        <v>44535.29216660879</v>
      </c>
    </row>
    <row r="582">
      <c r="A582" s="51" t="s">
        <v>11236</v>
      </c>
      <c r="B582" s="51" t="s">
        <v>8765</v>
      </c>
      <c r="C582" s="51" t="s">
        <v>110</v>
      </c>
      <c r="D582" s="57">
        <v>44535.29261065972</v>
      </c>
    </row>
    <row r="583">
      <c r="A583" s="51" t="s">
        <v>11237</v>
      </c>
      <c r="B583" s="51" t="s">
        <v>10542</v>
      </c>
      <c r="C583" s="51" t="s">
        <v>25</v>
      </c>
      <c r="D583" s="57">
        <v>44537.06495806713</v>
      </c>
    </row>
    <row r="584">
      <c r="A584" s="51" t="s">
        <v>11238</v>
      </c>
      <c r="B584" s="51" t="s">
        <v>10774</v>
      </c>
      <c r="C584" s="51" t="s">
        <v>216</v>
      </c>
      <c r="D584" s="57">
        <v>44537.93135408565</v>
      </c>
    </row>
    <row r="585">
      <c r="A585" s="51" t="s">
        <v>11238</v>
      </c>
      <c r="B585" s="51" t="s">
        <v>2090</v>
      </c>
      <c r="C585" s="51" t="s">
        <v>25</v>
      </c>
      <c r="D585" s="57">
        <v>44538.0052359838</v>
      </c>
    </row>
    <row r="586">
      <c r="A586" s="51" t="s">
        <v>11232</v>
      </c>
      <c r="B586" s="51" t="s">
        <v>213</v>
      </c>
      <c r="C586" s="51" t="s">
        <v>216</v>
      </c>
      <c r="D586" s="57">
        <v>44538.27837674769</v>
      </c>
    </row>
    <row r="587">
      <c r="A587" s="51" t="s">
        <v>11232</v>
      </c>
      <c r="B587" s="51" t="s">
        <v>817</v>
      </c>
      <c r="C587" s="51" t="s">
        <v>165</v>
      </c>
      <c r="D587" s="57">
        <v>44538.280074386574</v>
      </c>
    </row>
    <row r="588">
      <c r="A588" s="51" t="s">
        <v>11232</v>
      </c>
      <c r="B588" s="51" t="s">
        <v>817</v>
      </c>
      <c r="C588" s="51" t="s">
        <v>165</v>
      </c>
      <c r="D588" s="57">
        <v>44538.28489061343</v>
      </c>
    </row>
    <row r="589">
      <c r="A589" s="51" t="s">
        <v>11232</v>
      </c>
      <c r="B589" s="51" t="s">
        <v>9229</v>
      </c>
      <c r="C589" s="51" t="s">
        <v>517</v>
      </c>
      <c r="D589" s="57">
        <v>44538.28536221065</v>
      </c>
    </row>
    <row r="590">
      <c r="A590" s="51" t="s">
        <v>11238</v>
      </c>
      <c r="B590" s="51" t="s">
        <v>9428</v>
      </c>
      <c r="C590" s="51" t="s">
        <v>216</v>
      </c>
      <c r="D590" s="57">
        <v>44539.741728761575</v>
      </c>
    </row>
    <row r="591">
      <c r="A591" s="51" t="s">
        <v>11238</v>
      </c>
      <c r="B591" s="51" t="s">
        <v>2739</v>
      </c>
      <c r="C591" s="51" t="s">
        <v>216</v>
      </c>
      <c r="D591" s="57">
        <v>44539.79855003473</v>
      </c>
    </row>
    <row r="592">
      <c r="A592" s="51" t="s">
        <v>11238</v>
      </c>
      <c r="B592" s="51" t="s">
        <v>5667</v>
      </c>
      <c r="C592" s="51" t="s">
        <v>216</v>
      </c>
      <c r="D592" s="57">
        <v>44539.87413560185</v>
      </c>
    </row>
    <row r="593">
      <c r="A593" s="51" t="s">
        <v>11238</v>
      </c>
      <c r="B593" s="51" t="s">
        <v>7844</v>
      </c>
      <c r="C593" s="51" t="s">
        <v>110</v>
      </c>
      <c r="D593" s="57">
        <v>44539.875290682874</v>
      </c>
    </row>
    <row r="594">
      <c r="A594" s="51" t="s">
        <v>11238</v>
      </c>
      <c r="B594" s="51" t="s">
        <v>9829</v>
      </c>
      <c r="C594" s="51" t="s">
        <v>216</v>
      </c>
      <c r="D594" s="57">
        <v>44539.87656587963</v>
      </c>
    </row>
    <row r="595">
      <c r="A595" s="51" t="s">
        <v>11217</v>
      </c>
      <c r="B595" s="51" t="s">
        <v>213</v>
      </c>
      <c r="C595" s="51" t="s">
        <v>216</v>
      </c>
      <c r="D595" s="57">
        <v>44541.870444988424</v>
      </c>
    </row>
    <row r="596">
      <c r="A596" s="51" t="s">
        <v>11217</v>
      </c>
      <c r="B596" s="51" t="s">
        <v>951</v>
      </c>
      <c r="C596" s="51" t="s">
        <v>216</v>
      </c>
      <c r="D596" s="57">
        <v>44541.87223540509</v>
      </c>
    </row>
    <row r="597">
      <c r="A597" s="51" t="s">
        <v>11217</v>
      </c>
      <c r="B597" s="51" t="s">
        <v>951</v>
      </c>
      <c r="C597" s="51" t="s">
        <v>216</v>
      </c>
      <c r="D597" s="57">
        <v>44541.87287851852</v>
      </c>
    </row>
    <row r="598">
      <c r="A598" s="51" t="s">
        <v>11217</v>
      </c>
      <c r="B598" s="51" t="s">
        <v>1113</v>
      </c>
      <c r="C598" s="51" t="s">
        <v>216</v>
      </c>
      <c r="D598" s="57">
        <v>44541.873666875</v>
      </c>
    </row>
    <row r="599">
      <c r="A599" s="51" t="s">
        <v>11217</v>
      </c>
      <c r="B599" s="51" t="s">
        <v>1847</v>
      </c>
      <c r="C599" s="51" t="s">
        <v>216</v>
      </c>
      <c r="D599" s="57">
        <v>44541.87469078704</v>
      </c>
    </row>
    <row r="600">
      <c r="A600" s="51" t="s">
        <v>11217</v>
      </c>
      <c r="B600" s="51" t="s">
        <v>1847</v>
      </c>
      <c r="C600" s="51" t="s">
        <v>216</v>
      </c>
      <c r="D600" s="57">
        <v>44541.87518471065</v>
      </c>
    </row>
    <row r="601">
      <c r="A601" s="51" t="s">
        <v>11231</v>
      </c>
      <c r="B601" s="51" t="s">
        <v>5978</v>
      </c>
      <c r="C601" s="51" t="s">
        <v>25</v>
      </c>
      <c r="D601" s="57">
        <v>44544.23727121528</v>
      </c>
    </row>
    <row r="602">
      <c r="A602" s="51" t="s">
        <v>11238</v>
      </c>
      <c r="B602" s="51" t="s">
        <v>10721</v>
      </c>
      <c r="C602" s="51" t="s">
        <v>216</v>
      </c>
      <c r="D602" s="57">
        <v>44544.81975908564</v>
      </c>
    </row>
    <row r="603">
      <c r="A603" s="51" t="s">
        <v>11214</v>
      </c>
      <c r="B603" s="51" t="s">
        <v>11012</v>
      </c>
      <c r="C603" s="51" t="s">
        <v>25</v>
      </c>
      <c r="D603" s="57">
        <v>44546.07624520833</v>
      </c>
    </row>
    <row r="604">
      <c r="A604" s="51" t="s">
        <v>11232</v>
      </c>
      <c r="B604" s="51" t="s">
        <v>1177</v>
      </c>
      <c r="C604" s="51" t="s">
        <v>52</v>
      </c>
      <c r="D604" s="57">
        <v>44546.3193174537</v>
      </c>
    </row>
    <row r="605">
      <c r="A605" s="51" t="s">
        <v>11232</v>
      </c>
      <c r="B605" s="51" t="s">
        <v>1177</v>
      </c>
      <c r="C605" s="51" t="s">
        <v>52</v>
      </c>
      <c r="D605" s="57">
        <v>44546.31983137732</v>
      </c>
    </row>
    <row r="606">
      <c r="A606" s="51" t="s">
        <v>11214</v>
      </c>
      <c r="B606" s="51" t="s">
        <v>7055</v>
      </c>
      <c r="C606" s="51" t="s">
        <v>25</v>
      </c>
      <c r="D606" s="57">
        <v>44547.145210891205</v>
      </c>
    </row>
    <row r="607">
      <c r="A607" s="51" t="s">
        <v>11238</v>
      </c>
      <c r="B607" s="51" t="s">
        <v>5819</v>
      </c>
      <c r="C607" s="51" t="s">
        <v>216</v>
      </c>
      <c r="D607" s="57">
        <v>44549.26120782408</v>
      </c>
    </row>
    <row r="608">
      <c r="A608" s="51" t="s">
        <v>11238</v>
      </c>
      <c r="B608" s="51" t="s">
        <v>10833</v>
      </c>
      <c r="C608" s="51" t="s">
        <v>517</v>
      </c>
      <c r="D608" s="57">
        <v>44549.27820746528</v>
      </c>
    </row>
    <row r="609">
      <c r="A609" s="51" t="s">
        <v>11195</v>
      </c>
      <c r="B609" s="51" t="s">
        <v>179</v>
      </c>
      <c r="C609" s="51" t="s">
        <v>165</v>
      </c>
      <c r="D609" s="57">
        <v>44551.36475760417</v>
      </c>
    </row>
    <row r="610">
      <c r="A610" s="51" t="s">
        <v>11195</v>
      </c>
      <c r="B610" s="51" t="s">
        <v>671</v>
      </c>
      <c r="C610" s="51" t="s">
        <v>165</v>
      </c>
      <c r="D610" s="57">
        <v>44551.367820659725</v>
      </c>
    </row>
    <row r="611">
      <c r="A611" s="51" t="s">
        <v>11214</v>
      </c>
      <c r="B611" s="51" t="s">
        <v>3961</v>
      </c>
      <c r="C611" s="51" t="s">
        <v>165</v>
      </c>
      <c r="D611" s="57">
        <v>44565.30136486111</v>
      </c>
    </row>
    <row r="612">
      <c r="A612" s="51" t="s">
        <v>11224</v>
      </c>
      <c r="B612" s="51" t="s">
        <v>1444</v>
      </c>
      <c r="C612" s="51" t="s">
        <v>25</v>
      </c>
      <c r="D612" s="57">
        <v>44567.34221891203</v>
      </c>
    </row>
    <row r="613">
      <c r="A613" s="51" t="s">
        <v>11222</v>
      </c>
      <c r="B613" s="51" t="s">
        <v>9888</v>
      </c>
      <c r="C613" s="51" t="s">
        <v>110</v>
      </c>
      <c r="D613" s="57">
        <v>44576.84565390046</v>
      </c>
    </row>
    <row r="614">
      <c r="A614" s="51" t="s">
        <v>11222</v>
      </c>
      <c r="B614" s="51" t="s">
        <v>9888</v>
      </c>
      <c r="C614" s="51" t="s">
        <v>110</v>
      </c>
      <c r="D614" s="57">
        <v>44576.84629780093</v>
      </c>
    </row>
    <row r="615">
      <c r="A615" s="51" t="s">
        <v>11222</v>
      </c>
      <c r="B615" s="51" t="s">
        <v>9298</v>
      </c>
      <c r="C615" s="51" t="s">
        <v>557</v>
      </c>
      <c r="D615" s="57">
        <v>44576.85685761574</v>
      </c>
    </row>
    <row r="616">
      <c r="A616" s="51" t="s">
        <v>11222</v>
      </c>
      <c r="B616" s="51" t="s">
        <v>523</v>
      </c>
      <c r="C616" s="51" t="s">
        <v>110</v>
      </c>
      <c r="D616" s="57">
        <v>44576.86471620371</v>
      </c>
    </row>
    <row r="617">
      <c r="A617" s="51" t="s">
        <v>11222</v>
      </c>
      <c r="B617" s="51" t="s">
        <v>523</v>
      </c>
      <c r="C617" s="51" t="s">
        <v>110</v>
      </c>
      <c r="D617" s="57">
        <v>44576.86502361111</v>
      </c>
    </row>
    <row r="618">
      <c r="A618" s="51" t="s">
        <v>11222</v>
      </c>
      <c r="B618" s="51" t="s">
        <v>5531</v>
      </c>
      <c r="C618" s="51" t="s">
        <v>110</v>
      </c>
      <c r="D618" s="57">
        <v>44576.880252523144</v>
      </c>
    </row>
    <row r="619">
      <c r="A619" s="51" t="s">
        <v>11222</v>
      </c>
      <c r="B619" s="51" t="s">
        <v>10874</v>
      </c>
      <c r="C619" s="51" t="s">
        <v>110</v>
      </c>
      <c r="D619" s="57">
        <v>44576.88470895833</v>
      </c>
    </row>
    <row r="620">
      <c r="A620" s="51" t="s">
        <v>11222</v>
      </c>
      <c r="B620" s="51" t="s">
        <v>10874</v>
      </c>
      <c r="C620" s="51" t="s">
        <v>110</v>
      </c>
      <c r="D620" s="57">
        <v>44576.88488302083</v>
      </c>
    </row>
    <row r="621">
      <c r="A621" s="51" t="s">
        <v>11222</v>
      </c>
      <c r="B621" s="51" t="s">
        <v>1927</v>
      </c>
      <c r="C621" s="51" t="s">
        <v>110</v>
      </c>
      <c r="D621" s="57">
        <v>44576.89209017361</v>
      </c>
    </row>
    <row r="622">
      <c r="A622" s="51" t="s">
        <v>11239</v>
      </c>
      <c r="B622" s="51" t="s">
        <v>6048</v>
      </c>
      <c r="C622" s="51" t="s">
        <v>25</v>
      </c>
      <c r="D622" s="57">
        <v>44579.16448177083</v>
      </c>
    </row>
    <row r="623">
      <c r="A623" s="51" t="s">
        <v>11232</v>
      </c>
      <c r="B623" s="51" t="s">
        <v>882</v>
      </c>
      <c r="C623" s="51" t="s">
        <v>52</v>
      </c>
      <c r="D623" s="57">
        <v>44579.237012314814</v>
      </c>
    </row>
    <row r="624">
      <c r="A624" s="51" t="s">
        <v>11232</v>
      </c>
      <c r="B624" s="51" t="s">
        <v>882</v>
      </c>
      <c r="C624" s="51" t="s">
        <v>52</v>
      </c>
      <c r="D624" s="57">
        <v>44579.2374209838</v>
      </c>
    </row>
    <row r="625">
      <c r="A625" s="51" t="s">
        <v>11232</v>
      </c>
      <c r="B625" s="51" t="s">
        <v>1626</v>
      </c>
      <c r="C625" s="51" t="s">
        <v>165</v>
      </c>
      <c r="D625" s="57">
        <v>44579.237872858794</v>
      </c>
    </row>
    <row r="626">
      <c r="A626" s="51" t="s">
        <v>11232</v>
      </c>
      <c r="B626" s="51" t="s">
        <v>2414</v>
      </c>
      <c r="C626" s="51" t="s">
        <v>52</v>
      </c>
      <c r="D626" s="57">
        <v>44579.238335358794</v>
      </c>
    </row>
    <row r="627">
      <c r="A627" s="51" t="s">
        <v>11232</v>
      </c>
      <c r="B627" s="51" t="s">
        <v>7104</v>
      </c>
      <c r="C627" s="51" t="s">
        <v>517</v>
      </c>
      <c r="D627" s="57">
        <v>44579.239707789355</v>
      </c>
    </row>
    <row r="628">
      <c r="A628" s="51" t="s">
        <v>11232</v>
      </c>
      <c r="B628" s="51" t="s">
        <v>7066</v>
      </c>
      <c r="C628" s="51" t="s">
        <v>25</v>
      </c>
      <c r="D628" s="57">
        <v>44582.31890900463</v>
      </c>
    </row>
    <row r="629">
      <c r="A629" s="51" t="s">
        <v>11232</v>
      </c>
      <c r="B629" s="51" t="s">
        <v>10429</v>
      </c>
      <c r="C629" s="51" t="s">
        <v>25</v>
      </c>
      <c r="D629" s="57">
        <v>44582.32409109954</v>
      </c>
    </row>
    <row r="630">
      <c r="A630" s="51" t="s">
        <v>11213</v>
      </c>
      <c r="B630" s="51" t="s">
        <v>10955</v>
      </c>
      <c r="C630" s="51" t="s">
        <v>165</v>
      </c>
      <c r="D630" s="57">
        <v>44590.864091944444</v>
      </c>
    </row>
    <row r="631">
      <c r="A631" s="51" t="s">
        <v>11213</v>
      </c>
      <c r="B631" s="51" t="s">
        <v>10188</v>
      </c>
      <c r="C631" s="51" t="s">
        <v>165</v>
      </c>
      <c r="D631" s="57">
        <v>44590.86553070602</v>
      </c>
    </row>
    <row r="632">
      <c r="A632" s="51" t="s">
        <v>11213</v>
      </c>
      <c r="B632" s="51" t="s">
        <v>10005</v>
      </c>
      <c r="C632" s="51" t="s">
        <v>165</v>
      </c>
      <c r="D632" s="57">
        <v>44590.8662524074</v>
      </c>
    </row>
    <row r="633">
      <c r="A633" s="51" t="s">
        <v>11213</v>
      </c>
      <c r="B633" s="51" t="s">
        <v>10168</v>
      </c>
      <c r="C633" s="51" t="s">
        <v>165</v>
      </c>
      <c r="D633" s="57">
        <v>44590.8672818287</v>
      </c>
    </row>
    <row r="634">
      <c r="A634" s="51" t="s">
        <v>11222</v>
      </c>
      <c r="B634" s="51" t="s">
        <v>5760</v>
      </c>
      <c r="C634" s="51" t="s">
        <v>557</v>
      </c>
      <c r="D634" s="57">
        <v>44593.048255891204</v>
      </c>
    </row>
    <row r="635">
      <c r="A635" s="51" t="s">
        <v>11222</v>
      </c>
      <c r="B635" s="51" t="s">
        <v>4926</v>
      </c>
      <c r="C635" s="51" t="s">
        <v>557</v>
      </c>
      <c r="D635" s="57">
        <v>44593.05128629629</v>
      </c>
    </row>
    <row r="636">
      <c r="A636" s="51" t="s">
        <v>11222</v>
      </c>
      <c r="B636" s="51" t="s">
        <v>9298</v>
      </c>
      <c r="C636" s="51" t="s">
        <v>557</v>
      </c>
      <c r="D636" s="57">
        <v>44593.054953252315</v>
      </c>
    </row>
    <row r="637">
      <c r="A637" s="51" t="s">
        <v>11222</v>
      </c>
      <c r="B637" s="51" t="s">
        <v>9298</v>
      </c>
      <c r="C637" s="51" t="s">
        <v>557</v>
      </c>
      <c r="D637" s="57">
        <v>44593.05507418982</v>
      </c>
    </row>
    <row r="638">
      <c r="A638" s="51" t="s">
        <v>11222</v>
      </c>
      <c r="B638" s="51" t="s">
        <v>9298</v>
      </c>
      <c r="C638" s="51" t="s">
        <v>557</v>
      </c>
      <c r="D638" s="57">
        <v>44593.05582368055</v>
      </c>
    </row>
    <row r="639">
      <c r="A639" s="51" t="s">
        <v>11222</v>
      </c>
      <c r="B639" s="51" t="s">
        <v>9298</v>
      </c>
      <c r="C639" s="51" t="s">
        <v>557</v>
      </c>
      <c r="D639" s="57">
        <v>44593.055836597225</v>
      </c>
    </row>
    <row r="640">
      <c r="A640" s="51" t="s">
        <v>11222</v>
      </c>
      <c r="B640" s="51" t="s">
        <v>9298</v>
      </c>
      <c r="C640" s="51" t="s">
        <v>557</v>
      </c>
      <c r="D640" s="57">
        <v>44593.05659388889</v>
      </c>
    </row>
    <row r="641">
      <c r="A641" s="51" t="s">
        <v>11222</v>
      </c>
      <c r="B641" s="51" t="s">
        <v>9298</v>
      </c>
      <c r="C641" s="51" t="s">
        <v>557</v>
      </c>
      <c r="D641" s="57">
        <v>44593.056603680554</v>
      </c>
    </row>
    <row r="642">
      <c r="A642" s="51" t="s">
        <v>11222</v>
      </c>
      <c r="B642" s="51" t="s">
        <v>9298</v>
      </c>
      <c r="C642" s="51" t="s">
        <v>557</v>
      </c>
      <c r="D642" s="57">
        <v>44593.05682753472</v>
      </c>
    </row>
    <row r="643">
      <c r="A643" s="51" t="s">
        <v>11222</v>
      </c>
      <c r="B643" s="51" t="s">
        <v>9298</v>
      </c>
      <c r="C643" s="51" t="s">
        <v>557</v>
      </c>
      <c r="D643" s="57">
        <v>44593.056899131945</v>
      </c>
    </row>
    <row r="644">
      <c r="A644" s="51" t="s">
        <v>11222</v>
      </c>
      <c r="B644" s="51" t="s">
        <v>9298</v>
      </c>
      <c r="C644" s="51" t="s">
        <v>557</v>
      </c>
      <c r="D644" s="57">
        <v>44593.057095474534</v>
      </c>
    </row>
    <row r="645">
      <c r="A645" s="51" t="s">
        <v>11222</v>
      </c>
      <c r="B645" s="51" t="s">
        <v>9298</v>
      </c>
      <c r="C645" s="51" t="s">
        <v>557</v>
      </c>
      <c r="D645" s="57">
        <v>44593.05802680556</v>
      </c>
    </row>
    <row r="646">
      <c r="A646" s="51" t="s">
        <v>11222</v>
      </c>
      <c r="B646" s="51" t="s">
        <v>9298</v>
      </c>
      <c r="C646" s="51" t="s">
        <v>557</v>
      </c>
      <c r="D646" s="57">
        <v>44593.05813534722</v>
      </c>
    </row>
    <row r="647">
      <c r="A647" s="51" t="s">
        <v>11222</v>
      </c>
      <c r="B647" s="51" t="s">
        <v>4926</v>
      </c>
      <c r="C647" s="51" t="s">
        <v>557</v>
      </c>
      <c r="D647" s="57">
        <v>44593.066872916665</v>
      </c>
    </row>
    <row r="648">
      <c r="A648" s="51" t="s">
        <v>11222</v>
      </c>
      <c r="B648" s="51" t="s">
        <v>4926</v>
      </c>
      <c r="C648" s="51" t="s">
        <v>557</v>
      </c>
      <c r="D648" s="57">
        <v>44593.067326516204</v>
      </c>
    </row>
    <row r="649">
      <c r="A649" s="51" t="s">
        <v>11222</v>
      </c>
      <c r="B649" s="51" t="s">
        <v>4926</v>
      </c>
      <c r="C649" s="51" t="s">
        <v>557</v>
      </c>
      <c r="D649" s="57">
        <v>44593.06816570602</v>
      </c>
    </row>
    <row r="650">
      <c r="A650" s="51" t="s">
        <v>11222</v>
      </c>
      <c r="B650" s="51" t="s">
        <v>4926</v>
      </c>
      <c r="C650" s="51" t="s">
        <v>557</v>
      </c>
      <c r="D650" s="57">
        <v>44593.06840268518</v>
      </c>
    </row>
    <row r="651">
      <c r="A651" s="51" t="s">
        <v>11222</v>
      </c>
      <c r="B651" s="51" t="s">
        <v>4926</v>
      </c>
      <c r="C651" s="51" t="s">
        <v>557</v>
      </c>
      <c r="D651" s="57">
        <v>44593.06841818287</v>
      </c>
    </row>
    <row r="652">
      <c r="A652" s="51" t="s">
        <v>11222</v>
      </c>
      <c r="B652" s="51" t="s">
        <v>5809</v>
      </c>
      <c r="C652" s="51" t="s">
        <v>557</v>
      </c>
      <c r="D652" s="57">
        <v>44593.06978576389</v>
      </c>
    </row>
    <row r="653">
      <c r="A653" s="51" t="s">
        <v>11232</v>
      </c>
      <c r="B653" s="51" t="s">
        <v>6304</v>
      </c>
      <c r="C653" s="51" t="s">
        <v>84</v>
      </c>
      <c r="D653" s="57">
        <v>44593.25730252315</v>
      </c>
    </row>
    <row r="654">
      <c r="A654" s="51" t="s">
        <v>11222</v>
      </c>
      <c r="B654" s="51" t="s">
        <v>7162</v>
      </c>
      <c r="C654" s="51" t="s">
        <v>110</v>
      </c>
      <c r="D654" s="57">
        <v>44594.14266060185</v>
      </c>
    </row>
    <row r="655">
      <c r="A655" s="51" t="s">
        <v>11222</v>
      </c>
      <c r="B655" s="51" t="s">
        <v>7162</v>
      </c>
      <c r="C655" s="51" t="s">
        <v>110</v>
      </c>
      <c r="D655" s="57">
        <v>44594.14276030092</v>
      </c>
    </row>
    <row r="656">
      <c r="A656" s="51" t="s">
        <v>11222</v>
      </c>
      <c r="B656" s="51" t="s">
        <v>778</v>
      </c>
      <c r="C656" s="51" t="s">
        <v>110</v>
      </c>
      <c r="D656" s="57">
        <v>44594.14413</v>
      </c>
    </row>
    <row r="657">
      <c r="A657" s="51" t="s">
        <v>11222</v>
      </c>
      <c r="B657" s="51" t="s">
        <v>2195</v>
      </c>
      <c r="C657" s="51" t="s">
        <v>110</v>
      </c>
      <c r="D657" s="57">
        <v>44594.148788425926</v>
      </c>
    </row>
    <row r="658">
      <c r="A658" s="51" t="s">
        <v>11222</v>
      </c>
      <c r="B658" s="51" t="s">
        <v>10783</v>
      </c>
      <c r="C658" s="51" t="s">
        <v>68</v>
      </c>
      <c r="D658" s="57">
        <v>44594.15265805555</v>
      </c>
    </row>
    <row r="659">
      <c r="A659" s="51" t="s">
        <v>11222</v>
      </c>
      <c r="B659" s="51" t="s">
        <v>10783</v>
      </c>
      <c r="C659" s="51" t="s">
        <v>68</v>
      </c>
      <c r="D659" s="57">
        <v>44594.15276303241</v>
      </c>
    </row>
    <row r="660">
      <c r="A660" s="51" t="s">
        <v>11222</v>
      </c>
      <c r="B660" s="51" t="s">
        <v>778</v>
      </c>
      <c r="C660" s="51" t="s">
        <v>110</v>
      </c>
      <c r="D660" s="57">
        <v>44594.153854108794</v>
      </c>
    </row>
    <row r="661">
      <c r="A661" s="51" t="s">
        <v>11222</v>
      </c>
      <c r="B661" s="51" t="s">
        <v>5180</v>
      </c>
      <c r="C661" s="51" t="s">
        <v>110</v>
      </c>
      <c r="D661" s="57">
        <v>44595.84292039352</v>
      </c>
    </row>
    <row r="662">
      <c r="A662" s="51" t="s">
        <v>11222</v>
      </c>
      <c r="B662" s="51" t="s">
        <v>554</v>
      </c>
      <c r="C662" s="51" t="s">
        <v>557</v>
      </c>
      <c r="D662" s="57">
        <v>44596.35288643518</v>
      </c>
    </row>
    <row r="663">
      <c r="A663" s="51" t="s">
        <v>11222</v>
      </c>
      <c r="B663" s="51" t="s">
        <v>4926</v>
      </c>
      <c r="C663" s="51" t="s">
        <v>557</v>
      </c>
      <c r="D663" s="57">
        <v>44596.35371949074</v>
      </c>
    </row>
    <row r="664">
      <c r="A664" s="51" t="s">
        <v>11222</v>
      </c>
      <c r="B664" s="51" t="s">
        <v>9298</v>
      </c>
      <c r="C664" s="51" t="s">
        <v>557</v>
      </c>
      <c r="D664" s="57">
        <v>44596.37025877315</v>
      </c>
    </row>
    <row r="665">
      <c r="A665" s="51" t="s">
        <v>11222</v>
      </c>
      <c r="B665" s="51" t="s">
        <v>7295</v>
      </c>
      <c r="C665" s="51" t="s">
        <v>557</v>
      </c>
      <c r="D665" s="57">
        <v>44596.37059524306</v>
      </c>
    </row>
    <row r="666">
      <c r="A666" s="51" t="s">
        <v>11232</v>
      </c>
      <c r="B666" s="51" t="s">
        <v>4646</v>
      </c>
      <c r="C666" s="51" t="s">
        <v>216</v>
      </c>
      <c r="D666" s="57">
        <v>44600.90634349537</v>
      </c>
    </row>
    <row r="667">
      <c r="A667" s="51" t="s">
        <v>11232</v>
      </c>
      <c r="B667" s="51" t="s">
        <v>179</v>
      </c>
      <c r="C667" s="51" t="s">
        <v>165</v>
      </c>
      <c r="D667" s="57">
        <v>44600.91211269676</v>
      </c>
    </row>
    <row r="668">
      <c r="A668" s="51" t="s">
        <v>11240</v>
      </c>
      <c r="B668" s="51" t="s">
        <v>4022</v>
      </c>
      <c r="C668" s="51" t="s">
        <v>292</v>
      </c>
      <c r="D668" s="57">
        <v>44601.898540462964</v>
      </c>
    </row>
    <row r="669">
      <c r="A669" s="51" t="s">
        <v>11240</v>
      </c>
      <c r="B669" s="51" t="s">
        <v>485</v>
      </c>
      <c r="C669" s="51" t="s">
        <v>93</v>
      </c>
      <c r="D669" s="57">
        <v>44601.903626342595</v>
      </c>
    </row>
    <row r="670">
      <c r="A670" s="51" t="s">
        <v>11241</v>
      </c>
      <c r="B670" s="51" t="s">
        <v>8550</v>
      </c>
      <c r="C670" s="51" t="s">
        <v>165</v>
      </c>
      <c r="D670" s="57">
        <v>44607.92823232639</v>
      </c>
    </row>
    <row r="671">
      <c r="A671" s="51" t="s">
        <v>11232</v>
      </c>
      <c r="B671" s="51" t="s">
        <v>1537</v>
      </c>
      <c r="C671" s="51" t="s">
        <v>52</v>
      </c>
      <c r="D671" s="57">
        <v>44608.2333949537</v>
      </c>
    </row>
    <row r="672">
      <c r="A672" s="51" t="s">
        <v>11232</v>
      </c>
      <c r="B672" s="51" t="s">
        <v>882</v>
      </c>
      <c r="C672" s="51" t="s">
        <v>52</v>
      </c>
      <c r="D672" s="57">
        <v>44608.24585525463</v>
      </c>
    </row>
    <row r="673">
      <c r="A673" s="51" t="s">
        <v>11242</v>
      </c>
      <c r="B673" s="51" t="s">
        <v>10944</v>
      </c>
      <c r="C673" s="51" t="s">
        <v>84</v>
      </c>
      <c r="D673" s="57">
        <v>44608.41851762732</v>
      </c>
    </row>
    <row r="674">
      <c r="A674" s="51" t="s">
        <v>11242</v>
      </c>
      <c r="B674" s="51" t="s">
        <v>10198</v>
      </c>
      <c r="C674" s="51" t="s">
        <v>84</v>
      </c>
      <c r="D674" s="57">
        <v>44608.43012957176</v>
      </c>
    </row>
    <row r="675">
      <c r="A675" s="51" t="s">
        <v>11242</v>
      </c>
      <c r="B675" s="51" t="s">
        <v>8550</v>
      </c>
      <c r="C675" s="51" t="s">
        <v>165</v>
      </c>
      <c r="D675" s="57">
        <v>44609.9986287037</v>
      </c>
    </row>
    <row r="676">
      <c r="A676" s="51" t="s">
        <v>11232</v>
      </c>
      <c r="B676" s="51" t="s">
        <v>1782</v>
      </c>
      <c r="C676" s="51" t="s">
        <v>216</v>
      </c>
      <c r="D676" s="57">
        <v>44610.285253368056</v>
      </c>
    </row>
    <row r="677">
      <c r="A677" s="51" t="s">
        <v>11232</v>
      </c>
      <c r="B677" s="51" t="s">
        <v>817</v>
      </c>
      <c r="C677" s="51" t="s">
        <v>165</v>
      </c>
      <c r="D677" s="57">
        <v>44610.28985797454</v>
      </c>
    </row>
    <row r="678">
      <c r="A678" s="51" t="s">
        <v>11232</v>
      </c>
      <c r="B678" s="51" t="s">
        <v>817</v>
      </c>
      <c r="C678" s="51" t="s">
        <v>165</v>
      </c>
      <c r="D678" s="57">
        <v>44610.34482453704</v>
      </c>
    </row>
    <row r="679">
      <c r="A679" s="51" t="s">
        <v>11232</v>
      </c>
      <c r="B679" s="51" t="s">
        <v>2914</v>
      </c>
      <c r="C679" s="51" t="s">
        <v>165</v>
      </c>
      <c r="D679" s="57">
        <v>44610.3521512963</v>
      </c>
    </row>
    <row r="680">
      <c r="A680" s="51" t="s">
        <v>11232</v>
      </c>
      <c r="B680" s="51" t="s">
        <v>5315</v>
      </c>
      <c r="C680" s="51" t="s">
        <v>52</v>
      </c>
      <c r="D680" s="57">
        <v>44610.50940998843</v>
      </c>
    </row>
    <row r="681">
      <c r="A681" s="51" t="s">
        <v>11232</v>
      </c>
      <c r="B681" s="51" t="s">
        <v>8550</v>
      </c>
      <c r="C681" s="51" t="s">
        <v>165</v>
      </c>
      <c r="D681" s="57">
        <v>44610.961644421295</v>
      </c>
    </row>
    <row r="682">
      <c r="A682" s="51" t="s">
        <v>11243</v>
      </c>
      <c r="B682" s="51" t="s">
        <v>107</v>
      </c>
      <c r="C682" s="51" t="s">
        <v>110</v>
      </c>
      <c r="D682" s="57">
        <v>44614.015258217594</v>
      </c>
    </row>
    <row r="683">
      <c r="A683" s="51" t="s">
        <v>11243</v>
      </c>
      <c r="B683" s="51" t="s">
        <v>10874</v>
      </c>
      <c r="C683" s="51" t="s">
        <v>110</v>
      </c>
      <c r="D683" s="57">
        <v>44614.05130528935</v>
      </c>
    </row>
    <row r="684">
      <c r="A684" s="51" t="s">
        <v>11242</v>
      </c>
      <c r="B684" s="51" t="s">
        <v>4875</v>
      </c>
      <c r="C684" s="51" t="s">
        <v>68</v>
      </c>
      <c r="D684" s="57">
        <v>44614.706703344906</v>
      </c>
    </row>
    <row r="685">
      <c r="A685" s="51" t="s">
        <v>11242</v>
      </c>
      <c r="B685" s="51" t="s">
        <v>10486</v>
      </c>
      <c r="C685" s="51" t="s">
        <v>84</v>
      </c>
      <c r="D685" s="57">
        <v>44614.70735891204</v>
      </c>
    </row>
    <row r="686">
      <c r="A686" s="51" t="s">
        <v>11242</v>
      </c>
      <c r="B686" s="51" t="s">
        <v>10486</v>
      </c>
      <c r="C686" s="51" t="s">
        <v>84</v>
      </c>
      <c r="D686" s="57">
        <v>44614.707403796296</v>
      </c>
    </row>
    <row r="687">
      <c r="A687" s="51" t="s">
        <v>11242</v>
      </c>
      <c r="B687" s="51" t="s">
        <v>10043</v>
      </c>
      <c r="C687" s="51" t="s">
        <v>84</v>
      </c>
      <c r="D687" s="57">
        <v>44614.70765635416</v>
      </c>
    </row>
    <row r="688">
      <c r="A688" s="51" t="s">
        <v>11242</v>
      </c>
      <c r="B688" s="51" t="s">
        <v>10944</v>
      </c>
      <c r="C688" s="51" t="s">
        <v>84</v>
      </c>
      <c r="D688" s="57">
        <v>44614.708450694445</v>
      </c>
    </row>
    <row r="689">
      <c r="A689" s="51" t="s">
        <v>11242</v>
      </c>
      <c r="B689" s="51" t="s">
        <v>10944</v>
      </c>
      <c r="C689" s="51" t="s">
        <v>84</v>
      </c>
      <c r="D689" s="57">
        <v>44614.70846081019</v>
      </c>
    </row>
    <row r="690">
      <c r="A690" s="51" t="s">
        <v>11242</v>
      </c>
      <c r="B690" s="51" t="s">
        <v>10944</v>
      </c>
      <c r="C690" s="51" t="s">
        <v>84</v>
      </c>
      <c r="D690" s="57">
        <v>44614.710251261575</v>
      </c>
    </row>
    <row r="691">
      <c r="A691" s="51" t="s">
        <v>11243</v>
      </c>
      <c r="B691" s="51" t="s">
        <v>10456</v>
      </c>
      <c r="C691" s="51" t="s">
        <v>110</v>
      </c>
      <c r="D691" s="57">
        <v>44614.8244746875</v>
      </c>
    </row>
    <row r="692">
      <c r="A692" s="51" t="s">
        <v>11239</v>
      </c>
      <c r="B692" s="51" t="s">
        <v>10533</v>
      </c>
      <c r="C692" s="51" t="s">
        <v>25</v>
      </c>
      <c r="D692" s="57">
        <v>44615.046080740736</v>
      </c>
    </row>
    <row r="693">
      <c r="A693" s="51" t="s">
        <v>11242</v>
      </c>
      <c r="B693" s="51" t="s">
        <v>11001</v>
      </c>
      <c r="C693" s="51" t="s">
        <v>84</v>
      </c>
      <c r="D693" s="57">
        <v>44615.05613890046</v>
      </c>
    </row>
    <row r="694">
      <c r="A694" s="51" t="s">
        <v>11242</v>
      </c>
      <c r="B694" s="51" t="s">
        <v>11001</v>
      </c>
      <c r="C694" s="51" t="s">
        <v>84</v>
      </c>
      <c r="D694" s="57">
        <v>44615.058104375</v>
      </c>
    </row>
    <row r="695">
      <c r="A695" s="51" t="s">
        <v>11242</v>
      </c>
      <c r="B695" s="51" t="s">
        <v>3389</v>
      </c>
      <c r="C695" s="51" t="s">
        <v>84</v>
      </c>
      <c r="D695" s="57">
        <v>44615.059428761575</v>
      </c>
    </row>
    <row r="696">
      <c r="A696" s="51" t="s">
        <v>11239</v>
      </c>
      <c r="B696" s="51" t="s">
        <v>6048</v>
      </c>
      <c r="C696" s="51" t="s">
        <v>25</v>
      </c>
      <c r="D696" s="57">
        <v>44615.07076306713</v>
      </c>
    </row>
    <row r="697">
      <c r="A697" s="51" t="s">
        <v>11239</v>
      </c>
      <c r="B697" s="51" t="s">
        <v>8060</v>
      </c>
      <c r="C697" s="51" t="s">
        <v>25</v>
      </c>
      <c r="D697" s="57">
        <v>44615.075672465275</v>
      </c>
    </row>
    <row r="698">
      <c r="A698" s="51" t="s">
        <v>11242</v>
      </c>
      <c r="B698" s="51" t="s">
        <v>10813</v>
      </c>
      <c r="C698" s="51" t="s">
        <v>84</v>
      </c>
      <c r="D698" s="57">
        <v>44615.60997974537</v>
      </c>
    </row>
    <row r="699">
      <c r="A699" s="51" t="s">
        <v>11242</v>
      </c>
      <c r="B699" s="51" t="s">
        <v>1261</v>
      </c>
      <c r="C699" s="51" t="s">
        <v>165</v>
      </c>
      <c r="D699" s="57">
        <v>44615.87066434028</v>
      </c>
    </row>
    <row r="700">
      <c r="A700" s="51" t="s">
        <v>11242</v>
      </c>
      <c r="B700" s="51" t="s">
        <v>1261</v>
      </c>
      <c r="C700" s="51" t="s">
        <v>165</v>
      </c>
      <c r="D700" s="57">
        <v>44615.87076309028</v>
      </c>
    </row>
    <row r="701">
      <c r="A701" s="51" t="s">
        <v>11242</v>
      </c>
      <c r="B701" s="51" t="s">
        <v>1261</v>
      </c>
      <c r="C701" s="51" t="s">
        <v>165</v>
      </c>
      <c r="D701" s="57">
        <v>44615.888622997685</v>
      </c>
    </row>
    <row r="702">
      <c r="A702" s="51" t="s">
        <v>11187</v>
      </c>
      <c r="B702" s="51" t="s">
        <v>10632</v>
      </c>
      <c r="C702" s="51" t="s">
        <v>1070</v>
      </c>
      <c r="D702" s="57">
        <v>44616.06794850694</v>
      </c>
    </row>
    <row r="703">
      <c r="A703" s="51" t="s">
        <v>11221</v>
      </c>
      <c r="B703" s="51" t="s">
        <v>10721</v>
      </c>
      <c r="C703" s="51" t="s">
        <v>216</v>
      </c>
      <c r="D703" s="57">
        <v>44616.86707559028</v>
      </c>
    </row>
    <row r="704">
      <c r="A704" s="51" t="s">
        <v>11221</v>
      </c>
      <c r="B704" s="51" t="s">
        <v>8244</v>
      </c>
      <c r="C704" s="51" t="s">
        <v>216</v>
      </c>
      <c r="D704" s="57">
        <v>44616.87117196759</v>
      </c>
    </row>
    <row r="705">
      <c r="A705" s="51" t="s">
        <v>11222</v>
      </c>
      <c r="B705" s="51" t="s">
        <v>10043</v>
      </c>
      <c r="C705" s="51" t="s">
        <v>84</v>
      </c>
      <c r="D705" s="57">
        <v>44618.272114039355</v>
      </c>
    </row>
    <row r="706">
      <c r="A706" s="51" t="s">
        <v>11222</v>
      </c>
      <c r="B706" s="51" t="s">
        <v>10043</v>
      </c>
      <c r="C706" s="51" t="s">
        <v>84</v>
      </c>
      <c r="D706" s="57">
        <v>44618.27230196759</v>
      </c>
    </row>
    <row r="707">
      <c r="A707" s="51" t="s">
        <v>11222</v>
      </c>
      <c r="D707" s="57">
        <v>44618.30751813657</v>
      </c>
    </row>
    <row r="708">
      <c r="A708" s="51" t="s">
        <v>11222</v>
      </c>
      <c r="B708" s="51" t="s">
        <v>6274</v>
      </c>
      <c r="C708" s="51" t="s">
        <v>84</v>
      </c>
      <c r="D708" s="57">
        <v>44618.30784005787</v>
      </c>
    </row>
    <row r="709">
      <c r="A709" s="51" t="s">
        <v>11222</v>
      </c>
      <c r="B709" s="51" t="s">
        <v>186</v>
      </c>
      <c r="C709" s="51" t="s">
        <v>84</v>
      </c>
      <c r="D709" s="57">
        <v>44618.85864923611</v>
      </c>
    </row>
    <row r="710">
      <c r="A710" s="51" t="s">
        <v>11222</v>
      </c>
      <c r="B710" s="51" t="s">
        <v>4587</v>
      </c>
      <c r="C710" s="51" t="s">
        <v>84</v>
      </c>
      <c r="D710" s="57">
        <v>44618.85975667824</v>
      </c>
    </row>
    <row r="711">
      <c r="A711" s="51" t="s">
        <v>11222</v>
      </c>
      <c r="B711" s="51" t="s">
        <v>4587</v>
      </c>
      <c r="C711" s="51" t="s">
        <v>84</v>
      </c>
      <c r="D711" s="57">
        <v>44618.860182812496</v>
      </c>
    </row>
    <row r="712">
      <c r="A712" s="51" t="s">
        <v>11222</v>
      </c>
      <c r="B712" s="51" t="s">
        <v>4587</v>
      </c>
      <c r="C712" s="51" t="s">
        <v>84</v>
      </c>
      <c r="D712" s="57">
        <v>44618.8618816088</v>
      </c>
    </row>
    <row r="713">
      <c r="A713" s="51" t="s">
        <v>11241</v>
      </c>
      <c r="B713" s="51" t="s">
        <v>2146</v>
      </c>
      <c r="C713" s="51" t="s">
        <v>110</v>
      </c>
      <c r="D713" s="57">
        <v>44624.16799909722</v>
      </c>
    </row>
    <row r="714">
      <c r="A714" s="51" t="s">
        <v>11200</v>
      </c>
      <c r="B714" s="51" t="s">
        <v>7873</v>
      </c>
      <c r="C714" s="51" t="s">
        <v>216</v>
      </c>
      <c r="D714" s="57">
        <v>44625.22713225694</v>
      </c>
    </row>
    <row r="715">
      <c r="A715" s="51" t="s">
        <v>11232</v>
      </c>
      <c r="B715" s="51" t="s">
        <v>1878</v>
      </c>
      <c r="C715" s="51" t="s">
        <v>157</v>
      </c>
      <c r="D715" s="57">
        <v>44629.049029918984</v>
      </c>
    </row>
    <row r="716">
      <c r="A716" s="51" t="s">
        <v>11203</v>
      </c>
      <c r="B716" s="51" t="s">
        <v>3696</v>
      </c>
      <c r="C716" s="51" t="s">
        <v>517</v>
      </c>
      <c r="D716" s="57">
        <v>44629.36550846064</v>
      </c>
    </row>
    <row r="717">
      <c r="A717" s="51" t="s">
        <v>11244</v>
      </c>
      <c r="B717" s="51" t="s">
        <v>329</v>
      </c>
      <c r="C717" s="51" t="s">
        <v>25</v>
      </c>
      <c r="D717" s="57">
        <v>44629.8347027662</v>
      </c>
    </row>
    <row r="718">
      <c r="A718" s="51" t="s">
        <v>11202</v>
      </c>
      <c r="B718" s="51" t="s">
        <v>1321</v>
      </c>
      <c r="C718" s="51" t="s">
        <v>517</v>
      </c>
      <c r="D718" s="57">
        <v>44629.986999155095</v>
      </c>
    </row>
    <row r="719">
      <c r="A719" s="51" t="s">
        <v>11202</v>
      </c>
      <c r="B719" s="51" t="s">
        <v>8520</v>
      </c>
      <c r="C719" s="51" t="s">
        <v>316</v>
      </c>
      <c r="D719" s="57">
        <v>44629.98855951389</v>
      </c>
    </row>
    <row r="720">
      <c r="A720" s="51" t="s">
        <v>11202</v>
      </c>
      <c r="B720" s="51" t="s">
        <v>10207</v>
      </c>
      <c r="C720" s="51" t="s">
        <v>517</v>
      </c>
      <c r="D720" s="57">
        <v>44630.02051217592</v>
      </c>
    </row>
    <row r="721">
      <c r="A721" s="51" t="s">
        <v>11202</v>
      </c>
      <c r="B721" s="51" t="s">
        <v>1600</v>
      </c>
      <c r="C721" s="51" t="s">
        <v>316</v>
      </c>
      <c r="D721" s="57">
        <v>44630.02179262732</v>
      </c>
    </row>
    <row r="722">
      <c r="A722" s="51" t="s">
        <v>11202</v>
      </c>
      <c r="B722" s="51" t="s">
        <v>3816</v>
      </c>
      <c r="C722" s="51" t="s">
        <v>316</v>
      </c>
      <c r="D722" s="57">
        <v>44630.136637662035</v>
      </c>
    </row>
    <row r="723">
      <c r="A723" s="51" t="s">
        <v>11245</v>
      </c>
      <c r="B723" s="51" t="s">
        <v>4617</v>
      </c>
      <c r="C723" s="51" t="s">
        <v>25</v>
      </c>
      <c r="D723" s="57">
        <v>44632.24109109954</v>
      </c>
    </row>
    <row r="724">
      <c r="A724" s="51" t="s">
        <v>11245</v>
      </c>
      <c r="B724" s="51" t="s">
        <v>9514</v>
      </c>
      <c r="C724" s="51" t="s">
        <v>25</v>
      </c>
      <c r="D724" s="57">
        <v>44632.24266299768</v>
      </c>
    </row>
    <row r="725">
      <c r="A725" s="51" t="s">
        <v>11200</v>
      </c>
      <c r="B725" s="51" t="s">
        <v>3933</v>
      </c>
      <c r="C725" s="51" t="s">
        <v>517</v>
      </c>
      <c r="D725" s="57">
        <v>44634.779091840275</v>
      </c>
    </row>
    <row r="726">
      <c r="A726" s="51" t="s">
        <v>11200</v>
      </c>
      <c r="D726" s="57">
        <v>44634.77972644676</v>
      </c>
    </row>
    <row r="727">
      <c r="A727" s="51" t="s">
        <v>11200</v>
      </c>
      <c r="B727" s="51" t="s">
        <v>3816</v>
      </c>
      <c r="C727" s="51" t="s">
        <v>316</v>
      </c>
      <c r="D727" s="57">
        <v>44634.78090871528</v>
      </c>
    </row>
    <row r="728">
      <c r="A728" s="51" t="s">
        <v>11200</v>
      </c>
      <c r="B728" s="51" t="s">
        <v>3696</v>
      </c>
      <c r="C728" s="51" t="s">
        <v>517</v>
      </c>
      <c r="D728" s="57">
        <v>44634.82393503472</v>
      </c>
    </row>
    <row r="729">
      <c r="A729" s="51" t="s">
        <v>11200</v>
      </c>
      <c r="B729" s="51" t="s">
        <v>3294</v>
      </c>
      <c r="C729" s="51" t="s">
        <v>292</v>
      </c>
      <c r="D729" s="57">
        <v>44634.82572390046</v>
      </c>
    </row>
    <row r="730">
      <c r="A730" s="51" t="s">
        <v>11200</v>
      </c>
      <c r="B730" s="51" t="s">
        <v>6099</v>
      </c>
      <c r="C730" s="51" t="s">
        <v>316</v>
      </c>
      <c r="D730" s="57">
        <v>44634.82780590278</v>
      </c>
    </row>
    <row r="731">
      <c r="A731" s="51" t="s">
        <v>11232</v>
      </c>
      <c r="B731" s="51" t="s">
        <v>6575</v>
      </c>
      <c r="C731" s="51" t="s">
        <v>316</v>
      </c>
      <c r="D731" s="57">
        <v>44636.293397789355</v>
      </c>
    </row>
    <row r="732">
      <c r="A732" s="51" t="s">
        <v>11232</v>
      </c>
      <c r="B732" s="51" t="s">
        <v>7104</v>
      </c>
      <c r="C732" s="51" t="s">
        <v>517</v>
      </c>
      <c r="D732" s="57">
        <v>44636.293665185185</v>
      </c>
    </row>
    <row r="733">
      <c r="A733" s="51" t="s">
        <v>11232</v>
      </c>
      <c r="B733" s="51" t="s">
        <v>7152</v>
      </c>
      <c r="C733" s="51" t="s">
        <v>165</v>
      </c>
      <c r="D733" s="57">
        <v>44636.29419140046</v>
      </c>
    </row>
    <row r="734">
      <c r="A734" s="51" t="s">
        <v>11232</v>
      </c>
      <c r="B734" s="51" t="s">
        <v>10765</v>
      </c>
      <c r="C734" s="51" t="s">
        <v>517</v>
      </c>
      <c r="D734" s="57">
        <v>44636.29442988426</v>
      </c>
    </row>
    <row r="735">
      <c r="A735" s="51" t="s">
        <v>11193</v>
      </c>
      <c r="B735" s="51" t="s">
        <v>2166</v>
      </c>
      <c r="C735" s="51" t="s">
        <v>110</v>
      </c>
      <c r="D735" s="57">
        <v>44654.985338506944</v>
      </c>
    </row>
    <row r="736">
      <c r="A736" s="51" t="s">
        <v>11232</v>
      </c>
      <c r="B736" s="51" t="s">
        <v>4743</v>
      </c>
      <c r="C736" s="51" t="s">
        <v>517</v>
      </c>
      <c r="D736" s="57">
        <v>44655.26510304398</v>
      </c>
    </row>
    <row r="737">
      <c r="A737" s="51" t="s">
        <v>11232</v>
      </c>
      <c r="B737" s="51" t="s">
        <v>9615</v>
      </c>
      <c r="C737" s="51" t="s">
        <v>517</v>
      </c>
      <c r="D737" s="57">
        <v>44655.265942893515</v>
      </c>
    </row>
    <row r="738">
      <c r="A738" s="51" t="s">
        <v>11232</v>
      </c>
      <c r="B738" s="51" t="s">
        <v>10884</v>
      </c>
      <c r="C738" s="51" t="s">
        <v>216</v>
      </c>
      <c r="D738" s="57">
        <v>44655.275014837964</v>
      </c>
    </row>
    <row r="739">
      <c r="A739" s="51" t="s">
        <v>11246</v>
      </c>
      <c r="B739" s="51" t="s">
        <v>3687</v>
      </c>
      <c r="C739" s="51" t="s">
        <v>25</v>
      </c>
      <c r="D739" s="57">
        <v>44655.3513991088</v>
      </c>
    </row>
    <row r="740">
      <c r="A740" s="51" t="s">
        <v>11202</v>
      </c>
      <c r="B740" s="51" t="s">
        <v>1600</v>
      </c>
      <c r="C740" s="51" t="s">
        <v>316</v>
      </c>
      <c r="D740" s="57">
        <v>44657.3871588426</v>
      </c>
    </row>
    <row r="741">
      <c r="A741" s="51" t="s">
        <v>11247</v>
      </c>
      <c r="B741" s="51" t="s">
        <v>33</v>
      </c>
      <c r="C741" s="51" t="s">
        <v>25</v>
      </c>
      <c r="D741" s="57">
        <v>44657.42142854167</v>
      </c>
    </row>
    <row r="742">
      <c r="A742" s="51" t="s">
        <v>11247</v>
      </c>
      <c r="B742" s="51" t="s">
        <v>1773</v>
      </c>
      <c r="C742" s="51" t="s">
        <v>284</v>
      </c>
      <c r="D742" s="57">
        <v>44657.426657627315</v>
      </c>
    </row>
    <row r="743">
      <c r="A743" s="51" t="s">
        <v>11247</v>
      </c>
      <c r="B743" s="51" t="s">
        <v>2624</v>
      </c>
      <c r="C743" s="51" t="s">
        <v>284</v>
      </c>
      <c r="D743" s="57">
        <v>44657.97213552083</v>
      </c>
    </row>
    <row r="744">
      <c r="A744" s="51" t="s">
        <v>11247</v>
      </c>
      <c r="B744" s="51" t="s">
        <v>10973</v>
      </c>
      <c r="C744" s="51" t="s">
        <v>284</v>
      </c>
      <c r="D744" s="57">
        <v>44663.20731224537</v>
      </c>
    </row>
    <row r="745">
      <c r="A745" s="51" t="s">
        <v>11247</v>
      </c>
      <c r="B745" s="51" t="s">
        <v>11012</v>
      </c>
      <c r="C745" s="51" t="s">
        <v>25</v>
      </c>
      <c r="D745" s="57">
        <v>44663.318367569445</v>
      </c>
    </row>
    <row r="746">
      <c r="A746" s="51" t="s">
        <v>11214</v>
      </c>
      <c r="B746" s="51" t="s">
        <v>1571</v>
      </c>
      <c r="C746" s="51" t="s">
        <v>93</v>
      </c>
      <c r="D746" s="57">
        <v>44663.839157106486</v>
      </c>
    </row>
    <row r="747">
      <c r="A747" s="51" t="s">
        <v>11248</v>
      </c>
      <c r="B747" s="51" t="s">
        <v>6892</v>
      </c>
      <c r="C747" s="51" t="s">
        <v>25</v>
      </c>
      <c r="D747" s="57">
        <v>44664.71437608796</v>
      </c>
    </row>
    <row r="748">
      <c r="A748" s="51" t="s">
        <v>11248</v>
      </c>
      <c r="B748" s="51" t="s">
        <v>6150</v>
      </c>
      <c r="C748" s="51" t="s">
        <v>25</v>
      </c>
      <c r="D748" s="57">
        <v>44664.73764769676</v>
      </c>
    </row>
    <row r="749">
      <c r="A749" s="51" t="s">
        <v>11249</v>
      </c>
      <c r="B749" s="51" t="s">
        <v>1600</v>
      </c>
      <c r="C749" s="51" t="s">
        <v>316</v>
      </c>
      <c r="D749" s="57">
        <v>44669.205586041666</v>
      </c>
    </row>
    <row r="750">
      <c r="A750" s="51" t="s">
        <v>11249</v>
      </c>
      <c r="B750" s="51" t="s">
        <v>1600</v>
      </c>
      <c r="C750" s="51" t="s">
        <v>316</v>
      </c>
      <c r="D750" s="57">
        <v>44669.2148654051</v>
      </c>
    </row>
    <row r="751">
      <c r="A751" s="51" t="s">
        <v>11242</v>
      </c>
      <c r="B751" s="51" t="s">
        <v>9298</v>
      </c>
      <c r="C751" s="51" t="s">
        <v>557</v>
      </c>
      <c r="D751" s="57">
        <v>44669.77338113426</v>
      </c>
    </row>
    <row r="752">
      <c r="A752" s="51" t="s">
        <v>11200</v>
      </c>
      <c r="B752" s="51" t="s">
        <v>7873</v>
      </c>
      <c r="C752" s="51" t="s">
        <v>216</v>
      </c>
      <c r="D752" s="57">
        <v>44670.001494421296</v>
      </c>
    </row>
    <row r="753">
      <c r="A753" s="51" t="s">
        <v>11200</v>
      </c>
      <c r="B753" s="51" t="s">
        <v>7873</v>
      </c>
      <c r="C753" s="51" t="s">
        <v>216</v>
      </c>
      <c r="D753" s="57">
        <v>44670.002449374995</v>
      </c>
    </row>
    <row r="754">
      <c r="A754" s="51" t="s">
        <v>11249</v>
      </c>
      <c r="B754" s="51" t="s">
        <v>1600</v>
      </c>
      <c r="C754" s="51" t="s">
        <v>316</v>
      </c>
      <c r="D754" s="57">
        <v>44670.31007414352</v>
      </c>
    </row>
    <row r="755">
      <c r="A755" s="51" t="s">
        <v>11249</v>
      </c>
      <c r="B755" s="51" t="s">
        <v>8520</v>
      </c>
      <c r="C755" s="51" t="s">
        <v>316</v>
      </c>
      <c r="D755" s="57">
        <v>44670.31285582176</v>
      </c>
    </row>
    <row r="756">
      <c r="A756" s="51" t="s">
        <v>11249</v>
      </c>
      <c r="B756" s="51" t="s">
        <v>5101</v>
      </c>
      <c r="C756" s="51" t="s">
        <v>284</v>
      </c>
      <c r="D756" s="57">
        <v>44670.31388903935</v>
      </c>
    </row>
    <row r="757">
      <c r="A757" s="51" t="s">
        <v>11249</v>
      </c>
      <c r="B757" s="51" t="s">
        <v>5868</v>
      </c>
      <c r="C757" s="51" t="s">
        <v>316</v>
      </c>
      <c r="D757" s="57">
        <v>44670.31704033565</v>
      </c>
    </row>
    <row r="758">
      <c r="A758" s="51" t="s">
        <v>11249</v>
      </c>
      <c r="B758" s="51" t="s">
        <v>8371</v>
      </c>
      <c r="C758" s="51" t="s">
        <v>316</v>
      </c>
      <c r="D758" s="57">
        <v>44670.319741458334</v>
      </c>
    </row>
    <row r="759">
      <c r="A759" s="51" t="s">
        <v>11249</v>
      </c>
      <c r="B759" s="51" t="s">
        <v>8520</v>
      </c>
      <c r="C759" s="51" t="s">
        <v>316</v>
      </c>
      <c r="D759" s="57">
        <v>44670.32076180556</v>
      </c>
    </row>
    <row r="760">
      <c r="A760" s="51" t="s">
        <v>11249</v>
      </c>
      <c r="B760" s="51" t="s">
        <v>8911</v>
      </c>
      <c r="C760" s="51" t="s">
        <v>517</v>
      </c>
      <c r="D760" s="57">
        <v>44670.321485486114</v>
      </c>
    </row>
    <row r="761">
      <c r="A761" s="51" t="s">
        <v>11249</v>
      </c>
      <c r="B761" s="51" t="s">
        <v>1600</v>
      </c>
      <c r="C761" s="51" t="s">
        <v>316</v>
      </c>
      <c r="D761" s="57">
        <v>44670.32244939815</v>
      </c>
    </row>
    <row r="762">
      <c r="A762" s="51" t="s">
        <v>11249</v>
      </c>
      <c r="B762" s="51" t="s">
        <v>1600</v>
      </c>
      <c r="C762" s="51" t="s">
        <v>316</v>
      </c>
      <c r="D762" s="57">
        <v>44670.32380427083</v>
      </c>
    </row>
    <row r="763">
      <c r="A763" s="51" t="s">
        <v>11214</v>
      </c>
      <c r="B763" s="51" t="s">
        <v>2365</v>
      </c>
      <c r="C763" s="51" t="s">
        <v>93</v>
      </c>
      <c r="D763" s="57">
        <v>44670.84715553241</v>
      </c>
    </row>
    <row r="764">
      <c r="A764" s="51" t="s">
        <v>11214</v>
      </c>
      <c r="B764" s="51" t="s">
        <v>2566</v>
      </c>
      <c r="C764" s="51" t="s">
        <v>93</v>
      </c>
      <c r="D764" s="57">
        <v>44670.86774248842</v>
      </c>
    </row>
    <row r="765">
      <c r="A765" s="51" t="s">
        <v>11193</v>
      </c>
      <c r="B765" s="51" t="s">
        <v>360</v>
      </c>
      <c r="C765" s="51" t="s">
        <v>110</v>
      </c>
      <c r="D765" s="57">
        <v>44676.25667721065</v>
      </c>
    </row>
    <row r="766">
      <c r="A766" s="51" t="s">
        <v>11193</v>
      </c>
      <c r="B766" s="51" t="s">
        <v>5531</v>
      </c>
      <c r="C766" s="51" t="s">
        <v>110</v>
      </c>
      <c r="D766" s="57">
        <v>44676.25902125</v>
      </c>
    </row>
    <row r="767">
      <c r="A767" s="51" t="s">
        <v>11248</v>
      </c>
      <c r="B767" s="51" t="s">
        <v>10542</v>
      </c>
      <c r="C767" s="51" t="s">
        <v>25</v>
      </c>
      <c r="D767" s="57">
        <v>44676.86305678241</v>
      </c>
    </row>
    <row r="768">
      <c r="A768" s="51" t="s">
        <v>11222</v>
      </c>
      <c r="B768" s="51" t="s">
        <v>10043</v>
      </c>
      <c r="C768" s="51" t="s">
        <v>84</v>
      </c>
      <c r="D768" s="57">
        <v>44676.919127974536</v>
      </c>
    </row>
    <row r="769">
      <c r="A769" s="51" t="s">
        <v>11222</v>
      </c>
      <c r="B769" s="51" t="s">
        <v>10043</v>
      </c>
      <c r="C769" s="51" t="s">
        <v>84</v>
      </c>
      <c r="D769" s="57">
        <v>44676.91914090278</v>
      </c>
    </row>
    <row r="770">
      <c r="A770" s="51" t="s">
        <v>11222</v>
      </c>
      <c r="B770" s="51" t="s">
        <v>10043</v>
      </c>
      <c r="C770" s="51" t="s">
        <v>84</v>
      </c>
      <c r="D770" s="57">
        <v>44676.91927268518</v>
      </c>
    </row>
    <row r="771">
      <c r="A771" s="51" t="s">
        <v>11248</v>
      </c>
      <c r="B771" s="51" t="s">
        <v>9790</v>
      </c>
      <c r="C771" s="51" t="s">
        <v>25</v>
      </c>
      <c r="D771" s="57">
        <v>44676.922276446756</v>
      </c>
    </row>
    <row r="772">
      <c r="A772" s="51" t="s">
        <v>11222</v>
      </c>
      <c r="B772" s="51" t="s">
        <v>10793</v>
      </c>
      <c r="C772" s="51" t="s">
        <v>84</v>
      </c>
      <c r="D772" s="57">
        <v>44676.93994280093</v>
      </c>
    </row>
    <row r="773">
      <c r="A773" s="51" t="s">
        <v>11222</v>
      </c>
      <c r="B773" s="51" t="s">
        <v>10793</v>
      </c>
      <c r="C773" s="51" t="s">
        <v>84</v>
      </c>
      <c r="D773" s="57">
        <v>44676.93996311343</v>
      </c>
    </row>
    <row r="774">
      <c r="A774" s="51" t="s">
        <v>11250</v>
      </c>
      <c r="B774" s="51" t="s">
        <v>123</v>
      </c>
      <c r="C774" s="51" t="s">
        <v>25</v>
      </c>
      <c r="D774" s="57">
        <v>44677.16979864583</v>
      </c>
    </row>
    <row r="775">
      <c r="A775" s="51" t="s">
        <v>11250</v>
      </c>
      <c r="B775" s="51" t="s">
        <v>8031</v>
      </c>
      <c r="C775" s="51" t="s">
        <v>25</v>
      </c>
      <c r="D775" s="57">
        <v>44678.24537462963</v>
      </c>
    </row>
    <row r="776">
      <c r="A776" s="51" t="s">
        <v>11251</v>
      </c>
      <c r="B776" s="51" t="s">
        <v>9219</v>
      </c>
      <c r="C776" s="51" t="s">
        <v>6246</v>
      </c>
      <c r="D776" s="57">
        <v>44678.304075231485</v>
      </c>
    </row>
    <row r="777">
      <c r="A777" s="51" t="s">
        <v>11251</v>
      </c>
      <c r="B777" s="51" t="s">
        <v>3427</v>
      </c>
      <c r="C777" s="51" t="s">
        <v>25</v>
      </c>
      <c r="D777" s="57">
        <v>44678.97351887732</v>
      </c>
    </row>
    <row r="778">
      <c r="A778" s="51" t="s">
        <v>11232</v>
      </c>
      <c r="B778" s="51" t="s">
        <v>4646</v>
      </c>
      <c r="C778" s="51" t="s">
        <v>216</v>
      </c>
      <c r="D778" s="57">
        <v>44682.0707459838</v>
      </c>
    </row>
    <row r="779">
      <c r="A779" s="51" t="s">
        <v>11232</v>
      </c>
      <c r="B779" s="51" t="s">
        <v>4646</v>
      </c>
      <c r="C779" s="51" t="s">
        <v>216</v>
      </c>
      <c r="D779" s="57">
        <v>44682.07103319444</v>
      </c>
    </row>
    <row r="780">
      <c r="A780" s="51" t="s">
        <v>11232</v>
      </c>
      <c r="B780" s="51" t="s">
        <v>4646</v>
      </c>
      <c r="C780" s="51" t="s">
        <v>216</v>
      </c>
      <c r="D780" s="57">
        <v>44682.07159585648</v>
      </c>
    </row>
    <row r="781">
      <c r="A781" s="51" t="s">
        <v>11232</v>
      </c>
      <c r="B781" s="51" t="s">
        <v>4646</v>
      </c>
      <c r="C781" s="51" t="s">
        <v>216</v>
      </c>
      <c r="D781" s="57">
        <v>44682.07693422453</v>
      </c>
    </row>
    <row r="782">
      <c r="A782" s="51" t="s">
        <v>11232</v>
      </c>
      <c r="B782" s="51" t="s">
        <v>4646</v>
      </c>
      <c r="C782" s="51" t="s">
        <v>216</v>
      </c>
      <c r="D782" s="57">
        <v>44682.07694479167</v>
      </c>
    </row>
    <row r="783">
      <c r="A783" s="51" t="s">
        <v>11232</v>
      </c>
      <c r="B783" s="51" t="s">
        <v>4646</v>
      </c>
      <c r="C783" s="51" t="s">
        <v>216</v>
      </c>
      <c r="D783" s="57">
        <v>44682.07723924769</v>
      </c>
    </row>
    <row r="784">
      <c r="A784" s="51" t="s">
        <v>11232</v>
      </c>
      <c r="B784" s="51" t="s">
        <v>4646</v>
      </c>
      <c r="C784" s="51" t="s">
        <v>216</v>
      </c>
      <c r="D784" s="57">
        <v>44682.07725133102</v>
      </c>
    </row>
    <row r="785">
      <c r="A785" s="51" t="s">
        <v>11232</v>
      </c>
      <c r="B785" s="51" t="s">
        <v>4646</v>
      </c>
      <c r="C785" s="51" t="s">
        <v>216</v>
      </c>
      <c r="D785" s="57">
        <v>44682.07819024306</v>
      </c>
    </row>
    <row r="786">
      <c r="A786" s="51" t="s">
        <v>11232</v>
      </c>
      <c r="B786" s="51" t="s">
        <v>4646</v>
      </c>
      <c r="C786" s="51" t="s">
        <v>216</v>
      </c>
      <c r="D786" s="57">
        <v>44682.07865760417</v>
      </c>
    </row>
    <row r="787">
      <c r="A787" s="51" t="s">
        <v>11232</v>
      </c>
      <c r="B787" s="51" t="s">
        <v>4646</v>
      </c>
      <c r="C787" s="51" t="s">
        <v>216</v>
      </c>
      <c r="D787" s="57">
        <v>44682.07897883102</v>
      </c>
    </row>
    <row r="788">
      <c r="A788" s="51" t="s">
        <v>11099</v>
      </c>
      <c r="B788" s="51" t="s">
        <v>7873</v>
      </c>
      <c r="C788" s="51" t="s">
        <v>216</v>
      </c>
      <c r="D788" s="57">
        <v>44685.28275341435</v>
      </c>
    </row>
    <row r="789">
      <c r="A789" s="51" t="s">
        <v>11232</v>
      </c>
      <c r="B789" s="51" t="s">
        <v>2880</v>
      </c>
      <c r="C789" s="51" t="s">
        <v>52</v>
      </c>
      <c r="D789" s="57">
        <v>44686.23893304398</v>
      </c>
    </row>
    <row r="790">
      <c r="A790" s="51" t="s">
        <v>11252</v>
      </c>
      <c r="B790" s="51" t="s">
        <v>305</v>
      </c>
      <c r="C790" s="51" t="s">
        <v>216</v>
      </c>
      <c r="D790" s="57">
        <v>44687.90895409722</v>
      </c>
    </row>
    <row r="791">
      <c r="A791" s="51" t="s">
        <v>11252</v>
      </c>
      <c r="B791" s="51" t="s">
        <v>4916</v>
      </c>
      <c r="C791" s="51" t="s">
        <v>25</v>
      </c>
      <c r="D791" s="57">
        <v>44687.9134102199</v>
      </c>
    </row>
    <row r="792">
      <c r="A792" s="51" t="s">
        <v>11252</v>
      </c>
      <c r="B792" s="51" t="s">
        <v>1043</v>
      </c>
      <c r="C792" s="51" t="s">
        <v>110</v>
      </c>
      <c r="D792" s="57">
        <v>44688.77233989583</v>
      </c>
    </row>
    <row r="793">
      <c r="A793" s="51" t="s">
        <v>11252</v>
      </c>
      <c r="B793" s="51" t="s">
        <v>1043</v>
      </c>
      <c r="C793" s="51" t="s">
        <v>110</v>
      </c>
      <c r="D793" s="57">
        <v>44688.77779219908</v>
      </c>
    </row>
    <row r="794">
      <c r="A794" s="51" t="s">
        <v>11252</v>
      </c>
      <c r="B794" s="51" t="s">
        <v>1945</v>
      </c>
      <c r="C794" s="51" t="s">
        <v>110</v>
      </c>
      <c r="D794" s="57">
        <v>44688.78052321759</v>
      </c>
    </row>
    <row r="795">
      <c r="A795" s="51" t="s">
        <v>11252</v>
      </c>
      <c r="B795" s="51" t="s">
        <v>2850</v>
      </c>
      <c r="C795" s="51" t="s">
        <v>25</v>
      </c>
      <c r="D795" s="57">
        <v>44688.782556157406</v>
      </c>
    </row>
    <row r="796">
      <c r="A796" s="51" t="s">
        <v>11252</v>
      </c>
      <c r="B796" s="51" t="s">
        <v>4955</v>
      </c>
      <c r="C796" s="51" t="s">
        <v>517</v>
      </c>
      <c r="D796" s="57">
        <v>44688.78549755787</v>
      </c>
    </row>
    <row r="797">
      <c r="A797" s="51" t="s">
        <v>11253</v>
      </c>
      <c r="B797" s="51" t="s">
        <v>747</v>
      </c>
      <c r="C797" s="51" t="s">
        <v>110</v>
      </c>
      <c r="D797" s="57">
        <v>44692.29541276621</v>
      </c>
    </row>
    <row r="798">
      <c r="A798" s="51" t="s">
        <v>11254</v>
      </c>
      <c r="B798" s="51" t="s">
        <v>20</v>
      </c>
      <c r="C798" s="51" t="s">
        <v>25</v>
      </c>
      <c r="D798" s="57">
        <v>44692.87277368056</v>
      </c>
    </row>
    <row r="799">
      <c r="A799" s="51" t="s">
        <v>11254</v>
      </c>
      <c r="B799" s="51" t="s">
        <v>1878</v>
      </c>
      <c r="C799" s="51" t="s">
        <v>157</v>
      </c>
      <c r="D799" s="57">
        <v>44692.87459841435</v>
      </c>
    </row>
    <row r="800">
      <c r="A800" s="51" t="s">
        <v>11254</v>
      </c>
      <c r="B800" s="51" t="s">
        <v>10863</v>
      </c>
      <c r="C800" s="51" t="s">
        <v>25</v>
      </c>
      <c r="D800" s="57">
        <v>44692.88026146991</v>
      </c>
    </row>
    <row r="801">
      <c r="A801" s="51" t="s">
        <v>11254</v>
      </c>
      <c r="B801" s="51" t="s">
        <v>10121</v>
      </c>
      <c r="C801" s="51" t="s">
        <v>25</v>
      </c>
      <c r="D801" s="57">
        <v>44692.88598893519</v>
      </c>
    </row>
    <row r="802">
      <c r="A802" s="51" t="s">
        <v>11254</v>
      </c>
      <c r="B802" s="51" t="s">
        <v>7884</v>
      </c>
      <c r="C802" s="51" t="s">
        <v>165</v>
      </c>
      <c r="D802" s="57">
        <v>44692.88649252315</v>
      </c>
    </row>
    <row r="803">
      <c r="A803" s="51" t="s">
        <v>11254</v>
      </c>
      <c r="B803" s="51" t="s">
        <v>8855</v>
      </c>
      <c r="C803" s="51" t="s">
        <v>25</v>
      </c>
      <c r="D803" s="57">
        <v>44692.88765108796</v>
      </c>
    </row>
    <row r="804">
      <c r="A804" s="51" t="s">
        <v>11099</v>
      </c>
      <c r="B804" s="51" t="s">
        <v>4432</v>
      </c>
      <c r="C804" s="51" t="s">
        <v>316</v>
      </c>
      <c r="D804" s="57">
        <v>44692.92090128472</v>
      </c>
    </row>
    <row r="805">
      <c r="A805" s="51" t="s">
        <v>11099</v>
      </c>
      <c r="B805" s="51" t="s">
        <v>2897</v>
      </c>
      <c r="C805" s="51" t="s">
        <v>316</v>
      </c>
      <c r="D805" s="57">
        <v>44693.324535</v>
      </c>
    </row>
    <row r="806">
      <c r="A806" s="51" t="s">
        <v>11250</v>
      </c>
      <c r="B806" s="51" t="s">
        <v>9868</v>
      </c>
      <c r="C806" s="51" t="s">
        <v>25</v>
      </c>
      <c r="D806" s="57">
        <v>44693.44294545139</v>
      </c>
    </row>
    <row r="807">
      <c r="A807" s="51" t="s">
        <v>11250</v>
      </c>
      <c r="B807" s="51" t="s">
        <v>10611</v>
      </c>
      <c r="C807" s="51" t="s">
        <v>25</v>
      </c>
      <c r="D807" s="57">
        <v>44693.45608069444</v>
      </c>
    </row>
    <row r="808">
      <c r="A808" s="51" t="s">
        <v>11255</v>
      </c>
      <c r="B808" s="51" t="s">
        <v>7514</v>
      </c>
      <c r="C808" s="51" t="s">
        <v>25</v>
      </c>
      <c r="D808" s="57">
        <v>44694.74229869213</v>
      </c>
    </row>
    <row r="809">
      <c r="A809" s="51" t="s">
        <v>11232</v>
      </c>
      <c r="B809" s="51" t="s">
        <v>982</v>
      </c>
      <c r="C809" s="51" t="s">
        <v>68</v>
      </c>
      <c r="D809" s="57">
        <v>44696.858210555554</v>
      </c>
    </row>
    <row r="810">
      <c r="A810" s="51" t="s">
        <v>11232</v>
      </c>
      <c r="B810" s="51" t="s">
        <v>4087</v>
      </c>
      <c r="C810" s="51" t="s">
        <v>25</v>
      </c>
      <c r="D810" s="57">
        <v>44697.12754224537</v>
      </c>
    </row>
    <row r="811">
      <c r="A811" s="51" t="s">
        <v>11232</v>
      </c>
      <c r="B811" s="51" t="s">
        <v>4087</v>
      </c>
      <c r="C811" s="51" t="s">
        <v>25</v>
      </c>
      <c r="D811" s="57">
        <v>44697.12785296296</v>
      </c>
    </row>
    <row r="812">
      <c r="A812" s="51" t="s">
        <v>11232</v>
      </c>
      <c r="B812" s="51" t="s">
        <v>4666</v>
      </c>
      <c r="C812" s="51" t="s">
        <v>1410</v>
      </c>
      <c r="D812" s="57">
        <v>44697.12935564815</v>
      </c>
    </row>
    <row r="813">
      <c r="A813" s="51" t="s">
        <v>11256</v>
      </c>
      <c r="B813" s="51" t="s">
        <v>10653</v>
      </c>
      <c r="C813" s="51" t="s">
        <v>25</v>
      </c>
      <c r="D813" s="57">
        <v>44706.11495210648</v>
      </c>
    </row>
    <row r="814">
      <c r="A814" s="51" t="s">
        <v>11256</v>
      </c>
      <c r="B814" s="51" t="s">
        <v>9457</v>
      </c>
      <c r="C814" s="51" t="s">
        <v>25</v>
      </c>
      <c r="D814" s="57">
        <v>44706.12038865741</v>
      </c>
    </row>
    <row r="815">
      <c r="A815" s="51" t="s">
        <v>11256</v>
      </c>
      <c r="B815" s="51" t="s">
        <v>9027</v>
      </c>
      <c r="C815" s="51" t="s">
        <v>25</v>
      </c>
      <c r="D815" s="57">
        <v>44706.12942488426</v>
      </c>
    </row>
    <row r="816">
      <c r="A816" s="51" t="s">
        <v>11226</v>
      </c>
      <c r="B816" s="51" t="s">
        <v>1600</v>
      </c>
      <c r="C816" s="51" t="s">
        <v>316</v>
      </c>
      <c r="D816" s="57">
        <v>44706.13521034722</v>
      </c>
    </row>
    <row r="817">
      <c r="A817" s="51" t="s">
        <v>11226</v>
      </c>
      <c r="B817" s="51" t="s">
        <v>1600</v>
      </c>
      <c r="C817" s="51" t="s">
        <v>316</v>
      </c>
      <c r="D817" s="57">
        <v>44706.13731839121</v>
      </c>
    </row>
    <row r="818">
      <c r="A818" s="51" t="s">
        <v>11257</v>
      </c>
      <c r="B818" s="51" t="s">
        <v>10653</v>
      </c>
      <c r="C818" s="51" t="s">
        <v>25</v>
      </c>
      <c r="D818" s="57">
        <v>44706.15000333333</v>
      </c>
    </row>
    <row r="819">
      <c r="A819" s="51" t="s">
        <v>11257</v>
      </c>
      <c r="B819" s="51" t="s">
        <v>10653</v>
      </c>
      <c r="C819" s="51" t="s">
        <v>25</v>
      </c>
      <c r="D819" s="57">
        <v>44706.152098101855</v>
      </c>
    </row>
    <row r="820">
      <c r="A820" s="51" t="s">
        <v>11257</v>
      </c>
      <c r="B820" s="51" t="s">
        <v>10653</v>
      </c>
      <c r="C820" s="51" t="s">
        <v>25</v>
      </c>
      <c r="D820" s="57">
        <v>44706.155188125005</v>
      </c>
    </row>
    <row r="821">
      <c r="A821" s="51" t="s">
        <v>11258</v>
      </c>
      <c r="B821" s="51" t="s">
        <v>10653</v>
      </c>
      <c r="C821" s="51" t="s">
        <v>25</v>
      </c>
      <c r="D821" s="57">
        <v>44706.30087782408</v>
      </c>
    </row>
    <row r="822">
      <c r="A822" s="51" t="s">
        <v>11258</v>
      </c>
      <c r="B822" s="51" t="s">
        <v>7135</v>
      </c>
      <c r="C822" s="51" t="s">
        <v>25</v>
      </c>
      <c r="D822" s="57">
        <v>44706.30398690973</v>
      </c>
    </row>
    <row r="823">
      <c r="A823" s="51" t="s">
        <v>11187</v>
      </c>
      <c r="B823" s="51" t="s">
        <v>10553</v>
      </c>
      <c r="C823" s="51" t="s">
        <v>1070</v>
      </c>
      <c r="D823" s="57">
        <v>44707.226361099536</v>
      </c>
    </row>
    <row r="824">
      <c r="A824" s="51" t="s">
        <v>11219</v>
      </c>
      <c r="B824" s="51" t="s">
        <v>5190</v>
      </c>
      <c r="C824" s="51" t="s">
        <v>84</v>
      </c>
      <c r="D824" s="57">
        <v>44712.89071319444</v>
      </c>
    </row>
    <row r="825">
      <c r="A825" s="51" t="s">
        <v>11219</v>
      </c>
      <c r="B825" s="51" t="s">
        <v>967</v>
      </c>
      <c r="C825" s="51" t="s">
        <v>316</v>
      </c>
      <c r="D825" s="57">
        <v>44712.90201243055</v>
      </c>
    </row>
    <row r="826">
      <c r="A826" s="51" t="s">
        <v>11208</v>
      </c>
      <c r="B826" s="51" t="s">
        <v>10732</v>
      </c>
      <c r="C826" s="51" t="s">
        <v>93</v>
      </c>
      <c r="D826" s="57">
        <v>44712.95324883102</v>
      </c>
    </row>
    <row r="827">
      <c r="A827" s="51" t="s">
        <v>11219</v>
      </c>
      <c r="B827" s="51" t="s">
        <v>2500</v>
      </c>
      <c r="C827" s="51" t="s">
        <v>316</v>
      </c>
      <c r="D827" s="57">
        <v>44712.983042395834</v>
      </c>
    </row>
    <row r="828">
      <c r="A828" s="51" t="s">
        <v>11219</v>
      </c>
      <c r="B828" s="51" t="s">
        <v>6766</v>
      </c>
      <c r="C828" s="51" t="s">
        <v>292</v>
      </c>
      <c r="D828" s="57">
        <v>44712.98459064815</v>
      </c>
    </row>
    <row r="829">
      <c r="A829" s="51" t="s">
        <v>11219</v>
      </c>
      <c r="B829" s="51" t="s">
        <v>3082</v>
      </c>
      <c r="C829" s="51" t="s">
        <v>25</v>
      </c>
      <c r="D829" s="57">
        <v>44712.98487240741</v>
      </c>
    </row>
    <row r="830">
      <c r="A830" s="51" t="s">
        <v>11259</v>
      </c>
      <c r="B830" s="51" t="s">
        <v>4367</v>
      </c>
      <c r="C830" s="51" t="s">
        <v>1070</v>
      </c>
      <c r="D830" s="57">
        <v>44714.14839638889</v>
      </c>
    </row>
    <row r="831">
      <c r="A831" s="51" t="s">
        <v>11259</v>
      </c>
      <c r="B831" s="51" t="s">
        <v>7834</v>
      </c>
      <c r="C831" s="51" t="s">
        <v>517</v>
      </c>
      <c r="D831" s="57">
        <v>44714.15347100694</v>
      </c>
    </row>
    <row r="832">
      <c r="A832" s="51" t="s">
        <v>11208</v>
      </c>
      <c r="B832" s="51" t="s">
        <v>10732</v>
      </c>
      <c r="C832" s="51" t="s">
        <v>93</v>
      </c>
      <c r="D832" s="57">
        <v>44714.859229270834</v>
      </c>
    </row>
    <row r="833">
      <c r="A833" s="51" t="s">
        <v>11208</v>
      </c>
      <c r="B833" s="51" t="s">
        <v>9545</v>
      </c>
      <c r="C833" s="51" t="s">
        <v>165</v>
      </c>
      <c r="D833" s="57">
        <v>44714.860504375</v>
      </c>
    </row>
    <row r="834">
      <c r="A834" s="51" t="s">
        <v>11208</v>
      </c>
      <c r="B834" s="51" t="s">
        <v>10553</v>
      </c>
      <c r="C834" s="51" t="s">
        <v>1070</v>
      </c>
      <c r="D834" s="57">
        <v>44714.861133831015</v>
      </c>
    </row>
    <row r="835">
      <c r="A835" s="51" t="s">
        <v>11208</v>
      </c>
      <c r="B835" s="51" t="s">
        <v>10236</v>
      </c>
      <c r="C835" s="51" t="s">
        <v>165</v>
      </c>
      <c r="D835" s="57">
        <v>44714.8616777662</v>
      </c>
    </row>
    <row r="836">
      <c r="A836" s="51" t="s">
        <v>11208</v>
      </c>
      <c r="B836" s="51" t="s">
        <v>10073</v>
      </c>
      <c r="C836" s="51" t="s">
        <v>25</v>
      </c>
      <c r="D836" s="57">
        <v>44714.86245490741</v>
      </c>
    </row>
    <row r="837">
      <c r="A837" s="51" t="s">
        <v>11208</v>
      </c>
      <c r="B837" s="51" t="s">
        <v>9771</v>
      </c>
      <c r="C837" s="51" t="s">
        <v>165</v>
      </c>
      <c r="D837" s="57">
        <v>44714.863263067135</v>
      </c>
    </row>
    <row r="838">
      <c r="A838" s="51" t="s">
        <v>11256</v>
      </c>
      <c r="B838" s="51" t="s">
        <v>6264</v>
      </c>
      <c r="C838" s="51" t="s">
        <v>25</v>
      </c>
      <c r="D838" s="57">
        <v>44720.82096719908</v>
      </c>
    </row>
    <row r="839">
      <c r="A839" s="51" t="s">
        <v>11256</v>
      </c>
      <c r="B839" s="51" t="s">
        <v>10514</v>
      </c>
      <c r="C839" s="51" t="s">
        <v>84</v>
      </c>
      <c r="D839" s="57">
        <v>44720.82343493056</v>
      </c>
    </row>
    <row r="840">
      <c r="A840" s="51" t="s">
        <v>11256</v>
      </c>
      <c r="B840" s="51" t="s">
        <v>10514</v>
      </c>
      <c r="C840" s="51" t="s">
        <v>84</v>
      </c>
      <c r="D840" s="57">
        <v>44720.824515775465</v>
      </c>
    </row>
    <row r="841">
      <c r="A841" s="51" t="s">
        <v>11256</v>
      </c>
      <c r="B841" s="51" t="s">
        <v>1113</v>
      </c>
      <c r="C841" s="51" t="s">
        <v>216</v>
      </c>
      <c r="D841" s="57">
        <v>44720.83045395833</v>
      </c>
    </row>
    <row r="842">
      <c r="A842" s="51" t="s">
        <v>11256</v>
      </c>
      <c r="B842" s="51" t="s">
        <v>10476</v>
      </c>
      <c r="C842" s="51" t="s">
        <v>84</v>
      </c>
      <c r="D842" s="57">
        <v>44720.83187597222</v>
      </c>
    </row>
    <row r="843">
      <c r="A843" s="51" t="s">
        <v>11256</v>
      </c>
      <c r="B843" s="51" t="s">
        <v>8804</v>
      </c>
      <c r="C843" s="51" t="s">
        <v>216</v>
      </c>
      <c r="D843" s="57">
        <v>44720.83350140046</v>
      </c>
    </row>
    <row r="844">
      <c r="A844" s="51" t="s">
        <v>11219</v>
      </c>
      <c r="B844" s="51" t="s">
        <v>8510</v>
      </c>
      <c r="C844" s="51" t="s">
        <v>1410</v>
      </c>
      <c r="D844" s="57">
        <v>44725.25586226852</v>
      </c>
    </row>
    <row r="845">
      <c r="A845" s="51" t="s">
        <v>11215</v>
      </c>
      <c r="B845" s="51" t="s">
        <v>9308</v>
      </c>
      <c r="C845" s="51" t="s">
        <v>25</v>
      </c>
      <c r="D845" s="57">
        <v>44726.1466644676</v>
      </c>
    </row>
    <row r="846">
      <c r="A846" s="51" t="s">
        <v>11215</v>
      </c>
      <c r="B846" s="51" t="s">
        <v>10673</v>
      </c>
      <c r="C846" s="51" t="s">
        <v>25</v>
      </c>
      <c r="D846" s="57">
        <v>44726.14778293981</v>
      </c>
    </row>
    <row r="847">
      <c r="A847" s="51" t="s">
        <v>11238</v>
      </c>
      <c r="B847" s="51" t="s">
        <v>9056</v>
      </c>
      <c r="C847" s="51" t="s">
        <v>216</v>
      </c>
      <c r="D847" s="57">
        <v>44726.39665652778</v>
      </c>
    </row>
    <row r="848">
      <c r="A848" s="51" t="s">
        <v>11243</v>
      </c>
      <c r="B848" s="51" t="s">
        <v>7806</v>
      </c>
      <c r="C848" s="51" t="s">
        <v>110</v>
      </c>
      <c r="D848" s="57">
        <v>44726.55853755787</v>
      </c>
    </row>
    <row r="849">
      <c r="A849" s="51" t="s">
        <v>11214</v>
      </c>
      <c r="B849" s="51" t="s">
        <v>2880</v>
      </c>
      <c r="C849" s="51" t="s">
        <v>52</v>
      </c>
      <c r="D849" s="57">
        <v>44732.12447679398</v>
      </c>
    </row>
    <row r="850">
      <c r="A850" s="51" t="s">
        <v>11214</v>
      </c>
      <c r="B850" s="51" t="s">
        <v>193</v>
      </c>
      <c r="C850" s="51" t="s">
        <v>84</v>
      </c>
      <c r="D850" s="57">
        <v>44732.12667614583</v>
      </c>
    </row>
    <row r="851">
      <c r="A851" s="51" t="s">
        <v>11214</v>
      </c>
      <c r="B851" s="51" t="s">
        <v>1878</v>
      </c>
      <c r="C851" s="51" t="s">
        <v>157</v>
      </c>
      <c r="D851" s="57">
        <v>44732.296089814816</v>
      </c>
    </row>
    <row r="852">
      <c r="A852" s="51" t="s">
        <v>11214</v>
      </c>
      <c r="B852" s="51" t="s">
        <v>1878</v>
      </c>
      <c r="C852" s="51" t="s">
        <v>157</v>
      </c>
      <c r="D852" s="57">
        <v>44732.29621346065</v>
      </c>
    </row>
    <row r="853">
      <c r="A853" s="51" t="s">
        <v>11214</v>
      </c>
      <c r="B853" s="51" t="s">
        <v>2127</v>
      </c>
      <c r="C853" s="51" t="s">
        <v>68</v>
      </c>
      <c r="D853" s="57">
        <v>44732.30869288194</v>
      </c>
    </row>
    <row r="854">
      <c r="A854" s="51" t="s">
        <v>11260</v>
      </c>
      <c r="B854" s="51" t="s">
        <v>10874</v>
      </c>
      <c r="C854" s="51" t="s">
        <v>110</v>
      </c>
      <c r="D854" s="57">
        <v>44733.88129733797</v>
      </c>
    </row>
    <row r="855">
      <c r="A855" s="51" t="s">
        <v>11260</v>
      </c>
      <c r="B855" s="51" t="s">
        <v>5907</v>
      </c>
      <c r="C855" s="51" t="s">
        <v>110</v>
      </c>
      <c r="D855" s="57">
        <v>44733.88624090278</v>
      </c>
    </row>
    <row r="856">
      <c r="A856" s="51" t="s">
        <v>11260</v>
      </c>
      <c r="B856" s="51" t="s">
        <v>6019</v>
      </c>
      <c r="C856" s="51" t="s">
        <v>110</v>
      </c>
      <c r="D856" s="57">
        <v>44733.88871251157</v>
      </c>
    </row>
    <row r="857">
      <c r="A857" s="51" t="s">
        <v>11261</v>
      </c>
      <c r="B857" s="51" t="s">
        <v>7035</v>
      </c>
      <c r="C857" s="51" t="s">
        <v>284</v>
      </c>
      <c r="D857" s="57">
        <v>44734.21600613426</v>
      </c>
    </row>
    <row r="858">
      <c r="A858" s="51" t="s">
        <v>11261</v>
      </c>
      <c r="B858" s="51" t="s">
        <v>8765</v>
      </c>
      <c r="C858" s="51" t="s">
        <v>110</v>
      </c>
      <c r="D858" s="57">
        <v>44734.217521377315</v>
      </c>
    </row>
    <row r="859">
      <c r="A859" s="51" t="s">
        <v>11261</v>
      </c>
      <c r="B859" s="51" t="s">
        <v>747</v>
      </c>
      <c r="C859" s="51" t="s">
        <v>110</v>
      </c>
      <c r="D859" s="57">
        <v>44734.219290775465</v>
      </c>
    </row>
    <row r="860">
      <c r="A860" s="51" t="s">
        <v>11261</v>
      </c>
      <c r="B860" s="51" t="s">
        <v>9277</v>
      </c>
      <c r="C860" s="51" t="s">
        <v>110</v>
      </c>
      <c r="D860" s="57">
        <v>44734.22063422453</v>
      </c>
    </row>
    <row r="861">
      <c r="A861" s="51" t="s">
        <v>11261</v>
      </c>
      <c r="B861" s="51" t="s">
        <v>10456</v>
      </c>
      <c r="C861" s="51" t="s">
        <v>110</v>
      </c>
      <c r="D861" s="57">
        <v>44734.22202508102</v>
      </c>
    </row>
    <row r="862">
      <c r="A862" s="51" t="s">
        <v>11261</v>
      </c>
      <c r="B862" s="51" t="s">
        <v>10327</v>
      </c>
      <c r="C862" s="51" t="s">
        <v>110</v>
      </c>
      <c r="D862" s="57">
        <v>44734.22429295139</v>
      </c>
    </row>
    <row r="863">
      <c r="A863" s="51" t="s">
        <v>11261</v>
      </c>
      <c r="B863" s="51" t="s">
        <v>9888</v>
      </c>
      <c r="C863" s="51" t="s">
        <v>110</v>
      </c>
      <c r="D863" s="57">
        <v>44735.105371840276</v>
      </c>
    </row>
    <row r="864">
      <c r="A864" s="51" t="s">
        <v>11234</v>
      </c>
      <c r="B864" s="51" t="s">
        <v>5770</v>
      </c>
      <c r="C864" s="51" t="s">
        <v>25</v>
      </c>
      <c r="D864" s="57">
        <v>44735.23025961805</v>
      </c>
    </row>
    <row r="865">
      <c r="A865" s="51" t="s">
        <v>11234</v>
      </c>
      <c r="B865" s="51" t="s">
        <v>10973</v>
      </c>
      <c r="C865" s="51" t="s">
        <v>284</v>
      </c>
      <c r="D865" s="57">
        <v>44735.23491890046</v>
      </c>
    </row>
    <row r="866">
      <c r="A866" s="51" t="s">
        <v>11234</v>
      </c>
      <c r="B866" s="51" t="s">
        <v>9027</v>
      </c>
      <c r="C866" s="51" t="s">
        <v>25</v>
      </c>
      <c r="D866" s="57">
        <v>44735.2365044676</v>
      </c>
    </row>
    <row r="867">
      <c r="A867" s="51" t="s">
        <v>11234</v>
      </c>
      <c r="B867" s="51" t="s">
        <v>9027</v>
      </c>
      <c r="C867" s="51" t="s">
        <v>25</v>
      </c>
      <c r="D867" s="57">
        <v>44735.23900269676</v>
      </c>
    </row>
    <row r="868">
      <c r="A868" s="51" t="s">
        <v>11234</v>
      </c>
      <c r="B868" s="51" t="s">
        <v>10383</v>
      </c>
      <c r="C868" s="51" t="s">
        <v>25</v>
      </c>
      <c r="D868" s="57">
        <v>44735.23962674769</v>
      </c>
    </row>
    <row r="869">
      <c r="A869" s="51" t="s">
        <v>11234</v>
      </c>
      <c r="B869" s="51" t="s">
        <v>8177</v>
      </c>
      <c r="C869" s="51" t="s">
        <v>25</v>
      </c>
      <c r="D869" s="57">
        <v>44735.24430332176</v>
      </c>
    </row>
    <row r="870">
      <c r="A870" s="51" t="s">
        <v>11260</v>
      </c>
      <c r="B870" s="51" t="s">
        <v>7524</v>
      </c>
      <c r="C870" s="51" t="s">
        <v>110</v>
      </c>
      <c r="D870" s="57">
        <v>44741.26829502315</v>
      </c>
    </row>
    <row r="871">
      <c r="A871" s="51" t="s">
        <v>11262</v>
      </c>
      <c r="B871" s="51" t="s">
        <v>10653</v>
      </c>
      <c r="C871" s="51" t="s">
        <v>25</v>
      </c>
      <c r="D871" s="57">
        <v>44742.27073880787</v>
      </c>
    </row>
    <row r="872">
      <c r="A872" s="51" t="s">
        <v>11262</v>
      </c>
      <c r="B872" s="51" t="s">
        <v>7594</v>
      </c>
      <c r="C872" s="51" t="s">
        <v>25</v>
      </c>
      <c r="D872" s="57">
        <v>44742.27543703704</v>
      </c>
    </row>
    <row r="873">
      <c r="A873" s="51" t="s">
        <v>11262</v>
      </c>
      <c r="B873" s="51" t="s">
        <v>8362</v>
      </c>
      <c r="C873" s="51" t="s">
        <v>25</v>
      </c>
      <c r="D873" s="57">
        <v>44742.27900090278</v>
      </c>
    </row>
    <row r="874">
      <c r="A874" s="51" t="s">
        <v>11187</v>
      </c>
      <c r="B874" s="51" t="s">
        <v>9399</v>
      </c>
      <c r="C874" s="51" t="s">
        <v>165</v>
      </c>
      <c r="D874" s="57">
        <v>44757.82768832176</v>
      </c>
    </row>
    <row r="875">
      <c r="A875" s="51" t="s">
        <v>11260</v>
      </c>
      <c r="B875" s="51" t="s">
        <v>10456</v>
      </c>
      <c r="C875" s="51" t="s">
        <v>110</v>
      </c>
      <c r="D875" s="57">
        <v>44762.248586875</v>
      </c>
    </row>
    <row r="876">
      <c r="A876" s="51" t="s">
        <v>11187</v>
      </c>
      <c r="B876" s="51" t="s">
        <v>10542</v>
      </c>
      <c r="C876" s="51" t="s">
        <v>25</v>
      </c>
      <c r="D876" s="57">
        <v>44778.39691668982</v>
      </c>
    </row>
    <row r="877">
      <c r="A877" s="51" t="s">
        <v>11232</v>
      </c>
      <c r="B877" s="51" t="s">
        <v>3477</v>
      </c>
      <c r="C877" s="51" t="s">
        <v>1070</v>
      </c>
      <c r="D877" s="57">
        <v>44781.82322497685</v>
      </c>
    </row>
    <row r="878">
      <c r="A878" s="51" t="s">
        <v>11187</v>
      </c>
      <c r="B878" s="51" t="s">
        <v>8855</v>
      </c>
      <c r="C878" s="51" t="s">
        <v>25</v>
      </c>
      <c r="D878" s="57">
        <v>44784.21245748842</v>
      </c>
    </row>
    <row r="879">
      <c r="A879" s="51" t="s">
        <v>11232</v>
      </c>
      <c r="B879" s="51" t="s">
        <v>10141</v>
      </c>
      <c r="C879" s="51" t="s">
        <v>84</v>
      </c>
      <c r="D879" s="57">
        <v>44797.83420832176</v>
      </c>
    </row>
    <row r="880">
      <c r="A880" s="51" t="s">
        <v>11232</v>
      </c>
      <c r="B880" s="51" t="s">
        <v>10141</v>
      </c>
      <c r="C880" s="51" t="s">
        <v>84</v>
      </c>
      <c r="D880" s="57">
        <v>44797.83483140046</v>
      </c>
    </row>
    <row r="881">
      <c r="A881" s="51" t="s">
        <v>11222</v>
      </c>
      <c r="B881" s="51" t="s">
        <v>10476</v>
      </c>
      <c r="C881" s="51" t="s">
        <v>84</v>
      </c>
      <c r="D881" s="57">
        <v>44798.33152086806</v>
      </c>
    </row>
    <row r="882">
      <c r="A882" s="51" t="s">
        <v>11222</v>
      </c>
      <c r="B882" s="51" t="s">
        <v>10602</v>
      </c>
      <c r="C882" s="51" t="s">
        <v>84</v>
      </c>
      <c r="D882" s="57">
        <v>44798.33278202546</v>
      </c>
    </row>
    <row r="883">
      <c r="A883" s="51" t="s">
        <v>11222</v>
      </c>
      <c r="B883" s="51" t="s">
        <v>10102</v>
      </c>
      <c r="C883" s="51" t="s">
        <v>84</v>
      </c>
      <c r="D883" s="57">
        <v>44798.336723472225</v>
      </c>
    </row>
    <row r="884">
      <c r="A884" s="51" t="s">
        <v>11222</v>
      </c>
      <c r="B884" s="51" t="s">
        <v>10102</v>
      </c>
      <c r="C884" s="51" t="s">
        <v>84</v>
      </c>
      <c r="D884" s="57">
        <v>44798.33683476852</v>
      </c>
    </row>
    <row r="885">
      <c r="A885" s="51" t="s">
        <v>11222</v>
      </c>
      <c r="B885" s="51" t="s">
        <v>10944</v>
      </c>
      <c r="C885" s="51" t="s">
        <v>84</v>
      </c>
      <c r="D885" s="57">
        <v>44798.33970960648</v>
      </c>
    </row>
    <row r="886">
      <c r="A886" s="51" t="s">
        <v>11187</v>
      </c>
      <c r="B886" s="51" t="s">
        <v>8592</v>
      </c>
      <c r="C886" s="51" t="s">
        <v>25</v>
      </c>
      <c r="D886" s="57">
        <v>44800.40420831018</v>
      </c>
    </row>
    <row r="887">
      <c r="A887" s="51" t="s">
        <v>11187</v>
      </c>
      <c r="B887" s="51" t="s">
        <v>8695</v>
      </c>
      <c r="C887" s="51" t="s">
        <v>25</v>
      </c>
      <c r="D887" s="57">
        <v>44800.40750756944</v>
      </c>
    </row>
    <row r="888">
      <c r="A888" s="51" t="s">
        <v>11263</v>
      </c>
      <c r="B888" s="51" t="s">
        <v>9790</v>
      </c>
      <c r="C888" s="51" t="s">
        <v>25</v>
      </c>
      <c r="D888" s="57">
        <v>44806.01041403935</v>
      </c>
    </row>
    <row r="889">
      <c r="A889" s="51" t="s">
        <v>11263</v>
      </c>
      <c r="B889" s="51" t="s">
        <v>9790</v>
      </c>
      <c r="C889" s="51" t="s">
        <v>25</v>
      </c>
      <c r="D889" s="57">
        <v>44806.01074247685</v>
      </c>
    </row>
    <row r="890">
      <c r="A890" s="51" t="s">
        <v>11263</v>
      </c>
      <c r="B890" s="51" t="s">
        <v>7553</v>
      </c>
      <c r="C890" s="51" t="s">
        <v>25</v>
      </c>
      <c r="D890" s="57">
        <v>44806.021351284726</v>
      </c>
    </row>
    <row r="891">
      <c r="A891" s="51" t="s">
        <v>11263</v>
      </c>
      <c r="B891" s="51" t="s">
        <v>3613</v>
      </c>
      <c r="C891" s="51" t="s">
        <v>25</v>
      </c>
      <c r="D891" s="57">
        <v>44806.02348498843</v>
      </c>
    </row>
    <row r="892">
      <c r="A892" s="51" t="s">
        <v>11191</v>
      </c>
      <c r="B892" s="51" t="s">
        <v>1600</v>
      </c>
      <c r="C892" s="51" t="s">
        <v>316</v>
      </c>
      <c r="D892" s="57">
        <v>44808.93600027778</v>
      </c>
    </row>
    <row r="893">
      <c r="A893" s="51" t="s">
        <v>11191</v>
      </c>
      <c r="B893" s="51" t="s">
        <v>3409</v>
      </c>
      <c r="C893" s="51" t="s">
        <v>84</v>
      </c>
      <c r="D893" s="57">
        <v>44809.12474585648</v>
      </c>
    </row>
    <row r="894">
      <c r="A894" s="51" t="s">
        <v>11208</v>
      </c>
      <c r="B894" s="51" t="s">
        <v>10553</v>
      </c>
      <c r="C894" s="51" t="s">
        <v>1070</v>
      </c>
      <c r="D894" s="57">
        <v>44811.92071423611</v>
      </c>
    </row>
    <row r="895">
      <c r="A895" s="51" t="s">
        <v>11232</v>
      </c>
      <c r="B895" s="51" t="s">
        <v>3477</v>
      </c>
      <c r="C895" s="51" t="s">
        <v>1070</v>
      </c>
      <c r="D895" s="57">
        <v>44812.85651619213</v>
      </c>
    </row>
    <row r="896">
      <c r="A896" s="51" t="s">
        <v>11200</v>
      </c>
      <c r="B896" s="51" t="s">
        <v>8510</v>
      </c>
      <c r="C896" s="51" t="s">
        <v>1410</v>
      </c>
      <c r="D896" s="57">
        <v>44813.26961030092</v>
      </c>
    </row>
    <row r="897">
      <c r="A897" s="51" t="s">
        <v>11264</v>
      </c>
      <c r="B897" s="51" t="s">
        <v>1372</v>
      </c>
      <c r="C897" s="51" t="s">
        <v>165</v>
      </c>
      <c r="D897" s="57">
        <v>44813.8613587963</v>
      </c>
    </row>
    <row r="898">
      <c r="A898" s="51" t="s">
        <v>11265</v>
      </c>
      <c r="B898" s="51" t="s">
        <v>9679</v>
      </c>
      <c r="C898" s="51" t="s">
        <v>25</v>
      </c>
      <c r="D898" s="57">
        <v>44814.87426780093</v>
      </c>
    </row>
    <row r="899">
      <c r="A899" s="51" t="s">
        <v>11266</v>
      </c>
      <c r="B899" s="51" t="s">
        <v>1487</v>
      </c>
      <c r="C899" s="51" t="s">
        <v>84</v>
      </c>
      <c r="D899" s="57">
        <v>44814.8762890162</v>
      </c>
    </row>
    <row r="900">
      <c r="A900" s="51" t="s">
        <v>11266</v>
      </c>
      <c r="B900" s="51" t="s">
        <v>2766</v>
      </c>
      <c r="C900" s="51" t="s">
        <v>84</v>
      </c>
      <c r="D900" s="57">
        <v>44814.87837826389</v>
      </c>
    </row>
    <row r="901">
      <c r="A901" s="51" t="s">
        <v>11266</v>
      </c>
      <c r="B901" s="51" t="s">
        <v>3331</v>
      </c>
      <c r="C901" s="51" t="s">
        <v>84</v>
      </c>
      <c r="D901" s="57">
        <v>44814.900119756945</v>
      </c>
    </row>
    <row r="902">
      <c r="A902" s="51" t="s">
        <v>11264</v>
      </c>
      <c r="B902" s="51" t="s">
        <v>3322</v>
      </c>
      <c r="C902" s="51" t="s">
        <v>1070</v>
      </c>
      <c r="D902" s="57">
        <v>44816.751529444446</v>
      </c>
    </row>
    <row r="903">
      <c r="A903" s="51" t="s">
        <v>11264</v>
      </c>
      <c r="B903" s="51" t="s">
        <v>3322</v>
      </c>
      <c r="C903" s="51" t="s">
        <v>1070</v>
      </c>
      <c r="D903" s="57">
        <v>44816.759820127314</v>
      </c>
    </row>
    <row r="904">
      <c r="A904" s="51" t="s">
        <v>11264</v>
      </c>
      <c r="B904" s="51" t="s">
        <v>9545</v>
      </c>
      <c r="C904" s="51" t="s">
        <v>165</v>
      </c>
      <c r="D904" s="57">
        <v>44816.781433807875</v>
      </c>
    </row>
    <row r="905">
      <c r="A905" s="51" t="s">
        <v>11234</v>
      </c>
      <c r="B905" s="51" t="s">
        <v>10188</v>
      </c>
      <c r="C905" s="51" t="s">
        <v>165</v>
      </c>
      <c r="D905" s="57">
        <v>44817.07164940972</v>
      </c>
    </row>
    <row r="906">
      <c r="A906" s="51" t="s">
        <v>11234</v>
      </c>
      <c r="B906" s="51" t="s">
        <v>5858</v>
      </c>
      <c r="C906" s="51" t="s">
        <v>25</v>
      </c>
      <c r="D906" s="57">
        <v>44817.150186643514</v>
      </c>
    </row>
    <row r="907">
      <c r="A907" s="51" t="s">
        <v>11234</v>
      </c>
      <c r="B907" s="51" t="s">
        <v>9868</v>
      </c>
      <c r="C907" s="51" t="s">
        <v>25</v>
      </c>
      <c r="D907" s="57">
        <v>44817.16448255787</v>
      </c>
    </row>
    <row r="908">
      <c r="A908" s="51" t="s">
        <v>11253</v>
      </c>
      <c r="B908" s="51" t="s">
        <v>732</v>
      </c>
      <c r="C908" s="51" t="s">
        <v>157</v>
      </c>
      <c r="D908" s="57">
        <v>44817.3286047338</v>
      </c>
    </row>
    <row r="909">
      <c r="A909" s="51" t="s">
        <v>11204</v>
      </c>
      <c r="B909" s="51" t="s">
        <v>10553</v>
      </c>
      <c r="C909" s="51" t="s">
        <v>1070</v>
      </c>
      <c r="D909" s="57">
        <v>44818.11306122685</v>
      </c>
    </row>
    <row r="910">
      <c r="A910" s="51" t="s">
        <v>11204</v>
      </c>
      <c r="B910" s="51" t="s">
        <v>10236</v>
      </c>
      <c r="C910" s="51" t="s">
        <v>165</v>
      </c>
      <c r="D910" s="57">
        <v>44818.11785627315</v>
      </c>
    </row>
    <row r="911">
      <c r="A911" s="51" t="s">
        <v>11255</v>
      </c>
      <c r="B911" s="51" t="s">
        <v>8069</v>
      </c>
      <c r="C911" s="51" t="s">
        <v>25</v>
      </c>
      <c r="D911" s="57">
        <v>44820.101441122686</v>
      </c>
    </row>
    <row r="912">
      <c r="A912" s="51" t="s">
        <v>11255</v>
      </c>
      <c r="B912" s="51" t="s">
        <v>8226</v>
      </c>
      <c r="C912" s="51" t="s">
        <v>25</v>
      </c>
      <c r="D912" s="57">
        <v>44820.26525009259</v>
      </c>
    </row>
    <row r="913">
      <c r="A913" s="51" t="s">
        <v>11267</v>
      </c>
      <c r="B913" s="51" t="s">
        <v>123</v>
      </c>
      <c r="C913" s="51" t="s">
        <v>25</v>
      </c>
      <c r="D913" s="57">
        <v>44820.86368297454</v>
      </c>
    </row>
    <row r="914">
      <c r="A914" s="51" t="s">
        <v>11264</v>
      </c>
      <c r="B914" s="51" t="s">
        <v>10983</v>
      </c>
      <c r="C914" s="51" t="s">
        <v>1410</v>
      </c>
      <c r="D914" s="57">
        <v>44821.88091550926</v>
      </c>
    </row>
    <row r="915">
      <c r="A915" s="51" t="s">
        <v>11264</v>
      </c>
      <c r="B915" s="51" t="s">
        <v>10236</v>
      </c>
      <c r="C915" s="51" t="s">
        <v>165</v>
      </c>
      <c r="D915" s="57">
        <v>44822.13004505787</v>
      </c>
    </row>
    <row r="916">
      <c r="A916" s="51" t="s">
        <v>11264</v>
      </c>
      <c r="B916" s="51" t="s">
        <v>10632</v>
      </c>
      <c r="C916" s="51" t="s">
        <v>1070</v>
      </c>
      <c r="D916" s="57">
        <v>44822.132095532404</v>
      </c>
    </row>
    <row r="917">
      <c r="A917" s="51" t="s">
        <v>11234</v>
      </c>
      <c r="B917" s="51" t="s">
        <v>10653</v>
      </c>
      <c r="C917" s="51" t="s">
        <v>25</v>
      </c>
      <c r="D917" s="57">
        <v>44824.07709633102</v>
      </c>
    </row>
    <row r="918">
      <c r="A918" s="51" t="s">
        <v>11268</v>
      </c>
      <c r="B918" s="51" t="s">
        <v>200</v>
      </c>
      <c r="C918" s="51" t="s">
        <v>25</v>
      </c>
      <c r="D918" s="57">
        <v>44824.727272488424</v>
      </c>
    </row>
    <row r="919">
      <c r="A919" s="51" t="s">
        <v>11268</v>
      </c>
      <c r="B919" s="51" t="s">
        <v>123</v>
      </c>
      <c r="C919" s="51" t="s">
        <v>25</v>
      </c>
      <c r="D919" s="57">
        <v>44824.7333512037</v>
      </c>
    </row>
    <row r="920">
      <c r="A920" s="51" t="s">
        <v>11220</v>
      </c>
      <c r="B920" s="51" t="s">
        <v>7674</v>
      </c>
      <c r="C920" s="51" t="s">
        <v>25</v>
      </c>
      <c r="D920" s="57">
        <v>44824.84260846065</v>
      </c>
    </row>
    <row r="921">
      <c r="A921" s="51" t="s">
        <v>11220</v>
      </c>
      <c r="B921" s="51" t="s">
        <v>5839</v>
      </c>
      <c r="C921" s="51" t="s">
        <v>25</v>
      </c>
      <c r="D921" s="57">
        <v>44824.84702726852</v>
      </c>
    </row>
    <row r="922">
      <c r="A922" s="51" t="s">
        <v>11269</v>
      </c>
      <c r="B922" s="51" t="s">
        <v>7055</v>
      </c>
      <c r="C922" s="51" t="s">
        <v>25</v>
      </c>
      <c r="D922" s="57">
        <v>44824.92639832176</v>
      </c>
    </row>
    <row r="923">
      <c r="A923" s="51" t="s">
        <v>11270</v>
      </c>
      <c r="B923" s="51" t="s">
        <v>7055</v>
      </c>
      <c r="C923" s="51" t="s">
        <v>25</v>
      </c>
      <c r="D923" s="57">
        <v>44824.937383240744</v>
      </c>
    </row>
    <row r="924">
      <c r="A924" s="51" t="s">
        <v>11269</v>
      </c>
      <c r="B924" s="51" t="s">
        <v>8226</v>
      </c>
      <c r="C924" s="51" t="s">
        <v>25</v>
      </c>
      <c r="D924" s="57">
        <v>44824.94605236111</v>
      </c>
    </row>
    <row r="925">
      <c r="A925" s="51" t="s">
        <v>11271</v>
      </c>
      <c r="B925" s="51" t="s">
        <v>7055</v>
      </c>
      <c r="C925" s="51" t="s">
        <v>25</v>
      </c>
      <c r="D925" s="57">
        <v>44825.06636915509</v>
      </c>
    </row>
    <row r="926">
      <c r="A926" s="51" t="s">
        <v>11271</v>
      </c>
      <c r="B926" s="51" t="s">
        <v>7055</v>
      </c>
      <c r="C926" s="51" t="s">
        <v>25</v>
      </c>
      <c r="D926" s="57">
        <v>44825.12766885417</v>
      </c>
    </row>
    <row r="927">
      <c r="A927" s="51" t="s">
        <v>11271</v>
      </c>
      <c r="B927" s="51" t="s">
        <v>7055</v>
      </c>
      <c r="C927" s="51" t="s">
        <v>25</v>
      </c>
      <c r="D927" s="57">
        <v>44825.12782891204</v>
      </c>
    </row>
    <row r="928">
      <c r="A928" s="51" t="s">
        <v>11271</v>
      </c>
      <c r="B928" s="51" t="s">
        <v>7055</v>
      </c>
      <c r="C928" s="51" t="s">
        <v>25</v>
      </c>
      <c r="D928" s="57">
        <v>44825.12821350695</v>
      </c>
    </row>
    <row r="929">
      <c r="A929" s="51" t="s">
        <v>11271</v>
      </c>
      <c r="B929" s="51" t="s">
        <v>7055</v>
      </c>
      <c r="C929" s="51" t="s">
        <v>25</v>
      </c>
      <c r="D929" s="57">
        <v>44825.1283735301</v>
      </c>
    </row>
    <row r="930">
      <c r="A930" s="51" t="s">
        <v>11271</v>
      </c>
      <c r="B930" s="51" t="s">
        <v>7055</v>
      </c>
      <c r="C930" s="51" t="s">
        <v>25</v>
      </c>
      <c r="D930" s="57">
        <v>44825.12887381944</v>
      </c>
    </row>
    <row r="931">
      <c r="A931" s="51" t="s">
        <v>11271</v>
      </c>
      <c r="B931" s="51" t="s">
        <v>7055</v>
      </c>
      <c r="C931" s="51" t="s">
        <v>25</v>
      </c>
      <c r="D931" s="57">
        <v>44825.12939797454</v>
      </c>
    </row>
    <row r="932">
      <c r="A932" s="51" t="s">
        <v>11271</v>
      </c>
      <c r="B932" s="51" t="s">
        <v>7055</v>
      </c>
      <c r="C932" s="51" t="s">
        <v>25</v>
      </c>
      <c r="D932" s="57">
        <v>44825.129835810185</v>
      </c>
    </row>
    <row r="933">
      <c r="A933" s="51" t="s">
        <v>11272</v>
      </c>
      <c r="B933" s="51" t="s">
        <v>9799</v>
      </c>
      <c r="C933" s="51" t="s">
        <v>25</v>
      </c>
      <c r="D933" s="57">
        <v>44825.387950833334</v>
      </c>
    </row>
    <row r="934">
      <c r="A934" s="51" t="s">
        <v>11272</v>
      </c>
      <c r="B934" s="51" t="s">
        <v>9927</v>
      </c>
      <c r="C934" s="51" t="s">
        <v>25</v>
      </c>
      <c r="D934" s="57">
        <v>44825.39303878472</v>
      </c>
    </row>
    <row r="935">
      <c r="A935" s="51" t="s">
        <v>11269</v>
      </c>
      <c r="B935" s="51" t="s">
        <v>7703</v>
      </c>
      <c r="C935" s="51" t="s">
        <v>25</v>
      </c>
      <c r="D935" s="57">
        <v>44825.797821493055</v>
      </c>
    </row>
    <row r="936">
      <c r="A936" s="51" t="s">
        <v>11269</v>
      </c>
      <c r="B936" s="51" t="s">
        <v>8041</v>
      </c>
      <c r="C936" s="51" t="s">
        <v>25</v>
      </c>
      <c r="D936" s="57">
        <v>44825.813124479166</v>
      </c>
    </row>
    <row r="937">
      <c r="A937" s="51" t="s">
        <v>11269</v>
      </c>
      <c r="B937" s="51" t="s">
        <v>8041</v>
      </c>
      <c r="C937" s="51" t="s">
        <v>25</v>
      </c>
      <c r="D937" s="57">
        <v>44825.81315501158</v>
      </c>
    </row>
    <row r="938">
      <c r="A938" s="51" t="s">
        <v>11273</v>
      </c>
      <c r="B938" s="51" t="s">
        <v>4311</v>
      </c>
      <c r="C938" s="51" t="s">
        <v>25</v>
      </c>
      <c r="D938" s="57">
        <v>44827.033226493055</v>
      </c>
    </row>
    <row r="939">
      <c r="A939" s="51" t="s">
        <v>11273</v>
      </c>
      <c r="B939" s="51" t="s">
        <v>7219</v>
      </c>
      <c r="C939" s="51" t="s">
        <v>216</v>
      </c>
      <c r="D939" s="57">
        <v>44827.04805732639</v>
      </c>
    </row>
    <row r="940">
      <c r="A940" s="51" t="s">
        <v>11273</v>
      </c>
      <c r="B940" s="51" t="s">
        <v>10833</v>
      </c>
      <c r="C940" s="51" t="s">
        <v>517</v>
      </c>
      <c r="D940" s="57">
        <v>44827.0627334375</v>
      </c>
    </row>
    <row r="941">
      <c r="A941" s="51" t="s">
        <v>11273</v>
      </c>
      <c r="B941" s="51" t="s">
        <v>10711</v>
      </c>
      <c r="C941" s="51" t="s">
        <v>275</v>
      </c>
      <c r="D941" s="57">
        <v>44827.066939490745</v>
      </c>
    </row>
    <row r="942">
      <c r="A942" s="51" t="s">
        <v>11273</v>
      </c>
      <c r="B942" s="51" t="s">
        <v>10955</v>
      </c>
      <c r="C942" s="51" t="s">
        <v>165</v>
      </c>
      <c r="D942" s="57">
        <v>44827.07006246528</v>
      </c>
    </row>
    <row r="943">
      <c r="A943" s="51" t="s">
        <v>11274</v>
      </c>
      <c r="B943" s="51" t="s">
        <v>9976</v>
      </c>
      <c r="C943" s="51" t="s">
        <v>25</v>
      </c>
      <c r="D943" s="57">
        <v>44828.27156586805</v>
      </c>
    </row>
    <row r="944">
      <c r="A944" s="51" t="s">
        <v>11274</v>
      </c>
      <c r="B944" s="51" t="s">
        <v>9976</v>
      </c>
      <c r="C944" s="51" t="s">
        <v>25</v>
      </c>
      <c r="D944" s="57">
        <v>44828.27188396991</v>
      </c>
    </row>
    <row r="945">
      <c r="A945" s="51" t="s">
        <v>11275</v>
      </c>
      <c r="B945" s="51" t="s">
        <v>833</v>
      </c>
      <c r="C945" s="51" t="s">
        <v>157</v>
      </c>
      <c r="D945" s="57">
        <v>44830.237456145835</v>
      </c>
    </row>
    <row r="946">
      <c r="A946" s="51" t="s">
        <v>11275</v>
      </c>
      <c r="B946" s="51" t="s">
        <v>10983</v>
      </c>
      <c r="C946" s="51" t="s">
        <v>1410</v>
      </c>
      <c r="D946" s="57">
        <v>44830.24350152777</v>
      </c>
    </row>
    <row r="947">
      <c r="A947" s="51" t="s">
        <v>11276</v>
      </c>
      <c r="B947" s="51" t="s">
        <v>10983</v>
      </c>
      <c r="C947" s="51" t="s">
        <v>1410</v>
      </c>
      <c r="D947" s="57">
        <v>44830.78280055556</v>
      </c>
    </row>
    <row r="948">
      <c r="A948" s="51" t="s">
        <v>11276</v>
      </c>
      <c r="B948" s="51" t="s">
        <v>10983</v>
      </c>
      <c r="C948" s="51" t="s">
        <v>1410</v>
      </c>
      <c r="D948" s="57">
        <v>44830.78304216435</v>
      </c>
    </row>
    <row r="949">
      <c r="A949" s="51" t="s">
        <v>11276</v>
      </c>
      <c r="B949" s="51" t="s">
        <v>6671</v>
      </c>
      <c r="C949" s="51" t="s">
        <v>1410</v>
      </c>
      <c r="D949" s="57">
        <v>44830.83335877315</v>
      </c>
    </row>
    <row r="950">
      <c r="A950" s="51" t="s">
        <v>11276</v>
      </c>
      <c r="B950" s="51" t="s">
        <v>6671</v>
      </c>
      <c r="C950" s="51" t="s">
        <v>1410</v>
      </c>
      <c r="D950" s="57">
        <v>44830.83504550926</v>
      </c>
    </row>
    <row r="951">
      <c r="A951" s="51" t="s">
        <v>11276</v>
      </c>
      <c r="B951" s="51" t="s">
        <v>6671</v>
      </c>
      <c r="C951" s="51" t="s">
        <v>1410</v>
      </c>
      <c r="D951" s="57">
        <v>44830.83554306713</v>
      </c>
    </row>
    <row r="952">
      <c r="A952" s="51" t="s">
        <v>11276</v>
      </c>
      <c r="B952" s="51" t="s">
        <v>6671</v>
      </c>
      <c r="C952" s="51" t="s">
        <v>1410</v>
      </c>
      <c r="D952" s="57">
        <v>44830.83623648148</v>
      </c>
    </row>
    <row r="953">
      <c r="A953" s="51" t="s">
        <v>11272</v>
      </c>
      <c r="B953" s="51" t="s">
        <v>4338</v>
      </c>
      <c r="C953" s="51" t="s">
        <v>84</v>
      </c>
      <c r="D953" s="57">
        <v>44831.14235653935</v>
      </c>
    </row>
    <row r="954">
      <c r="A954" s="51" t="s">
        <v>11272</v>
      </c>
      <c r="B954" s="51" t="s">
        <v>9799</v>
      </c>
      <c r="C954" s="51" t="s">
        <v>25</v>
      </c>
      <c r="D954" s="57">
        <v>44831.14452489583</v>
      </c>
    </row>
    <row r="955">
      <c r="A955" s="51" t="s">
        <v>11277</v>
      </c>
      <c r="B955" s="51" t="s">
        <v>9318</v>
      </c>
      <c r="C955" s="51" t="s">
        <v>25</v>
      </c>
      <c r="D955" s="57">
        <v>44831.29284488426</v>
      </c>
    </row>
    <row r="956">
      <c r="A956" s="51" t="s">
        <v>11278</v>
      </c>
      <c r="B956" s="51" t="s">
        <v>8874</v>
      </c>
      <c r="C956" s="51" t="s">
        <v>25</v>
      </c>
      <c r="D956" s="57">
        <v>44831.830647118055</v>
      </c>
    </row>
    <row r="957">
      <c r="A957" s="51" t="s">
        <v>11272</v>
      </c>
      <c r="B957" s="51" t="s">
        <v>8462</v>
      </c>
      <c r="C957" s="51" t="s">
        <v>25</v>
      </c>
      <c r="D957" s="57">
        <v>44831.91987763889</v>
      </c>
    </row>
    <row r="958">
      <c r="A958" s="51" t="s">
        <v>11272</v>
      </c>
      <c r="B958" s="51" t="s">
        <v>8462</v>
      </c>
      <c r="C958" s="51" t="s">
        <v>25</v>
      </c>
      <c r="D958" s="57">
        <v>44831.92062513889</v>
      </c>
    </row>
    <row r="959">
      <c r="A959" s="51" t="s">
        <v>11272</v>
      </c>
      <c r="B959" s="51" t="s">
        <v>8462</v>
      </c>
      <c r="C959" s="51" t="s">
        <v>25</v>
      </c>
      <c r="D959" s="57">
        <v>44831.94588241898</v>
      </c>
    </row>
    <row r="960">
      <c r="A960" s="51" t="s">
        <v>11272</v>
      </c>
      <c r="B960" s="51" t="s">
        <v>9799</v>
      </c>
      <c r="C960" s="51" t="s">
        <v>25</v>
      </c>
      <c r="D960" s="57">
        <v>44831.94603118056</v>
      </c>
    </row>
    <row r="961">
      <c r="A961" s="51" t="s">
        <v>11279</v>
      </c>
      <c r="B961" s="51" t="s">
        <v>9037</v>
      </c>
      <c r="C961" s="51" t="s">
        <v>165</v>
      </c>
      <c r="D961" s="57">
        <v>44832.27342824074</v>
      </c>
    </row>
    <row r="962">
      <c r="A962" s="51" t="s">
        <v>11279</v>
      </c>
      <c r="B962" s="51" t="s">
        <v>9037</v>
      </c>
      <c r="C962" s="51" t="s">
        <v>165</v>
      </c>
      <c r="D962" s="57">
        <v>44832.274472951394</v>
      </c>
    </row>
    <row r="963">
      <c r="A963" s="51" t="s">
        <v>11276</v>
      </c>
      <c r="B963" s="51" t="s">
        <v>9829</v>
      </c>
      <c r="C963" s="51" t="s">
        <v>216</v>
      </c>
      <c r="D963" s="57">
        <v>44832.75555262731</v>
      </c>
    </row>
    <row r="964">
      <c r="A964" s="51" t="s">
        <v>11276</v>
      </c>
      <c r="B964" s="51" t="s">
        <v>9829</v>
      </c>
      <c r="C964" s="51" t="s">
        <v>216</v>
      </c>
      <c r="D964" s="57">
        <v>44832.75663978009</v>
      </c>
    </row>
    <row r="965">
      <c r="A965" s="51" t="s">
        <v>11280</v>
      </c>
      <c r="B965" s="51" t="s">
        <v>228</v>
      </c>
      <c r="C965" s="51" t="s">
        <v>25</v>
      </c>
      <c r="D965" s="57">
        <v>44832.92908306713</v>
      </c>
    </row>
    <row r="966">
      <c r="A966" s="51" t="s">
        <v>11280</v>
      </c>
      <c r="B966" s="51" t="s">
        <v>249</v>
      </c>
      <c r="C966" s="51" t="s">
        <v>84</v>
      </c>
      <c r="D966" s="57">
        <v>44832.933852766204</v>
      </c>
    </row>
    <row r="967">
      <c r="A967" s="51" t="s">
        <v>11280</v>
      </c>
      <c r="B967" s="51" t="s">
        <v>10844</v>
      </c>
      <c r="C967" s="51" t="s">
        <v>25</v>
      </c>
      <c r="D967" s="57">
        <v>44832.94019572917</v>
      </c>
    </row>
    <row r="968">
      <c r="A968" s="51" t="s">
        <v>11280</v>
      </c>
      <c r="B968" s="51" t="s">
        <v>10383</v>
      </c>
      <c r="C968" s="51" t="s">
        <v>25</v>
      </c>
      <c r="D968" s="57">
        <v>44832.943126238424</v>
      </c>
    </row>
    <row r="969">
      <c r="A969" s="51" t="s">
        <v>11273</v>
      </c>
      <c r="B969" s="51" t="s">
        <v>1635</v>
      </c>
      <c r="C969" s="51" t="s">
        <v>275</v>
      </c>
      <c r="D969" s="57">
        <v>44833.022493240744</v>
      </c>
    </row>
    <row r="970">
      <c r="A970" s="51" t="s">
        <v>11273</v>
      </c>
      <c r="B970" s="51" t="s">
        <v>1635</v>
      </c>
      <c r="C970" s="51" t="s">
        <v>275</v>
      </c>
      <c r="D970" s="57">
        <v>44833.02404704861</v>
      </c>
    </row>
    <row r="971">
      <c r="A971" s="51" t="s">
        <v>11273</v>
      </c>
      <c r="B971" s="51" t="s">
        <v>4311</v>
      </c>
      <c r="C971" s="51" t="s">
        <v>25</v>
      </c>
      <c r="D971" s="57">
        <v>44833.0324666088</v>
      </c>
    </row>
    <row r="972">
      <c r="A972" s="51" t="s">
        <v>11273</v>
      </c>
      <c r="B972" s="51" t="s">
        <v>4311</v>
      </c>
      <c r="C972" s="51" t="s">
        <v>25</v>
      </c>
      <c r="D972" s="57">
        <v>44833.032767372686</v>
      </c>
    </row>
    <row r="973">
      <c r="A973" s="51" t="s">
        <v>11281</v>
      </c>
      <c r="B973" s="51" t="s">
        <v>1407</v>
      </c>
      <c r="C973" s="51" t="s">
        <v>1410</v>
      </c>
      <c r="D973" s="57">
        <v>44833.097217291666</v>
      </c>
    </row>
    <row r="974">
      <c r="A974" s="51" t="s">
        <v>11280</v>
      </c>
      <c r="B974" s="51" t="s">
        <v>9308</v>
      </c>
      <c r="C974" s="51" t="s">
        <v>25</v>
      </c>
      <c r="D974" s="57">
        <v>44833.25083584491</v>
      </c>
    </row>
    <row r="975">
      <c r="A975" s="51" t="s">
        <v>11279</v>
      </c>
      <c r="B975" s="51" t="s">
        <v>9037</v>
      </c>
      <c r="C975" s="51" t="s">
        <v>165</v>
      </c>
      <c r="D975" s="57">
        <v>44833.25209372686</v>
      </c>
    </row>
    <row r="976">
      <c r="A976" s="51" t="s">
        <v>11280</v>
      </c>
      <c r="B976" s="51" t="s">
        <v>9308</v>
      </c>
      <c r="C976" s="51" t="s">
        <v>25</v>
      </c>
      <c r="D976" s="57">
        <v>44833.254440335644</v>
      </c>
    </row>
    <row r="977">
      <c r="A977" s="51" t="s">
        <v>11280</v>
      </c>
      <c r="B977" s="51" t="s">
        <v>10337</v>
      </c>
      <c r="C977" s="51" t="s">
        <v>25</v>
      </c>
      <c r="D977" s="57">
        <v>44833.25498738426</v>
      </c>
    </row>
    <row r="978">
      <c r="A978" s="51" t="s">
        <v>11280</v>
      </c>
      <c r="B978" s="51" t="s">
        <v>9976</v>
      </c>
      <c r="C978" s="51" t="s">
        <v>25</v>
      </c>
      <c r="D978" s="57">
        <v>44833.26321638889</v>
      </c>
    </row>
    <row r="979">
      <c r="A979" s="51" t="s">
        <v>11282</v>
      </c>
      <c r="B979" s="51" t="s">
        <v>9848</v>
      </c>
      <c r="C979" s="51" t="s">
        <v>25</v>
      </c>
      <c r="D979" s="57">
        <v>44833.26610652778</v>
      </c>
    </row>
    <row r="980">
      <c r="A980" s="51" t="s">
        <v>11282</v>
      </c>
      <c r="B980" s="51" t="s">
        <v>9848</v>
      </c>
      <c r="C980" s="51" t="s">
        <v>25</v>
      </c>
      <c r="D980" s="57">
        <v>44833.266150763884</v>
      </c>
    </row>
    <row r="981">
      <c r="A981" s="51" t="s">
        <v>11280</v>
      </c>
      <c r="B981" s="51" t="s">
        <v>3986</v>
      </c>
      <c r="C981" s="51" t="s">
        <v>25</v>
      </c>
      <c r="D981" s="57">
        <v>44833.28311577546</v>
      </c>
    </row>
    <row r="982">
      <c r="A982" s="51" t="s">
        <v>11280</v>
      </c>
      <c r="B982" s="51" t="s">
        <v>7095</v>
      </c>
      <c r="C982" s="51" t="s">
        <v>25</v>
      </c>
      <c r="D982" s="57">
        <v>44833.28440108796</v>
      </c>
    </row>
    <row r="983">
      <c r="A983" s="51" t="s">
        <v>11280</v>
      </c>
      <c r="B983" s="51" t="s">
        <v>10914</v>
      </c>
      <c r="C983" s="51" t="s">
        <v>25</v>
      </c>
      <c r="D983" s="57">
        <v>44833.28859549768</v>
      </c>
    </row>
    <row r="984">
      <c r="A984" s="51" t="s">
        <v>11280</v>
      </c>
      <c r="B984" s="51" t="s">
        <v>10653</v>
      </c>
      <c r="C984" s="51" t="s">
        <v>25</v>
      </c>
      <c r="D984" s="57">
        <v>44833.28911460648</v>
      </c>
    </row>
    <row r="985">
      <c r="A985" s="51" t="s">
        <v>11280</v>
      </c>
      <c r="B985" s="51" t="s">
        <v>10495</v>
      </c>
      <c r="C985" s="51" t="s">
        <v>25</v>
      </c>
      <c r="D985" s="57">
        <v>44833.28958498842</v>
      </c>
    </row>
    <row r="986">
      <c r="A986" s="51" t="s">
        <v>11280</v>
      </c>
      <c r="B986" s="51" t="s">
        <v>7413</v>
      </c>
      <c r="C986" s="51" t="s">
        <v>25</v>
      </c>
      <c r="D986" s="57">
        <v>44833.295669872685</v>
      </c>
    </row>
    <row r="987">
      <c r="A987" s="51" t="s">
        <v>11243</v>
      </c>
      <c r="B987" s="51" t="s">
        <v>1389</v>
      </c>
      <c r="C987" s="51" t="s">
        <v>316</v>
      </c>
      <c r="D987" s="57">
        <v>44833.304285254635</v>
      </c>
    </row>
    <row r="988">
      <c r="A988" s="51" t="s">
        <v>11282</v>
      </c>
      <c r="B988" s="51" t="s">
        <v>123</v>
      </c>
      <c r="C988" s="51" t="s">
        <v>25</v>
      </c>
      <c r="D988" s="57">
        <v>44833.371079282406</v>
      </c>
    </row>
    <row r="989">
      <c r="A989" s="51" t="s">
        <v>11273</v>
      </c>
      <c r="B989" s="51" t="s">
        <v>123</v>
      </c>
      <c r="C989" s="51" t="s">
        <v>25</v>
      </c>
      <c r="D989" s="57">
        <v>44833.72023853009</v>
      </c>
    </row>
    <row r="990">
      <c r="A990" s="51" t="s">
        <v>11280</v>
      </c>
      <c r="B990" s="51" t="s">
        <v>5101</v>
      </c>
      <c r="C990" s="51" t="s">
        <v>284</v>
      </c>
      <c r="D990" s="57">
        <v>44833.80499674768</v>
      </c>
    </row>
    <row r="991">
      <c r="A991" s="51" t="s">
        <v>11283</v>
      </c>
      <c r="B991" s="51" t="s">
        <v>10874</v>
      </c>
      <c r="C991" s="51" t="s">
        <v>110</v>
      </c>
      <c r="D991" s="57">
        <v>44834.22152982639</v>
      </c>
    </row>
    <row r="992">
      <c r="A992" s="51" t="s">
        <v>11283</v>
      </c>
      <c r="B992" s="51" t="s">
        <v>8263</v>
      </c>
      <c r="C992" s="51" t="s">
        <v>165</v>
      </c>
      <c r="D992" s="57">
        <v>44834.2256346412</v>
      </c>
    </row>
    <row r="993">
      <c r="A993" s="51" t="s">
        <v>11283</v>
      </c>
      <c r="B993" s="51" t="s">
        <v>8021</v>
      </c>
      <c r="C993" s="51" t="s">
        <v>165</v>
      </c>
      <c r="D993" s="57">
        <v>44834.38192292824</v>
      </c>
    </row>
    <row r="994">
      <c r="A994" s="51" t="s">
        <v>11283</v>
      </c>
      <c r="B994" s="51" t="s">
        <v>8381</v>
      </c>
      <c r="C994" s="51" t="s">
        <v>93</v>
      </c>
      <c r="D994" s="57">
        <v>44834.392161724536</v>
      </c>
    </row>
    <row r="995">
      <c r="A995" s="51" t="s">
        <v>11276</v>
      </c>
      <c r="B995" s="51" t="s">
        <v>6671</v>
      </c>
      <c r="C995" s="51" t="s">
        <v>1410</v>
      </c>
      <c r="D995" s="57">
        <v>44834.71871396991</v>
      </c>
    </row>
    <row r="996">
      <c r="A996" s="51" t="s">
        <v>11284</v>
      </c>
      <c r="B996" s="51" t="s">
        <v>9829</v>
      </c>
      <c r="C996" s="51" t="s">
        <v>216</v>
      </c>
      <c r="D996" s="57">
        <v>44834.75359628472</v>
      </c>
    </row>
    <row r="997">
      <c r="A997" s="51" t="s">
        <v>11285</v>
      </c>
      <c r="B997" s="51" t="s">
        <v>9626</v>
      </c>
      <c r="C997" s="51" t="s">
        <v>165</v>
      </c>
      <c r="D997" s="57">
        <v>44834.86876372685</v>
      </c>
    </row>
    <row r="998">
      <c r="A998" s="51" t="s">
        <v>11285</v>
      </c>
      <c r="B998" s="51" t="s">
        <v>10765</v>
      </c>
      <c r="C998" s="51" t="s">
        <v>517</v>
      </c>
      <c r="D998" s="57">
        <v>44834.87257074074</v>
      </c>
    </row>
    <row r="999">
      <c r="A999" s="51" t="s">
        <v>11285</v>
      </c>
      <c r="B999" s="51" t="s">
        <v>10062</v>
      </c>
      <c r="C999" s="51" t="s">
        <v>517</v>
      </c>
      <c r="D999" s="57">
        <v>44834.87436579861</v>
      </c>
    </row>
    <row r="1000">
      <c r="A1000" s="51" t="s">
        <v>11286</v>
      </c>
      <c r="B1000" s="51" t="s">
        <v>8021</v>
      </c>
      <c r="C1000" s="51" t="s">
        <v>165</v>
      </c>
      <c r="D1000" s="57">
        <v>44834.89112251157</v>
      </c>
    </row>
    <row r="1001">
      <c r="A1001" s="51" t="s">
        <v>11283</v>
      </c>
      <c r="B1001" s="51"/>
      <c r="C1001" s="51"/>
      <c r="D1001" s="57">
        <v>44834.95564421296</v>
      </c>
    </row>
    <row r="1002">
      <c r="A1002" s="51" t="s">
        <v>11283</v>
      </c>
      <c r="B1002" s="51" t="s">
        <v>485</v>
      </c>
      <c r="C1002" s="51" t="s">
        <v>93</v>
      </c>
      <c r="D1002" s="57">
        <v>44834.956146365745</v>
      </c>
    </row>
    <row r="1003">
      <c r="A1003" s="51" t="s">
        <v>11283</v>
      </c>
      <c r="B1003" s="51" t="s">
        <v>485</v>
      </c>
      <c r="C1003" s="51" t="s">
        <v>93</v>
      </c>
      <c r="D1003" s="57">
        <v>44834.959002777774</v>
      </c>
    </row>
    <row r="1004">
      <c r="A1004" s="51" t="s">
        <v>11283</v>
      </c>
      <c r="B1004" s="51" t="s">
        <v>485</v>
      </c>
      <c r="C1004" s="51" t="s">
        <v>93</v>
      </c>
      <c r="D1004" s="57">
        <v>44834.95925856481</v>
      </c>
    </row>
    <row r="1005">
      <c r="A1005" s="51" t="s">
        <v>11255</v>
      </c>
      <c r="B1005" s="51" t="s">
        <v>507</v>
      </c>
      <c r="C1005" s="51" t="s">
        <v>25</v>
      </c>
      <c r="D1005" s="57">
        <v>44835.05878356482</v>
      </c>
    </row>
    <row r="1006">
      <c r="A1006" s="51" t="s">
        <v>11277</v>
      </c>
      <c r="B1006" s="51" t="s">
        <v>865</v>
      </c>
      <c r="C1006" s="51" t="s">
        <v>275</v>
      </c>
      <c r="D1006" s="57">
        <v>44835.08725622685</v>
      </c>
    </row>
    <row r="1007">
      <c r="A1007" s="51" t="s">
        <v>11277</v>
      </c>
      <c r="B1007" s="51" t="s">
        <v>431</v>
      </c>
      <c r="C1007" s="51" t="s">
        <v>25</v>
      </c>
      <c r="D1007" s="57">
        <v>44835.09125363426</v>
      </c>
    </row>
    <row r="1008">
      <c r="A1008" s="51" t="s">
        <v>11277</v>
      </c>
      <c r="B1008" s="51" t="s">
        <v>431</v>
      </c>
      <c r="C1008" s="51" t="s">
        <v>25</v>
      </c>
      <c r="D1008" s="57">
        <v>44835.091295729166</v>
      </c>
    </row>
    <row r="1009">
      <c r="A1009" s="51" t="s">
        <v>11277</v>
      </c>
      <c r="B1009" s="51" t="s">
        <v>431</v>
      </c>
      <c r="C1009" s="51" t="s">
        <v>25</v>
      </c>
      <c r="D1009" s="57">
        <v>44835.09145226852</v>
      </c>
    </row>
    <row r="1010">
      <c r="A1010" s="51" t="s">
        <v>11277</v>
      </c>
      <c r="B1010" s="51" t="s">
        <v>602</v>
      </c>
      <c r="C1010" s="51" t="s">
        <v>68</v>
      </c>
      <c r="D1010" s="57">
        <v>44835.09494847222</v>
      </c>
    </row>
    <row r="1011">
      <c r="A1011" s="51" t="s">
        <v>11277</v>
      </c>
      <c r="B1011" s="51" t="s">
        <v>10833</v>
      </c>
      <c r="C1011" s="51" t="s">
        <v>517</v>
      </c>
      <c r="D1011" s="57">
        <v>44835.09900164352</v>
      </c>
    </row>
    <row r="1012">
      <c r="A1012" s="51" t="s">
        <v>11287</v>
      </c>
      <c r="B1012" s="51" t="s">
        <v>9829</v>
      </c>
      <c r="C1012" s="51" t="s">
        <v>216</v>
      </c>
      <c r="D1012" s="57">
        <v>44835.17711693287</v>
      </c>
    </row>
    <row r="1013">
      <c r="A1013" s="51" t="s">
        <v>11287</v>
      </c>
      <c r="B1013" s="51" t="s">
        <v>9829</v>
      </c>
      <c r="C1013" s="51" t="s">
        <v>216</v>
      </c>
      <c r="D1013" s="57">
        <v>44835.17738621528</v>
      </c>
    </row>
    <row r="1014">
      <c r="A1014" s="51" t="s">
        <v>11269</v>
      </c>
      <c r="B1014" s="51" t="s">
        <v>10383</v>
      </c>
      <c r="C1014" s="51" t="s">
        <v>25</v>
      </c>
      <c r="D1014" s="57">
        <v>44836.290884375005</v>
      </c>
    </row>
    <row r="1015">
      <c r="A1015" s="51" t="s">
        <v>11271</v>
      </c>
      <c r="B1015" s="51" t="s">
        <v>7055</v>
      </c>
      <c r="C1015" s="51" t="s">
        <v>25</v>
      </c>
      <c r="D1015" s="57">
        <v>44837.31066358797</v>
      </c>
    </row>
    <row r="1016">
      <c r="A1016" s="51" t="s">
        <v>11271</v>
      </c>
      <c r="B1016" s="51" t="s">
        <v>7055</v>
      </c>
      <c r="C1016" s="51" t="s">
        <v>25</v>
      </c>
      <c r="D1016" s="57">
        <v>44837.310800231484</v>
      </c>
    </row>
    <row r="1017">
      <c r="A1017" s="51" t="s">
        <v>11271</v>
      </c>
      <c r="B1017" s="51" t="s">
        <v>7055</v>
      </c>
      <c r="C1017" s="51" t="s">
        <v>25</v>
      </c>
      <c r="D1017" s="57">
        <v>44837.311138715275</v>
      </c>
    </row>
    <row r="1018">
      <c r="A1018" s="51" t="s">
        <v>11271</v>
      </c>
      <c r="B1018" s="51" t="s">
        <v>7055</v>
      </c>
      <c r="C1018" s="51" t="s">
        <v>25</v>
      </c>
      <c r="D1018" s="57">
        <v>44837.31115634259</v>
      </c>
    </row>
    <row r="1019">
      <c r="A1019" s="51" t="s">
        <v>11271</v>
      </c>
      <c r="B1019" s="51" t="s">
        <v>7055</v>
      </c>
      <c r="C1019" s="51" t="s">
        <v>25</v>
      </c>
      <c r="D1019" s="57">
        <v>44837.311195462964</v>
      </c>
    </row>
    <row r="1020">
      <c r="A1020" s="51" t="s">
        <v>11271</v>
      </c>
      <c r="B1020" s="51" t="s">
        <v>7055</v>
      </c>
      <c r="C1020" s="51" t="s">
        <v>25</v>
      </c>
      <c r="D1020" s="57">
        <v>44837.31131767361</v>
      </c>
    </row>
    <row r="1021">
      <c r="A1021" s="51" t="s">
        <v>11271</v>
      </c>
      <c r="B1021" s="51" t="s">
        <v>7055</v>
      </c>
      <c r="C1021" s="51" t="s">
        <v>25</v>
      </c>
      <c r="D1021" s="57">
        <v>44837.31218946759</v>
      </c>
    </row>
    <row r="1022">
      <c r="A1022" s="51" t="s">
        <v>11271</v>
      </c>
      <c r="B1022" s="51" t="s">
        <v>7055</v>
      </c>
      <c r="C1022" s="51" t="s">
        <v>25</v>
      </c>
      <c r="D1022" s="57">
        <v>44837.31255128472</v>
      </c>
    </row>
    <row r="1023">
      <c r="A1023" s="51" t="s">
        <v>11271</v>
      </c>
      <c r="B1023" s="51" t="s">
        <v>7055</v>
      </c>
      <c r="C1023" s="51" t="s">
        <v>25</v>
      </c>
      <c r="D1023" s="57">
        <v>44837.31302891204</v>
      </c>
    </row>
    <row r="1024">
      <c r="A1024" s="51" t="s">
        <v>11284</v>
      </c>
      <c r="B1024" s="51" t="s">
        <v>10983</v>
      </c>
      <c r="C1024" s="51" t="s">
        <v>1410</v>
      </c>
      <c r="D1024" s="57">
        <v>44837.751345462966</v>
      </c>
    </row>
    <row r="1025">
      <c r="A1025" s="51" t="s">
        <v>11264</v>
      </c>
      <c r="B1025" s="51" t="s">
        <v>10542</v>
      </c>
      <c r="C1025" s="51" t="s">
        <v>25</v>
      </c>
      <c r="D1025" s="57">
        <v>44837.81983266203</v>
      </c>
    </row>
    <row r="1026">
      <c r="A1026" s="51" t="s">
        <v>11271</v>
      </c>
      <c r="B1026" s="51" t="s">
        <v>10914</v>
      </c>
      <c r="C1026" s="51" t="s">
        <v>25</v>
      </c>
      <c r="D1026" s="57">
        <v>44838.02919966435</v>
      </c>
    </row>
    <row r="1027">
      <c r="A1027" s="51" t="s">
        <v>11271</v>
      </c>
      <c r="B1027" s="51" t="s">
        <v>10914</v>
      </c>
      <c r="C1027" s="51" t="s">
        <v>25</v>
      </c>
      <c r="D1027" s="57">
        <v>44838.02954643518</v>
      </c>
    </row>
    <row r="1028">
      <c r="A1028" s="51" t="s">
        <v>11271</v>
      </c>
      <c r="B1028" s="51" t="s">
        <v>9751</v>
      </c>
      <c r="C1028" s="51" t="s">
        <v>25</v>
      </c>
      <c r="D1028" s="57">
        <v>44838.0501939699</v>
      </c>
    </row>
    <row r="1029">
      <c r="A1029" s="51" t="s">
        <v>11255</v>
      </c>
      <c r="B1029" s="51" t="s">
        <v>6632</v>
      </c>
      <c r="C1029" s="51" t="s">
        <v>25</v>
      </c>
      <c r="D1029" s="57">
        <v>44838.129349027775</v>
      </c>
    </row>
    <row r="1030">
      <c r="A1030" s="51" t="s">
        <v>11255</v>
      </c>
      <c r="B1030" s="51" t="s">
        <v>6632</v>
      </c>
      <c r="C1030" s="51" t="s">
        <v>25</v>
      </c>
      <c r="D1030" s="57">
        <v>44838.13861576389</v>
      </c>
    </row>
    <row r="1031">
      <c r="A1031" s="51" t="s">
        <v>11255</v>
      </c>
      <c r="B1031" s="51" t="s">
        <v>10466</v>
      </c>
      <c r="C1031" s="51" t="s">
        <v>25</v>
      </c>
      <c r="D1031" s="57">
        <v>44838.13914875</v>
      </c>
    </row>
    <row r="1032">
      <c r="A1032" s="51" t="s">
        <v>11271</v>
      </c>
      <c r="B1032" s="51" t="s">
        <v>7055</v>
      </c>
      <c r="C1032" s="51" t="s">
        <v>25</v>
      </c>
      <c r="D1032" s="57">
        <v>44838.14837905092</v>
      </c>
    </row>
    <row r="1033">
      <c r="A1033" s="51" t="s">
        <v>11287</v>
      </c>
      <c r="B1033" s="51" t="s">
        <v>2615</v>
      </c>
      <c r="C1033" s="51" t="s">
        <v>25</v>
      </c>
      <c r="D1033" s="57">
        <v>44838.324595150465</v>
      </c>
    </row>
    <row r="1034">
      <c r="A1034" s="51" t="s">
        <v>11229</v>
      </c>
      <c r="B1034" s="51" t="s">
        <v>10217</v>
      </c>
      <c r="C1034" s="51" t="s">
        <v>84</v>
      </c>
      <c r="D1034" s="57">
        <v>44838.39413976852</v>
      </c>
    </row>
    <row r="1035">
      <c r="A1035" s="51" t="s">
        <v>11229</v>
      </c>
      <c r="B1035" s="51" t="s">
        <v>10198</v>
      </c>
      <c r="C1035" s="51" t="s">
        <v>84</v>
      </c>
      <c r="D1035" s="57">
        <v>44838.40016453704</v>
      </c>
    </row>
    <row r="1036">
      <c r="A1036" s="51" t="s">
        <v>11271</v>
      </c>
      <c r="B1036" s="51" t="s">
        <v>8313</v>
      </c>
      <c r="C1036" s="51" t="s">
        <v>25</v>
      </c>
      <c r="D1036" s="57">
        <v>44839.095752974536</v>
      </c>
    </row>
    <row r="1037">
      <c r="A1037" s="51" t="s">
        <v>11271</v>
      </c>
      <c r="B1037" s="51" t="s">
        <v>8313</v>
      </c>
      <c r="C1037" s="51" t="s">
        <v>25</v>
      </c>
      <c r="D1037" s="57">
        <v>44839.12887494213</v>
      </c>
    </row>
    <row r="1038">
      <c r="A1038" s="51" t="s">
        <v>11271</v>
      </c>
      <c r="B1038" s="51" t="s">
        <v>8313</v>
      </c>
      <c r="C1038" s="51" t="s">
        <v>25</v>
      </c>
      <c r="D1038" s="57">
        <v>44839.12893502315</v>
      </c>
    </row>
    <row r="1039">
      <c r="A1039" s="51" t="s">
        <v>11287</v>
      </c>
      <c r="B1039" s="51" t="s">
        <v>10983</v>
      </c>
      <c r="C1039" s="51" t="s">
        <v>1410</v>
      </c>
      <c r="D1039" s="57">
        <v>44839.19303991898</v>
      </c>
    </row>
    <row r="1040">
      <c r="A1040" s="51" t="s">
        <v>11280</v>
      </c>
      <c r="B1040" s="51" t="s">
        <v>2365</v>
      </c>
      <c r="C1040" s="51" t="s">
        <v>93</v>
      </c>
      <c r="D1040" s="57">
        <v>44841.128273483795</v>
      </c>
    </row>
    <row r="1041">
      <c r="A1041" s="51" t="s">
        <v>11280</v>
      </c>
      <c r="B1041" s="51" t="s">
        <v>9094</v>
      </c>
      <c r="C1041" s="51" t="s">
        <v>25</v>
      </c>
      <c r="D1041" s="57">
        <v>44841.14251185185</v>
      </c>
    </row>
    <row r="1042">
      <c r="A1042" s="51" t="s">
        <v>11288</v>
      </c>
      <c r="B1042" s="51" t="s">
        <v>8313</v>
      </c>
      <c r="C1042" s="51" t="s">
        <v>25</v>
      </c>
      <c r="D1042" s="57">
        <v>44841.99502357639</v>
      </c>
    </row>
    <row r="1043">
      <c r="A1043" s="51" t="s">
        <v>11271</v>
      </c>
      <c r="B1043" s="51" t="s">
        <v>8313</v>
      </c>
      <c r="C1043" s="51" t="s">
        <v>25</v>
      </c>
      <c r="D1043" s="57">
        <v>44842.00013971065</v>
      </c>
    </row>
    <row r="1044">
      <c r="A1044" s="51" t="s">
        <v>11289</v>
      </c>
      <c r="B1044" s="51" t="s">
        <v>9848</v>
      </c>
      <c r="C1044" s="51" t="s">
        <v>25</v>
      </c>
      <c r="D1044" s="57">
        <v>44844.784921909726</v>
      </c>
    </row>
    <row r="1045">
      <c r="A1045" s="51" t="s">
        <v>11290</v>
      </c>
      <c r="B1045" s="51" t="s">
        <v>8100</v>
      </c>
      <c r="C1045" s="51" t="s">
        <v>25</v>
      </c>
      <c r="D1045" s="57">
        <v>44844.93559008102</v>
      </c>
    </row>
    <row r="1046">
      <c r="A1046" s="51" t="s">
        <v>11290</v>
      </c>
      <c r="B1046" s="51" t="s">
        <v>8226</v>
      </c>
      <c r="C1046" s="51" t="s">
        <v>25</v>
      </c>
      <c r="D1046" s="57">
        <v>44844.94478822917</v>
      </c>
    </row>
    <row r="1047">
      <c r="A1047" s="51" t="s">
        <v>11290</v>
      </c>
      <c r="B1047" s="51" t="s">
        <v>7055</v>
      </c>
      <c r="C1047" s="51" t="s">
        <v>25</v>
      </c>
      <c r="D1047" s="57">
        <v>44844.947206956014</v>
      </c>
    </row>
    <row r="1048">
      <c r="A1048" s="51" t="s">
        <v>11291</v>
      </c>
      <c r="B1048" s="51" t="s">
        <v>9829</v>
      </c>
      <c r="C1048" s="51" t="s">
        <v>216</v>
      </c>
      <c r="D1048" s="57">
        <v>44845.365147476856</v>
      </c>
    </row>
    <row r="1049">
      <c r="A1049" s="51" t="s">
        <v>11291</v>
      </c>
      <c r="B1049" s="51" t="s">
        <v>9829</v>
      </c>
      <c r="C1049" s="51" t="s">
        <v>216</v>
      </c>
      <c r="D1049" s="57">
        <v>44845.36529239583</v>
      </c>
    </row>
    <row r="1050">
      <c r="A1050" s="51" t="s">
        <v>11291</v>
      </c>
      <c r="B1050" s="51" t="s">
        <v>9829</v>
      </c>
      <c r="C1050" s="51" t="s">
        <v>216</v>
      </c>
      <c r="D1050" s="57">
        <v>44845.37135341435</v>
      </c>
    </row>
    <row r="1051">
      <c r="A1051" s="51" t="s">
        <v>11291</v>
      </c>
      <c r="B1051" s="51" t="s">
        <v>9829</v>
      </c>
      <c r="C1051" s="51" t="s">
        <v>216</v>
      </c>
      <c r="D1051" s="57">
        <v>44845.371373807866</v>
      </c>
    </row>
    <row r="1052">
      <c r="A1052" s="51" t="s">
        <v>11264</v>
      </c>
      <c r="B1052" s="51" t="s">
        <v>10257</v>
      </c>
      <c r="C1052" s="51" t="s">
        <v>25</v>
      </c>
      <c r="D1052" s="57">
        <v>44845.81587153935</v>
      </c>
    </row>
    <row r="1053">
      <c r="A1053" s="51" t="s">
        <v>11234</v>
      </c>
      <c r="B1053" s="51" t="s">
        <v>10495</v>
      </c>
      <c r="C1053" s="51" t="s">
        <v>25</v>
      </c>
      <c r="D1053" s="57">
        <v>44846.074645625005</v>
      </c>
    </row>
    <row r="1054">
      <c r="A1054" s="51" t="s">
        <v>11232</v>
      </c>
      <c r="B1054" s="51" t="s">
        <v>5770</v>
      </c>
      <c r="C1054" s="51" t="s">
        <v>25</v>
      </c>
      <c r="D1054" s="57">
        <v>44846.33597623842</v>
      </c>
    </row>
    <row r="1055">
      <c r="A1055" s="51" t="s">
        <v>11232</v>
      </c>
      <c r="B1055" s="51" t="s">
        <v>2860</v>
      </c>
      <c r="C1055" s="51" t="s">
        <v>93</v>
      </c>
      <c r="D1055" s="57">
        <v>44846.337067615736</v>
      </c>
    </row>
    <row r="1056">
      <c r="A1056" s="51" t="s">
        <v>11232</v>
      </c>
      <c r="B1056" s="51" t="s">
        <v>3477</v>
      </c>
      <c r="C1056" s="51" t="s">
        <v>1070</v>
      </c>
      <c r="D1056" s="57">
        <v>44846.33728604167</v>
      </c>
    </row>
    <row r="1057">
      <c r="A1057" s="51" t="s">
        <v>11291</v>
      </c>
      <c r="B1057" s="51" t="s">
        <v>1857</v>
      </c>
      <c r="C1057" s="51" t="s">
        <v>25</v>
      </c>
      <c r="D1057" s="57">
        <v>44846.580288321755</v>
      </c>
    </row>
    <row r="1058">
      <c r="A1058" s="51" t="s">
        <v>11286</v>
      </c>
      <c r="B1058" s="51" t="s">
        <v>8021</v>
      </c>
      <c r="C1058" s="51" t="s">
        <v>165</v>
      </c>
      <c r="D1058" s="57">
        <v>44846.822069444446</v>
      </c>
    </row>
    <row r="1059">
      <c r="A1059" s="51" t="s">
        <v>11286</v>
      </c>
      <c r="B1059" s="51" t="s">
        <v>10632</v>
      </c>
      <c r="C1059" s="51" t="s">
        <v>1070</v>
      </c>
      <c r="D1059" s="57">
        <v>44846.825070023144</v>
      </c>
    </row>
    <row r="1060">
      <c r="A1060" s="51" t="s">
        <v>11286</v>
      </c>
      <c r="B1060" s="51" t="s">
        <v>9268</v>
      </c>
      <c r="C1060" s="51" t="s">
        <v>284</v>
      </c>
      <c r="D1060" s="57">
        <v>44846.84027576389</v>
      </c>
    </row>
    <row r="1061">
      <c r="A1061" s="51" t="s">
        <v>11286</v>
      </c>
      <c r="B1061" s="51" t="s">
        <v>9545</v>
      </c>
      <c r="C1061" s="51" t="s">
        <v>165</v>
      </c>
      <c r="D1061" s="57">
        <v>44846.84441319444</v>
      </c>
    </row>
    <row r="1062">
      <c r="A1062" s="51" t="s">
        <v>11286</v>
      </c>
      <c r="B1062" s="51" t="s">
        <v>351</v>
      </c>
      <c r="C1062" s="51" t="s">
        <v>216</v>
      </c>
      <c r="D1062" s="57">
        <v>44846.84686708333</v>
      </c>
    </row>
    <row r="1063">
      <c r="A1063" s="51" t="s">
        <v>11243</v>
      </c>
      <c r="B1063" s="51" t="s">
        <v>8863</v>
      </c>
      <c r="C1063" s="51" t="s">
        <v>52</v>
      </c>
      <c r="D1063" s="57">
        <v>44848.02146476852</v>
      </c>
    </row>
    <row r="1064">
      <c r="A1064" s="51" t="s">
        <v>11292</v>
      </c>
      <c r="B1064" s="51" t="s">
        <v>6671</v>
      </c>
      <c r="C1064" s="51" t="s">
        <v>1410</v>
      </c>
      <c r="D1064" s="57">
        <v>44848.07401861111</v>
      </c>
    </row>
    <row r="1065">
      <c r="A1065" s="51" t="s">
        <v>11293</v>
      </c>
      <c r="B1065" s="51" t="s">
        <v>10673</v>
      </c>
      <c r="C1065" s="51" t="s">
        <v>25</v>
      </c>
      <c r="D1065" s="57">
        <v>44849.01488293981</v>
      </c>
    </row>
    <row r="1066">
      <c r="A1066" s="51" t="s">
        <v>11286</v>
      </c>
      <c r="B1066" s="51" t="s">
        <v>10632</v>
      </c>
      <c r="C1066" s="51" t="s">
        <v>1070</v>
      </c>
      <c r="D1066" s="57">
        <v>44849.0237903588</v>
      </c>
    </row>
    <row r="1067">
      <c r="A1067" s="51" t="s">
        <v>11294</v>
      </c>
      <c r="B1067" s="51"/>
      <c r="C1067" s="51"/>
      <c r="D1067" s="57">
        <v>44849.06731380787</v>
      </c>
    </row>
    <row r="1068">
      <c r="A1068" s="51" t="s">
        <v>11294</v>
      </c>
      <c r="B1068" s="51" t="s">
        <v>10673</v>
      </c>
      <c r="C1068" s="51" t="s">
        <v>25</v>
      </c>
      <c r="D1068" s="57">
        <v>44849.06772552083</v>
      </c>
    </row>
    <row r="1069">
      <c r="A1069" s="51" t="s">
        <v>11295</v>
      </c>
      <c r="B1069" s="51" t="s">
        <v>207</v>
      </c>
      <c r="C1069" s="51" t="s">
        <v>110</v>
      </c>
      <c r="D1069" s="57">
        <v>44849.08056673611</v>
      </c>
    </row>
    <row r="1070">
      <c r="A1070" s="51" t="s">
        <v>11295</v>
      </c>
      <c r="B1070" s="51" t="s">
        <v>10874</v>
      </c>
      <c r="C1070" s="51" t="s">
        <v>110</v>
      </c>
      <c r="D1070" s="57">
        <v>44849.08421717593</v>
      </c>
    </row>
    <row r="1071">
      <c r="A1071" s="51" t="s">
        <v>11295</v>
      </c>
      <c r="B1071" s="51" t="s">
        <v>10793</v>
      </c>
      <c r="C1071" s="51" t="s">
        <v>84</v>
      </c>
      <c r="D1071" s="57">
        <v>44849.08558987269</v>
      </c>
    </row>
    <row r="1072">
      <c r="A1072" s="51" t="s">
        <v>11295</v>
      </c>
      <c r="B1072" s="51" t="s">
        <v>9505</v>
      </c>
      <c r="C1072" s="51" t="s">
        <v>110</v>
      </c>
      <c r="D1072" s="57">
        <v>44849.087289166666</v>
      </c>
    </row>
    <row r="1073">
      <c r="A1073" s="51" t="s">
        <v>11295</v>
      </c>
      <c r="B1073" s="51" t="s">
        <v>10327</v>
      </c>
      <c r="C1073" s="51" t="s">
        <v>110</v>
      </c>
      <c r="D1073" s="57">
        <v>44849.08811444444</v>
      </c>
    </row>
    <row r="1074">
      <c r="A1074" s="51" t="s">
        <v>11295</v>
      </c>
      <c r="B1074" s="51" t="s">
        <v>10793</v>
      </c>
      <c r="C1074" s="51" t="s">
        <v>84</v>
      </c>
      <c r="D1074" s="57">
        <v>44849.08839895834</v>
      </c>
    </row>
    <row r="1075">
      <c r="A1075" s="51" t="s">
        <v>11286</v>
      </c>
      <c r="B1075" s="51" t="s">
        <v>9626</v>
      </c>
      <c r="C1075" s="51" t="s">
        <v>165</v>
      </c>
      <c r="D1075" s="57">
        <v>44851.89212668981</v>
      </c>
    </row>
    <row r="1076">
      <c r="A1076" s="51" t="s">
        <v>11286</v>
      </c>
      <c r="B1076" s="51" t="s">
        <v>10005</v>
      </c>
      <c r="C1076" s="51" t="s">
        <v>165</v>
      </c>
      <c r="D1076" s="57">
        <v>44851.90246107639</v>
      </c>
    </row>
    <row r="1077">
      <c r="A1077" s="51" t="s">
        <v>11286</v>
      </c>
      <c r="B1077" s="51" t="s">
        <v>6214</v>
      </c>
      <c r="C1077" s="51" t="s">
        <v>284</v>
      </c>
      <c r="D1077" s="57">
        <v>44851.90652325231</v>
      </c>
    </row>
    <row r="1078">
      <c r="A1078" s="51" t="s">
        <v>11219</v>
      </c>
      <c r="B1078" s="51" t="s">
        <v>3535</v>
      </c>
      <c r="C1078" s="51" t="s">
        <v>165</v>
      </c>
      <c r="D1078" s="57">
        <v>44852.04982872686</v>
      </c>
    </row>
    <row r="1079">
      <c r="A1079" s="51" t="s">
        <v>11219</v>
      </c>
      <c r="B1079" s="51" t="s">
        <v>4476</v>
      </c>
      <c r="C1079" s="51" t="s">
        <v>84</v>
      </c>
      <c r="D1079" s="57">
        <v>44852.05069246527</v>
      </c>
    </row>
    <row r="1080">
      <c r="A1080" s="51" t="s">
        <v>11219</v>
      </c>
      <c r="B1080" s="51" t="s">
        <v>10393</v>
      </c>
      <c r="C1080" s="51" t="s">
        <v>84</v>
      </c>
      <c r="D1080" s="57">
        <v>44852.05155546297</v>
      </c>
    </row>
    <row r="1081">
      <c r="A1081" s="51" t="s">
        <v>11219</v>
      </c>
      <c r="B1081" s="51" t="s">
        <v>8734</v>
      </c>
      <c r="C1081" s="51" t="s">
        <v>165</v>
      </c>
      <c r="D1081" s="57">
        <v>44852.052009293984</v>
      </c>
    </row>
    <row r="1082">
      <c r="A1082" s="51" t="s">
        <v>11219</v>
      </c>
      <c r="B1082" s="51" t="s">
        <v>10141</v>
      </c>
      <c r="C1082" s="51" t="s">
        <v>84</v>
      </c>
      <c r="D1082" s="57">
        <v>44852.06340319444</v>
      </c>
    </row>
    <row r="1083">
      <c r="A1083" s="51" t="s">
        <v>11219</v>
      </c>
      <c r="B1083" s="51" t="s">
        <v>7921</v>
      </c>
      <c r="C1083" s="51" t="s">
        <v>84</v>
      </c>
      <c r="D1083" s="57">
        <v>44852.06538356481</v>
      </c>
    </row>
    <row r="1084">
      <c r="A1084" s="51" t="s">
        <v>11219</v>
      </c>
      <c r="B1084" s="51" t="s">
        <v>5452</v>
      </c>
      <c r="C1084" s="51" t="s">
        <v>84</v>
      </c>
      <c r="D1084" s="57">
        <v>44852.06730635416</v>
      </c>
    </row>
    <row r="1085">
      <c r="A1085" s="51" t="s">
        <v>11219</v>
      </c>
      <c r="B1085" s="51" t="s">
        <v>7007</v>
      </c>
      <c r="C1085" s="51" t="s">
        <v>84</v>
      </c>
      <c r="D1085" s="57">
        <v>44852.07006496528</v>
      </c>
    </row>
    <row r="1086">
      <c r="A1086" s="51" t="s">
        <v>11271</v>
      </c>
      <c r="B1086" s="51" t="s">
        <v>8313</v>
      </c>
      <c r="C1086" s="51" t="s">
        <v>25</v>
      </c>
      <c r="D1086" s="57">
        <v>44852.90952508102</v>
      </c>
    </row>
    <row r="1087">
      <c r="A1087" s="51" t="s">
        <v>11271</v>
      </c>
      <c r="B1087" s="51"/>
      <c r="C1087" s="51"/>
      <c r="D1087" s="57">
        <v>44853.09206995371</v>
      </c>
    </row>
    <row r="1088">
      <c r="A1088" s="51" t="s">
        <v>11271</v>
      </c>
      <c r="B1088" s="51" t="s">
        <v>8313</v>
      </c>
      <c r="C1088" s="51" t="s">
        <v>25</v>
      </c>
      <c r="D1088" s="57">
        <v>44853.09748902778</v>
      </c>
    </row>
    <row r="1089">
      <c r="A1089" s="51" t="s">
        <v>11296</v>
      </c>
      <c r="B1089" s="51" t="s">
        <v>702</v>
      </c>
      <c r="C1089" s="51" t="s">
        <v>84</v>
      </c>
      <c r="D1089" s="57">
        <v>44853.29552306713</v>
      </c>
    </row>
    <row r="1090">
      <c r="A1090" s="51" t="s">
        <v>11296</v>
      </c>
      <c r="B1090" s="51" t="s">
        <v>702</v>
      </c>
      <c r="C1090" s="51" t="s">
        <v>84</v>
      </c>
      <c r="D1090" s="57">
        <v>44853.29552244213</v>
      </c>
    </row>
    <row r="1091">
      <c r="A1091" s="51" t="s">
        <v>11296</v>
      </c>
      <c r="B1091" s="51" t="s">
        <v>1461</v>
      </c>
      <c r="C1091" s="51" t="s">
        <v>84</v>
      </c>
      <c r="D1091" s="57">
        <v>44853.29880739583</v>
      </c>
    </row>
    <row r="1092">
      <c r="A1092" s="51" t="s">
        <v>11296</v>
      </c>
      <c r="B1092" s="51" t="s">
        <v>1461</v>
      </c>
      <c r="C1092" s="51" t="s">
        <v>84</v>
      </c>
      <c r="D1092" s="57">
        <v>44853.29881087963</v>
      </c>
    </row>
    <row r="1093">
      <c r="A1093" s="51" t="s">
        <v>11296</v>
      </c>
      <c r="B1093" s="51" t="s">
        <v>9104</v>
      </c>
      <c r="C1093" s="51" t="s">
        <v>84</v>
      </c>
      <c r="D1093" s="57">
        <v>44853.30420189815</v>
      </c>
    </row>
    <row r="1094">
      <c r="A1094" s="51" t="s">
        <v>11296</v>
      </c>
      <c r="B1094" s="51" t="s">
        <v>9104</v>
      </c>
      <c r="C1094" s="51" t="s">
        <v>84</v>
      </c>
      <c r="D1094" s="57">
        <v>44853.30421180556</v>
      </c>
    </row>
    <row r="1095">
      <c r="A1095" s="51" t="s">
        <v>11293</v>
      </c>
      <c r="B1095" s="51" t="s">
        <v>8206</v>
      </c>
      <c r="C1095" s="51" t="s">
        <v>517</v>
      </c>
      <c r="D1095" s="57">
        <v>44853.31249923611</v>
      </c>
    </row>
    <row r="1096">
      <c r="A1096" s="51" t="s">
        <v>11296</v>
      </c>
      <c r="B1096" s="51" t="s">
        <v>8571</v>
      </c>
      <c r="C1096" s="51" t="s">
        <v>84</v>
      </c>
      <c r="D1096" s="57">
        <v>44853.314370821754</v>
      </c>
    </row>
    <row r="1097">
      <c r="A1097" s="51" t="s">
        <v>11296</v>
      </c>
      <c r="B1097" s="51" t="s">
        <v>5190</v>
      </c>
      <c r="C1097" s="51" t="s">
        <v>84</v>
      </c>
      <c r="D1097" s="57">
        <v>44853.31756236111</v>
      </c>
    </row>
    <row r="1098">
      <c r="A1098" s="51" t="s">
        <v>11271</v>
      </c>
      <c r="B1098" s="51" t="s">
        <v>8313</v>
      </c>
      <c r="C1098" s="51" t="s">
        <v>25</v>
      </c>
      <c r="D1098" s="57">
        <v>44853.94375924769</v>
      </c>
    </row>
    <row r="1099">
      <c r="A1099" s="51" t="s">
        <v>11191</v>
      </c>
      <c r="B1099" s="51"/>
      <c r="C1099" s="51"/>
      <c r="D1099" s="57">
        <v>44854.827131365746</v>
      </c>
    </row>
    <row r="1100">
      <c r="A1100" s="51" t="s">
        <v>11234</v>
      </c>
      <c r="B1100" s="51" t="s">
        <v>8755</v>
      </c>
      <c r="C1100" s="51" t="s">
        <v>84</v>
      </c>
      <c r="D1100" s="57">
        <v>44857.9198460301</v>
      </c>
    </row>
    <row r="1101">
      <c r="A1101" s="51" t="s">
        <v>11234</v>
      </c>
      <c r="B1101" s="51" t="s">
        <v>10043</v>
      </c>
      <c r="C1101" s="51" t="s">
        <v>84</v>
      </c>
      <c r="D1101" s="57">
        <v>44857.921533217595</v>
      </c>
    </row>
    <row r="1102">
      <c r="A1102" s="51" t="s">
        <v>11234</v>
      </c>
      <c r="B1102" s="51" t="s">
        <v>11234</v>
      </c>
      <c r="C1102" s="51" t="s">
        <v>84</v>
      </c>
      <c r="D1102" s="57">
        <v>44857.92527695602</v>
      </c>
    </row>
    <row r="1103">
      <c r="A1103" s="51" t="s">
        <v>11297</v>
      </c>
      <c r="B1103" s="51" t="s">
        <v>10642</v>
      </c>
      <c r="C1103" s="51" t="s">
        <v>84</v>
      </c>
      <c r="D1103" s="57">
        <v>44858.011774467595</v>
      </c>
    </row>
    <row r="1104">
      <c r="A1104" s="51" t="s">
        <v>11297</v>
      </c>
      <c r="B1104" s="51" t="s">
        <v>10642</v>
      </c>
      <c r="C1104" s="51" t="s">
        <v>84</v>
      </c>
      <c r="D1104" s="57">
        <v>44858.01191055556</v>
      </c>
    </row>
    <row r="1105">
      <c r="A1105" s="51" t="s">
        <v>11297</v>
      </c>
      <c r="B1105" s="51" t="s">
        <v>6028</v>
      </c>
      <c r="C1105" s="51" t="s">
        <v>84</v>
      </c>
      <c r="D1105" s="57">
        <v>44858.01467421296</v>
      </c>
    </row>
    <row r="1106">
      <c r="A1106" s="51" t="s">
        <v>11297</v>
      </c>
      <c r="B1106" s="51" t="s">
        <v>6028</v>
      </c>
      <c r="C1106" s="51" t="s">
        <v>84</v>
      </c>
      <c r="D1106" s="57">
        <v>44858.014902118055</v>
      </c>
    </row>
    <row r="1107">
      <c r="A1107" s="51" t="s">
        <v>11271</v>
      </c>
      <c r="B1107" s="51" t="s">
        <v>7055</v>
      </c>
      <c r="C1107" s="51" t="s">
        <v>25</v>
      </c>
      <c r="D1107" s="57">
        <v>44858.04738993055</v>
      </c>
    </row>
    <row r="1108">
      <c r="A1108" s="51" t="s">
        <v>11287</v>
      </c>
      <c r="B1108" s="51" t="s">
        <v>2615</v>
      </c>
      <c r="C1108" s="51" t="s">
        <v>25</v>
      </c>
      <c r="D1108" s="57">
        <v>44858.20489659722</v>
      </c>
    </row>
    <row r="1109">
      <c r="A1109" s="51" t="s">
        <v>11298</v>
      </c>
      <c r="B1109" s="51" t="s">
        <v>171</v>
      </c>
      <c r="C1109" s="51" t="s">
        <v>157</v>
      </c>
      <c r="D1109" s="57">
        <v>44858.22814914351</v>
      </c>
    </row>
    <row r="1110">
      <c r="A1110" s="51" t="s">
        <v>11298</v>
      </c>
      <c r="B1110" s="51" t="s">
        <v>1878</v>
      </c>
      <c r="C1110" s="51" t="s">
        <v>157</v>
      </c>
      <c r="D1110" s="57">
        <v>44858.23115519676</v>
      </c>
    </row>
    <row r="1111">
      <c r="A1111" s="51" t="s">
        <v>11299</v>
      </c>
      <c r="B1111" s="51" t="s">
        <v>4476</v>
      </c>
      <c r="C1111" s="51" t="s">
        <v>84</v>
      </c>
      <c r="D1111" s="57">
        <v>44858.947399571756</v>
      </c>
    </row>
    <row r="1112">
      <c r="A1112" s="51" t="s">
        <v>11284</v>
      </c>
      <c r="B1112" s="51" t="s">
        <v>6671</v>
      </c>
      <c r="C1112" s="51" t="s">
        <v>1410</v>
      </c>
      <c r="D1112" s="57">
        <v>44858.96764876157</v>
      </c>
    </row>
    <row r="1113">
      <c r="A1113" s="51" t="s">
        <v>11300</v>
      </c>
      <c r="B1113" s="51" t="s">
        <v>383</v>
      </c>
      <c r="C1113" s="51" t="s">
        <v>386</v>
      </c>
      <c r="D1113" s="57">
        <v>44859.06745592592</v>
      </c>
    </row>
    <row r="1114">
      <c r="A1114" s="51" t="s">
        <v>11200</v>
      </c>
      <c r="B1114" s="51" t="s">
        <v>7636</v>
      </c>
      <c r="C1114" s="51" t="s">
        <v>25</v>
      </c>
      <c r="D1114" s="57">
        <v>44859.22179728009</v>
      </c>
    </row>
    <row r="1115">
      <c r="A1115" s="51" t="s">
        <v>11200</v>
      </c>
      <c r="B1115" s="51" t="s">
        <v>7636</v>
      </c>
      <c r="C1115" s="51" t="s">
        <v>25</v>
      </c>
      <c r="D1115" s="57">
        <v>44859.22181274305</v>
      </c>
    </row>
    <row r="1116">
      <c r="A1116" s="51" t="s">
        <v>11200</v>
      </c>
      <c r="B1116" s="51" t="s">
        <v>7636</v>
      </c>
      <c r="C1116" s="51" t="s">
        <v>25</v>
      </c>
      <c r="D1116" s="57">
        <v>44859.222021724534</v>
      </c>
    </row>
    <row r="1117">
      <c r="A1117" s="51" t="s">
        <v>11200</v>
      </c>
      <c r="B1117" s="51" t="s">
        <v>7636</v>
      </c>
      <c r="C1117" s="51" t="s">
        <v>25</v>
      </c>
      <c r="D1117" s="57">
        <v>44859.22376375</v>
      </c>
    </row>
    <row r="1118">
      <c r="A1118" s="51" t="s">
        <v>11200</v>
      </c>
      <c r="B1118" s="51" t="s">
        <v>3777</v>
      </c>
      <c r="C1118" s="51" t="s">
        <v>25</v>
      </c>
      <c r="D1118" s="57">
        <v>44859.23527662037</v>
      </c>
    </row>
    <row r="1119">
      <c r="A1119" s="51" t="s">
        <v>11200</v>
      </c>
      <c r="B1119" s="51" t="s">
        <v>10854</v>
      </c>
      <c r="C1119" s="51" t="s">
        <v>25</v>
      </c>
      <c r="D1119" s="57">
        <v>44859.24276552083</v>
      </c>
    </row>
    <row r="1120">
      <c r="A1120" s="51" t="s">
        <v>11200</v>
      </c>
      <c r="B1120" s="51" t="s">
        <v>10653</v>
      </c>
      <c r="C1120" s="51" t="s">
        <v>25</v>
      </c>
      <c r="D1120" s="57">
        <v>44859.252366388886</v>
      </c>
    </row>
    <row r="1121">
      <c r="A1121" s="51" t="s">
        <v>11301</v>
      </c>
      <c r="B1121" s="51" t="s">
        <v>10337</v>
      </c>
      <c r="C1121" s="51" t="s">
        <v>25</v>
      </c>
      <c r="D1121" s="57">
        <v>44859.2880127199</v>
      </c>
    </row>
    <row r="1122">
      <c r="A1122" s="51" t="s">
        <v>11301</v>
      </c>
      <c r="B1122" s="51" t="s">
        <v>755</v>
      </c>
      <c r="C1122" s="51" t="s">
        <v>216</v>
      </c>
      <c r="D1122" s="57">
        <v>44859.29271628472</v>
      </c>
    </row>
    <row r="1123">
      <c r="A1123" s="51" t="s">
        <v>11301</v>
      </c>
      <c r="B1123" s="51" t="s">
        <v>2722</v>
      </c>
      <c r="C1123" s="51" t="s">
        <v>216</v>
      </c>
      <c r="D1123" s="57">
        <v>44859.71298409722</v>
      </c>
    </row>
    <row r="1124">
      <c r="A1124" s="51" t="s">
        <v>11302</v>
      </c>
      <c r="B1124" s="51" t="s">
        <v>10393</v>
      </c>
      <c r="C1124" s="51" t="s">
        <v>84</v>
      </c>
      <c r="D1124" s="57">
        <v>44861.09240414352</v>
      </c>
    </row>
    <row r="1125">
      <c r="A1125" s="51" t="s">
        <v>11302</v>
      </c>
      <c r="B1125" s="51" t="s">
        <v>10141</v>
      </c>
      <c r="C1125" s="51" t="s">
        <v>84</v>
      </c>
      <c r="D1125" s="57">
        <v>44861.09612383102</v>
      </c>
    </row>
    <row r="1126">
      <c r="A1126" s="51" t="s">
        <v>11302</v>
      </c>
      <c r="B1126" s="51" t="s">
        <v>10141</v>
      </c>
      <c r="C1126" s="51" t="s">
        <v>84</v>
      </c>
      <c r="D1126" s="57">
        <v>44861.09835354167</v>
      </c>
    </row>
    <row r="1127">
      <c r="A1127" s="51" t="s">
        <v>11302</v>
      </c>
      <c r="B1127" s="51" t="s">
        <v>4476</v>
      </c>
      <c r="C1127" s="51" t="s">
        <v>84</v>
      </c>
      <c r="D1127" s="57">
        <v>44861.09931635417</v>
      </c>
    </row>
    <row r="1128">
      <c r="A1128" s="51" t="s">
        <v>11300</v>
      </c>
      <c r="B1128" s="51" t="s">
        <v>5365</v>
      </c>
      <c r="C1128" s="51" t="s">
        <v>386</v>
      </c>
      <c r="D1128" s="57">
        <v>44865.62493633102</v>
      </c>
    </row>
    <row r="1129">
      <c r="A1129" s="51" t="s">
        <v>11303</v>
      </c>
      <c r="B1129" s="51" t="s">
        <v>7921</v>
      </c>
      <c r="C1129" s="51" t="s">
        <v>84</v>
      </c>
      <c r="D1129" s="57">
        <v>44865.88206188657</v>
      </c>
    </row>
    <row r="1130">
      <c r="A1130" s="51" t="s">
        <v>11303</v>
      </c>
      <c r="B1130" s="51" t="s">
        <v>10141</v>
      </c>
      <c r="C1130" s="51" t="s">
        <v>84</v>
      </c>
      <c r="D1130" s="57">
        <v>44865.88332527778</v>
      </c>
    </row>
    <row r="1131">
      <c r="A1131" s="51" t="s">
        <v>11304</v>
      </c>
      <c r="B1131" s="51" t="s">
        <v>1600</v>
      </c>
      <c r="C1131" s="51" t="s">
        <v>316</v>
      </c>
      <c r="D1131" s="57">
        <v>44865.95024039352</v>
      </c>
    </row>
    <row r="1132">
      <c r="A1132" s="51" t="s">
        <v>11304</v>
      </c>
      <c r="B1132" s="51" t="s">
        <v>8371</v>
      </c>
      <c r="C1132" s="51" t="s">
        <v>316</v>
      </c>
      <c r="D1132" s="57">
        <v>44865.95153576389</v>
      </c>
    </row>
    <row r="1133">
      <c r="A1133" s="51" t="s">
        <v>11305</v>
      </c>
      <c r="B1133" s="51" t="s">
        <v>1321</v>
      </c>
      <c r="C1133" s="51" t="s">
        <v>517</v>
      </c>
      <c r="D1133" s="57">
        <v>44865.97156305556</v>
      </c>
    </row>
    <row r="1134">
      <c r="A1134" s="51" t="s">
        <v>11305</v>
      </c>
      <c r="B1134" s="51" t="s">
        <v>1321</v>
      </c>
      <c r="C1134" s="51" t="s">
        <v>517</v>
      </c>
      <c r="D1134" s="57">
        <v>44865.97181645833</v>
      </c>
    </row>
    <row r="1135">
      <c r="A1135" s="51" t="s">
        <v>11099</v>
      </c>
      <c r="B1135" s="51" t="s">
        <v>8371</v>
      </c>
      <c r="C1135" s="51" t="s">
        <v>316</v>
      </c>
      <c r="D1135" s="57">
        <v>44866.135030439815</v>
      </c>
    </row>
    <row r="1136">
      <c r="A1136" s="51" t="s">
        <v>11099</v>
      </c>
      <c r="B1136" s="51" t="s">
        <v>8911</v>
      </c>
      <c r="C1136" s="51" t="s">
        <v>517</v>
      </c>
      <c r="D1136" s="57">
        <v>44866.13637587963</v>
      </c>
    </row>
    <row r="1137">
      <c r="A1137" s="51" t="s">
        <v>11305</v>
      </c>
      <c r="B1137" s="51" t="s">
        <v>1321</v>
      </c>
      <c r="C1137" s="51" t="s">
        <v>517</v>
      </c>
      <c r="D1137" s="57">
        <v>44866.39041813657</v>
      </c>
    </row>
    <row r="1138">
      <c r="A1138" s="51" t="s">
        <v>11260</v>
      </c>
      <c r="B1138" s="51" t="s">
        <v>329</v>
      </c>
      <c r="C1138" s="51" t="s">
        <v>25</v>
      </c>
      <c r="D1138" s="57">
        <v>44869.273975902775</v>
      </c>
    </row>
    <row r="1139">
      <c r="A1139" s="51" t="s">
        <v>11304</v>
      </c>
      <c r="B1139" s="51" t="s">
        <v>4432</v>
      </c>
      <c r="C1139" s="51" t="s">
        <v>316</v>
      </c>
      <c r="D1139" s="57">
        <v>44870.25854722223</v>
      </c>
    </row>
    <row r="1140">
      <c r="A1140" s="51" t="s">
        <v>11304</v>
      </c>
      <c r="B1140" s="51" t="s">
        <v>2240</v>
      </c>
      <c r="C1140" s="51" t="s">
        <v>316</v>
      </c>
      <c r="D1140" s="57">
        <v>44870.2601494213</v>
      </c>
    </row>
    <row r="1141">
      <c r="A1141" s="51" t="s">
        <v>11232</v>
      </c>
      <c r="B1141" s="51" t="s">
        <v>7873</v>
      </c>
      <c r="C1141" s="51" t="s">
        <v>216</v>
      </c>
      <c r="D1141" s="57">
        <v>44870.82397386574</v>
      </c>
    </row>
    <row r="1142">
      <c r="A1142" s="51" t="s">
        <v>11232</v>
      </c>
      <c r="B1142" s="51" t="s">
        <v>7873</v>
      </c>
      <c r="C1142" s="51" t="s">
        <v>216</v>
      </c>
      <c r="D1142" s="57">
        <v>44870.824257395834</v>
      </c>
    </row>
    <row r="1143">
      <c r="A1143" s="51" t="s">
        <v>11232</v>
      </c>
      <c r="B1143" s="51" t="s">
        <v>1600</v>
      </c>
      <c r="C1143" s="51" t="s">
        <v>316</v>
      </c>
      <c r="D1143" s="57">
        <v>44870.82759185185</v>
      </c>
    </row>
    <row r="1144">
      <c r="A1144" s="51" t="s">
        <v>11232</v>
      </c>
      <c r="B1144" s="51" t="s">
        <v>1600</v>
      </c>
      <c r="C1144" s="51" t="s">
        <v>316</v>
      </c>
      <c r="D1144" s="57">
        <v>44870.828282939816</v>
      </c>
    </row>
    <row r="1145">
      <c r="A1145" s="51" t="s">
        <v>11232</v>
      </c>
      <c r="B1145" s="51" t="s">
        <v>8371</v>
      </c>
      <c r="C1145" s="51" t="s">
        <v>316</v>
      </c>
      <c r="D1145" s="57">
        <v>44870.828846041666</v>
      </c>
    </row>
    <row r="1146">
      <c r="A1146" s="51" t="s">
        <v>11232</v>
      </c>
      <c r="B1146" s="51" t="s">
        <v>554</v>
      </c>
      <c r="C1146" s="51" t="s">
        <v>557</v>
      </c>
      <c r="D1146" s="57">
        <v>44870.83010309028</v>
      </c>
    </row>
    <row r="1147">
      <c r="A1147" s="51" t="s">
        <v>11232</v>
      </c>
      <c r="B1147" s="51" t="s">
        <v>554</v>
      </c>
      <c r="C1147" s="51" t="s">
        <v>557</v>
      </c>
      <c r="D1147" s="57">
        <v>44870.830488321764</v>
      </c>
    </row>
    <row r="1148">
      <c r="A1148" s="51" t="s">
        <v>11232</v>
      </c>
      <c r="B1148" s="51" t="s">
        <v>3696</v>
      </c>
      <c r="C1148" s="51" t="s">
        <v>517</v>
      </c>
      <c r="D1148" s="57">
        <v>44870.830923368056</v>
      </c>
    </row>
    <row r="1149">
      <c r="A1149" s="51" t="s">
        <v>11232</v>
      </c>
      <c r="B1149" s="51" t="s">
        <v>3696</v>
      </c>
      <c r="C1149" s="51" t="s">
        <v>517</v>
      </c>
      <c r="D1149" s="57">
        <v>44870.83229486111</v>
      </c>
    </row>
    <row r="1150">
      <c r="A1150" s="51" t="s">
        <v>11232</v>
      </c>
      <c r="B1150" s="51" t="s">
        <v>1321</v>
      </c>
      <c r="C1150" s="51" t="s">
        <v>517</v>
      </c>
      <c r="D1150" s="57">
        <v>44870.83274966435</v>
      </c>
    </row>
    <row r="1151">
      <c r="A1151" s="51" t="s">
        <v>11232</v>
      </c>
      <c r="B1151" s="51" t="s">
        <v>4916</v>
      </c>
      <c r="C1151" s="51" t="s">
        <v>25</v>
      </c>
      <c r="D1151" s="57">
        <v>44870.83345208333</v>
      </c>
    </row>
    <row r="1152">
      <c r="A1152" s="51" t="s">
        <v>11232</v>
      </c>
      <c r="B1152" s="51" t="s">
        <v>2250</v>
      </c>
      <c r="C1152" s="51" t="s">
        <v>25</v>
      </c>
      <c r="D1152" s="57">
        <v>44870.836068125005</v>
      </c>
    </row>
    <row r="1153">
      <c r="A1153" s="51" t="s">
        <v>11232</v>
      </c>
      <c r="B1153" s="51" t="s">
        <v>5770</v>
      </c>
      <c r="C1153" s="51" t="s">
        <v>25</v>
      </c>
      <c r="D1153" s="57">
        <v>44870.836480162034</v>
      </c>
    </row>
    <row r="1154">
      <c r="A1154" s="51" t="s">
        <v>11304</v>
      </c>
      <c r="B1154" s="51" t="s">
        <v>5101</v>
      </c>
      <c r="C1154" s="51" t="s">
        <v>284</v>
      </c>
      <c r="D1154" s="57">
        <v>44871.17547106482</v>
      </c>
    </row>
    <row r="1155">
      <c r="A1155" s="51" t="s">
        <v>11290</v>
      </c>
      <c r="B1155" s="51" t="s">
        <v>817</v>
      </c>
      <c r="C1155" s="51" t="s">
        <v>165</v>
      </c>
      <c r="D1155" s="57">
        <v>44874.64626976852</v>
      </c>
    </row>
    <row r="1156">
      <c r="A1156" s="51" t="s">
        <v>11290</v>
      </c>
      <c r="B1156" s="51" t="s">
        <v>3294</v>
      </c>
      <c r="C1156" s="51" t="s">
        <v>292</v>
      </c>
      <c r="D1156" s="57">
        <v>44874.64872268519</v>
      </c>
    </row>
    <row r="1157">
      <c r="A1157" s="51" t="s">
        <v>11290</v>
      </c>
      <c r="B1157" s="51" t="s">
        <v>5819</v>
      </c>
      <c r="C1157" s="51" t="s">
        <v>216</v>
      </c>
      <c r="D1157" s="57">
        <v>44874.65016424769</v>
      </c>
    </row>
    <row r="1158">
      <c r="A1158" s="51" t="s">
        <v>11243</v>
      </c>
      <c r="B1158" s="51" t="s">
        <v>5706</v>
      </c>
      <c r="C1158" s="51" t="s">
        <v>110</v>
      </c>
      <c r="D1158" s="57">
        <v>44877.03974291666</v>
      </c>
    </row>
    <row r="1159">
      <c r="A1159" s="51" t="s">
        <v>11273</v>
      </c>
      <c r="B1159" s="51" t="s">
        <v>4885</v>
      </c>
      <c r="C1159" s="51" t="s">
        <v>517</v>
      </c>
      <c r="D1159" s="57">
        <v>44878.59290611111</v>
      </c>
    </row>
    <row r="1160">
      <c r="A1160" s="51" t="s">
        <v>11306</v>
      </c>
      <c r="B1160" s="51" t="s">
        <v>9740</v>
      </c>
      <c r="C1160" s="51" t="s">
        <v>25</v>
      </c>
      <c r="D1160" s="57">
        <v>44879.01293511574</v>
      </c>
    </row>
    <row r="1161">
      <c r="A1161" s="51" t="s">
        <v>11306</v>
      </c>
      <c r="B1161" s="51" t="s">
        <v>9751</v>
      </c>
      <c r="C1161" s="51" t="s">
        <v>25</v>
      </c>
      <c r="D1161" s="57">
        <v>44879.01534810185</v>
      </c>
    </row>
    <row r="1162">
      <c r="A1162" s="51" t="s">
        <v>11234</v>
      </c>
      <c r="B1162" s="51" t="s">
        <v>6892</v>
      </c>
      <c r="C1162" s="51" t="s">
        <v>25</v>
      </c>
      <c r="D1162" s="57">
        <v>44879.430632557865</v>
      </c>
    </row>
    <row r="1163">
      <c r="A1163" s="51" t="s">
        <v>11307</v>
      </c>
      <c r="B1163" s="51" t="s">
        <v>10486</v>
      </c>
      <c r="C1163" s="51" t="s">
        <v>84</v>
      </c>
      <c r="D1163" s="57">
        <v>44879.85213461806</v>
      </c>
    </row>
    <row r="1164">
      <c r="A1164" s="51" t="s">
        <v>11308</v>
      </c>
      <c r="B1164" s="51" t="s">
        <v>9348</v>
      </c>
      <c r="C1164" s="51" t="s">
        <v>84</v>
      </c>
      <c r="D1164" s="57">
        <v>44879.90560788194</v>
      </c>
    </row>
    <row r="1165">
      <c r="A1165" s="51" t="s">
        <v>11308</v>
      </c>
      <c r="B1165" s="51" t="s">
        <v>2451</v>
      </c>
      <c r="C1165" s="51" t="s">
        <v>84</v>
      </c>
      <c r="D1165" s="57">
        <v>44879.91148859954</v>
      </c>
    </row>
    <row r="1166">
      <c r="A1166" s="51" t="s">
        <v>11308</v>
      </c>
      <c r="B1166" s="51" t="s">
        <v>3760</v>
      </c>
      <c r="C1166" s="51" t="s">
        <v>84</v>
      </c>
      <c r="D1166" s="57">
        <v>44879.97303778935</v>
      </c>
    </row>
    <row r="1167">
      <c r="A1167" s="51" t="s">
        <v>11308</v>
      </c>
      <c r="B1167" s="51" t="s">
        <v>9172</v>
      </c>
      <c r="C1167" s="51" t="s">
        <v>84</v>
      </c>
      <c r="D1167" s="57">
        <v>44879.97438810185</v>
      </c>
    </row>
    <row r="1168">
      <c r="A1168" s="51" t="s">
        <v>11308</v>
      </c>
      <c r="B1168" s="51" t="s">
        <v>5741</v>
      </c>
      <c r="C1168" s="51" t="s">
        <v>165</v>
      </c>
      <c r="D1168" s="57">
        <v>44879.97576015047</v>
      </c>
    </row>
    <row r="1169">
      <c r="A1169" s="51" t="s">
        <v>11308</v>
      </c>
      <c r="B1169" s="51" t="s">
        <v>5541</v>
      </c>
      <c r="C1169" s="51" t="s">
        <v>84</v>
      </c>
      <c r="D1169" s="57">
        <v>44879.976251319444</v>
      </c>
    </row>
    <row r="1170">
      <c r="A1170" s="51" t="s">
        <v>11308</v>
      </c>
      <c r="B1170" s="51" t="s">
        <v>4875</v>
      </c>
      <c r="C1170" s="51" t="s">
        <v>68</v>
      </c>
      <c r="D1170" s="57">
        <v>44879.97682872685</v>
      </c>
    </row>
    <row r="1171">
      <c r="A1171" s="51" t="s">
        <v>11309</v>
      </c>
      <c r="B1171" s="51" t="s">
        <v>1600</v>
      </c>
      <c r="C1171" s="51" t="s">
        <v>316</v>
      </c>
      <c r="D1171" s="57">
        <v>44880.02147409722</v>
      </c>
    </row>
    <row r="1172">
      <c r="A1172" s="51" t="s">
        <v>11272</v>
      </c>
      <c r="B1172" s="51" t="s">
        <v>6892</v>
      </c>
      <c r="C1172" s="51" t="s">
        <v>25</v>
      </c>
      <c r="D1172" s="57">
        <v>44880.12335444444</v>
      </c>
    </row>
    <row r="1173">
      <c r="A1173" s="51" t="s">
        <v>11308</v>
      </c>
      <c r="B1173" s="51" t="s">
        <v>10466</v>
      </c>
      <c r="C1173" s="51" t="s">
        <v>25</v>
      </c>
      <c r="D1173" s="57">
        <v>44880.77536752315</v>
      </c>
    </row>
    <row r="1174">
      <c r="A1174" s="51" t="s">
        <v>11308</v>
      </c>
      <c r="B1174" s="51" t="s">
        <v>10793</v>
      </c>
      <c r="C1174" s="51" t="s">
        <v>84</v>
      </c>
      <c r="D1174" s="57">
        <v>44880.78046569444</v>
      </c>
    </row>
    <row r="1175">
      <c r="A1175" s="51" t="s">
        <v>11308</v>
      </c>
      <c r="B1175" s="51" t="s">
        <v>10793</v>
      </c>
      <c r="C1175" s="51" t="s">
        <v>84</v>
      </c>
      <c r="D1175" s="57">
        <v>44880.78068185185</v>
      </c>
    </row>
    <row r="1176">
      <c r="A1176" s="51" t="s">
        <v>11308</v>
      </c>
      <c r="B1176" s="51" t="s">
        <v>10365</v>
      </c>
      <c r="C1176" s="51" t="s">
        <v>84</v>
      </c>
      <c r="D1176" s="57">
        <v>44880.78243802083</v>
      </c>
    </row>
    <row r="1177">
      <c r="A1177" s="51" t="s">
        <v>11308</v>
      </c>
      <c r="B1177" s="51" t="s">
        <v>10365</v>
      </c>
      <c r="C1177" s="51" t="s">
        <v>84</v>
      </c>
      <c r="D1177" s="57">
        <v>44880.79199865741</v>
      </c>
    </row>
    <row r="1178">
      <c r="A1178" s="51" t="s">
        <v>11308</v>
      </c>
      <c r="B1178" s="51" t="s">
        <v>11012</v>
      </c>
      <c r="C1178" s="51" t="s">
        <v>25</v>
      </c>
      <c r="D1178" s="57">
        <v>44880.79244488426</v>
      </c>
    </row>
    <row r="1179">
      <c r="A1179" s="51" t="s">
        <v>11307</v>
      </c>
      <c r="B1179" s="51" t="s">
        <v>10621</v>
      </c>
      <c r="C1179" s="51" t="s">
        <v>84</v>
      </c>
      <c r="D1179" s="57">
        <v>44880.80389170139</v>
      </c>
    </row>
    <row r="1180">
      <c r="A1180" s="51" t="s">
        <v>11281</v>
      </c>
      <c r="B1180" s="51" t="s">
        <v>6119</v>
      </c>
      <c r="C1180" s="51" t="s">
        <v>25</v>
      </c>
      <c r="D1180" s="57">
        <v>44880.86450247685</v>
      </c>
    </row>
    <row r="1181">
      <c r="A1181" s="51" t="s">
        <v>11281</v>
      </c>
      <c r="B1181" s="51" t="s">
        <v>57</v>
      </c>
      <c r="C1181" s="51" t="s">
        <v>25</v>
      </c>
      <c r="D1181" s="57">
        <v>44880.86963184028</v>
      </c>
    </row>
    <row r="1182">
      <c r="A1182" s="51" t="s">
        <v>11281</v>
      </c>
      <c r="B1182" s="51" t="s">
        <v>6398</v>
      </c>
      <c r="C1182" s="51" t="s">
        <v>25</v>
      </c>
      <c r="D1182" s="57">
        <v>44880.87277427083</v>
      </c>
    </row>
    <row r="1183">
      <c r="A1183" s="51" t="s">
        <v>11234</v>
      </c>
      <c r="B1183" s="51" t="s">
        <v>10863</v>
      </c>
      <c r="C1183" s="51" t="s">
        <v>25</v>
      </c>
      <c r="D1183" s="57">
        <v>44881.04208802083</v>
      </c>
    </row>
    <row r="1184">
      <c r="A1184" s="51" t="s">
        <v>11281</v>
      </c>
      <c r="B1184" s="51" t="s">
        <v>11001</v>
      </c>
      <c r="C1184" s="51" t="s">
        <v>84</v>
      </c>
      <c r="D1184" s="57">
        <v>44881.06137895833</v>
      </c>
    </row>
    <row r="1185">
      <c r="A1185" s="51" t="s">
        <v>11234</v>
      </c>
      <c r="B1185" s="51" t="s">
        <v>10693</v>
      </c>
      <c r="C1185" s="51" t="s">
        <v>25</v>
      </c>
      <c r="D1185" s="57">
        <v>44881.07631672454</v>
      </c>
    </row>
    <row r="1186">
      <c r="A1186" s="51" t="s">
        <v>11234</v>
      </c>
      <c r="B1186" s="51" t="s">
        <v>10673</v>
      </c>
      <c r="C1186" s="51" t="s">
        <v>25</v>
      </c>
      <c r="D1186" s="57">
        <v>44881.07663673611</v>
      </c>
    </row>
    <row r="1187">
      <c r="A1187" s="51" t="s">
        <v>11310</v>
      </c>
      <c r="B1187" s="51" t="s">
        <v>1407</v>
      </c>
      <c r="C1187" s="51" t="s">
        <v>1410</v>
      </c>
      <c r="D1187" s="57">
        <v>44881.086951377314</v>
      </c>
    </row>
    <row r="1188">
      <c r="A1188" s="51" t="s">
        <v>11310</v>
      </c>
      <c r="B1188" s="51" t="s">
        <v>1407</v>
      </c>
      <c r="C1188" s="51" t="s">
        <v>1410</v>
      </c>
      <c r="D1188" s="57">
        <v>44881.08749015046</v>
      </c>
    </row>
    <row r="1189">
      <c r="A1189" s="51" t="s">
        <v>11300</v>
      </c>
      <c r="B1189" s="51" t="s">
        <v>5678</v>
      </c>
      <c r="C1189" s="51" t="s">
        <v>110</v>
      </c>
      <c r="D1189" s="57">
        <v>44881.18923696759</v>
      </c>
    </row>
    <row r="1190">
      <c r="A1190" s="51" t="s">
        <v>11304</v>
      </c>
      <c r="B1190" s="51" t="s">
        <v>153</v>
      </c>
      <c r="C1190" s="51" t="s">
        <v>157</v>
      </c>
      <c r="D1190" s="57">
        <v>44882.339447199076</v>
      </c>
    </row>
    <row r="1191">
      <c r="A1191" s="51" t="s">
        <v>11304</v>
      </c>
      <c r="B1191" s="51" t="s">
        <v>732</v>
      </c>
      <c r="C1191" s="51" t="s">
        <v>157</v>
      </c>
      <c r="D1191" s="57">
        <v>44882.34555194444</v>
      </c>
    </row>
    <row r="1192">
      <c r="A1192" s="51" t="s">
        <v>11281</v>
      </c>
      <c r="B1192" s="51" t="s">
        <v>228</v>
      </c>
      <c r="C1192" s="51" t="s">
        <v>25</v>
      </c>
      <c r="D1192" s="57">
        <v>44885.451602685185</v>
      </c>
    </row>
    <row r="1193">
      <c r="A1193" s="51" t="s">
        <v>11277</v>
      </c>
      <c r="B1193" s="51" t="s">
        <v>10131</v>
      </c>
      <c r="C1193" s="51" t="s">
        <v>25</v>
      </c>
      <c r="D1193" s="57">
        <v>44886.18310707176</v>
      </c>
    </row>
    <row r="1194">
      <c r="A1194" s="51" t="s">
        <v>11277</v>
      </c>
      <c r="B1194" s="51" t="s">
        <v>8381</v>
      </c>
      <c r="C1194" s="51" t="s">
        <v>93</v>
      </c>
      <c r="D1194" s="57">
        <v>44886.183630694446</v>
      </c>
    </row>
    <row r="1195">
      <c r="A1195" s="51" t="s">
        <v>11311</v>
      </c>
      <c r="B1195" s="51" t="s">
        <v>8021</v>
      </c>
      <c r="C1195" s="51" t="s">
        <v>165</v>
      </c>
      <c r="D1195" s="57">
        <v>44887.04244337963</v>
      </c>
    </row>
    <row r="1196">
      <c r="A1196" s="51" t="s">
        <v>11277</v>
      </c>
      <c r="B1196" s="51" t="s">
        <v>7475</v>
      </c>
      <c r="C1196" s="51" t="s">
        <v>25</v>
      </c>
      <c r="D1196" s="57">
        <v>44887.46247665509</v>
      </c>
    </row>
    <row r="1197">
      <c r="A1197" s="51" t="s">
        <v>11277</v>
      </c>
      <c r="B1197" s="51" t="s">
        <v>10073</v>
      </c>
      <c r="C1197" s="51" t="s">
        <v>25</v>
      </c>
      <c r="D1197" s="57">
        <v>44887.551606875</v>
      </c>
    </row>
    <row r="1198">
      <c r="A1198" s="51" t="s">
        <v>11281</v>
      </c>
      <c r="B1198" s="51" t="s">
        <v>431</v>
      </c>
      <c r="C1198" s="51" t="s">
        <v>25</v>
      </c>
      <c r="D1198" s="57">
        <v>44888.36339810185</v>
      </c>
    </row>
    <row r="1199">
      <c r="A1199" s="51" t="s">
        <v>11217</v>
      </c>
      <c r="B1199" s="51" t="s">
        <v>3360</v>
      </c>
      <c r="C1199" s="51" t="s">
        <v>25</v>
      </c>
      <c r="D1199" s="57">
        <v>44888.78423863426</v>
      </c>
    </row>
    <row r="1200">
      <c r="A1200" s="51" t="s">
        <v>11312</v>
      </c>
      <c r="B1200" s="51" t="s">
        <v>10673</v>
      </c>
      <c r="C1200" s="51" t="s">
        <v>25</v>
      </c>
      <c r="D1200" s="57">
        <v>44889.95959125</v>
      </c>
    </row>
    <row r="1201">
      <c r="A1201" s="51" t="s">
        <v>11312</v>
      </c>
      <c r="B1201" s="51" t="s">
        <v>7991</v>
      </c>
      <c r="C1201" s="51" t="s">
        <v>25</v>
      </c>
      <c r="D1201" s="57">
        <v>44889.96842655093</v>
      </c>
    </row>
    <row r="1202">
      <c r="A1202" s="51" t="s">
        <v>11293</v>
      </c>
      <c r="B1202" s="51" t="s">
        <v>4291</v>
      </c>
      <c r="C1202" s="51" t="s">
        <v>25</v>
      </c>
      <c r="D1202" s="57">
        <v>44891.35071971065</v>
      </c>
    </row>
    <row r="1203">
      <c r="A1203" s="51" t="s">
        <v>11312</v>
      </c>
      <c r="B1203" s="51" t="s">
        <v>8226</v>
      </c>
      <c r="C1203" s="51" t="s">
        <v>25</v>
      </c>
      <c r="D1203" s="57">
        <v>44894.17151422454</v>
      </c>
    </row>
    <row r="1204">
      <c r="A1204" s="51" t="s">
        <v>11285</v>
      </c>
      <c r="B1204" s="51" t="s">
        <v>7748</v>
      </c>
      <c r="C1204" s="51" t="s">
        <v>25</v>
      </c>
      <c r="D1204" s="57">
        <v>44895.75274726852</v>
      </c>
    </row>
    <row r="1205">
      <c r="A1205" s="51" t="s">
        <v>11285</v>
      </c>
      <c r="B1205" s="51" t="s">
        <v>9690</v>
      </c>
      <c r="C1205" s="51" t="s">
        <v>25</v>
      </c>
      <c r="D1205" s="57">
        <v>44895.76396082176</v>
      </c>
    </row>
    <row r="1206">
      <c r="A1206" s="51" t="s">
        <v>11285</v>
      </c>
      <c r="B1206" s="51" t="s">
        <v>10542</v>
      </c>
      <c r="C1206" s="51" t="s">
        <v>25</v>
      </c>
      <c r="D1206" s="57">
        <v>44895.7650254051</v>
      </c>
    </row>
    <row r="1207">
      <c r="A1207" s="51" t="s">
        <v>11256</v>
      </c>
      <c r="B1207" s="51" t="s">
        <v>11001</v>
      </c>
      <c r="C1207" s="51" t="s">
        <v>84</v>
      </c>
      <c r="D1207" s="57">
        <v>44896.19637109953</v>
      </c>
    </row>
    <row r="1208">
      <c r="A1208" s="51" t="s">
        <v>11271</v>
      </c>
      <c r="B1208" s="51" t="s">
        <v>8313</v>
      </c>
      <c r="C1208" s="51" t="s">
        <v>25</v>
      </c>
      <c r="D1208" s="57">
        <v>44896.229512164355</v>
      </c>
    </row>
    <row r="1209">
      <c r="A1209" s="51" t="s">
        <v>11256</v>
      </c>
      <c r="B1209" s="51" t="s">
        <v>10944</v>
      </c>
      <c r="C1209" s="51" t="s">
        <v>84</v>
      </c>
      <c r="D1209" s="57">
        <v>44896.306725567134</v>
      </c>
    </row>
    <row r="1210">
      <c r="A1210" s="51" t="s">
        <v>11290</v>
      </c>
      <c r="B1210" s="51" t="s">
        <v>6109</v>
      </c>
      <c r="C1210" s="51" t="s">
        <v>25</v>
      </c>
      <c r="D1210" s="57">
        <v>44897.042746875</v>
      </c>
    </row>
    <row r="1211">
      <c r="A1211" s="51" t="s">
        <v>11312</v>
      </c>
      <c r="B1211" s="51"/>
      <c r="C1211" s="51"/>
      <c r="D1211" s="57">
        <v>44897.19437960648</v>
      </c>
    </row>
    <row r="1212">
      <c r="A1212" s="51" t="s">
        <v>11312</v>
      </c>
      <c r="B1212" s="51" t="s">
        <v>10673</v>
      </c>
      <c r="C1212" s="51" t="s">
        <v>25</v>
      </c>
      <c r="D1212" s="57">
        <v>44897.194741388885</v>
      </c>
    </row>
    <row r="1213">
      <c r="A1213" s="51" t="s">
        <v>11271</v>
      </c>
      <c r="B1213" s="51" t="s">
        <v>6205</v>
      </c>
      <c r="C1213" s="51" t="s">
        <v>25</v>
      </c>
      <c r="D1213" s="57">
        <v>44897.29128107639</v>
      </c>
    </row>
    <row r="1214">
      <c r="A1214" s="51" t="s">
        <v>11271</v>
      </c>
      <c r="B1214" s="51" t="s">
        <v>8930</v>
      </c>
      <c r="C1214" s="51" t="s">
        <v>25</v>
      </c>
      <c r="D1214" s="57">
        <v>44897.29960893518</v>
      </c>
    </row>
    <row r="1215">
      <c r="A1215" s="51" t="s">
        <v>11285</v>
      </c>
      <c r="B1215" s="51" t="s">
        <v>351</v>
      </c>
      <c r="C1215" s="51" t="s">
        <v>216</v>
      </c>
      <c r="D1215" s="57">
        <v>44897.31324024306</v>
      </c>
    </row>
    <row r="1216">
      <c r="A1216" s="51" t="s">
        <v>11273</v>
      </c>
      <c r="B1216" s="51" t="s">
        <v>5667</v>
      </c>
      <c r="C1216" s="51" t="s">
        <v>216</v>
      </c>
      <c r="D1216" s="57">
        <v>44897.39770025463</v>
      </c>
    </row>
    <row r="1217">
      <c r="A1217" s="51" t="s">
        <v>11273</v>
      </c>
      <c r="B1217" s="51" t="s">
        <v>10833</v>
      </c>
      <c r="C1217" s="51" t="s">
        <v>517</v>
      </c>
      <c r="D1217" s="57">
        <v>44897.40285625</v>
      </c>
    </row>
    <row r="1218">
      <c r="A1218" s="51" t="s">
        <v>11273</v>
      </c>
      <c r="B1218" s="51" t="s">
        <v>10833</v>
      </c>
      <c r="C1218" s="51" t="s">
        <v>517</v>
      </c>
      <c r="D1218" s="57">
        <v>44897.40339496528</v>
      </c>
    </row>
    <row r="1219">
      <c r="A1219" s="51" t="s">
        <v>11273</v>
      </c>
      <c r="B1219" s="51" t="s">
        <v>10833</v>
      </c>
      <c r="C1219" s="51" t="s">
        <v>517</v>
      </c>
      <c r="D1219" s="57">
        <v>44897.403651817134</v>
      </c>
    </row>
    <row r="1220">
      <c r="A1220" s="51" t="s">
        <v>11273</v>
      </c>
      <c r="B1220" s="51" t="s">
        <v>10833</v>
      </c>
      <c r="C1220" s="51" t="s">
        <v>517</v>
      </c>
      <c r="D1220" s="57">
        <v>44897.40407754629</v>
      </c>
    </row>
    <row r="1221">
      <c r="A1221" s="51" t="s">
        <v>11281</v>
      </c>
      <c r="B1221" s="51" t="s">
        <v>1444</v>
      </c>
      <c r="C1221" s="51" t="s">
        <v>25</v>
      </c>
      <c r="D1221" s="57">
        <v>44897.727254108795</v>
      </c>
    </row>
    <row r="1222">
      <c r="A1222" s="51" t="s">
        <v>11277</v>
      </c>
      <c r="B1222" s="51" t="s">
        <v>7815</v>
      </c>
      <c r="C1222" s="51" t="s">
        <v>165</v>
      </c>
      <c r="D1222" s="57">
        <v>44897.913769039355</v>
      </c>
    </row>
    <row r="1223">
      <c r="A1223" s="51" t="s">
        <v>11277</v>
      </c>
      <c r="B1223" s="51" t="s">
        <v>3468</v>
      </c>
      <c r="C1223" s="51" t="s">
        <v>25</v>
      </c>
      <c r="D1223" s="57">
        <v>44897.91542706019</v>
      </c>
    </row>
    <row r="1224">
      <c r="A1224" s="51" t="s">
        <v>11307</v>
      </c>
      <c r="B1224" s="51" t="s">
        <v>9636</v>
      </c>
      <c r="C1224" s="51" t="s">
        <v>84</v>
      </c>
      <c r="D1224" s="57">
        <v>44898.10786525463</v>
      </c>
    </row>
    <row r="1225">
      <c r="A1225" s="51" t="s">
        <v>11293</v>
      </c>
      <c r="B1225" s="51" t="s">
        <v>1085</v>
      </c>
      <c r="C1225" s="51" t="s">
        <v>25</v>
      </c>
      <c r="D1225" s="57">
        <v>44898.319363692135</v>
      </c>
    </row>
    <row r="1226">
      <c r="A1226" s="51" t="s">
        <v>11293</v>
      </c>
      <c r="B1226" s="51" t="s">
        <v>10247</v>
      </c>
      <c r="C1226" s="51" t="s">
        <v>25</v>
      </c>
      <c r="D1226" s="57">
        <v>44898.3208635301</v>
      </c>
    </row>
    <row r="1227">
      <c r="A1227" s="51" t="s">
        <v>11273</v>
      </c>
      <c r="B1227" s="51" t="s">
        <v>4935</v>
      </c>
      <c r="C1227" s="51" t="s">
        <v>25</v>
      </c>
      <c r="D1227" s="57">
        <v>44899.074026689814</v>
      </c>
    </row>
    <row r="1228">
      <c r="A1228" s="51" t="s">
        <v>11273</v>
      </c>
      <c r="B1228" s="51" t="s">
        <v>4935</v>
      </c>
      <c r="C1228" s="51" t="s">
        <v>25</v>
      </c>
      <c r="D1228" s="57">
        <v>44899.07437444445</v>
      </c>
    </row>
    <row r="1229">
      <c r="A1229" s="51" t="s">
        <v>11313</v>
      </c>
      <c r="B1229" s="51" t="s">
        <v>9976</v>
      </c>
      <c r="C1229" s="51" t="s">
        <v>25</v>
      </c>
      <c r="D1229" s="57">
        <v>44899.21698834491</v>
      </c>
    </row>
    <row r="1230">
      <c r="A1230" s="51" t="s">
        <v>11313</v>
      </c>
      <c r="B1230" s="51" t="s">
        <v>9967</v>
      </c>
      <c r="C1230" s="51" t="s">
        <v>25</v>
      </c>
      <c r="D1230" s="57">
        <v>44899.95390450231</v>
      </c>
    </row>
    <row r="1231">
      <c r="A1231" s="51" t="s">
        <v>11313</v>
      </c>
      <c r="B1231" s="51" t="s">
        <v>9799</v>
      </c>
      <c r="C1231" s="51" t="s">
        <v>25</v>
      </c>
      <c r="D1231" s="57">
        <v>44899.958760636575</v>
      </c>
    </row>
    <row r="1232">
      <c r="A1232" s="51" t="s">
        <v>11217</v>
      </c>
      <c r="B1232" s="51" t="s">
        <v>9545</v>
      </c>
      <c r="C1232" s="51" t="s">
        <v>165</v>
      </c>
      <c r="D1232" s="57">
        <v>44900.808752453704</v>
      </c>
    </row>
    <row r="1233">
      <c r="A1233" s="51" t="s">
        <v>11313</v>
      </c>
      <c r="B1233" s="51" t="s">
        <v>123</v>
      </c>
      <c r="C1233" s="51" t="s">
        <v>25</v>
      </c>
      <c r="D1233" s="57">
        <v>44900.85108259259</v>
      </c>
    </row>
    <row r="1234">
      <c r="A1234" s="51" t="s">
        <v>11314</v>
      </c>
      <c r="B1234" s="51" t="s">
        <v>9868</v>
      </c>
      <c r="C1234" s="51" t="s">
        <v>25</v>
      </c>
      <c r="D1234" s="57">
        <v>44900.90214924769</v>
      </c>
    </row>
    <row r="1235">
      <c r="A1235" s="51" t="s">
        <v>11271</v>
      </c>
      <c r="B1235" s="51" t="s">
        <v>8930</v>
      </c>
      <c r="C1235" s="51" t="s">
        <v>25</v>
      </c>
      <c r="D1235" s="57">
        <v>44900.95953572917</v>
      </c>
    </row>
    <row r="1236">
      <c r="A1236" s="51" t="s">
        <v>11314</v>
      </c>
      <c r="B1236" s="51" t="s">
        <v>9868</v>
      </c>
      <c r="C1236" s="51" t="s">
        <v>25</v>
      </c>
      <c r="D1236" s="57">
        <v>44901.077324872684</v>
      </c>
    </row>
    <row r="1237">
      <c r="A1237" s="51" t="s">
        <v>11314</v>
      </c>
      <c r="B1237" s="51" t="s">
        <v>329</v>
      </c>
      <c r="C1237" s="51" t="s">
        <v>25</v>
      </c>
      <c r="D1237" s="57">
        <v>44901.07984399305</v>
      </c>
    </row>
    <row r="1238">
      <c r="A1238" s="51" t="s">
        <v>11314</v>
      </c>
      <c r="B1238" s="51" t="s">
        <v>3586</v>
      </c>
      <c r="C1238" s="51" t="s">
        <v>25</v>
      </c>
      <c r="D1238" s="57">
        <v>44901.08395479167</v>
      </c>
    </row>
    <row r="1239">
      <c r="A1239" s="51" t="s">
        <v>11314</v>
      </c>
      <c r="B1239" s="51" t="s">
        <v>9248</v>
      </c>
      <c r="C1239" s="51" t="s">
        <v>25</v>
      </c>
      <c r="D1239" s="57">
        <v>44901.085605138884</v>
      </c>
    </row>
    <row r="1240">
      <c r="A1240" s="51" t="s">
        <v>11314</v>
      </c>
      <c r="B1240" s="51" t="s">
        <v>9248</v>
      </c>
      <c r="C1240" s="51" t="s">
        <v>25</v>
      </c>
      <c r="D1240" s="57">
        <v>44901.086414641206</v>
      </c>
    </row>
    <row r="1241">
      <c r="A1241" s="51" t="s">
        <v>11314</v>
      </c>
      <c r="B1241" s="51" t="s">
        <v>9258</v>
      </c>
      <c r="C1241" s="51" t="s">
        <v>25</v>
      </c>
      <c r="D1241" s="57">
        <v>44901.08903125</v>
      </c>
    </row>
    <row r="1242">
      <c r="A1242" s="51" t="s">
        <v>11314</v>
      </c>
      <c r="B1242" s="51" t="s">
        <v>10429</v>
      </c>
      <c r="C1242" s="51" t="s">
        <v>25</v>
      </c>
      <c r="D1242" s="57">
        <v>44901.09503829861</v>
      </c>
    </row>
    <row r="1243">
      <c r="A1243" s="51" t="s">
        <v>11314</v>
      </c>
      <c r="B1243" s="51" t="s">
        <v>329</v>
      </c>
      <c r="C1243" s="51" t="s">
        <v>25</v>
      </c>
      <c r="D1243" s="57">
        <v>44901.10051752315</v>
      </c>
    </row>
    <row r="1244">
      <c r="A1244" s="51" t="s">
        <v>11313</v>
      </c>
      <c r="B1244" s="51" t="s">
        <v>7354</v>
      </c>
      <c r="C1244" s="51" t="s">
        <v>25</v>
      </c>
      <c r="D1244" s="57">
        <v>44901.28608199074</v>
      </c>
    </row>
    <row r="1245">
      <c r="A1245" s="51" t="s">
        <v>11313</v>
      </c>
      <c r="B1245" s="51" t="s">
        <v>2337</v>
      </c>
      <c r="C1245" s="51" t="s">
        <v>25</v>
      </c>
      <c r="D1245" s="57">
        <v>44901.287956608794</v>
      </c>
    </row>
    <row r="1246">
      <c r="A1246" s="51" t="s">
        <v>11313</v>
      </c>
      <c r="B1246" s="51" t="s">
        <v>9927</v>
      </c>
      <c r="C1246" s="51" t="s">
        <v>25</v>
      </c>
      <c r="D1246" s="57">
        <v>44901.29706442129</v>
      </c>
    </row>
    <row r="1247">
      <c r="A1247" s="51" t="s">
        <v>11301</v>
      </c>
      <c r="B1247" s="51" t="s">
        <v>123</v>
      </c>
      <c r="C1247" s="51" t="s">
        <v>25</v>
      </c>
      <c r="D1247" s="57">
        <v>44901.93026104166</v>
      </c>
    </row>
    <row r="1248">
      <c r="A1248" s="51" t="s">
        <v>11301</v>
      </c>
      <c r="B1248" s="51" t="s">
        <v>11012</v>
      </c>
      <c r="C1248" s="51" t="s">
        <v>25</v>
      </c>
      <c r="D1248" s="57">
        <v>44901.980714467594</v>
      </c>
    </row>
    <row r="1249">
      <c r="A1249" s="51" t="s">
        <v>11271</v>
      </c>
      <c r="B1249" s="51" t="s">
        <v>10673</v>
      </c>
      <c r="C1249" s="51" t="s">
        <v>25</v>
      </c>
      <c r="D1249" s="57">
        <v>44902.11743978009</v>
      </c>
    </row>
    <row r="1250">
      <c r="A1250" s="51" t="s">
        <v>11313</v>
      </c>
      <c r="B1250" s="51" t="s">
        <v>9948</v>
      </c>
      <c r="C1250" s="51" t="s">
        <v>25</v>
      </c>
      <c r="D1250" s="57">
        <v>44902.15305266203</v>
      </c>
    </row>
    <row r="1251">
      <c r="A1251" s="51" t="s">
        <v>11315</v>
      </c>
      <c r="B1251" s="51" t="s">
        <v>9720</v>
      </c>
      <c r="C1251" s="51" t="s">
        <v>517</v>
      </c>
      <c r="D1251" s="57">
        <v>44902.79188280093</v>
      </c>
    </row>
    <row r="1252">
      <c r="A1252" s="51" t="s">
        <v>11313</v>
      </c>
      <c r="B1252" s="51" t="s">
        <v>8695</v>
      </c>
      <c r="C1252" s="51" t="s">
        <v>25</v>
      </c>
      <c r="D1252" s="57">
        <v>44902.86930863426</v>
      </c>
    </row>
    <row r="1253">
      <c r="A1253" s="51" t="s">
        <v>11269</v>
      </c>
      <c r="B1253" s="51" t="s">
        <v>8226</v>
      </c>
      <c r="C1253" s="51" t="s">
        <v>25</v>
      </c>
      <c r="D1253" s="57">
        <v>44902.88856665509</v>
      </c>
    </row>
    <row r="1254">
      <c r="A1254" s="51" t="s">
        <v>11269</v>
      </c>
      <c r="B1254" s="51" t="s">
        <v>7055</v>
      </c>
      <c r="C1254" s="51" t="s">
        <v>25</v>
      </c>
      <c r="D1254" s="57">
        <v>44902.89382902777</v>
      </c>
    </row>
    <row r="1255">
      <c r="A1255" s="51" t="s">
        <v>11271</v>
      </c>
      <c r="B1255" s="51" t="s">
        <v>9859</v>
      </c>
      <c r="C1255" s="51" t="s">
        <v>25</v>
      </c>
      <c r="D1255" s="57">
        <v>44903.00220780092</v>
      </c>
    </row>
    <row r="1256">
      <c r="A1256" s="51" t="s">
        <v>11271</v>
      </c>
      <c r="B1256" s="51" t="s">
        <v>9859</v>
      </c>
      <c r="C1256" s="51" t="s">
        <v>25</v>
      </c>
      <c r="D1256" s="57">
        <v>44903.00223841435</v>
      </c>
    </row>
    <row r="1257">
      <c r="A1257" s="51" t="s">
        <v>11316</v>
      </c>
      <c r="B1257" s="51" t="s">
        <v>9859</v>
      </c>
      <c r="C1257" s="51" t="s">
        <v>25</v>
      </c>
      <c r="D1257" s="57">
        <v>44903.21779733796</v>
      </c>
    </row>
    <row r="1258">
      <c r="A1258" s="51" t="s">
        <v>11316</v>
      </c>
      <c r="B1258" s="51" t="s">
        <v>1444</v>
      </c>
      <c r="C1258" s="51" t="s">
        <v>25</v>
      </c>
      <c r="D1258" s="57">
        <v>44903.279680555555</v>
      </c>
    </row>
    <row r="1259">
      <c r="A1259" s="51" t="s">
        <v>11271</v>
      </c>
      <c r="B1259" s="51" t="s">
        <v>10673</v>
      </c>
      <c r="C1259" s="51" t="s">
        <v>25</v>
      </c>
      <c r="D1259" s="57">
        <v>44903.722423831015</v>
      </c>
    </row>
    <row r="1260">
      <c r="A1260" s="51" t="s">
        <v>11271</v>
      </c>
      <c r="B1260" s="51" t="s">
        <v>5345</v>
      </c>
      <c r="C1260" s="51" t="s">
        <v>165</v>
      </c>
      <c r="D1260" s="57">
        <v>44903.74642163195</v>
      </c>
    </row>
    <row r="1261">
      <c r="A1261" s="51" t="s">
        <v>11271</v>
      </c>
      <c r="B1261" s="51" t="s">
        <v>5345</v>
      </c>
      <c r="C1261" s="51" t="s">
        <v>165</v>
      </c>
      <c r="D1261" s="57">
        <v>44903.74643263889</v>
      </c>
    </row>
    <row r="1262">
      <c r="A1262" s="51" t="s">
        <v>11313</v>
      </c>
      <c r="B1262" s="51" t="s">
        <v>8100</v>
      </c>
      <c r="C1262" s="51" t="s">
        <v>25</v>
      </c>
      <c r="D1262" s="57">
        <v>44903.80095871528</v>
      </c>
    </row>
    <row r="1263">
      <c r="A1263" s="51" t="s">
        <v>11313</v>
      </c>
      <c r="B1263" s="51" t="s">
        <v>6109</v>
      </c>
      <c r="C1263" s="51" t="s">
        <v>25</v>
      </c>
      <c r="D1263" s="57">
        <v>44903.80151783564</v>
      </c>
    </row>
    <row r="1264">
      <c r="A1264" s="51" t="s">
        <v>11271</v>
      </c>
      <c r="B1264" s="51" t="s">
        <v>10673</v>
      </c>
      <c r="C1264" s="51" t="s">
        <v>25</v>
      </c>
      <c r="D1264" s="57">
        <v>44903.86045163195</v>
      </c>
    </row>
    <row r="1265">
      <c r="A1265" s="51" t="s">
        <v>11271</v>
      </c>
      <c r="B1265" s="51" t="s">
        <v>10673</v>
      </c>
      <c r="C1265" s="51" t="s">
        <v>25</v>
      </c>
      <c r="D1265" s="57">
        <v>44903.860468784726</v>
      </c>
    </row>
    <row r="1266">
      <c r="A1266" s="51" t="s">
        <v>11316</v>
      </c>
      <c r="B1266" s="51" t="s">
        <v>9848</v>
      </c>
      <c r="C1266" s="51" t="s">
        <v>25</v>
      </c>
      <c r="D1266" s="57">
        <v>44903.982111805555</v>
      </c>
    </row>
    <row r="1267">
      <c r="A1267" s="51" t="s">
        <v>11316</v>
      </c>
      <c r="B1267" s="51" t="s">
        <v>8930</v>
      </c>
      <c r="C1267" s="51" t="s">
        <v>25</v>
      </c>
      <c r="D1267" s="57">
        <v>44904.092623819444</v>
      </c>
    </row>
    <row r="1268">
      <c r="A1268" s="51" t="s">
        <v>11316</v>
      </c>
      <c r="B1268" s="51" t="s">
        <v>6205</v>
      </c>
      <c r="C1268" s="51" t="s">
        <v>25</v>
      </c>
      <c r="D1268" s="57">
        <v>44904.09596994213</v>
      </c>
    </row>
    <row r="1269">
      <c r="A1269" s="51" t="s">
        <v>11314</v>
      </c>
      <c r="B1269" s="51" t="s">
        <v>11012</v>
      </c>
      <c r="C1269" s="51" t="s">
        <v>25</v>
      </c>
      <c r="D1269" s="57">
        <v>44904.80478244213</v>
      </c>
    </row>
    <row r="1270">
      <c r="A1270" s="51" t="s">
        <v>11214</v>
      </c>
      <c r="B1270" s="51" t="s">
        <v>10207</v>
      </c>
      <c r="C1270" s="51" t="s">
        <v>517</v>
      </c>
      <c r="D1270" s="57">
        <v>44904.892247372685</v>
      </c>
    </row>
    <row r="1271">
      <c r="A1271" s="51" t="s">
        <v>11314</v>
      </c>
      <c r="B1271" s="51" t="s">
        <v>11012</v>
      </c>
      <c r="C1271" s="51" t="s">
        <v>25</v>
      </c>
      <c r="D1271" s="57">
        <v>44905.08172627314</v>
      </c>
    </row>
    <row r="1272">
      <c r="A1272" s="51" t="s">
        <v>11271</v>
      </c>
      <c r="B1272" s="51" t="s">
        <v>8930</v>
      </c>
      <c r="C1272" s="51" t="s">
        <v>25</v>
      </c>
      <c r="D1272" s="57">
        <v>44905.12009211806</v>
      </c>
    </row>
    <row r="1273">
      <c r="A1273" s="51" t="s">
        <v>11271</v>
      </c>
      <c r="B1273" s="51" t="s">
        <v>8930</v>
      </c>
      <c r="C1273" s="51" t="s">
        <v>25</v>
      </c>
      <c r="D1273" s="57">
        <v>44905.12010587963</v>
      </c>
    </row>
    <row r="1274">
      <c r="A1274" s="51" t="s">
        <v>11314</v>
      </c>
      <c r="B1274" s="51" t="s">
        <v>10914</v>
      </c>
      <c r="C1274" s="51" t="s">
        <v>25</v>
      </c>
      <c r="D1274" s="57">
        <v>44905.17950784722</v>
      </c>
    </row>
    <row r="1275">
      <c r="A1275" s="51" t="s">
        <v>11271</v>
      </c>
      <c r="B1275" s="51" t="s">
        <v>8313</v>
      </c>
      <c r="C1275" s="51" t="s">
        <v>25</v>
      </c>
      <c r="D1275" s="57">
        <v>44905.2061531713</v>
      </c>
    </row>
    <row r="1276">
      <c r="A1276" s="51" t="s">
        <v>11271</v>
      </c>
      <c r="B1276" s="51" t="s">
        <v>8313</v>
      </c>
      <c r="C1276" s="51" t="s">
        <v>25</v>
      </c>
      <c r="D1276" s="57">
        <v>44905.20616239583</v>
      </c>
    </row>
    <row r="1277">
      <c r="A1277" s="51" t="s">
        <v>11271</v>
      </c>
      <c r="B1277" s="51" t="s">
        <v>8930</v>
      </c>
      <c r="C1277" s="51" t="s">
        <v>25</v>
      </c>
      <c r="D1277" s="57">
        <v>44905.35970060185</v>
      </c>
    </row>
    <row r="1278">
      <c r="A1278" s="51" t="s">
        <v>11271</v>
      </c>
      <c r="B1278" s="51" t="s">
        <v>8930</v>
      </c>
      <c r="C1278" s="51" t="s">
        <v>25</v>
      </c>
      <c r="D1278" s="57">
        <v>44905.35971344907</v>
      </c>
    </row>
    <row r="1279">
      <c r="A1279" s="51" t="s">
        <v>11271</v>
      </c>
      <c r="B1279" s="51" t="s">
        <v>6205</v>
      </c>
      <c r="C1279" s="51" t="s">
        <v>25</v>
      </c>
      <c r="D1279" s="57">
        <v>44905.364110462964</v>
      </c>
    </row>
    <row r="1280">
      <c r="A1280" s="51" t="s">
        <v>11271</v>
      </c>
      <c r="B1280" s="51" t="s">
        <v>6205</v>
      </c>
      <c r="C1280" s="51" t="s">
        <v>25</v>
      </c>
      <c r="D1280" s="57">
        <v>44905.36412017361</v>
      </c>
    </row>
    <row r="1281">
      <c r="A1281" s="51" t="s">
        <v>11284</v>
      </c>
      <c r="B1281" s="51" t="s">
        <v>5385</v>
      </c>
      <c r="C1281" s="51" t="s">
        <v>141</v>
      </c>
      <c r="D1281" s="57">
        <v>44906.030749791666</v>
      </c>
    </row>
    <row r="1282">
      <c r="A1282" s="51" t="s">
        <v>11271</v>
      </c>
      <c r="B1282" s="51" t="s">
        <v>7991</v>
      </c>
      <c r="C1282" s="51" t="s">
        <v>25</v>
      </c>
      <c r="D1282" s="57">
        <v>44907.032055601856</v>
      </c>
    </row>
    <row r="1283">
      <c r="A1283" s="51" t="s">
        <v>11271</v>
      </c>
      <c r="B1283" s="51" t="s">
        <v>7991</v>
      </c>
      <c r="C1283" s="51" t="s">
        <v>25</v>
      </c>
      <c r="D1283" s="57">
        <v>44907.03206481482</v>
      </c>
    </row>
    <row r="1284">
      <c r="A1284" s="51" t="s">
        <v>11316</v>
      </c>
      <c r="B1284" s="51" t="s">
        <v>8676</v>
      </c>
      <c r="C1284" s="51" t="s">
        <v>25</v>
      </c>
      <c r="D1284" s="57">
        <v>44907.23956814814</v>
      </c>
    </row>
    <row r="1285">
      <c r="A1285" s="51" t="s">
        <v>11316</v>
      </c>
      <c r="B1285" s="51" t="s">
        <v>6806</v>
      </c>
      <c r="C1285" s="51" t="s">
        <v>25</v>
      </c>
      <c r="D1285" s="57">
        <v>44907.264517986114</v>
      </c>
    </row>
    <row r="1286">
      <c r="A1286" s="51" t="s">
        <v>11316</v>
      </c>
      <c r="B1286" s="51" t="s">
        <v>7055</v>
      </c>
      <c r="C1286" s="51" t="s">
        <v>25</v>
      </c>
      <c r="D1286" s="57">
        <v>44907.27971844908</v>
      </c>
    </row>
    <row r="1287">
      <c r="A1287" s="51" t="s">
        <v>11316</v>
      </c>
      <c r="B1287" s="51" t="s">
        <v>3777</v>
      </c>
      <c r="C1287" s="51" t="s">
        <v>25</v>
      </c>
      <c r="D1287" s="57">
        <v>44907.29219927083</v>
      </c>
    </row>
    <row r="1288">
      <c r="A1288" s="51" t="s">
        <v>11271</v>
      </c>
      <c r="B1288" s="51" t="s">
        <v>8930</v>
      </c>
      <c r="C1288" s="51" t="s">
        <v>25</v>
      </c>
      <c r="D1288" s="57">
        <v>44907.56342883102</v>
      </c>
    </row>
    <row r="1289">
      <c r="A1289" s="51" t="s">
        <v>11271</v>
      </c>
      <c r="B1289" s="51" t="s">
        <v>8930</v>
      </c>
      <c r="C1289" s="51" t="s">
        <v>25</v>
      </c>
      <c r="D1289" s="57">
        <v>44907.56343969908</v>
      </c>
    </row>
    <row r="1290">
      <c r="A1290" s="51" t="s">
        <v>11245</v>
      </c>
      <c r="B1290" s="51" t="s">
        <v>10783</v>
      </c>
      <c r="C1290" s="51" t="s">
        <v>68</v>
      </c>
      <c r="D1290" s="57">
        <v>44908.005598125004</v>
      </c>
    </row>
    <row r="1291">
      <c r="A1291" s="51" t="s">
        <v>11245</v>
      </c>
      <c r="B1291" s="51" t="s">
        <v>7295</v>
      </c>
      <c r="C1291" s="51" t="s">
        <v>557</v>
      </c>
      <c r="D1291" s="57">
        <v>44908.01376981482</v>
      </c>
    </row>
    <row r="1292">
      <c r="A1292" s="51" t="s">
        <v>11271</v>
      </c>
      <c r="B1292" s="51" t="s">
        <v>8313</v>
      </c>
      <c r="C1292" s="51" t="s">
        <v>25</v>
      </c>
      <c r="D1292" s="57">
        <v>44909.010757592594</v>
      </c>
    </row>
    <row r="1293">
      <c r="A1293" s="51" t="s">
        <v>11271</v>
      </c>
      <c r="B1293" s="51" t="s">
        <v>8313</v>
      </c>
      <c r="C1293" s="51" t="s">
        <v>25</v>
      </c>
      <c r="D1293" s="57">
        <v>44909.01076236111</v>
      </c>
    </row>
    <row r="1294">
      <c r="A1294" s="51" t="s">
        <v>11271</v>
      </c>
      <c r="B1294" s="51" t="s">
        <v>6205</v>
      </c>
      <c r="C1294" s="51" t="s">
        <v>25</v>
      </c>
      <c r="D1294" s="57">
        <v>44909.31415280093</v>
      </c>
    </row>
    <row r="1295">
      <c r="A1295" s="51" t="s">
        <v>11271</v>
      </c>
      <c r="B1295" s="51" t="s">
        <v>6205</v>
      </c>
      <c r="C1295" s="51" t="s">
        <v>25</v>
      </c>
      <c r="D1295" s="57">
        <v>44909.314159155096</v>
      </c>
    </row>
    <row r="1296">
      <c r="A1296" s="51" t="s">
        <v>11317</v>
      </c>
      <c r="B1296" s="51" t="s">
        <v>10944</v>
      </c>
      <c r="C1296" s="51" t="s">
        <v>84</v>
      </c>
      <c r="D1296" s="57">
        <v>44910.68766765046</v>
      </c>
    </row>
    <row r="1297">
      <c r="A1297" s="51" t="s">
        <v>11317</v>
      </c>
      <c r="B1297" s="51" t="s">
        <v>10944</v>
      </c>
      <c r="C1297" s="51" t="s">
        <v>84</v>
      </c>
      <c r="D1297" s="57">
        <v>44910.688266111116</v>
      </c>
    </row>
    <row r="1298">
      <c r="A1298" s="51" t="s">
        <v>11317</v>
      </c>
      <c r="B1298" s="51" t="s">
        <v>10944</v>
      </c>
      <c r="C1298" s="51" t="s">
        <v>84</v>
      </c>
      <c r="D1298" s="57">
        <v>44910.68880870371</v>
      </c>
    </row>
    <row r="1299">
      <c r="A1299" s="51" t="s">
        <v>11234</v>
      </c>
      <c r="B1299" s="51" t="s">
        <v>1278</v>
      </c>
      <c r="C1299" s="51" t="s">
        <v>93</v>
      </c>
      <c r="D1299" s="57">
        <v>44911.90011804398</v>
      </c>
    </row>
    <row r="1300">
      <c r="A1300" s="51" t="s">
        <v>11234</v>
      </c>
      <c r="B1300" s="51" t="s">
        <v>6603</v>
      </c>
      <c r="C1300" s="51" t="s">
        <v>165</v>
      </c>
      <c r="D1300" s="57">
        <v>44911.907833668985</v>
      </c>
    </row>
    <row r="1301">
      <c r="A1301" s="51" t="s">
        <v>11318</v>
      </c>
      <c r="B1301" s="51" t="s">
        <v>1261</v>
      </c>
      <c r="C1301" s="51" t="s">
        <v>165</v>
      </c>
      <c r="D1301" s="57">
        <v>44911.91067737268</v>
      </c>
    </row>
    <row r="1302">
      <c r="A1302" s="51" t="s">
        <v>11234</v>
      </c>
      <c r="B1302" s="51" t="s">
        <v>9037</v>
      </c>
      <c r="C1302" s="51" t="s">
        <v>165</v>
      </c>
      <c r="D1302" s="57">
        <v>44912.407277708335</v>
      </c>
    </row>
    <row r="1303">
      <c r="A1303" s="51" t="s">
        <v>11277</v>
      </c>
      <c r="B1303" s="51" t="s">
        <v>4935</v>
      </c>
      <c r="C1303" s="51" t="s">
        <v>25</v>
      </c>
      <c r="D1303" s="57">
        <v>44912.40878704861</v>
      </c>
    </row>
    <row r="1304">
      <c r="A1304" s="51" t="s">
        <v>11277</v>
      </c>
      <c r="B1304" s="51" t="s">
        <v>10682</v>
      </c>
      <c r="C1304" s="51" t="s">
        <v>25</v>
      </c>
      <c r="D1304" s="57">
        <v>44912.41305806713</v>
      </c>
    </row>
    <row r="1305">
      <c r="A1305" s="51" t="s">
        <v>11273</v>
      </c>
      <c r="B1305" s="51" t="s">
        <v>10682</v>
      </c>
      <c r="C1305" s="51" t="s">
        <v>25</v>
      </c>
      <c r="D1305" s="57">
        <v>44912.41356526621</v>
      </c>
    </row>
    <row r="1306">
      <c r="A1306" s="51" t="s">
        <v>11273</v>
      </c>
      <c r="B1306" s="51" t="s">
        <v>10682</v>
      </c>
      <c r="C1306" s="51" t="s">
        <v>25</v>
      </c>
      <c r="D1306" s="57">
        <v>44912.41365959491</v>
      </c>
    </row>
    <row r="1307">
      <c r="A1307" s="51" t="s">
        <v>11318</v>
      </c>
      <c r="B1307" s="51" t="s">
        <v>8550</v>
      </c>
      <c r="C1307" s="51" t="s">
        <v>165</v>
      </c>
      <c r="D1307" s="57">
        <v>44912.77572784723</v>
      </c>
    </row>
    <row r="1308">
      <c r="A1308" s="51" t="s">
        <v>11312</v>
      </c>
      <c r="B1308" s="51" t="s">
        <v>9037</v>
      </c>
      <c r="C1308" s="51" t="s">
        <v>165</v>
      </c>
      <c r="D1308" s="57">
        <v>44912.82524278935</v>
      </c>
    </row>
    <row r="1309">
      <c r="A1309" s="51" t="s">
        <v>11232</v>
      </c>
      <c r="B1309" s="51" t="s">
        <v>2081</v>
      </c>
      <c r="C1309" s="51" t="s">
        <v>165</v>
      </c>
      <c r="D1309" s="57">
        <v>44914.274656249996</v>
      </c>
    </row>
    <row r="1310">
      <c r="A1310" s="51" t="s">
        <v>11232</v>
      </c>
      <c r="B1310" s="51" t="s">
        <v>179</v>
      </c>
      <c r="C1310" s="51" t="s">
        <v>165</v>
      </c>
      <c r="D1310" s="57">
        <v>44914.27503163194</v>
      </c>
    </row>
    <row r="1311">
      <c r="A1311" s="51" t="s">
        <v>11232</v>
      </c>
      <c r="B1311" s="51" t="s">
        <v>179</v>
      </c>
      <c r="C1311" s="51" t="s">
        <v>165</v>
      </c>
      <c r="D1311" s="57">
        <v>44914.27544415509</v>
      </c>
    </row>
    <row r="1312">
      <c r="A1312" s="51" t="s">
        <v>11232</v>
      </c>
      <c r="B1312" s="51" t="s">
        <v>2081</v>
      </c>
      <c r="C1312" s="51" t="s">
        <v>165</v>
      </c>
      <c r="D1312" s="57">
        <v>44914.27612790509</v>
      </c>
    </row>
    <row r="1313">
      <c r="A1313" s="51" t="s">
        <v>11232</v>
      </c>
      <c r="B1313" s="51" t="s">
        <v>2566</v>
      </c>
      <c r="C1313" s="51" t="s">
        <v>93</v>
      </c>
      <c r="D1313" s="57">
        <v>44914.27726519676</v>
      </c>
    </row>
    <row r="1314">
      <c r="A1314" s="51" t="s">
        <v>11232</v>
      </c>
      <c r="B1314" s="51" t="s">
        <v>2566</v>
      </c>
      <c r="C1314" s="51" t="s">
        <v>93</v>
      </c>
      <c r="D1314" s="57">
        <v>44914.27824673611</v>
      </c>
    </row>
    <row r="1315">
      <c r="A1315" s="51" t="s">
        <v>11232</v>
      </c>
      <c r="B1315" s="51" t="s">
        <v>2566</v>
      </c>
      <c r="C1315" s="51" t="s">
        <v>93</v>
      </c>
      <c r="D1315" s="57">
        <v>44914.2786047338</v>
      </c>
    </row>
    <row r="1316">
      <c r="A1316" s="51" t="s">
        <v>11234</v>
      </c>
      <c r="B1316" s="51" t="s">
        <v>9669</v>
      </c>
      <c r="C1316" s="51" t="s">
        <v>25</v>
      </c>
      <c r="D1316" s="57">
        <v>44914.49211653935</v>
      </c>
    </row>
    <row r="1317">
      <c r="A1317" s="51" t="s">
        <v>11312</v>
      </c>
      <c r="B1317" s="51" t="s">
        <v>8550</v>
      </c>
      <c r="C1317" s="51" t="s">
        <v>165</v>
      </c>
      <c r="D1317" s="57">
        <v>44915.01376928241</v>
      </c>
    </row>
    <row r="1318">
      <c r="A1318" s="51" t="s">
        <v>11312</v>
      </c>
      <c r="B1318" s="51" t="s">
        <v>7152</v>
      </c>
      <c r="C1318" s="51" t="s">
        <v>165</v>
      </c>
      <c r="D1318" s="57">
        <v>44915.015422592594</v>
      </c>
    </row>
    <row r="1319">
      <c r="A1319" s="51" t="s">
        <v>11276</v>
      </c>
      <c r="B1319" s="51" t="s">
        <v>6284</v>
      </c>
      <c r="C1319" s="51" t="s">
        <v>25</v>
      </c>
      <c r="D1319" s="57">
        <v>44917.26816489584</v>
      </c>
    </row>
    <row r="1320">
      <c r="A1320" s="51" t="s">
        <v>11276</v>
      </c>
      <c r="B1320" s="51" t="s">
        <v>6284</v>
      </c>
      <c r="C1320" s="51" t="s">
        <v>25</v>
      </c>
      <c r="D1320" s="57">
        <v>44917.26832596065</v>
      </c>
    </row>
    <row r="1321">
      <c r="A1321" s="51" t="s">
        <v>11276</v>
      </c>
      <c r="B1321" s="51" t="s">
        <v>6284</v>
      </c>
      <c r="C1321" s="51" t="s">
        <v>25</v>
      </c>
      <c r="D1321" s="57">
        <v>44917.268414907405</v>
      </c>
    </row>
    <row r="1322">
      <c r="A1322" s="51" t="s">
        <v>11318</v>
      </c>
      <c r="B1322" s="51" t="s">
        <v>10955</v>
      </c>
      <c r="C1322" s="51" t="s">
        <v>165</v>
      </c>
      <c r="D1322" s="57">
        <v>44917.36112701389</v>
      </c>
    </row>
    <row r="1323">
      <c r="A1323" s="51" t="s">
        <v>11276</v>
      </c>
      <c r="B1323" s="51" t="s">
        <v>8186</v>
      </c>
      <c r="C1323" s="51" t="s">
        <v>25</v>
      </c>
      <c r="D1323" s="57">
        <v>44917.646420578705</v>
      </c>
    </row>
    <row r="1324">
      <c r="A1324" s="51" t="s">
        <v>11276</v>
      </c>
      <c r="B1324" s="51" t="s">
        <v>8186</v>
      </c>
      <c r="C1324" s="51" t="s">
        <v>25</v>
      </c>
      <c r="D1324" s="57">
        <v>44917.64656494213</v>
      </c>
    </row>
    <row r="1325">
      <c r="A1325" s="51" t="s">
        <v>11232</v>
      </c>
      <c r="B1325" s="51" t="s">
        <v>207</v>
      </c>
      <c r="C1325" s="51" t="s">
        <v>110</v>
      </c>
      <c r="D1325" s="57">
        <v>44919.820657731485</v>
      </c>
    </row>
    <row r="1326">
      <c r="A1326" s="51" t="s">
        <v>11287</v>
      </c>
      <c r="B1326" s="51" t="s">
        <v>6205</v>
      </c>
      <c r="C1326" s="51" t="s">
        <v>25</v>
      </c>
      <c r="D1326" s="57">
        <v>44921.11268652778</v>
      </c>
    </row>
    <row r="1327">
      <c r="A1327" s="51" t="s">
        <v>11287</v>
      </c>
      <c r="B1327" s="51" t="s">
        <v>6205</v>
      </c>
      <c r="C1327" s="51" t="s">
        <v>25</v>
      </c>
      <c r="D1327" s="57">
        <v>44921.11287136574</v>
      </c>
    </row>
    <row r="1328">
      <c r="A1328" s="51" t="s">
        <v>11287</v>
      </c>
      <c r="B1328" s="51" t="s">
        <v>11012</v>
      </c>
      <c r="C1328" s="51" t="s">
        <v>25</v>
      </c>
      <c r="D1328" s="57">
        <v>44921.1757347338</v>
      </c>
    </row>
    <row r="1329">
      <c r="A1329" s="51" t="s">
        <v>11287</v>
      </c>
      <c r="B1329" s="51" t="s">
        <v>10863</v>
      </c>
      <c r="C1329" s="51" t="s">
        <v>25</v>
      </c>
      <c r="D1329" s="57">
        <v>44921.70118019676</v>
      </c>
    </row>
    <row r="1330">
      <c r="A1330" s="51" t="s">
        <v>11287</v>
      </c>
      <c r="B1330" s="51" t="s">
        <v>8602</v>
      </c>
      <c r="C1330" s="51" t="s">
        <v>25</v>
      </c>
      <c r="D1330" s="57">
        <v>44921.812312187496</v>
      </c>
    </row>
    <row r="1331">
      <c r="A1331" s="51" t="s">
        <v>11287</v>
      </c>
      <c r="B1331" s="51" t="s">
        <v>2460</v>
      </c>
      <c r="C1331" s="51" t="s">
        <v>1410</v>
      </c>
      <c r="D1331" s="57">
        <v>44921.81362519676</v>
      </c>
    </row>
    <row r="1332">
      <c r="A1332" s="51" t="s">
        <v>11315</v>
      </c>
      <c r="B1332" s="51" t="s">
        <v>9428</v>
      </c>
      <c r="C1332" s="51" t="s">
        <v>216</v>
      </c>
      <c r="D1332" s="57">
        <v>44923.836461087965</v>
      </c>
    </row>
    <row r="1333">
      <c r="A1333" s="51" t="s">
        <v>11319</v>
      </c>
      <c r="B1333" s="51" t="s">
        <v>11001</v>
      </c>
      <c r="C1333" s="51" t="s">
        <v>84</v>
      </c>
      <c r="D1333" s="57">
        <v>44931.926132256944</v>
      </c>
    </row>
    <row r="1334">
      <c r="A1334" s="51" t="s">
        <v>11317</v>
      </c>
      <c r="B1334" s="51" t="s">
        <v>9409</v>
      </c>
      <c r="C1334" s="51" t="s">
        <v>25</v>
      </c>
      <c r="D1334" s="57">
        <v>44945.03365008102</v>
      </c>
    </row>
    <row r="1335">
      <c r="A1335" s="51" t="s">
        <v>11317</v>
      </c>
      <c r="B1335" s="51" t="s">
        <v>9409</v>
      </c>
      <c r="C1335" s="51" t="s">
        <v>25</v>
      </c>
      <c r="D1335" s="57">
        <v>44945.03365090278</v>
      </c>
    </row>
    <row r="1336">
      <c r="A1336" s="51" t="s">
        <v>11187</v>
      </c>
      <c r="B1336" s="51" t="s">
        <v>9219</v>
      </c>
      <c r="C1336" s="51" t="s">
        <v>6246</v>
      </c>
      <c r="D1336" s="57">
        <v>44954.32987915509</v>
      </c>
    </row>
    <row r="1337">
      <c r="A1337" s="51" t="s">
        <v>11187</v>
      </c>
      <c r="B1337" s="51" t="s">
        <v>6214</v>
      </c>
      <c r="C1337" s="51" t="s">
        <v>284</v>
      </c>
      <c r="D1337" s="57">
        <v>44954.37398841435</v>
      </c>
    </row>
    <row r="1338">
      <c r="A1338" s="51" t="s">
        <v>11234</v>
      </c>
      <c r="B1338" s="51" t="s">
        <v>8510</v>
      </c>
      <c r="C1338" s="51" t="s">
        <v>1410</v>
      </c>
      <c r="D1338" s="57">
        <v>44959.29074819444</v>
      </c>
    </row>
    <row r="1339">
      <c r="A1339" s="51" t="s">
        <v>11276</v>
      </c>
      <c r="B1339" s="51" t="s">
        <v>10466</v>
      </c>
      <c r="C1339" s="51" t="s">
        <v>25</v>
      </c>
      <c r="D1339" s="57">
        <v>44962.76861611111</v>
      </c>
    </row>
    <row r="1340">
      <c r="A1340" s="51" t="s">
        <v>11320</v>
      </c>
      <c r="B1340" s="51" t="s">
        <v>951</v>
      </c>
      <c r="C1340" s="51" t="s">
        <v>216</v>
      </c>
      <c r="D1340" s="57">
        <v>44966.819921689814</v>
      </c>
    </row>
    <row r="1341">
      <c r="A1341" s="51" t="s">
        <v>11320</v>
      </c>
      <c r="B1341" s="51" t="s">
        <v>10884</v>
      </c>
      <c r="C1341" s="51" t="s">
        <v>216</v>
      </c>
      <c r="D1341" s="57">
        <v>44966.83598081018</v>
      </c>
    </row>
    <row r="1342">
      <c r="A1342" s="51" t="s">
        <v>11320</v>
      </c>
      <c r="B1342" s="51" t="s">
        <v>10884</v>
      </c>
      <c r="C1342" s="51" t="s">
        <v>216</v>
      </c>
      <c r="D1342" s="57">
        <v>44966.8362447338</v>
      </c>
    </row>
    <row r="1343">
      <c r="A1343" s="51" t="s">
        <v>11320</v>
      </c>
      <c r="B1343" s="51" t="s">
        <v>10774</v>
      </c>
      <c r="C1343" s="51" t="s">
        <v>216</v>
      </c>
      <c r="D1343" s="57">
        <v>44966.83672532407</v>
      </c>
    </row>
    <row r="1344">
      <c r="A1344" s="51" t="s">
        <v>11320</v>
      </c>
      <c r="B1344" s="51" t="s">
        <v>9916</v>
      </c>
      <c r="C1344" s="51" t="s">
        <v>216</v>
      </c>
      <c r="D1344" s="57">
        <v>44966.85345795139</v>
      </c>
    </row>
    <row r="1345">
      <c r="A1345" s="51" t="s">
        <v>11321</v>
      </c>
      <c r="B1345" s="51" t="s">
        <v>9916</v>
      </c>
      <c r="C1345" s="51" t="s">
        <v>216</v>
      </c>
      <c r="D1345" s="57">
        <v>44966.877297037034</v>
      </c>
    </row>
    <row r="1346">
      <c r="A1346" s="51" t="s">
        <v>11283</v>
      </c>
      <c r="B1346" s="51" t="s">
        <v>10991</v>
      </c>
      <c r="C1346" s="51" t="s">
        <v>316</v>
      </c>
      <c r="D1346" s="57">
        <v>44967.20675304398</v>
      </c>
    </row>
    <row r="1347">
      <c r="A1347" s="51" t="s">
        <v>11283</v>
      </c>
      <c r="B1347" s="51" t="s">
        <v>2433</v>
      </c>
      <c r="C1347" s="51" t="s">
        <v>316</v>
      </c>
      <c r="D1347" s="57">
        <v>44968.26416304398</v>
      </c>
    </row>
    <row r="1348">
      <c r="A1348" s="51" t="s">
        <v>11214</v>
      </c>
      <c r="B1348" s="51" t="s">
        <v>1616</v>
      </c>
      <c r="C1348" s="51" t="s">
        <v>316</v>
      </c>
      <c r="D1348" s="57">
        <v>44969.34008148148</v>
      </c>
    </row>
    <row r="1349">
      <c r="A1349" s="51" t="s">
        <v>11214</v>
      </c>
      <c r="B1349" s="51" t="s">
        <v>2240</v>
      </c>
      <c r="C1349" s="51" t="s">
        <v>316</v>
      </c>
      <c r="D1349" s="57">
        <v>44969.35094081018</v>
      </c>
    </row>
    <row r="1350">
      <c r="A1350" s="51" t="s">
        <v>11214</v>
      </c>
      <c r="B1350" s="51" t="s">
        <v>4432</v>
      </c>
      <c r="C1350" s="51" t="s">
        <v>316</v>
      </c>
      <c r="D1350" s="57">
        <v>44969.35964953704</v>
      </c>
    </row>
    <row r="1351">
      <c r="A1351" s="51" t="s">
        <v>11214</v>
      </c>
      <c r="B1351" s="51" t="s">
        <v>5697</v>
      </c>
      <c r="C1351" s="51" t="s">
        <v>316</v>
      </c>
      <c r="D1351" s="57">
        <v>44969.36933724537</v>
      </c>
    </row>
    <row r="1352">
      <c r="A1352" s="51" t="s">
        <v>11322</v>
      </c>
      <c r="B1352" s="51" t="s">
        <v>11001</v>
      </c>
      <c r="C1352" s="51" t="s">
        <v>84</v>
      </c>
      <c r="D1352" s="57">
        <v>44970.78471979167</v>
      </c>
    </row>
    <row r="1353">
      <c r="A1353" s="51" t="s">
        <v>11322</v>
      </c>
      <c r="B1353" s="51" t="s">
        <v>10486</v>
      </c>
      <c r="C1353" s="51" t="s">
        <v>84</v>
      </c>
      <c r="D1353" s="57">
        <v>44970.79325854167</v>
      </c>
    </row>
    <row r="1354">
      <c r="A1354" s="51" t="s">
        <v>11283</v>
      </c>
      <c r="B1354" s="51" t="s">
        <v>1916</v>
      </c>
      <c r="C1354" s="51" t="s">
        <v>316</v>
      </c>
      <c r="D1354" s="57">
        <v>44971.282447627316</v>
      </c>
    </row>
    <row r="1355">
      <c r="A1355" s="51" t="s">
        <v>11283</v>
      </c>
      <c r="B1355" s="51" t="s">
        <v>10844</v>
      </c>
      <c r="C1355" s="51" t="s">
        <v>25</v>
      </c>
      <c r="D1355" s="57">
        <v>44971.286798726855</v>
      </c>
    </row>
    <row r="1356">
      <c r="A1356" s="51" t="s">
        <v>11283</v>
      </c>
      <c r="B1356" s="51" t="s">
        <v>10844</v>
      </c>
      <c r="C1356" s="51" t="s">
        <v>25</v>
      </c>
      <c r="D1356" s="57">
        <v>44971.287519606485</v>
      </c>
    </row>
    <row r="1357">
      <c r="A1357" s="51" t="s">
        <v>11322</v>
      </c>
      <c r="B1357" s="51" t="s">
        <v>10944</v>
      </c>
      <c r="C1357" s="51" t="s">
        <v>84</v>
      </c>
      <c r="D1357" s="57">
        <v>44971.766884236116</v>
      </c>
    </row>
    <row r="1358">
      <c r="A1358" s="51" t="s">
        <v>11322</v>
      </c>
      <c r="B1358" s="51" t="s">
        <v>10823</v>
      </c>
      <c r="C1358" s="51" t="s">
        <v>84</v>
      </c>
      <c r="D1358" s="57">
        <v>44971.768727523144</v>
      </c>
    </row>
    <row r="1359">
      <c r="A1359" s="51" t="s">
        <v>11299</v>
      </c>
      <c r="B1359" s="51" t="s">
        <v>10141</v>
      </c>
      <c r="C1359" s="51" t="s">
        <v>84</v>
      </c>
      <c r="D1359" s="57">
        <v>44975.22402596065</v>
      </c>
    </row>
    <row r="1360">
      <c r="A1360" s="51" t="s">
        <v>11299</v>
      </c>
      <c r="B1360" s="51" t="s">
        <v>7514</v>
      </c>
      <c r="C1360" s="51" t="s">
        <v>25</v>
      </c>
      <c r="D1360" s="57">
        <v>44975.22561821759</v>
      </c>
    </row>
    <row r="1361">
      <c r="A1361" s="51" t="s">
        <v>11216</v>
      </c>
      <c r="B1361" s="51" t="s">
        <v>107</v>
      </c>
      <c r="C1361" s="51" t="s">
        <v>110</v>
      </c>
      <c r="D1361" s="57">
        <v>44979.98661290509</v>
      </c>
    </row>
    <row r="1362">
      <c r="A1362" s="51" t="s">
        <v>11216</v>
      </c>
      <c r="B1362" s="51" t="s">
        <v>7403</v>
      </c>
      <c r="C1362" s="51" t="s">
        <v>110</v>
      </c>
      <c r="D1362" s="57">
        <v>44979.987975474534</v>
      </c>
    </row>
    <row r="1363">
      <c r="A1363" s="51" t="s">
        <v>11216</v>
      </c>
      <c r="B1363" s="51" t="s">
        <v>1800</v>
      </c>
      <c r="C1363" s="51" t="s">
        <v>110</v>
      </c>
      <c r="D1363" s="57">
        <v>44979.99111725694</v>
      </c>
    </row>
    <row r="1364">
      <c r="A1364" s="51" t="s">
        <v>11216</v>
      </c>
      <c r="B1364" s="51" t="s">
        <v>5180</v>
      </c>
      <c r="C1364" s="51" t="s">
        <v>110</v>
      </c>
      <c r="D1364" s="57">
        <v>44979.99203851852</v>
      </c>
    </row>
    <row r="1365">
      <c r="A1365" s="51" t="s">
        <v>11216</v>
      </c>
      <c r="B1365" s="51" t="s">
        <v>7295</v>
      </c>
      <c r="C1365" s="51" t="s">
        <v>557</v>
      </c>
      <c r="D1365" s="57">
        <v>44979.99262017361</v>
      </c>
    </row>
    <row r="1366">
      <c r="A1366" s="51" t="s">
        <v>11216</v>
      </c>
      <c r="B1366" s="51" t="s">
        <v>7403</v>
      </c>
      <c r="C1366" s="51" t="s">
        <v>110</v>
      </c>
      <c r="D1366" s="57">
        <v>44979.99335091435</v>
      </c>
    </row>
    <row r="1367">
      <c r="A1367" s="51" t="s">
        <v>11216</v>
      </c>
      <c r="B1367" s="51" t="s">
        <v>9104</v>
      </c>
      <c r="C1367" s="51" t="s">
        <v>84</v>
      </c>
      <c r="D1367" s="57">
        <v>44979.9947134838</v>
      </c>
    </row>
    <row r="1368">
      <c r="A1368" s="51" t="s">
        <v>11216</v>
      </c>
      <c r="B1368" s="51" t="s">
        <v>9298</v>
      </c>
      <c r="C1368" s="51" t="s">
        <v>557</v>
      </c>
      <c r="D1368" s="57">
        <v>44979.99586671296</v>
      </c>
    </row>
    <row r="1369">
      <c r="A1369" s="51" t="s">
        <v>11320</v>
      </c>
      <c r="B1369" s="51" t="s">
        <v>9829</v>
      </c>
      <c r="C1369" s="51" t="s">
        <v>216</v>
      </c>
      <c r="D1369" s="57">
        <v>44980.777675150464</v>
      </c>
    </row>
    <row r="1370">
      <c r="A1370" s="51" t="s">
        <v>11320</v>
      </c>
      <c r="B1370" s="51" t="s">
        <v>9056</v>
      </c>
      <c r="C1370" s="51" t="s">
        <v>216</v>
      </c>
      <c r="D1370" s="57">
        <v>44980.77898099537</v>
      </c>
    </row>
    <row r="1371">
      <c r="A1371" s="51" t="s">
        <v>11321</v>
      </c>
      <c r="B1371" s="51" t="s">
        <v>10721</v>
      </c>
      <c r="C1371" s="51" t="s">
        <v>216</v>
      </c>
      <c r="D1371" s="57">
        <v>44980.779197916665</v>
      </c>
    </row>
    <row r="1372">
      <c r="A1372" s="51" t="s">
        <v>11320</v>
      </c>
      <c r="B1372" s="51" t="s">
        <v>8969</v>
      </c>
      <c r="C1372" s="51" t="s">
        <v>216</v>
      </c>
      <c r="D1372" s="57">
        <v>44980.779373831014</v>
      </c>
    </row>
    <row r="1373">
      <c r="A1373" s="51" t="s">
        <v>11320</v>
      </c>
      <c r="B1373" s="51" t="s">
        <v>10721</v>
      </c>
      <c r="C1373" s="51" t="s">
        <v>216</v>
      </c>
      <c r="D1373" s="57">
        <v>44980.78212797454</v>
      </c>
    </row>
    <row r="1374">
      <c r="A1374" s="51" t="s">
        <v>11323</v>
      </c>
      <c r="B1374" s="51" t="s">
        <v>20</v>
      </c>
      <c r="C1374" s="51" t="s">
        <v>25</v>
      </c>
      <c r="D1374" s="57">
        <v>44980.89560675926</v>
      </c>
    </row>
    <row r="1375">
      <c r="A1375" s="51" t="s">
        <v>11200</v>
      </c>
      <c r="B1375" s="51" t="s">
        <v>7873</v>
      </c>
      <c r="C1375" s="51" t="s">
        <v>216</v>
      </c>
      <c r="D1375" s="57">
        <v>44981.23147908565</v>
      </c>
    </row>
    <row r="1376">
      <c r="A1376" s="51" t="s">
        <v>11324</v>
      </c>
      <c r="B1376" s="51" t="s">
        <v>9219</v>
      </c>
      <c r="C1376" s="51" t="s">
        <v>6246</v>
      </c>
      <c r="D1376" s="57">
        <v>44984.38680835648</v>
      </c>
    </row>
    <row r="1377">
      <c r="A1377" s="51" t="s">
        <v>11324</v>
      </c>
      <c r="B1377" s="51" t="s">
        <v>10168</v>
      </c>
      <c r="C1377" s="51" t="s">
        <v>165</v>
      </c>
      <c r="D1377" s="57">
        <v>44984.388481435184</v>
      </c>
    </row>
    <row r="1378">
      <c r="A1378" s="51" t="s">
        <v>11324</v>
      </c>
      <c r="B1378" s="51" t="s">
        <v>8520</v>
      </c>
      <c r="C1378" s="51" t="s">
        <v>316</v>
      </c>
      <c r="D1378" s="57">
        <v>44984.389477916666</v>
      </c>
    </row>
    <row r="1379">
      <c r="A1379" s="51" t="s">
        <v>11324</v>
      </c>
      <c r="B1379" s="51" t="s">
        <v>882</v>
      </c>
      <c r="C1379" s="51" t="s">
        <v>52</v>
      </c>
      <c r="D1379" s="57">
        <v>44984.390434733796</v>
      </c>
    </row>
    <row r="1380">
      <c r="A1380" s="51" t="s">
        <v>11300</v>
      </c>
      <c r="B1380" s="51" t="s">
        <v>5365</v>
      </c>
      <c r="C1380" s="51" t="s">
        <v>386</v>
      </c>
      <c r="D1380" s="57">
        <v>44984.781451793984</v>
      </c>
    </row>
    <row r="1381">
      <c r="A1381" s="51" t="s">
        <v>11300</v>
      </c>
      <c r="B1381" s="51" t="s">
        <v>5365</v>
      </c>
      <c r="C1381" s="51" t="s">
        <v>386</v>
      </c>
      <c r="D1381" s="57">
        <v>44984.79128859953</v>
      </c>
    </row>
    <row r="1382">
      <c r="A1382" s="51" t="s">
        <v>11320</v>
      </c>
      <c r="B1382" s="51" t="s">
        <v>3912</v>
      </c>
      <c r="C1382" s="51" t="s">
        <v>165</v>
      </c>
      <c r="D1382" s="57">
        <v>44984.81129711805</v>
      </c>
    </row>
    <row r="1383">
      <c r="A1383" s="51" t="s">
        <v>11273</v>
      </c>
      <c r="B1383" s="51" t="s">
        <v>10774</v>
      </c>
      <c r="C1383" s="51" t="s">
        <v>216</v>
      </c>
      <c r="D1383" s="57">
        <v>44986.288521574075</v>
      </c>
    </row>
    <row r="1384">
      <c r="A1384" s="51" t="s">
        <v>11324</v>
      </c>
      <c r="B1384" s="51" t="s">
        <v>6874</v>
      </c>
      <c r="C1384" s="51" t="s">
        <v>275</v>
      </c>
      <c r="D1384" s="57">
        <v>44986.36724221065</v>
      </c>
    </row>
    <row r="1385">
      <c r="A1385" s="51" t="s">
        <v>11324</v>
      </c>
      <c r="B1385" s="51" t="s">
        <v>1693</v>
      </c>
      <c r="C1385" s="51" t="s">
        <v>25</v>
      </c>
      <c r="D1385" s="57">
        <v>44986.368562222226</v>
      </c>
    </row>
    <row r="1386">
      <c r="A1386" s="51" t="s">
        <v>11324</v>
      </c>
      <c r="B1386" s="51" t="s">
        <v>3189</v>
      </c>
      <c r="C1386" s="51" t="s">
        <v>25</v>
      </c>
      <c r="D1386" s="57">
        <v>44986.36953428241</v>
      </c>
    </row>
    <row r="1387">
      <c r="A1387" s="51" t="s">
        <v>11324</v>
      </c>
      <c r="B1387" s="51" t="s">
        <v>3641</v>
      </c>
      <c r="C1387" s="51" t="s">
        <v>25</v>
      </c>
      <c r="D1387" s="57">
        <v>44986.37050363426</v>
      </c>
    </row>
    <row r="1388">
      <c r="A1388" s="51" t="s">
        <v>11324</v>
      </c>
      <c r="B1388" s="51" t="s">
        <v>10964</v>
      </c>
      <c r="C1388" s="51" t="s">
        <v>157</v>
      </c>
      <c r="D1388" s="57">
        <v>44986.371176064815</v>
      </c>
    </row>
    <row r="1389">
      <c r="A1389" s="51" t="s">
        <v>11273</v>
      </c>
      <c r="B1389" s="51" t="s">
        <v>10711</v>
      </c>
      <c r="C1389" s="51" t="s">
        <v>275</v>
      </c>
      <c r="D1389" s="57">
        <v>44987.18620344908</v>
      </c>
    </row>
    <row r="1390">
      <c r="A1390" s="51" t="s">
        <v>11273</v>
      </c>
      <c r="B1390" s="51" t="s">
        <v>10711</v>
      </c>
      <c r="C1390" s="51" t="s">
        <v>275</v>
      </c>
      <c r="D1390" s="57">
        <v>44987.18684534723</v>
      </c>
    </row>
    <row r="1391">
      <c r="A1391" s="51" t="s">
        <v>11273</v>
      </c>
      <c r="B1391" s="51" t="s">
        <v>10711</v>
      </c>
      <c r="C1391" s="51" t="s">
        <v>275</v>
      </c>
      <c r="D1391" s="57">
        <v>44987.187127083336</v>
      </c>
    </row>
    <row r="1392">
      <c r="A1392" s="51" t="s">
        <v>11273</v>
      </c>
      <c r="B1392" s="51" t="s">
        <v>10711</v>
      </c>
      <c r="C1392" s="51" t="s">
        <v>275</v>
      </c>
      <c r="D1392" s="57">
        <v>44987.18713849537</v>
      </c>
    </row>
    <row r="1393">
      <c r="A1393" s="51" t="s">
        <v>11320</v>
      </c>
      <c r="B1393" s="51" t="s">
        <v>10721</v>
      </c>
      <c r="C1393" s="51" t="s">
        <v>216</v>
      </c>
      <c r="D1393" s="57">
        <v>44987.81463782408</v>
      </c>
    </row>
    <row r="1394">
      <c r="A1394" s="51" t="s">
        <v>11320</v>
      </c>
      <c r="B1394" s="51" t="s">
        <v>10721</v>
      </c>
      <c r="C1394" s="51" t="s">
        <v>216</v>
      </c>
      <c r="D1394" s="57">
        <v>44987.81475697916</v>
      </c>
    </row>
    <row r="1395">
      <c r="A1395" s="51" t="s">
        <v>11325</v>
      </c>
      <c r="B1395" s="51" t="s">
        <v>75</v>
      </c>
      <c r="C1395" s="51" t="s">
        <v>25</v>
      </c>
      <c r="D1395" s="57">
        <v>44987.87061565972</v>
      </c>
    </row>
    <row r="1396">
      <c r="A1396" s="51" t="s">
        <v>11273</v>
      </c>
      <c r="B1396" s="51" t="s">
        <v>4495</v>
      </c>
      <c r="C1396" s="51" t="s">
        <v>1070</v>
      </c>
      <c r="D1396" s="57">
        <v>44988.254707789354</v>
      </c>
    </row>
    <row r="1397">
      <c r="A1397" s="51" t="s">
        <v>11301</v>
      </c>
      <c r="B1397" s="51" t="s">
        <v>11012</v>
      </c>
      <c r="C1397" s="51" t="s">
        <v>25</v>
      </c>
      <c r="D1397" s="57">
        <v>44988.96794480324</v>
      </c>
    </row>
    <row r="1398">
      <c r="A1398" s="51" t="s">
        <v>11301</v>
      </c>
      <c r="B1398" s="51" t="s">
        <v>10673</v>
      </c>
      <c r="C1398" s="51" t="s">
        <v>25</v>
      </c>
      <c r="D1398" s="57">
        <v>44988.97722436342</v>
      </c>
    </row>
    <row r="1399">
      <c r="A1399" s="51" t="s">
        <v>11301</v>
      </c>
      <c r="B1399" s="51" t="s">
        <v>10581</v>
      </c>
      <c r="C1399" s="51" t="s">
        <v>25</v>
      </c>
      <c r="D1399" s="57">
        <v>44988.98001783565</v>
      </c>
    </row>
    <row r="1400">
      <c r="A1400" s="51" t="s">
        <v>11326</v>
      </c>
      <c r="B1400" s="51" t="s">
        <v>20</v>
      </c>
      <c r="C1400" s="51" t="s">
        <v>25</v>
      </c>
      <c r="D1400" s="57">
        <v>44992.0301108912</v>
      </c>
    </row>
    <row r="1401">
      <c r="A1401" s="51" t="s">
        <v>11327</v>
      </c>
      <c r="B1401" s="51" t="s">
        <v>478</v>
      </c>
      <c r="C1401" s="51" t="s">
        <v>25</v>
      </c>
      <c r="D1401" s="57">
        <v>44992.03064383102</v>
      </c>
    </row>
    <row r="1402">
      <c r="A1402" s="51" t="s">
        <v>11327</v>
      </c>
      <c r="B1402" s="51" t="s">
        <v>1234</v>
      </c>
      <c r="C1402" s="51" t="s">
        <v>25</v>
      </c>
      <c r="D1402" s="57">
        <v>44992.11143990741</v>
      </c>
    </row>
    <row r="1403">
      <c r="A1403" s="51" t="s">
        <v>11328</v>
      </c>
      <c r="B1403" s="51" t="s">
        <v>8611</v>
      </c>
      <c r="C1403" s="51" t="s">
        <v>25</v>
      </c>
      <c r="D1403" s="57">
        <v>44992.17701042824</v>
      </c>
    </row>
    <row r="1404">
      <c r="A1404" s="51" t="s">
        <v>11270</v>
      </c>
      <c r="B1404" s="51" t="s">
        <v>5770</v>
      </c>
      <c r="C1404" s="51" t="s">
        <v>25</v>
      </c>
      <c r="D1404" s="57">
        <v>44992.18124293981</v>
      </c>
    </row>
    <row r="1405">
      <c r="A1405" s="51" t="s">
        <v>11285</v>
      </c>
      <c r="B1405" s="51" t="s">
        <v>10632</v>
      </c>
      <c r="C1405" s="51" t="s">
        <v>1070</v>
      </c>
      <c r="D1405" s="57">
        <v>44992.792733587965</v>
      </c>
    </row>
    <row r="1406">
      <c r="A1406" s="51" t="s">
        <v>11292</v>
      </c>
      <c r="B1406" s="51" t="s">
        <v>313</v>
      </c>
      <c r="C1406" s="51" t="s">
        <v>316</v>
      </c>
      <c r="D1406" s="57">
        <v>44993.126351307874</v>
      </c>
    </row>
    <row r="1407">
      <c r="A1407" s="51" t="s">
        <v>11292</v>
      </c>
      <c r="B1407" s="51" t="s">
        <v>313</v>
      </c>
      <c r="C1407" s="51" t="s">
        <v>316</v>
      </c>
      <c r="D1407" s="57">
        <v>44993.12636138889</v>
      </c>
    </row>
    <row r="1408">
      <c r="A1408" s="51" t="s">
        <v>11292</v>
      </c>
      <c r="B1408" s="51" t="s">
        <v>9268</v>
      </c>
      <c r="C1408" s="51" t="s">
        <v>284</v>
      </c>
      <c r="D1408" s="57">
        <v>44993.145679988425</v>
      </c>
    </row>
    <row r="1409">
      <c r="A1409" s="51" t="s">
        <v>11273</v>
      </c>
      <c r="B1409" s="51"/>
      <c r="C1409" s="51"/>
      <c r="D1409" s="57">
        <v>44993.16738303241</v>
      </c>
    </row>
    <row r="1410">
      <c r="A1410" s="51" t="s">
        <v>11273</v>
      </c>
      <c r="B1410" s="51" t="s">
        <v>3189</v>
      </c>
      <c r="C1410" s="51" t="s">
        <v>25</v>
      </c>
      <c r="D1410" s="57">
        <v>44993.17027498843</v>
      </c>
    </row>
    <row r="1411">
      <c r="A1411" s="51" t="s">
        <v>11273</v>
      </c>
      <c r="B1411" s="51" t="s">
        <v>3189</v>
      </c>
      <c r="C1411" s="51" t="s">
        <v>25</v>
      </c>
      <c r="D1411" s="57">
        <v>44993.17160707176</v>
      </c>
    </row>
    <row r="1412">
      <c r="A1412" s="51" t="s">
        <v>11273</v>
      </c>
      <c r="B1412" s="51" t="s">
        <v>1731</v>
      </c>
      <c r="C1412" s="51" t="s">
        <v>275</v>
      </c>
      <c r="D1412" s="57">
        <v>44993.18239436342</v>
      </c>
    </row>
    <row r="1413">
      <c r="A1413" s="51" t="s">
        <v>11219</v>
      </c>
      <c r="B1413" s="51" t="s">
        <v>8987</v>
      </c>
      <c r="C1413" s="51" t="s">
        <v>25</v>
      </c>
      <c r="D1413" s="57">
        <v>44993.36607186343</v>
      </c>
    </row>
    <row r="1414">
      <c r="A1414" s="51" t="s">
        <v>11219</v>
      </c>
      <c r="B1414" s="51" t="s">
        <v>8987</v>
      </c>
      <c r="C1414" s="51" t="s">
        <v>25</v>
      </c>
      <c r="D1414" s="57">
        <v>44993.366523749995</v>
      </c>
    </row>
    <row r="1415">
      <c r="A1415" s="51" t="s">
        <v>11219</v>
      </c>
      <c r="B1415" s="51" t="s">
        <v>9094</v>
      </c>
      <c r="C1415" s="51" t="s">
        <v>25</v>
      </c>
      <c r="D1415" s="57">
        <v>44993.37103814815</v>
      </c>
    </row>
    <row r="1416">
      <c r="A1416" s="51" t="s">
        <v>11273</v>
      </c>
      <c r="B1416" s="51" t="s">
        <v>1731</v>
      </c>
      <c r="C1416" s="51" t="s">
        <v>275</v>
      </c>
      <c r="D1416" s="57">
        <v>44994.17857564815</v>
      </c>
    </row>
    <row r="1417">
      <c r="A1417" s="51" t="s">
        <v>11329</v>
      </c>
      <c r="B1417" s="51" t="s">
        <v>1012</v>
      </c>
      <c r="C1417" s="51" t="s">
        <v>110</v>
      </c>
      <c r="D1417" s="57">
        <v>44996.23673615741</v>
      </c>
    </row>
    <row r="1418">
      <c r="A1418" s="51" t="s">
        <v>11281</v>
      </c>
      <c r="B1418" s="51" t="s">
        <v>7317</v>
      </c>
      <c r="C1418" s="51" t="s">
        <v>25</v>
      </c>
      <c r="D1418" s="57">
        <v>44997.37718697917</v>
      </c>
    </row>
    <row r="1419">
      <c r="A1419" s="51" t="s">
        <v>11330</v>
      </c>
      <c r="B1419" s="51" t="s">
        <v>8119</v>
      </c>
      <c r="C1419" s="51" t="s">
        <v>110</v>
      </c>
      <c r="D1419" s="57">
        <v>44998.44388527778</v>
      </c>
    </row>
    <row r="1420">
      <c r="A1420" s="51" t="s">
        <v>11331</v>
      </c>
      <c r="B1420" s="51" t="s">
        <v>10073</v>
      </c>
      <c r="C1420" s="51" t="s">
        <v>25</v>
      </c>
      <c r="D1420" s="57">
        <v>44998.84152627314</v>
      </c>
    </row>
    <row r="1421">
      <c r="A1421" s="51" t="s">
        <v>11276</v>
      </c>
      <c r="B1421" s="51" t="s">
        <v>9868</v>
      </c>
      <c r="C1421" s="51" t="s">
        <v>25</v>
      </c>
      <c r="D1421" s="57">
        <v>44999.045479039356</v>
      </c>
    </row>
    <row r="1422">
      <c r="A1422" s="51" t="s">
        <v>11327</v>
      </c>
      <c r="B1422" s="51" t="s">
        <v>5199</v>
      </c>
      <c r="C1422" s="51" t="s">
        <v>25</v>
      </c>
      <c r="D1422" s="57">
        <v>44999.11792001157</v>
      </c>
    </row>
    <row r="1423">
      <c r="A1423" s="51" t="s">
        <v>11327</v>
      </c>
      <c r="B1423" s="51" t="s">
        <v>7465</v>
      </c>
      <c r="C1423" s="51" t="s">
        <v>25</v>
      </c>
      <c r="D1423" s="57">
        <v>44999.16517501157</v>
      </c>
    </row>
    <row r="1424">
      <c r="A1424" s="51" t="s">
        <v>11327</v>
      </c>
      <c r="B1424" s="51" t="s">
        <v>10894</v>
      </c>
      <c r="C1424" s="51" t="s">
        <v>25</v>
      </c>
      <c r="D1424" s="57">
        <v>44999.16596200231</v>
      </c>
    </row>
    <row r="1425">
      <c r="A1425" s="51" t="s">
        <v>11312</v>
      </c>
      <c r="B1425" s="51" t="s">
        <v>4209</v>
      </c>
      <c r="C1425" s="51" t="s">
        <v>292</v>
      </c>
      <c r="D1425" s="57">
        <v>44999.89257240741</v>
      </c>
    </row>
    <row r="1426">
      <c r="A1426" s="51" t="s">
        <v>11328</v>
      </c>
      <c r="B1426" s="51" t="s">
        <v>8611</v>
      </c>
      <c r="C1426" s="51" t="s">
        <v>25</v>
      </c>
      <c r="D1426" s="57">
        <v>45000.068816921295</v>
      </c>
    </row>
    <row r="1427">
      <c r="A1427" s="51" t="s">
        <v>11281</v>
      </c>
      <c r="B1427" s="51" t="s">
        <v>686</v>
      </c>
      <c r="C1427" s="51" t="s">
        <v>141</v>
      </c>
      <c r="D1427" s="57">
        <v>45000.32801519676</v>
      </c>
    </row>
    <row r="1428">
      <c r="A1428" s="51" t="s">
        <v>11312</v>
      </c>
      <c r="B1428" s="51" t="s">
        <v>7806</v>
      </c>
      <c r="C1428" s="51" t="s">
        <v>110</v>
      </c>
      <c r="D1428" s="57">
        <v>45000.898654398145</v>
      </c>
    </row>
    <row r="1429">
      <c r="A1429" s="51" t="s">
        <v>11234</v>
      </c>
      <c r="B1429" s="51" t="s">
        <v>6710</v>
      </c>
      <c r="C1429" s="51" t="s">
        <v>25</v>
      </c>
      <c r="D1429" s="57">
        <v>45001.021440937504</v>
      </c>
    </row>
    <row r="1430">
      <c r="A1430" s="51" t="s">
        <v>11312</v>
      </c>
      <c r="B1430" s="51"/>
      <c r="C1430" s="51"/>
      <c r="D1430" s="57">
        <v>45001.15832923611</v>
      </c>
    </row>
    <row r="1431">
      <c r="A1431" s="51" t="s">
        <v>11312</v>
      </c>
      <c r="B1431" s="51"/>
      <c r="C1431" s="51"/>
      <c r="D1431" s="57">
        <v>45001.24660802083</v>
      </c>
    </row>
    <row r="1432">
      <c r="A1432" s="51" t="s">
        <v>11312</v>
      </c>
      <c r="B1432" s="51" t="s">
        <v>10642</v>
      </c>
      <c r="C1432" s="51" t="s">
        <v>84</v>
      </c>
      <c r="D1432" s="57">
        <v>45001.24764221065</v>
      </c>
    </row>
    <row r="1433">
      <c r="A1433" s="51" t="s">
        <v>11312</v>
      </c>
      <c r="B1433" s="51" t="s">
        <v>10642</v>
      </c>
      <c r="C1433" s="51" t="s">
        <v>84</v>
      </c>
      <c r="D1433" s="57">
        <v>45001.25096240741</v>
      </c>
    </row>
    <row r="1434">
      <c r="A1434" s="51" t="s">
        <v>11312</v>
      </c>
      <c r="B1434" s="51" t="s">
        <v>4022</v>
      </c>
      <c r="C1434" s="51" t="s">
        <v>292</v>
      </c>
      <c r="D1434" s="57">
        <v>45001.25160611111</v>
      </c>
    </row>
    <row r="1435">
      <c r="A1435" s="51" t="s">
        <v>11332</v>
      </c>
      <c r="B1435" s="51" t="s">
        <v>3092</v>
      </c>
      <c r="C1435" s="51" t="s">
        <v>93</v>
      </c>
      <c r="D1435" s="57">
        <v>45001.255666990735</v>
      </c>
    </row>
    <row r="1436">
      <c r="A1436" s="51" t="s">
        <v>11332</v>
      </c>
      <c r="B1436" s="51" t="s">
        <v>3092</v>
      </c>
      <c r="C1436" s="51" t="s">
        <v>93</v>
      </c>
      <c r="D1436" s="57">
        <v>45001.256052488425</v>
      </c>
    </row>
    <row r="1437">
      <c r="A1437" s="51" t="s">
        <v>11332</v>
      </c>
      <c r="B1437" s="51" t="s">
        <v>944</v>
      </c>
      <c r="C1437" s="51" t="s">
        <v>93</v>
      </c>
      <c r="D1437" s="57">
        <v>45001.26542914352</v>
      </c>
    </row>
    <row r="1438">
      <c r="A1438" s="51" t="s">
        <v>11232</v>
      </c>
      <c r="B1438" s="51"/>
      <c r="C1438" s="51"/>
      <c r="D1438" s="57">
        <v>45001.98008267361</v>
      </c>
    </row>
    <row r="1439">
      <c r="A1439" s="51" t="s">
        <v>11232</v>
      </c>
      <c r="B1439" s="51" t="s">
        <v>1067</v>
      </c>
      <c r="C1439" s="51" t="s">
        <v>1070</v>
      </c>
      <c r="D1439" s="57">
        <v>45001.98021653935</v>
      </c>
    </row>
    <row r="1440">
      <c r="A1440" s="51" t="s">
        <v>11232</v>
      </c>
      <c r="B1440" s="51" t="s">
        <v>3477</v>
      </c>
      <c r="C1440" s="51" t="s">
        <v>1070</v>
      </c>
      <c r="D1440" s="57">
        <v>45001.99596148148</v>
      </c>
    </row>
    <row r="1441">
      <c r="A1441" s="51" t="s">
        <v>11232</v>
      </c>
      <c r="B1441" s="51" t="s">
        <v>10632</v>
      </c>
      <c r="C1441" s="51" t="s">
        <v>1070</v>
      </c>
      <c r="D1441" s="57">
        <v>45001.99652410879</v>
      </c>
    </row>
    <row r="1442">
      <c r="A1442" s="51" t="s">
        <v>11232</v>
      </c>
      <c r="B1442" s="51" t="s">
        <v>3477</v>
      </c>
      <c r="C1442" s="51" t="s">
        <v>1070</v>
      </c>
      <c r="D1442" s="57">
        <v>45001.99740637731</v>
      </c>
    </row>
    <row r="1443">
      <c r="A1443" s="51" t="s">
        <v>11232</v>
      </c>
      <c r="B1443" s="51" t="s">
        <v>3477</v>
      </c>
      <c r="C1443" s="51" t="s">
        <v>1070</v>
      </c>
      <c r="D1443" s="57">
        <v>45001.997720810185</v>
      </c>
    </row>
    <row r="1444">
      <c r="A1444" s="51" t="s">
        <v>11333</v>
      </c>
      <c r="B1444" s="51" t="s">
        <v>9409</v>
      </c>
      <c r="C1444" s="51" t="s">
        <v>25</v>
      </c>
      <c r="D1444" s="57">
        <v>45002.74048861111</v>
      </c>
    </row>
    <row r="1445">
      <c r="A1445" s="51" t="s">
        <v>11333</v>
      </c>
      <c r="B1445" s="51" t="s">
        <v>186</v>
      </c>
      <c r="C1445" s="51" t="s">
        <v>84</v>
      </c>
      <c r="D1445" s="57">
        <v>45002.74152913195</v>
      </c>
    </row>
    <row r="1446">
      <c r="A1446" s="51" t="s">
        <v>11333</v>
      </c>
      <c r="B1446" s="51" t="s">
        <v>2451</v>
      </c>
      <c r="C1446" s="51" t="s">
        <v>84</v>
      </c>
      <c r="D1446" s="57">
        <v>45002.74355077546</v>
      </c>
    </row>
    <row r="1447">
      <c r="A1447" s="51" t="s">
        <v>11333</v>
      </c>
      <c r="B1447" s="51" t="s">
        <v>2728</v>
      </c>
      <c r="C1447" s="51" t="s">
        <v>84</v>
      </c>
      <c r="D1447" s="57">
        <v>45002.74398528935</v>
      </c>
    </row>
    <row r="1448">
      <c r="A1448" s="51" t="s">
        <v>11334</v>
      </c>
      <c r="B1448" s="51" t="s">
        <v>6398</v>
      </c>
      <c r="C1448" s="51" t="s">
        <v>25</v>
      </c>
      <c r="D1448" s="57">
        <v>45002.79575871528</v>
      </c>
    </row>
    <row r="1449">
      <c r="A1449" s="51" t="s">
        <v>11334</v>
      </c>
      <c r="B1449" s="51" t="s">
        <v>7893</v>
      </c>
      <c r="C1449" s="51" t="s">
        <v>25</v>
      </c>
      <c r="D1449" s="57">
        <v>45002.79780988426</v>
      </c>
    </row>
    <row r="1450">
      <c r="A1450" s="51" t="s">
        <v>11334</v>
      </c>
      <c r="B1450" s="51" t="s">
        <v>10257</v>
      </c>
      <c r="C1450" s="51" t="s">
        <v>25</v>
      </c>
      <c r="D1450" s="57">
        <v>45002.79997251157</v>
      </c>
    </row>
    <row r="1451">
      <c r="A1451" s="51" t="s">
        <v>11334</v>
      </c>
      <c r="B1451" s="51" t="s">
        <v>9868</v>
      </c>
      <c r="C1451" s="51" t="s">
        <v>25</v>
      </c>
      <c r="D1451" s="57">
        <v>45002.80048207176</v>
      </c>
    </row>
    <row r="1452">
      <c r="A1452" s="51" t="s">
        <v>11308</v>
      </c>
      <c r="B1452" s="51" t="s">
        <v>10793</v>
      </c>
      <c r="C1452" s="51" t="s">
        <v>84</v>
      </c>
      <c r="D1452" s="57">
        <v>45004.39869609954</v>
      </c>
    </row>
    <row r="1453">
      <c r="A1453" s="51" t="s">
        <v>11330</v>
      </c>
      <c r="B1453" s="51" t="s">
        <v>8649</v>
      </c>
      <c r="C1453" s="51" t="s">
        <v>316</v>
      </c>
      <c r="D1453" s="57">
        <v>45005.40344912037</v>
      </c>
    </row>
    <row r="1454">
      <c r="A1454" s="51" t="s">
        <v>11330</v>
      </c>
      <c r="B1454" s="51" t="s">
        <v>9995</v>
      </c>
      <c r="C1454" s="51" t="s">
        <v>25</v>
      </c>
      <c r="D1454" s="57">
        <v>45005.406331736114</v>
      </c>
    </row>
    <row r="1455">
      <c r="A1455" s="51" t="s">
        <v>11283</v>
      </c>
      <c r="B1455" s="51" t="s">
        <v>6109</v>
      </c>
      <c r="C1455" s="51" t="s">
        <v>25</v>
      </c>
      <c r="D1455" s="57">
        <v>45005.606545902774</v>
      </c>
    </row>
    <row r="1456">
      <c r="A1456" s="51" t="s">
        <v>11283</v>
      </c>
      <c r="B1456" s="51" t="s">
        <v>9409</v>
      </c>
      <c r="C1456" s="51" t="s">
        <v>25</v>
      </c>
      <c r="D1456" s="57">
        <v>45005.61874239583</v>
      </c>
    </row>
    <row r="1457">
      <c r="A1457" s="51" t="s">
        <v>11283</v>
      </c>
      <c r="B1457" s="51" t="s">
        <v>8649</v>
      </c>
      <c r="C1457" s="51" t="s">
        <v>316</v>
      </c>
      <c r="D1457" s="57">
        <v>45005.627204398144</v>
      </c>
    </row>
    <row r="1458">
      <c r="A1458" s="51" t="s">
        <v>11283</v>
      </c>
      <c r="B1458" s="51" t="s">
        <v>10131</v>
      </c>
      <c r="C1458" s="51" t="s">
        <v>25</v>
      </c>
      <c r="D1458" s="57">
        <v>45005.70436670139</v>
      </c>
    </row>
    <row r="1459">
      <c r="A1459" s="51" t="s">
        <v>11283</v>
      </c>
      <c r="B1459" s="51" t="s">
        <v>9132</v>
      </c>
      <c r="C1459" s="51" t="s">
        <v>25</v>
      </c>
      <c r="D1459" s="57">
        <v>45005.71159259259</v>
      </c>
    </row>
    <row r="1460">
      <c r="A1460" s="51" t="s">
        <v>11301</v>
      </c>
      <c r="B1460" s="51" t="s">
        <v>10632</v>
      </c>
      <c r="C1460" s="51" t="s">
        <v>1070</v>
      </c>
      <c r="D1460" s="57">
        <v>45006.07781956019</v>
      </c>
    </row>
    <row r="1461">
      <c r="A1461" s="51" t="s">
        <v>11274</v>
      </c>
      <c r="B1461" s="51" t="s">
        <v>9976</v>
      </c>
      <c r="C1461" s="51" t="s">
        <v>25</v>
      </c>
      <c r="D1461" s="57">
        <v>45006.30872188657</v>
      </c>
    </row>
    <row r="1462">
      <c r="A1462" s="51" t="s">
        <v>11308</v>
      </c>
      <c r="B1462" s="51" t="s">
        <v>11001</v>
      </c>
      <c r="C1462" s="51" t="s">
        <v>84</v>
      </c>
      <c r="D1462" s="57">
        <v>45006.77086881944</v>
      </c>
    </row>
    <row r="1463">
      <c r="A1463" s="51" t="s">
        <v>11308</v>
      </c>
      <c r="B1463" s="51" t="s">
        <v>11012</v>
      </c>
      <c r="C1463" s="51" t="s">
        <v>25</v>
      </c>
      <c r="D1463" s="57">
        <v>45006.77152368055</v>
      </c>
    </row>
    <row r="1464">
      <c r="A1464" s="51" t="s">
        <v>11318</v>
      </c>
      <c r="B1464" s="51" t="s">
        <v>10693</v>
      </c>
      <c r="C1464" s="51" t="s">
        <v>25</v>
      </c>
      <c r="D1464" s="57">
        <v>45006.90087034722</v>
      </c>
    </row>
    <row r="1465">
      <c r="A1465" s="51" t="s">
        <v>11283</v>
      </c>
      <c r="B1465" s="51" t="s">
        <v>8100</v>
      </c>
      <c r="C1465" s="51" t="s">
        <v>25</v>
      </c>
      <c r="D1465" s="57">
        <v>45007.799219849534</v>
      </c>
    </row>
    <row r="1466">
      <c r="A1466" s="51" t="s">
        <v>11276</v>
      </c>
      <c r="B1466" s="51"/>
      <c r="C1466" s="51"/>
      <c r="D1466" s="57">
        <v>45007.83636702546</v>
      </c>
    </row>
    <row r="1467">
      <c r="A1467" s="51" t="s">
        <v>11276</v>
      </c>
      <c r="B1467" s="51" t="s">
        <v>5770</v>
      </c>
      <c r="C1467" s="51" t="s">
        <v>25</v>
      </c>
      <c r="D1467" s="57">
        <v>45007.83770780092</v>
      </c>
    </row>
    <row r="1468">
      <c r="A1468" s="51" t="s">
        <v>11276</v>
      </c>
      <c r="B1468" s="51" t="s">
        <v>5770</v>
      </c>
      <c r="C1468" s="51" t="s">
        <v>25</v>
      </c>
      <c r="D1468" s="57">
        <v>45007.83780930555</v>
      </c>
    </row>
    <row r="1469">
      <c r="A1469" s="51" t="s">
        <v>11274</v>
      </c>
      <c r="B1469" s="51" t="s">
        <v>9976</v>
      </c>
      <c r="C1469" s="51" t="s">
        <v>25</v>
      </c>
      <c r="D1469" s="57">
        <v>45007.934607118055</v>
      </c>
    </row>
    <row r="1470">
      <c r="A1470" s="51" t="s">
        <v>11234</v>
      </c>
      <c r="B1470" s="51" t="s">
        <v>9409</v>
      </c>
      <c r="C1470" s="51" t="s">
        <v>25</v>
      </c>
      <c r="D1470" s="57">
        <v>45008.08908109953</v>
      </c>
    </row>
    <row r="1471">
      <c r="A1471" s="51" t="s">
        <v>11234</v>
      </c>
      <c r="B1471" s="51" t="s">
        <v>9409</v>
      </c>
      <c r="C1471" s="51" t="s">
        <v>25</v>
      </c>
      <c r="D1471" s="57">
        <v>45008.089093194445</v>
      </c>
    </row>
    <row r="1472">
      <c r="A1472" s="51" t="s">
        <v>11334</v>
      </c>
      <c r="B1472" s="51" t="s">
        <v>10673</v>
      </c>
      <c r="C1472" s="51" t="s">
        <v>25</v>
      </c>
      <c r="D1472" s="57">
        <v>45009.80936619213</v>
      </c>
    </row>
    <row r="1473">
      <c r="A1473" s="51" t="s">
        <v>11334</v>
      </c>
      <c r="B1473" s="51" t="s">
        <v>8302</v>
      </c>
      <c r="C1473" s="51" t="s">
        <v>25</v>
      </c>
      <c r="D1473" s="57">
        <v>45009.81938224537</v>
      </c>
    </row>
    <row r="1474">
      <c r="A1474" s="51" t="s">
        <v>11334</v>
      </c>
      <c r="B1474" s="51" t="s">
        <v>8874</v>
      </c>
      <c r="C1474" s="51" t="s">
        <v>25</v>
      </c>
      <c r="D1474" s="57">
        <v>45009.827854375</v>
      </c>
    </row>
    <row r="1475">
      <c r="A1475" s="51" t="s">
        <v>11335</v>
      </c>
      <c r="B1475" s="51" t="s">
        <v>1965</v>
      </c>
      <c r="C1475" s="51" t="s">
        <v>110</v>
      </c>
      <c r="D1475" s="57">
        <v>45011.31371530093</v>
      </c>
    </row>
    <row r="1476">
      <c r="A1476" s="51" t="s">
        <v>11335</v>
      </c>
      <c r="B1476" s="51" t="s">
        <v>8649</v>
      </c>
      <c r="C1476" s="51" t="s">
        <v>316</v>
      </c>
      <c r="D1476" s="57">
        <v>45011.78103780093</v>
      </c>
    </row>
    <row r="1477">
      <c r="A1477" s="51" t="s">
        <v>11335</v>
      </c>
      <c r="B1477" s="51" t="s">
        <v>9995</v>
      </c>
      <c r="C1477" s="51" t="s">
        <v>25</v>
      </c>
      <c r="D1477" s="57">
        <v>45011.786452025466</v>
      </c>
    </row>
    <row r="1478">
      <c r="A1478" s="51" t="s">
        <v>11334</v>
      </c>
      <c r="B1478" s="51" t="s">
        <v>10495</v>
      </c>
      <c r="C1478" s="51" t="s">
        <v>25</v>
      </c>
      <c r="D1478" s="57">
        <v>45012.31365052084</v>
      </c>
    </row>
    <row r="1479">
      <c r="A1479" s="51" t="s">
        <v>11336</v>
      </c>
      <c r="B1479" s="51" t="s">
        <v>9563</v>
      </c>
      <c r="C1479" s="51" t="s">
        <v>84</v>
      </c>
      <c r="D1479" s="57">
        <v>45012.79026222222</v>
      </c>
    </row>
    <row r="1480">
      <c r="A1480" s="51" t="s">
        <v>11336</v>
      </c>
      <c r="B1480" s="51" t="s">
        <v>7007</v>
      </c>
      <c r="C1480" s="51" t="s">
        <v>84</v>
      </c>
      <c r="D1480" s="57">
        <v>45012.792683125</v>
      </c>
    </row>
    <row r="1481">
      <c r="A1481" s="51" t="s">
        <v>11335</v>
      </c>
      <c r="B1481" s="51" t="s">
        <v>8649</v>
      </c>
      <c r="C1481" s="51" t="s">
        <v>316</v>
      </c>
      <c r="D1481" s="57">
        <v>45013.2434775</v>
      </c>
    </row>
    <row r="1482">
      <c r="A1482" s="51" t="s">
        <v>11317</v>
      </c>
      <c r="B1482" s="51" t="s">
        <v>10486</v>
      </c>
      <c r="C1482" s="51" t="s">
        <v>84</v>
      </c>
      <c r="D1482" s="57">
        <v>45013.42840387732</v>
      </c>
    </row>
    <row r="1483">
      <c r="A1483" s="51" t="s">
        <v>11317</v>
      </c>
      <c r="B1483" s="51" t="s">
        <v>655</v>
      </c>
      <c r="C1483" s="51" t="s">
        <v>84</v>
      </c>
      <c r="D1483" s="57">
        <v>45013.9008479051</v>
      </c>
    </row>
    <row r="1484">
      <c r="A1484" s="51" t="s">
        <v>11317</v>
      </c>
      <c r="B1484" s="51" t="s">
        <v>9563</v>
      </c>
      <c r="C1484" s="51" t="s">
        <v>84</v>
      </c>
      <c r="D1484" s="57">
        <v>45013.90366765046</v>
      </c>
    </row>
    <row r="1485">
      <c r="A1485" s="51" t="s">
        <v>11317</v>
      </c>
      <c r="B1485" s="51" t="s">
        <v>2557</v>
      </c>
      <c r="C1485" s="51" t="s">
        <v>84</v>
      </c>
      <c r="D1485" s="57">
        <v>45013.912625069446</v>
      </c>
    </row>
    <row r="1486">
      <c r="A1486" s="51" t="s">
        <v>11337</v>
      </c>
      <c r="B1486" s="51" t="s">
        <v>3427</v>
      </c>
      <c r="C1486" s="51" t="s">
        <v>25</v>
      </c>
      <c r="D1486" s="57">
        <v>45014.08963510417</v>
      </c>
    </row>
    <row r="1487">
      <c r="A1487" s="51" t="s">
        <v>11337</v>
      </c>
      <c r="B1487" s="51" t="s">
        <v>3427</v>
      </c>
      <c r="C1487" s="51" t="s">
        <v>25</v>
      </c>
      <c r="D1487" s="57">
        <v>45014.09012001158</v>
      </c>
    </row>
    <row r="1488">
      <c r="A1488" s="51" t="s">
        <v>11287</v>
      </c>
      <c r="B1488" s="51" t="s">
        <v>6671</v>
      </c>
      <c r="C1488" s="51" t="s">
        <v>1410</v>
      </c>
      <c r="D1488" s="57">
        <v>45014.15068090278</v>
      </c>
    </row>
    <row r="1489">
      <c r="A1489" s="51" t="s">
        <v>11338</v>
      </c>
      <c r="B1489" s="51" t="s">
        <v>4551</v>
      </c>
      <c r="C1489" s="51" t="s">
        <v>1410</v>
      </c>
      <c r="D1489" s="57">
        <v>45014.26840519676</v>
      </c>
    </row>
    <row r="1490">
      <c r="A1490" s="51" t="s">
        <v>11338</v>
      </c>
      <c r="B1490" s="51" t="s">
        <v>4551</v>
      </c>
      <c r="C1490" s="51" t="s">
        <v>1410</v>
      </c>
      <c r="D1490" s="57">
        <v>45014.269496608795</v>
      </c>
    </row>
    <row r="1491">
      <c r="A1491" s="51" t="s">
        <v>11338</v>
      </c>
      <c r="B1491" s="51" t="s">
        <v>4551</v>
      </c>
      <c r="C1491" s="51" t="s">
        <v>1410</v>
      </c>
      <c r="D1491" s="57">
        <v>45014.2695328125</v>
      </c>
    </row>
    <row r="1492">
      <c r="A1492" s="51" t="s">
        <v>11338</v>
      </c>
      <c r="B1492" s="51" t="s">
        <v>4551</v>
      </c>
      <c r="C1492" s="51" t="s">
        <v>1410</v>
      </c>
      <c r="D1492" s="57">
        <v>45014.26953586805</v>
      </c>
    </row>
    <row r="1493">
      <c r="A1493" s="51" t="s">
        <v>11338</v>
      </c>
      <c r="B1493" s="51" t="s">
        <v>8755</v>
      </c>
      <c r="C1493" s="51" t="s">
        <v>84</v>
      </c>
      <c r="D1493" s="57">
        <v>45014.284082743055</v>
      </c>
    </row>
    <row r="1494">
      <c r="A1494" s="51" t="s">
        <v>11338</v>
      </c>
      <c r="B1494" s="51" t="s">
        <v>9878</v>
      </c>
      <c r="C1494" s="51" t="s">
        <v>25</v>
      </c>
      <c r="D1494" s="57">
        <v>45014.29376296296</v>
      </c>
    </row>
    <row r="1495">
      <c r="A1495" s="51" t="s">
        <v>11277</v>
      </c>
      <c r="B1495" s="51" t="s">
        <v>6710</v>
      </c>
      <c r="C1495" s="51" t="s">
        <v>25</v>
      </c>
      <c r="D1495" s="57">
        <v>45015.18024444445</v>
      </c>
    </row>
    <row r="1496">
      <c r="A1496" s="51" t="s">
        <v>11277</v>
      </c>
      <c r="B1496" s="51" t="s">
        <v>6710</v>
      </c>
      <c r="C1496" s="51" t="s">
        <v>25</v>
      </c>
      <c r="D1496" s="57">
        <v>45015.18220283565</v>
      </c>
    </row>
    <row r="1497">
      <c r="A1497" s="51" t="s">
        <v>11277</v>
      </c>
      <c r="B1497" s="51" t="s">
        <v>6710</v>
      </c>
      <c r="C1497" s="51" t="s">
        <v>25</v>
      </c>
      <c r="D1497" s="57">
        <v>45015.18220795139</v>
      </c>
    </row>
    <row r="1498">
      <c r="A1498" s="51" t="s">
        <v>11339</v>
      </c>
      <c r="B1498" s="51" t="s">
        <v>41</v>
      </c>
      <c r="C1498" s="51" t="s">
        <v>25</v>
      </c>
      <c r="D1498" s="57">
        <v>45015.76453354167</v>
      </c>
    </row>
    <row r="1499">
      <c r="A1499" s="51" t="s">
        <v>11339</v>
      </c>
      <c r="B1499" s="51" t="s">
        <v>10673</v>
      </c>
      <c r="C1499" s="51" t="s">
        <v>25</v>
      </c>
      <c r="D1499" s="57">
        <v>45015.79050469908</v>
      </c>
    </row>
    <row r="1500">
      <c r="A1500" s="51" t="s">
        <v>11276</v>
      </c>
      <c r="B1500" s="51" t="s">
        <v>602</v>
      </c>
      <c r="C1500" s="51" t="s">
        <v>68</v>
      </c>
      <c r="D1500" s="57">
        <v>45015.828474953705</v>
      </c>
    </row>
    <row r="1501">
      <c r="A1501" s="51" t="s">
        <v>11294</v>
      </c>
      <c r="B1501" s="51" t="s">
        <v>6603</v>
      </c>
      <c r="C1501" s="51" t="s">
        <v>165</v>
      </c>
      <c r="D1501" s="57">
        <v>45015.832546157406</v>
      </c>
    </row>
    <row r="1502">
      <c r="A1502" s="51" t="s">
        <v>11294</v>
      </c>
      <c r="B1502" s="51" t="s">
        <v>5132</v>
      </c>
      <c r="C1502" s="51" t="s">
        <v>25</v>
      </c>
      <c r="D1502" s="57">
        <v>45015.83601759259</v>
      </c>
    </row>
    <row r="1503">
      <c r="A1503" s="51" t="s">
        <v>11340</v>
      </c>
      <c r="B1503" s="51" t="s">
        <v>6048</v>
      </c>
      <c r="C1503" s="51" t="s">
        <v>25</v>
      </c>
      <c r="D1503" s="57">
        <v>45015.83774072917</v>
      </c>
    </row>
    <row r="1504">
      <c r="A1504" s="51" t="s">
        <v>11340</v>
      </c>
      <c r="B1504" s="51" t="s">
        <v>7365</v>
      </c>
      <c r="C1504" s="51" t="s">
        <v>25</v>
      </c>
      <c r="D1504" s="57">
        <v>45015.84503265047</v>
      </c>
    </row>
    <row r="1505">
      <c r="A1505" s="51" t="s">
        <v>11338</v>
      </c>
      <c r="B1505" s="51" t="s">
        <v>5839</v>
      </c>
      <c r="C1505" s="51" t="s">
        <v>25</v>
      </c>
      <c r="D1505" s="57">
        <v>45015.93980155092</v>
      </c>
    </row>
    <row r="1506">
      <c r="A1506" s="51" t="s">
        <v>11338</v>
      </c>
      <c r="B1506" s="51" t="s">
        <v>3497</v>
      </c>
      <c r="C1506" s="51" t="s">
        <v>25</v>
      </c>
      <c r="D1506" s="57">
        <v>45015.947825034724</v>
      </c>
    </row>
    <row r="1507">
      <c r="A1507" s="51" t="s">
        <v>11338</v>
      </c>
      <c r="B1507" s="51" t="s">
        <v>10572</v>
      </c>
      <c r="C1507" s="51" t="s">
        <v>25</v>
      </c>
      <c r="D1507" s="57">
        <v>45016.0481099537</v>
      </c>
    </row>
    <row r="1508">
      <c r="A1508" s="51" t="s">
        <v>11328</v>
      </c>
      <c r="B1508" s="51" t="s">
        <v>10894</v>
      </c>
      <c r="C1508" s="51" t="s">
        <v>25</v>
      </c>
      <c r="D1508" s="57">
        <v>45016.07224596065</v>
      </c>
    </row>
    <row r="1509">
      <c r="A1509" s="51" t="s">
        <v>11334</v>
      </c>
      <c r="B1509" s="51" t="s">
        <v>10863</v>
      </c>
      <c r="C1509" s="51" t="s">
        <v>25</v>
      </c>
      <c r="D1509" s="57">
        <v>45016.07626325231</v>
      </c>
    </row>
    <row r="1510">
      <c r="A1510" s="51" t="s">
        <v>11341</v>
      </c>
      <c r="B1510" s="51" t="s">
        <v>5839</v>
      </c>
      <c r="C1510" s="51" t="s">
        <v>25</v>
      </c>
      <c r="D1510" s="57">
        <v>45016.09065616898</v>
      </c>
    </row>
    <row r="1511">
      <c r="A1511" s="51" t="s">
        <v>11341</v>
      </c>
      <c r="B1511" s="51" t="s">
        <v>5839</v>
      </c>
      <c r="C1511" s="51" t="s">
        <v>25</v>
      </c>
      <c r="D1511" s="57">
        <v>45016.09197671297</v>
      </c>
    </row>
    <row r="1512">
      <c r="A1512" s="51" t="s">
        <v>11342</v>
      </c>
      <c r="B1512" s="51" t="s">
        <v>5839</v>
      </c>
      <c r="C1512" s="51" t="s">
        <v>25</v>
      </c>
      <c r="D1512" s="57">
        <v>45016.13363125</v>
      </c>
    </row>
    <row r="1513">
      <c r="A1513" s="51" t="s">
        <v>11342</v>
      </c>
      <c r="B1513" s="51" t="s">
        <v>8939</v>
      </c>
      <c r="C1513" s="51" t="s">
        <v>141</v>
      </c>
      <c r="D1513" s="57">
        <v>45016.16285508102</v>
      </c>
    </row>
    <row r="1514">
      <c r="A1514" s="51" t="s">
        <v>11334</v>
      </c>
      <c r="B1514" s="51" t="s">
        <v>10863</v>
      </c>
      <c r="C1514" s="51" t="s">
        <v>25</v>
      </c>
      <c r="D1514" s="57">
        <v>45016.16777655092</v>
      </c>
    </row>
    <row r="1515">
      <c r="A1515" s="51" t="s">
        <v>11343</v>
      </c>
      <c r="B1515" s="51" t="s">
        <v>10914</v>
      </c>
      <c r="C1515" s="51" t="s">
        <v>25</v>
      </c>
      <c r="D1515" s="57">
        <v>45016.17437403935</v>
      </c>
    </row>
    <row r="1516">
      <c r="A1516" s="51" t="s">
        <v>11343</v>
      </c>
      <c r="B1516" s="51" t="s">
        <v>10914</v>
      </c>
      <c r="C1516" s="51" t="s">
        <v>25</v>
      </c>
      <c r="D1516" s="57">
        <v>45016.17471048611</v>
      </c>
    </row>
    <row r="1517">
      <c r="A1517" s="51" t="s">
        <v>11343</v>
      </c>
      <c r="B1517" s="51" t="s">
        <v>10914</v>
      </c>
      <c r="C1517" s="51" t="s">
        <v>25</v>
      </c>
      <c r="D1517" s="57">
        <v>45016.18244520834</v>
      </c>
    </row>
    <row r="1518">
      <c r="A1518" s="51" t="s">
        <v>11344</v>
      </c>
      <c r="B1518" s="51" t="s">
        <v>186</v>
      </c>
      <c r="C1518" s="51" t="s">
        <v>84</v>
      </c>
      <c r="D1518" s="57">
        <v>45016.22942268518</v>
      </c>
    </row>
    <row r="1519">
      <c r="A1519" s="51" t="s">
        <v>11344</v>
      </c>
      <c r="B1519" s="51" t="s">
        <v>186</v>
      </c>
      <c r="C1519" s="51" t="s">
        <v>84</v>
      </c>
      <c r="D1519" s="57">
        <v>45016.22952140046</v>
      </c>
    </row>
    <row r="1520">
      <c r="A1520" s="51" t="s">
        <v>11344</v>
      </c>
      <c r="B1520" s="51" t="s">
        <v>10495</v>
      </c>
      <c r="C1520" s="51" t="s">
        <v>25</v>
      </c>
      <c r="D1520" s="57">
        <v>45016.2324643287</v>
      </c>
    </row>
    <row r="1521">
      <c r="A1521" s="51" t="s">
        <v>11338</v>
      </c>
      <c r="B1521" s="51" t="s">
        <v>9878</v>
      </c>
      <c r="C1521" s="51" t="s">
        <v>25</v>
      </c>
      <c r="D1521" s="57">
        <v>45016.25600447917</v>
      </c>
    </row>
    <row r="1522">
      <c r="A1522" s="51" t="s">
        <v>11338</v>
      </c>
      <c r="B1522" s="51" t="s">
        <v>9878</v>
      </c>
      <c r="C1522" s="51" t="s">
        <v>25</v>
      </c>
      <c r="D1522" s="57">
        <v>45016.25716144676</v>
      </c>
    </row>
    <row r="1523">
      <c r="A1523" s="51" t="s">
        <v>11338</v>
      </c>
      <c r="B1523" s="51" t="s">
        <v>9878</v>
      </c>
      <c r="C1523" s="51" t="s">
        <v>25</v>
      </c>
      <c r="D1523" s="57">
        <v>45016.258494884256</v>
      </c>
    </row>
    <row r="1524">
      <c r="A1524" s="51" t="s">
        <v>11338</v>
      </c>
      <c r="B1524" s="51" t="s">
        <v>1012</v>
      </c>
      <c r="C1524" s="51" t="s">
        <v>110</v>
      </c>
      <c r="D1524" s="57">
        <v>45016.267366319444</v>
      </c>
    </row>
    <row r="1525">
      <c r="A1525" s="51" t="s">
        <v>11334</v>
      </c>
      <c r="B1525" s="51" t="s">
        <v>10121</v>
      </c>
      <c r="C1525" s="51" t="s">
        <v>25</v>
      </c>
      <c r="D1525" s="57">
        <v>45016.280978333336</v>
      </c>
    </row>
    <row r="1526">
      <c r="A1526" s="51" t="s">
        <v>11338</v>
      </c>
      <c r="B1526" s="51" t="s">
        <v>1150</v>
      </c>
      <c r="C1526" s="51" t="s">
        <v>157</v>
      </c>
      <c r="D1526" s="57">
        <v>45016.284093090275</v>
      </c>
    </row>
    <row r="1527">
      <c r="A1527" s="51" t="s">
        <v>11334</v>
      </c>
      <c r="B1527" s="51" t="s">
        <v>5295</v>
      </c>
      <c r="C1527" s="51" t="s">
        <v>25</v>
      </c>
      <c r="D1527" s="57">
        <v>45016.28441912037</v>
      </c>
    </row>
    <row r="1528">
      <c r="A1528" s="51" t="s">
        <v>11345</v>
      </c>
      <c r="B1528" s="51" t="s">
        <v>9878</v>
      </c>
      <c r="C1528" s="51" t="s">
        <v>25</v>
      </c>
      <c r="D1528" s="57">
        <v>45016.3261444213</v>
      </c>
    </row>
    <row r="1529">
      <c r="A1529" s="51" t="s">
        <v>11345</v>
      </c>
      <c r="B1529" s="51" t="s">
        <v>9878</v>
      </c>
      <c r="C1529" s="51" t="s">
        <v>25</v>
      </c>
      <c r="D1529" s="57">
        <v>45016.32645603009</v>
      </c>
    </row>
    <row r="1530">
      <c r="A1530" s="51" t="s">
        <v>11334</v>
      </c>
      <c r="B1530" s="51" t="s">
        <v>5295</v>
      </c>
      <c r="C1530" s="51" t="s">
        <v>25</v>
      </c>
      <c r="D1530" s="57">
        <v>45016.326965451386</v>
      </c>
    </row>
    <row r="1531">
      <c r="A1531" s="51" t="s">
        <v>11345</v>
      </c>
      <c r="B1531" s="51" t="s">
        <v>1389</v>
      </c>
      <c r="C1531" s="51" t="s">
        <v>316</v>
      </c>
      <c r="D1531" s="57">
        <v>45016.32928716435</v>
      </c>
    </row>
    <row r="1532">
      <c r="A1532" s="51" t="s">
        <v>11339</v>
      </c>
      <c r="B1532" s="51" t="s">
        <v>10495</v>
      </c>
      <c r="C1532" s="51" t="s">
        <v>25</v>
      </c>
      <c r="D1532" s="57">
        <v>45016.32943111111</v>
      </c>
    </row>
    <row r="1533">
      <c r="A1533" s="51" t="s">
        <v>11345</v>
      </c>
      <c r="B1533" s="51" t="s">
        <v>1389</v>
      </c>
      <c r="C1533" s="51" t="s">
        <v>316</v>
      </c>
      <c r="D1533" s="57">
        <v>45016.32955414352</v>
      </c>
    </row>
    <row r="1534">
      <c r="A1534" s="51" t="s">
        <v>11343</v>
      </c>
      <c r="B1534" s="51" t="s">
        <v>10495</v>
      </c>
      <c r="C1534" s="51" t="s">
        <v>25</v>
      </c>
      <c r="D1534" s="57">
        <v>45016.33414288194</v>
      </c>
    </row>
    <row r="1535">
      <c r="A1535" s="51" t="s">
        <v>11338</v>
      </c>
      <c r="B1535" s="51" t="s">
        <v>10833</v>
      </c>
      <c r="C1535" s="51" t="s">
        <v>517</v>
      </c>
      <c r="D1535" s="57">
        <v>45016.34169224537</v>
      </c>
    </row>
    <row r="1536">
      <c r="A1536" s="51" t="s">
        <v>11344</v>
      </c>
      <c r="B1536" s="51" t="s">
        <v>10393</v>
      </c>
      <c r="C1536" s="51" t="s">
        <v>84</v>
      </c>
      <c r="D1536" s="57">
        <v>45016.42907868055</v>
      </c>
    </row>
    <row r="1537">
      <c r="A1537" s="51" t="s">
        <v>11240</v>
      </c>
      <c r="B1537" s="51" t="s">
        <v>865</v>
      </c>
      <c r="C1537" s="51" t="s">
        <v>275</v>
      </c>
      <c r="D1537" s="57">
        <v>45016.79108888889</v>
      </c>
    </row>
    <row r="1538">
      <c r="A1538" s="51" t="s">
        <v>11240</v>
      </c>
      <c r="B1538" s="51" t="s">
        <v>6776</v>
      </c>
      <c r="C1538" s="51" t="s">
        <v>284</v>
      </c>
      <c r="D1538" s="57">
        <v>45016.79693325231</v>
      </c>
    </row>
    <row r="1539">
      <c r="A1539" s="51" t="s">
        <v>11346</v>
      </c>
      <c r="B1539" s="51" t="s">
        <v>1012</v>
      </c>
      <c r="C1539" s="51" t="s">
        <v>110</v>
      </c>
      <c r="D1539" s="57">
        <v>45016.97548962963</v>
      </c>
    </row>
    <row r="1540">
      <c r="A1540" s="51" t="s">
        <v>11347</v>
      </c>
      <c r="B1540" s="51" t="s">
        <v>9878</v>
      </c>
      <c r="C1540" s="51" t="s">
        <v>25</v>
      </c>
      <c r="D1540" s="57">
        <v>45017.04606820602</v>
      </c>
    </row>
    <row r="1541">
      <c r="A1541" s="51" t="s">
        <v>11269</v>
      </c>
      <c r="B1541" s="51" t="s">
        <v>10383</v>
      </c>
      <c r="C1541" s="51" t="s">
        <v>25</v>
      </c>
      <c r="D1541" s="57">
        <v>45017.433623414356</v>
      </c>
    </row>
    <row r="1542">
      <c r="A1542" s="51" t="s">
        <v>11348</v>
      </c>
      <c r="B1542" s="51" t="s">
        <v>5839</v>
      </c>
      <c r="C1542" s="51" t="s">
        <v>25</v>
      </c>
      <c r="D1542" s="57">
        <v>45018.322326354166</v>
      </c>
    </row>
    <row r="1543">
      <c r="A1543" s="51" t="s">
        <v>11348</v>
      </c>
      <c r="B1543" s="51" t="s">
        <v>5839</v>
      </c>
      <c r="C1543" s="51" t="s">
        <v>25</v>
      </c>
      <c r="D1543" s="57">
        <v>45018.32680996528</v>
      </c>
    </row>
    <row r="1544">
      <c r="A1544" s="51" t="s">
        <v>11348</v>
      </c>
      <c r="B1544" s="51" t="s">
        <v>2870</v>
      </c>
      <c r="C1544" s="51" t="s">
        <v>157</v>
      </c>
      <c r="D1544" s="57">
        <v>45018.8525924537</v>
      </c>
    </row>
    <row r="1545">
      <c r="A1545" s="51" t="s">
        <v>11348</v>
      </c>
      <c r="B1545" s="51" t="s">
        <v>2870</v>
      </c>
      <c r="C1545" s="51" t="s">
        <v>157</v>
      </c>
      <c r="D1545" s="57">
        <v>45018.855297939816</v>
      </c>
    </row>
    <row r="1546">
      <c r="A1546" s="51" t="s">
        <v>11317</v>
      </c>
      <c r="B1546" s="51" t="s">
        <v>10504</v>
      </c>
      <c r="C1546" s="51" t="s">
        <v>84</v>
      </c>
      <c r="D1546" s="57">
        <v>45019.05760305555</v>
      </c>
    </row>
    <row r="1547">
      <c r="A1547" s="51" t="s">
        <v>11346</v>
      </c>
      <c r="B1547" s="51" t="s">
        <v>9878</v>
      </c>
      <c r="C1547" s="51" t="s">
        <v>25</v>
      </c>
      <c r="D1547" s="57">
        <v>45019.06048324074</v>
      </c>
    </row>
    <row r="1548">
      <c r="A1548" s="51" t="s">
        <v>11342</v>
      </c>
      <c r="B1548" s="51" t="s">
        <v>9720</v>
      </c>
      <c r="C1548" s="51" t="s">
        <v>517</v>
      </c>
      <c r="D1548" s="57">
        <v>45019.19257238426</v>
      </c>
    </row>
    <row r="1549">
      <c r="A1549" s="51" t="s">
        <v>11326</v>
      </c>
      <c r="B1549" s="51" t="s">
        <v>11012</v>
      </c>
      <c r="C1549" s="51" t="s">
        <v>25</v>
      </c>
      <c r="D1549" s="57">
        <v>45019.265721724536</v>
      </c>
    </row>
    <row r="1550">
      <c r="A1550" s="51" t="s">
        <v>11269</v>
      </c>
      <c r="B1550" s="51" t="s">
        <v>431</v>
      </c>
      <c r="C1550" s="51" t="s">
        <v>25</v>
      </c>
      <c r="D1550" s="57">
        <v>45019.273028923606</v>
      </c>
    </row>
    <row r="1551">
      <c r="A1551" s="51" t="s">
        <v>11269</v>
      </c>
      <c r="B1551" s="51" t="s">
        <v>10914</v>
      </c>
      <c r="C1551" s="51" t="s">
        <v>25</v>
      </c>
      <c r="D1551" s="57">
        <v>45019.39955072917</v>
      </c>
    </row>
    <row r="1552">
      <c r="A1552" s="51" t="s">
        <v>11293</v>
      </c>
      <c r="B1552" s="51" t="s">
        <v>1857</v>
      </c>
      <c r="C1552" s="51" t="s">
        <v>25</v>
      </c>
      <c r="D1552" s="57">
        <v>45019.862618935185</v>
      </c>
    </row>
    <row r="1553">
      <c r="A1553" s="51" t="s">
        <v>11293</v>
      </c>
      <c r="B1553" s="51" t="s">
        <v>9829</v>
      </c>
      <c r="C1553" s="51" t="s">
        <v>216</v>
      </c>
      <c r="D1553" s="57">
        <v>45019.86658314815</v>
      </c>
    </row>
    <row r="1554">
      <c r="A1554" s="51" t="s">
        <v>11253</v>
      </c>
      <c r="B1554" s="51" t="s">
        <v>9878</v>
      </c>
      <c r="C1554" s="51" t="s">
        <v>25</v>
      </c>
      <c r="D1554" s="57">
        <v>45020.07208731482</v>
      </c>
    </row>
    <row r="1555">
      <c r="A1555" s="51" t="s">
        <v>11269</v>
      </c>
      <c r="B1555" s="51" t="s">
        <v>10495</v>
      </c>
      <c r="C1555" s="51" t="s">
        <v>25</v>
      </c>
      <c r="D1555" s="57">
        <v>45020.10667059028</v>
      </c>
    </row>
    <row r="1556">
      <c r="A1556" s="51" t="s">
        <v>11269</v>
      </c>
      <c r="B1556" s="51" t="s">
        <v>9839</v>
      </c>
      <c r="C1556" s="51" t="s">
        <v>25</v>
      </c>
      <c r="D1556" s="57">
        <v>45020.111813194446</v>
      </c>
    </row>
    <row r="1557">
      <c r="A1557" s="51" t="s">
        <v>11349</v>
      </c>
      <c r="B1557" s="51" t="s">
        <v>3650</v>
      </c>
      <c r="C1557" s="51" t="s">
        <v>84</v>
      </c>
      <c r="D1557" s="57">
        <v>45020.215410578705</v>
      </c>
    </row>
    <row r="1558">
      <c r="A1558" s="51" t="s">
        <v>11253</v>
      </c>
      <c r="B1558" s="51" t="s">
        <v>9878</v>
      </c>
      <c r="C1558" s="51" t="s">
        <v>25</v>
      </c>
      <c r="D1558" s="57">
        <v>45020.373732974535</v>
      </c>
    </row>
    <row r="1559">
      <c r="A1559" s="51" t="s">
        <v>11269</v>
      </c>
      <c r="B1559" s="51" t="s">
        <v>7961</v>
      </c>
      <c r="C1559" s="51" t="s">
        <v>25</v>
      </c>
      <c r="D1559" s="57">
        <v>45020.48608642361</v>
      </c>
    </row>
    <row r="1560">
      <c r="A1560" s="51" t="s">
        <v>11283</v>
      </c>
      <c r="B1560" s="51" t="s">
        <v>57</v>
      </c>
      <c r="C1560" s="51" t="s">
        <v>25</v>
      </c>
      <c r="D1560" s="57">
        <v>45020.80750303241</v>
      </c>
    </row>
    <row r="1561">
      <c r="A1561" s="51" t="s">
        <v>11283</v>
      </c>
      <c r="B1561" s="51" t="s">
        <v>57</v>
      </c>
      <c r="C1561" s="51" t="s">
        <v>25</v>
      </c>
      <c r="D1561" s="57">
        <v>45020.80883328704</v>
      </c>
    </row>
    <row r="1562">
      <c r="A1562" s="51" t="s">
        <v>11269</v>
      </c>
      <c r="B1562" s="51" t="s">
        <v>7961</v>
      </c>
      <c r="C1562" s="51" t="s">
        <v>25</v>
      </c>
      <c r="D1562" s="57">
        <v>45020.82902704861</v>
      </c>
    </row>
    <row r="1563">
      <c r="A1563" s="51" t="s">
        <v>11269</v>
      </c>
      <c r="B1563" s="51" t="s">
        <v>6119</v>
      </c>
      <c r="C1563" s="51" t="s">
        <v>25</v>
      </c>
      <c r="D1563" s="57">
        <v>45020.830555243054</v>
      </c>
    </row>
    <row r="1564">
      <c r="A1564" s="51" t="s">
        <v>11283</v>
      </c>
      <c r="B1564" s="51" t="s">
        <v>57</v>
      </c>
      <c r="C1564" s="51" t="s">
        <v>25</v>
      </c>
      <c r="D1564" s="57">
        <v>45020.863891886576</v>
      </c>
    </row>
    <row r="1565">
      <c r="A1565" s="51" t="s">
        <v>11283</v>
      </c>
      <c r="B1565" s="51" t="s">
        <v>7434</v>
      </c>
      <c r="C1565" s="51" t="s">
        <v>25</v>
      </c>
      <c r="D1565" s="57">
        <v>45020.8645934375</v>
      </c>
    </row>
    <row r="1566">
      <c r="A1566" s="51" t="s">
        <v>11232</v>
      </c>
      <c r="B1566" s="51"/>
      <c r="C1566" s="51"/>
      <c r="D1566" s="57">
        <v>45020.89348039352</v>
      </c>
    </row>
    <row r="1567">
      <c r="A1567" s="51" t="s">
        <v>11232</v>
      </c>
      <c r="B1567" s="51" t="s">
        <v>9679</v>
      </c>
      <c r="C1567" s="51" t="s">
        <v>25</v>
      </c>
      <c r="D1567" s="57">
        <v>45020.89390578704</v>
      </c>
    </row>
    <row r="1568">
      <c r="A1568" s="51" t="s">
        <v>11270</v>
      </c>
      <c r="B1568" s="51" t="s">
        <v>7893</v>
      </c>
      <c r="C1568" s="51" t="s">
        <v>25</v>
      </c>
      <c r="D1568" s="57">
        <v>45021.23979774305</v>
      </c>
    </row>
    <row r="1569">
      <c r="A1569" s="51" t="s">
        <v>11270</v>
      </c>
      <c r="B1569" s="51" t="s">
        <v>7893</v>
      </c>
      <c r="C1569" s="51" t="s">
        <v>25</v>
      </c>
      <c r="D1569" s="57">
        <v>45021.240295752315</v>
      </c>
    </row>
    <row r="1570">
      <c r="A1570" s="51" t="s">
        <v>11270</v>
      </c>
      <c r="B1570" s="51" t="s">
        <v>7893</v>
      </c>
      <c r="C1570" s="51" t="s">
        <v>25</v>
      </c>
      <c r="D1570" s="57">
        <v>45021.240302488426</v>
      </c>
    </row>
    <row r="1571">
      <c r="A1571" s="51" t="s">
        <v>11270</v>
      </c>
      <c r="B1571" s="51" t="s">
        <v>7893</v>
      </c>
      <c r="C1571" s="51" t="s">
        <v>25</v>
      </c>
      <c r="D1571" s="57">
        <v>45021.24118599537</v>
      </c>
    </row>
    <row r="1572">
      <c r="A1572" s="51" t="s">
        <v>11270</v>
      </c>
      <c r="B1572" s="51" t="s">
        <v>7893</v>
      </c>
      <c r="C1572" s="51" t="s">
        <v>25</v>
      </c>
      <c r="D1572" s="57">
        <v>45021.241237106486</v>
      </c>
    </row>
    <row r="1573">
      <c r="A1573" s="51" t="s">
        <v>11270</v>
      </c>
      <c r="B1573" s="51" t="s">
        <v>7893</v>
      </c>
      <c r="C1573" s="51" t="s">
        <v>25</v>
      </c>
      <c r="D1573" s="57">
        <v>45021.241243321754</v>
      </c>
    </row>
    <row r="1574">
      <c r="A1574" s="51" t="s">
        <v>11270</v>
      </c>
      <c r="B1574" s="51" t="s">
        <v>7893</v>
      </c>
      <c r="C1574" s="51" t="s">
        <v>25</v>
      </c>
      <c r="D1574" s="57">
        <v>45021.24126018518</v>
      </c>
    </row>
    <row r="1575">
      <c r="A1575" s="51" t="s">
        <v>11270</v>
      </c>
      <c r="B1575" s="51" t="s">
        <v>7893</v>
      </c>
      <c r="C1575" s="51" t="s">
        <v>25</v>
      </c>
      <c r="D1575" s="57">
        <v>45021.24129413195</v>
      </c>
    </row>
    <row r="1576">
      <c r="A1576" s="51" t="s">
        <v>11270</v>
      </c>
      <c r="B1576" s="51" t="s">
        <v>7893</v>
      </c>
      <c r="C1576" s="51" t="s">
        <v>25</v>
      </c>
      <c r="D1576" s="57">
        <v>45021.2412978125</v>
      </c>
    </row>
    <row r="1577">
      <c r="A1577" s="51" t="s">
        <v>11270</v>
      </c>
      <c r="B1577" s="51" t="s">
        <v>7893</v>
      </c>
      <c r="C1577" s="51" t="s">
        <v>25</v>
      </c>
      <c r="D1577" s="57">
        <v>45021.24142180556</v>
      </c>
    </row>
    <row r="1578">
      <c r="A1578" s="51" t="s">
        <v>11270</v>
      </c>
      <c r="B1578" s="51" t="s">
        <v>7893</v>
      </c>
      <c r="C1578" s="51" t="s">
        <v>25</v>
      </c>
      <c r="D1578" s="57">
        <v>45021.24143032407</v>
      </c>
    </row>
    <row r="1579">
      <c r="A1579" s="51" t="s">
        <v>11270</v>
      </c>
      <c r="B1579" s="51" t="s">
        <v>7893</v>
      </c>
      <c r="C1579" s="51" t="s">
        <v>25</v>
      </c>
      <c r="D1579" s="57">
        <v>45021.24144549768</v>
      </c>
    </row>
    <row r="1580">
      <c r="A1580" s="51" t="s">
        <v>11270</v>
      </c>
      <c r="B1580" s="51" t="s">
        <v>7893</v>
      </c>
      <c r="C1580" s="51" t="s">
        <v>25</v>
      </c>
      <c r="D1580" s="57">
        <v>45021.24144703704</v>
      </c>
    </row>
    <row r="1581">
      <c r="A1581" s="51" t="s">
        <v>11270</v>
      </c>
      <c r="B1581" s="51" t="s">
        <v>7893</v>
      </c>
      <c r="C1581" s="51" t="s">
        <v>25</v>
      </c>
      <c r="D1581" s="57">
        <v>45021.24144920139</v>
      </c>
    </row>
    <row r="1582">
      <c r="A1582" s="51" t="s">
        <v>11270</v>
      </c>
      <c r="B1582" s="51" t="s">
        <v>7893</v>
      </c>
      <c r="C1582" s="51" t="s">
        <v>25</v>
      </c>
      <c r="D1582" s="57">
        <v>45021.24145215278</v>
      </c>
    </row>
    <row r="1583">
      <c r="A1583" s="51" t="s">
        <v>11270</v>
      </c>
      <c r="B1583" s="51" t="s">
        <v>7893</v>
      </c>
      <c r="C1583" s="51" t="s">
        <v>25</v>
      </c>
      <c r="D1583" s="57">
        <v>45021.24145458333</v>
      </c>
    </row>
    <row r="1584">
      <c r="A1584" s="51" t="s">
        <v>11340</v>
      </c>
      <c r="B1584" s="51" t="s">
        <v>9308</v>
      </c>
      <c r="C1584" s="51" t="s">
        <v>25</v>
      </c>
      <c r="D1584" s="57">
        <v>45022.23094765046</v>
      </c>
    </row>
    <row r="1585">
      <c r="A1585" s="51" t="s">
        <v>11350</v>
      </c>
      <c r="B1585" s="51" t="s">
        <v>5839</v>
      </c>
      <c r="C1585" s="51" t="s">
        <v>25</v>
      </c>
      <c r="D1585" s="57">
        <v>45022.259925509265</v>
      </c>
    </row>
    <row r="1586">
      <c r="A1586" s="51" t="s">
        <v>11350</v>
      </c>
      <c r="B1586" s="51" t="s">
        <v>5839</v>
      </c>
      <c r="C1586" s="51" t="s">
        <v>25</v>
      </c>
      <c r="D1586" s="57">
        <v>45022.26065280093</v>
      </c>
    </row>
    <row r="1587">
      <c r="A1587" s="51" t="s">
        <v>11350</v>
      </c>
      <c r="B1587" s="51" t="s">
        <v>5839</v>
      </c>
      <c r="C1587" s="51" t="s">
        <v>25</v>
      </c>
      <c r="D1587" s="57">
        <v>45022.26067024306</v>
      </c>
    </row>
    <row r="1588">
      <c r="A1588" s="51" t="s">
        <v>11326</v>
      </c>
      <c r="B1588" s="51" t="s">
        <v>10914</v>
      </c>
      <c r="C1588" s="51" t="s">
        <v>25</v>
      </c>
      <c r="D1588" s="57">
        <v>45023.27333945602</v>
      </c>
    </row>
    <row r="1589">
      <c r="A1589" s="51" t="s">
        <v>11326</v>
      </c>
      <c r="B1589" s="51" t="s">
        <v>9730</v>
      </c>
      <c r="C1589" s="51" t="s">
        <v>25</v>
      </c>
      <c r="D1589" s="57">
        <v>45023.27615225695</v>
      </c>
    </row>
    <row r="1590">
      <c r="A1590" s="51" t="s">
        <v>11351</v>
      </c>
      <c r="B1590" s="51" t="s">
        <v>1398</v>
      </c>
      <c r="C1590" s="51" t="s">
        <v>165</v>
      </c>
      <c r="D1590" s="57">
        <v>45026.86607056713</v>
      </c>
    </row>
    <row r="1591">
      <c r="A1591" s="51" t="s">
        <v>11351</v>
      </c>
      <c r="B1591" s="51" t="s">
        <v>1398</v>
      </c>
      <c r="C1591" s="51" t="s">
        <v>165</v>
      </c>
      <c r="D1591" s="57">
        <v>45026.8666103125</v>
      </c>
    </row>
    <row r="1592">
      <c r="A1592" s="51" t="s">
        <v>11351</v>
      </c>
      <c r="B1592" s="51" t="s">
        <v>5413</v>
      </c>
      <c r="C1592" s="51" t="s">
        <v>165</v>
      </c>
      <c r="D1592" s="57">
        <v>45026.896717083335</v>
      </c>
    </row>
    <row r="1593">
      <c r="A1593" s="51" t="s">
        <v>11351</v>
      </c>
      <c r="B1593" s="51" t="s">
        <v>5413</v>
      </c>
      <c r="C1593" s="51" t="s">
        <v>165</v>
      </c>
      <c r="D1593" s="57">
        <v>45026.8970987037</v>
      </c>
    </row>
    <row r="1594">
      <c r="A1594" s="51" t="s">
        <v>11344</v>
      </c>
      <c r="B1594" s="51" t="s">
        <v>10198</v>
      </c>
      <c r="C1594" s="51" t="s">
        <v>84</v>
      </c>
      <c r="D1594" s="57">
        <v>45027.24748313657</v>
      </c>
    </row>
    <row r="1595">
      <c r="A1595" s="51" t="s">
        <v>11344</v>
      </c>
      <c r="B1595" s="51" t="s">
        <v>10198</v>
      </c>
      <c r="C1595" s="51" t="s">
        <v>84</v>
      </c>
      <c r="D1595" s="57">
        <v>45027.24748334491</v>
      </c>
    </row>
    <row r="1596">
      <c r="A1596" s="51" t="s">
        <v>11344</v>
      </c>
      <c r="B1596" s="51" t="s">
        <v>10198</v>
      </c>
      <c r="C1596" s="51" t="s">
        <v>84</v>
      </c>
      <c r="D1596" s="57">
        <v>45027.2474934375</v>
      </c>
    </row>
    <row r="1597">
      <c r="A1597" s="51" t="s">
        <v>11344</v>
      </c>
      <c r="B1597" s="51" t="s">
        <v>10198</v>
      </c>
      <c r="C1597" s="51" t="s">
        <v>84</v>
      </c>
      <c r="D1597" s="57">
        <v>45027.2474975</v>
      </c>
    </row>
    <row r="1598">
      <c r="A1598" s="51" t="s">
        <v>11344</v>
      </c>
      <c r="B1598" s="51" t="s">
        <v>10198</v>
      </c>
      <c r="C1598" s="51" t="s">
        <v>84</v>
      </c>
      <c r="D1598" s="57">
        <v>45027.247516620366</v>
      </c>
    </row>
    <row r="1599">
      <c r="A1599" s="51" t="s">
        <v>11339</v>
      </c>
      <c r="B1599" s="51" t="s">
        <v>10092</v>
      </c>
      <c r="C1599" s="51" t="s">
        <v>84</v>
      </c>
      <c r="D1599" s="57">
        <v>45027.34547587963</v>
      </c>
    </row>
    <row r="1600">
      <c r="A1600" s="51" t="s">
        <v>11339</v>
      </c>
      <c r="B1600" s="51" t="s">
        <v>10621</v>
      </c>
      <c r="C1600" s="51" t="s">
        <v>84</v>
      </c>
      <c r="D1600" s="57">
        <v>45028.07601898148</v>
      </c>
    </row>
    <row r="1601">
      <c r="A1601" s="51" t="s">
        <v>11339</v>
      </c>
      <c r="B1601" s="51" t="s">
        <v>10621</v>
      </c>
      <c r="C1601" s="51" t="s">
        <v>84</v>
      </c>
      <c r="D1601" s="57">
        <v>45028.07626765047</v>
      </c>
    </row>
    <row r="1602">
      <c r="A1602" s="51" t="s">
        <v>11338</v>
      </c>
      <c r="B1602" s="51" t="s">
        <v>9878</v>
      </c>
      <c r="C1602" s="51" t="s">
        <v>25</v>
      </c>
      <c r="D1602" s="57">
        <v>45028.3098309375</v>
      </c>
    </row>
    <row r="1603">
      <c r="A1603" s="51" t="s">
        <v>11290</v>
      </c>
      <c r="B1603" s="51" t="s">
        <v>10043</v>
      </c>
      <c r="C1603" s="51" t="s">
        <v>84</v>
      </c>
      <c r="D1603" s="57">
        <v>45028.72649783565</v>
      </c>
    </row>
    <row r="1604">
      <c r="A1604" s="51" t="s">
        <v>11290</v>
      </c>
      <c r="B1604" s="51" t="s">
        <v>10043</v>
      </c>
      <c r="C1604" s="51" t="s">
        <v>84</v>
      </c>
      <c r="D1604" s="57">
        <v>45028.726849513885</v>
      </c>
    </row>
    <row r="1605">
      <c r="A1605" s="51" t="s">
        <v>11290</v>
      </c>
      <c r="B1605" s="51" t="s">
        <v>10486</v>
      </c>
      <c r="C1605" s="51" t="s">
        <v>84</v>
      </c>
      <c r="D1605" s="57">
        <v>45028.73161560185</v>
      </c>
    </row>
    <row r="1606">
      <c r="A1606" s="51" t="s">
        <v>11324</v>
      </c>
      <c r="B1606" s="51" t="s">
        <v>2166</v>
      </c>
      <c r="C1606" s="51" t="s">
        <v>110</v>
      </c>
      <c r="D1606" s="57">
        <v>45028.82403215278</v>
      </c>
    </row>
    <row r="1607">
      <c r="A1607" s="51" t="s">
        <v>11324</v>
      </c>
      <c r="B1607" s="51" t="s">
        <v>8716</v>
      </c>
      <c r="C1607" s="51" t="s">
        <v>110</v>
      </c>
      <c r="D1607" s="57">
        <v>45028.88646009259</v>
      </c>
    </row>
    <row r="1608">
      <c r="A1608" s="51" t="s">
        <v>11283</v>
      </c>
      <c r="B1608" s="51" t="s">
        <v>6109</v>
      </c>
      <c r="C1608" s="51" t="s">
        <v>25</v>
      </c>
      <c r="D1608" s="57">
        <v>45029.825562569444</v>
      </c>
    </row>
    <row r="1609">
      <c r="A1609" s="51" t="s">
        <v>11283</v>
      </c>
      <c r="B1609" s="51" t="s">
        <v>6109</v>
      </c>
      <c r="C1609" s="51" t="s">
        <v>25</v>
      </c>
      <c r="D1609" s="57">
        <v>45029.82558042824</v>
      </c>
    </row>
    <row r="1610">
      <c r="A1610" s="51" t="s">
        <v>11347</v>
      </c>
      <c r="B1610" s="51" t="s">
        <v>9878</v>
      </c>
      <c r="C1610" s="51" t="s">
        <v>25</v>
      </c>
      <c r="D1610" s="57">
        <v>45030.9195108912</v>
      </c>
    </row>
    <row r="1611">
      <c r="A1611" s="51" t="s">
        <v>11352</v>
      </c>
      <c r="B1611" s="51" t="s">
        <v>7815</v>
      </c>
      <c r="C1611" s="51" t="s">
        <v>165</v>
      </c>
      <c r="D1611" s="57">
        <v>45032.275814548615</v>
      </c>
    </row>
    <row r="1612">
      <c r="A1612" s="51" t="s">
        <v>11281</v>
      </c>
      <c r="B1612" s="51" t="s">
        <v>7335</v>
      </c>
      <c r="C1612" s="51" t="s">
        <v>25</v>
      </c>
      <c r="D1612" s="57">
        <v>45032.82532174769</v>
      </c>
    </row>
    <row r="1613">
      <c r="A1613" s="51" t="s">
        <v>11281</v>
      </c>
      <c r="B1613" s="51" t="s">
        <v>7317</v>
      </c>
      <c r="C1613" s="51" t="s">
        <v>25</v>
      </c>
      <c r="D1613" s="57">
        <v>45032.82836140046</v>
      </c>
    </row>
    <row r="1614">
      <c r="A1614" s="51" t="s">
        <v>11281</v>
      </c>
      <c r="B1614" s="51" t="s">
        <v>5433</v>
      </c>
      <c r="C1614" s="51" t="s">
        <v>110</v>
      </c>
      <c r="D1614" s="57">
        <v>45032.82992792824</v>
      </c>
    </row>
    <row r="1615">
      <c r="A1615" s="51" t="s">
        <v>11221</v>
      </c>
      <c r="B1615" s="51" t="s">
        <v>640</v>
      </c>
      <c r="C1615" s="51" t="s">
        <v>316</v>
      </c>
      <c r="D1615" s="57">
        <v>45032.87013966435</v>
      </c>
    </row>
    <row r="1616">
      <c r="A1616" s="51" t="s">
        <v>11221</v>
      </c>
      <c r="B1616" s="51" t="s">
        <v>8649</v>
      </c>
      <c r="C1616" s="51" t="s">
        <v>316</v>
      </c>
      <c r="D1616" s="57">
        <v>45032.874127511575</v>
      </c>
    </row>
    <row r="1617">
      <c r="A1617" s="51" t="s">
        <v>11221</v>
      </c>
      <c r="B1617" s="51" t="s">
        <v>8649</v>
      </c>
      <c r="C1617" s="51" t="s">
        <v>316</v>
      </c>
      <c r="D1617" s="57">
        <v>45032.87413380787</v>
      </c>
    </row>
    <row r="1618">
      <c r="A1618" s="51" t="s">
        <v>11221</v>
      </c>
      <c r="B1618" s="51" t="s">
        <v>8649</v>
      </c>
      <c r="C1618" s="51" t="s">
        <v>316</v>
      </c>
      <c r="D1618" s="57">
        <v>45032.87413871528</v>
      </c>
    </row>
    <row r="1619">
      <c r="A1619" s="51" t="s">
        <v>11221</v>
      </c>
      <c r="B1619" s="51" t="s">
        <v>8649</v>
      </c>
      <c r="C1619" s="51" t="s">
        <v>316</v>
      </c>
      <c r="D1619" s="57">
        <v>45032.87414621528</v>
      </c>
    </row>
    <row r="1620">
      <c r="A1620" s="51" t="s">
        <v>11221</v>
      </c>
      <c r="B1620" s="51" t="s">
        <v>8649</v>
      </c>
      <c r="C1620" s="51" t="s">
        <v>316</v>
      </c>
      <c r="D1620" s="57">
        <v>45032.874149282405</v>
      </c>
    </row>
    <row r="1621">
      <c r="A1621" s="51" t="s">
        <v>11221</v>
      </c>
      <c r="B1621" s="51" t="s">
        <v>8649</v>
      </c>
      <c r="C1621" s="51" t="s">
        <v>316</v>
      </c>
      <c r="D1621" s="57">
        <v>45032.874149247684</v>
      </c>
    </row>
    <row r="1622">
      <c r="A1622" s="51" t="s">
        <v>11221</v>
      </c>
      <c r="B1622" s="51" t="s">
        <v>2433</v>
      </c>
      <c r="C1622" s="51" t="s">
        <v>316</v>
      </c>
      <c r="D1622" s="57">
        <v>45032.8768221875</v>
      </c>
    </row>
    <row r="1623">
      <c r="A1623" s="51" t="s">
        <v>11260</v>
      </c>
      <c r="B1623" s="51" t="s">
        <v>8177</v>
      </c>
      <c r="C1623" s="51" t="s">
        <v>25</v>
      </c>
      <c r="D1623" s="57">
        <v>45033.14342219908</v>
      </c>
    </row>
    <row r="1624">
      <c r="A1624" s="51" t="s">
        <v>11312</v>
      </c>
      <c r="B1624" s="51" t="s">
        <v>11012</v>
      </c>
      <c r="C1624" s="51" t="s">
        <v>25</v>
      </c>
      <c r="D1624" s="57">
        <v>45033.87487241898</v>
      </c>
    </row>
    <row r="1625">
      <c r="A1625" s="51" t="s">
        <v>11312</v>
      </c>
      <c r="B1625" s="51" t="s">
        <v>9229</v>
      </c>
      <c r="C1625" s="51" t="s">
        <v>517</v>
      </c>
      <c r="D1625" s="57">
        <v>45033.879693263894</v>
      </c>
    </row>
    <row r="1626">
      <c r="A1626" s="51" t="s">
        <v>11352</v>
      </c>
      <c r="B1626" s="51" t="s">
        <v>179</v>
      </c>
      <c r="C1626" s="51" t="s">
        <v>165</v>
      </c>
      <c r="D1626" s="57">
        <v>45034.90536224537</v>
      </c>
    </row>
    <row r="1627">
      <c r="A1627" s="51" t="s">
        <v>11287</v>
      </c>
      <c r="B1627" s="51" t="s">
        <v>33</v>
      </c>
      <c r="C1627" s="51" t="s">
        <v>25</v>
      </c>
      <c r="D1627" s="57">
        <v>45034.90821555555</v>
      </c>
    </row>
    <row r="1628">
      <c r="A1628" s="51" t="s">
        <v>11352</v>
      </c>
      <c r="B1628" s="51" t="s">
        <v>10188</v>
      </c>
      <c r="C1628" s="51" t="s">
        <v>165</v>
      </c>
      <c r="D1628" s="57">
        <v>45034.91064883102</v>
      </c>
    </row>
    <row r="1629">
      <c r="A1629" s="51" t="s">
        <v>11290</v>
      </c>
      <c r="B1629" s="51" t="s">
        <v>10823</v>
      </c>
      <c r="C1629" s="51" t="s">
        <v>84</v>
      </c>
      <c r="D1629" s="57">
        <v>45035.734139409724</v>
      </c>
    </row>
    <row r="1630">
      <c r="A1630" s="51" t="s">
        <v>11290</v>
      </c>
      <c r="B1630" s="51" t="s">
        <v>3995</v>
      </c>
      <c r="C1630" s="51" t="s">
        <v>84</v>
      </c>
      <c r="D1630" s="57">
        <v>45035.74415388889</v>
      </c>
    </row>
    <row r="1631">
      <c r="A1631" s="51" t="s">
        <v>11290</v>
      </c>
      <c r="B1631" s="51" t="s">
        <v>10602</v>
      </c>
      <c r="C1631" s="51" t="s">
        <v>84</v>
      </c>
      <c r="D1631" s="57">
        <v>45035.749322592594</v>
      </c>
    </row>
    <row r="1632">
      <c r="A1632" s="51" t="s">
        <v>11290</v>
      </c>
      <c r="B1632" s="51" t="s">
        <v>10602</v>
      </c>
      <c r="C1632" s="51" t="s">
        <v>84</v>
      </c>
      <c r="D1632" s="57">
        <v>45035.74933821759</v>
      </c>
    </row>
    <row r="1633">
      <c r="A1633" s="51" t="s">
        <v>11283</v>
      </c>
      <c r="B1633" s="51" t="s">
        <v>7940</v>
      </c>
      <c r="C1633" s="51" t="s">
        <v>316</v>
      </c>
      <c r="D1633" s="57">
        <v>45035.829784733796</v>
      </c>
    </row>
    <row r="1634">
      <c r="A1634" s="51" t="s">
        <v>11283</v>
      </c>
      <c r="B1634" s="51" t="s">
        <v>8959</v>
      </c>
      <c r="C1634" s="51" t="s">
        <v>316</v>
      </c>
      <c r="D1634" s="57">
        <v>45035.83932575231</v>
      </c>
    </row>
    <row r="1635">
      <c r="A1635" s="51" t="s">
        <v>11283</v>
      </c>
      <c r="B1635" s="51" t="s">
        <v>9995</v>
      </c>
      <c r="C1635" s="51" t="s">
        <v>25</v>
      </c>
      <c r="D1635" s="57">
        <v>45035.84414690972</v>
      </c>
    </row>
    <row r="1636">
      <c r="A1636" s="51" t="s">
        <v>11283</v>
      </c>
      <c r="B1636" s="51" t="s">
        <v>10991</v>
      </c>
      <c r="C1636" s="51" t="s">
        <v>316</v>
      </c>
      <c r="D1636" s="57">
        <v>45035.87103372686</v>
      </c>
    </row>
    <row r="1637">
      <c r="A1637" s="51" t="s">
        <v>11283</v>
      </c>
      <c r="B1637" s="51" t="s">
        <v>8649</v>
      </c>
      <c r="C1637" s="51" t="s">
        <v>316</v>
      </c>
      <c r="D1637" s="57">
        <v>45035.87444596065</v>
      </c>
    </row>
    <row r="1638">
      <c r="A1638" s="51" t="s">
        <v>11283</v>
      </c>
      <c r="B1638" s="51" t="s">
        <v>6854</v>
      </c>
      <c r="C1638" s="51" t="s">
        <v>316</v>
      </c>
      <c r="D1638" s="57">
        <v>45035.8765997338</v>
      </c>
    </row>
    <row r="1639">
      <c r="A1639" s="51" t="s">
        <v>11273</v>
      </c>
      <c r="B1639" s="51" t="s">
        <v>10803</v>
      </c>
      <c r="C1639" s="51" t="s">
        <v>25</v>
      </c>
      <c r="D1639" s="57">
        <v>45036.67197758102</v>
      </c>
    </row>
    <row r="1640">
      <c r="A1640" s="51" t="s">
        <v>11283</v>
      </c>
      <c r="B1640" s="51" t="s">
        <v>10023</v>
      </c>
      <c r="C1640" s="51" t="s">
        <v>216</v>
      </c>
      <c r="D1640" s="57">
        <v>45036.722717060184</v>
      </c>
    </row>
    <row r="1641">
      <c r="A1641" s="51" t="s">
        <v>11283</v>
      </c>
      <c r="B1641" s="51" t="s">
        <v>9720</v>
      </c>
      <c r="C1641" s="51" t="s">
        <v>517</v>
      </c>
      <c r="D1641" s="57">
        <v>45036.723823611115</v>
      </c>
    </row>
    <row r="1642">
      <c r="A1642" s="51" t="s">
        <v>11234</v>
      </c>
      <c r="B1642" s="51" t="s">
        <v>10542</v>
      </c>
      <c r="C1642" s="51" t="s">
        <v>25</v>
      </c>
      <c r="D1642" s="57">
        <v>45037.12387811343</v>
      </c>
    </row>
    <row r="1643">
      <c r="A1643" s="51" t="s">
        <v>11234</v>
      </c>
      <c r="B1643" s="51" t="s">
        <v>10542</v>
      </c>
      <c r="C1643" s="51" t="s">
        <v>25</v>
      </c>
      <c r="D1643" s="57">
        <v>45037.12389452546</v>
      </c>
    </row>
    <row r="1644">
      <c r="A1644" s="51" t="s">
        <v>11300</v>
      </c>
      <c r="B1644" s="51" t="s">
        <v>5365</v>
      </c>
      <c r="C1644" s="51" t="s">
        <v>386</v>
      </c>
      <c r="D1644" s="57">
        <v>45037.68320747685</v>
      </c>
    </row>
    <row r="1645">
      <c r="A1645" s="51" t="s">
        <v>11290</v>
      </c>
      <c r="B1645" s="51" t="s">
        <v>7306</v>
      </c>
      <c r="C1645" s="51" t="s">
        <v>84</v>
      </c>
      <c r="D1645" s="57">
        <v>45037.8387890625</v>
      </c>
    </row>
    <row r="1646">
      <c r="A1646" s="51" t="s">
        <v>11283</v>
      </c>
      <c r="B1646" s="51" t="s">
        <v>8442</v>
      </c>
      <c r="C1646" s="51" t="s">
        <v>517</v>
      </c>
      <c r="D1646" s="57">
        <v>45039.02802873842</v>
      </c>
    </row>
    <row r="1647">
      <c r="A1647" s="51" t="s">
        <v>11283</v>
      </c>
      <c r="B1647" s="51" t="s">
        <v>6516</v>
      </c>
      <c r="C1647" s="51" t="s">
        <v>216</v>
      </c>
      <c r="D1647" s="57">
        <v>45039.06260113426</v>
      </c>
    </row>
    <row r="1648">
      <c r="A1648" s="51" t="s">
        <v>11283</v>
      </c>
      <c r="B1648" s="51" t="s">
        <v>6516</v>
      </c>
      <c r="C1648" s="51" t="s">
        <v>216</v>
      </c>
      <c r="D1648" s="57">
        <v>45039.07084446759</v>
      </c>
    </row>
    <row r="1649">
      <c r="A1649" s="51" t="s">
        <v>11312</v>
      </c>
      <c r="B1649" s="51" t="s">
        <v>11001</v>
      </c>
      <c r="C1649" s="51" t="s">
        <v>84</v>
      </c>
      <c r="D1649" s="57">
        <v>45040.909154733796</v>
      </c>
    </row>
    <row r="1650">
      <c r="A1650" s="51" t="s">
        <v>11312</v>
      </c>
      <c r="B1650" s="51" t="s">
        <v>10833</v>
      </c>
      <c r="C1650" s="51" t="s">
        <v>517</v>
      </c>
      <c r="D1650" s="57">
        <v>45040.9100425</v>
      </c>
    </row>
    <row r="1651">
      <c r="A1651" s="51" t="s">
        <v>11283</v>
      </c>
      <c r="B1651" s="51" t="s">
        <v>6747</v>
      </c>
      <c r="C1651" s="51" t="s">
        <v>110</v>
      </c>
      <c r="D1651" s="57">
        <v>45040.98923328704</v>
      </c>
    </row>
    <row r="1652">
      <c r="A1652" s="51" t="s">
        <v>11283</v>
      </c>
      <c r="B1652" s="51" t="s">
        <v>8911</v>
      </c>
      <c r="C1652" s="51" t="s">
        <v>517</v>
      </c>
      <c r="D1652" s="57">
        <v>45041.6641116088</v>
      </c>
    </row>
    <row r="1653">
      <c r="A1653" s="51" t="s">
        <v>11283</v>
      </c>
      <c r="B1653" s="51" t="s">
        <v>10207</v>
      </c>
      <c r="C1653" s="51" t="s">
        <v>517</v>
      </c>
      <c r="D1653" s="57">
        <v>45041.67552929398</v>
      </c>
    </row>
    <row r="1654">
      <c r="A1654" s="51" t="s">
        <v>11283</v>
      </c>
      <c r="B1654" s="51" t="s">
        <v>8371</v>
      </c>
      <c r="C1654" s="51" t="s">
        <v>316</v>
      </c>
      <c r="D1654" s="57">
        <v>45041.71087174768</v>
      </c>
    </row>
    <row r="1655">
      <c r="A1655" s="51" t="s">
        <v>11340</v>
      </c>
      <c r="B1655" s="51" t="s">
        <v>2557</v>
      </c>
      <c r="C1655" s="51" t="s">
        <v>84</v>
      </c>
      <c r="D1655" s="57">
        <v>45041.87448560185</v>
      </c>
    </row>
    <row r="1656">
      <c r="A1656" s="51" t="s">
        <v>11333</v>
      </c>
      <c r="B1656" s="51" t="s">
        <v>2766</v>
      </c>
      <c r="C1656" s="51" t="s">
        <v>84</v>
      </c>
      <c r="D1656" s="57">
        <v>45041.91784952546</v>
      </c>
    </row>
    <row r="1657">
      <c r="A1657" s="51" t="s">
        <v>11340</v>
      </c>
      <c r="B1657" s="51" t="s">
        <v>2557</v>
      </c>
      <c r="C1657" s="51" t="s">
        <v>84</v>
      </c>
      <c r="D1657" s="57">
        <v>45042.192811782406</v>
      </c>
    </row>
    <row r="1658">
      <c r="A1658" s="51" t="s">
        <v>11290</v>
      </c>
      <c r="B1658" s="51" t="s">
        <v>9066</v>
      </c>
      <c r="C1658" s="51" t="s">
        <v>165</v>
      </c>
      <c r="D1658" s="57">
        <v>45042.91244840278</v>
      </c>
    </row>
    <row r="1659">
      <c r="A1659" s="51" t="s">
        <v>11352</v>
      </c>
      <c r="B1659" s="51" t="s">
        <v>817</v>
      </c>
      <c r="C1659" s="51" t="s">
        <v>165</v>
      </c>
      <c r="D1659" s="57">
        <v>45043.79225435185</v>
      </c>
    </row>
    <row r="1660">
      <c r="A1660" s="51" t="s">
        <v>11352</v>
      </c>
      <c r="B1660" s="51" t="s">
        <v>997</v>
      </c>
      <c r="C1660" s="51" t="s">
        <v>165</v>
      </c>
      <c r="D1660" s="57">
        <v>45043.805130023145</v>
      </c>
    </row>
    <row r="1661">
      <c r="A1661" s="51" t="s">
        <v>11352</v>
      </c>
      <c r="B1661" s="51" t="s">
        <v>10955</v>
      </c>
      <c r="C1661" s="51" t="s">
        <v>165</v>
      </c>
      <c r="D1661" s="57">
        <v>45043.81009922454</v>
      </c>
    </row>
    <row r="1662">
      <c r="A1662" s="51" t="s">
        <v>11352</v>
      </c>
      <c r="B1662" s="51" t="s">
        <v>9037</v>
      </c>
      <c r="C1662" s="51" t="s">
        <v>165</v>
      </c>
      <c r="D1662" s="57">
        <v>45043.81099741899</v>
      </c>
    </row>
    <row r="1663">
      <c r="A1663" s="51" t="s">
        <v>11352</v>
      </c>
      <c r="B1663" s="51" t="s">
        <v>9037</v>
      </c>
      <c r="C1663" s="51" t="s">
        <v>165</v>
      </c>
      <c r="D1663" s="57">
        <v>45043.811394895834</v>
      </c>
    </row>
    <row r="1664">
      <c r="A1664" s="51" t="s">
        <v>11352</v>
      </c>
      <c r="B1664" s="51" t="s">
        <v>10289</v>
      </c>
      <c r="C1664" s="51" t="s">
        <v>165</v>
      </c>
      <c r="D1664" s="57">
        <v>45043.81541888889</v>
      </c>
    </row>
    <row r="1665">
      <c r="A1665" s="51" t="s">
        <v>11283</v>
      </c>
      <c r="B1665" s="51" t="s">
        <v>10702</v>
      </c>
      <c r="C1665" s="51" t="s">
        <v>25</v>
      </c>
      <c r="D1665" s="57">
        <v>45044.78373285879</v>
      </c>
    </row>
    <row r="1666">
      <c r="A1666" s="51" t="s">
        <v>11333</v>
      </c>
      <c r="B1666" s="51" t="s">
        <v>20</v>
      </c>
      <c r="C1666" s="51" t="s">
        <v>25</v>
      </c>
      <c r="D1666" s="57">
        <v>45044.85107253472</v>
      </c>
    </row>
    <row r="1667">
      <c r="A1667" s="51" t="s">
        <v>11333</v>
      </c>
      <c r="B1667" s="51" t="s">
        <v>9967</v>
      </c>
      <c r="C1667" s="51" t="s">
        <v>25</v>
      </c>
      <c r="D1667" s="57">
        <v>45044.87601878472</v>
      </c>
    </row>
    <row r="1668">
      <c r="A1668" s="51" t="s">
        <v>11221</v>
      </c>
      <c r="B1668" s="51" t="s">
        <v>1857</v>
      </c>
      <c r="C1668" s="51" t="s">
        <v>25</v>
      </c>
      <c r="D1668" s="57">
        <v>45044.8773344213</v>
      </c>
    </row>
    <row r="1669">
      <c r="A1669" s="51" t="s">
        <v>11221</v>
      </c>
      <c r="B1669" s="51" t="s">
        <v>1857</v>
      </c>
      <c r="C1669" s="51" t="s">
        <v>25</v>
      </c>
      <c r="D1669" s="57">
        <v>45044.87745989583</v>
      </c>
    </row>
    <row r="1670">
      <c r="A1670" s="51" t="s">
        <v>11329</v>
      </c>
      <c r="B1670" s="51" t="s">
        <v>107</v>
      </c>
      <c r="C1670" s="51" t="s">
        <v>110</v>
      </c>
      <c r="D1670" s="57">
        <v>45048.15103443287</v>
      </c>
    </row>
    <row r="1671">
      <c r="A1671" s="51" t="s">
        <v>11300</v>
      </c>
      <c r="B1671" s="51" t="s">
        <v>5365</v>
      </c>
      <c r="C1671" s="51" t="s">
        <v>386</v>
      </c>
      <c r="D1671" s="57">
        <v>45048.18104480324</v>
      </c>
    </row>
    <row r="1672">
      <c r="A1672" s="51" t="s">
        <v>11232</v>
      </c>
      <c r="B1672" s="51" t="s">
        <v>272</v>
      </c>
      <c r="C1672" s="51" t="s">
        <v>275</v>
      </c>
      <c r="D1672" s="57">
        <v>45048.31295934028</v>
      </c>
    </row>
    <row r="1673">
      <c r="A1673" s="51" t="s">
        <v>11232</v>
      </c>
      <c r="B1673" s="51" t="s">
        <v>1644</v>
      </c>
      <c r="C1673" s="51" t="s">
        <v>316</v>
      </c>
      <c r="D1673" s="57">
        <v>45048.313539490744</v>
      </c>
    </row>
    <row r="1674">
      <c r="A1674" s="51" t="s">
        <v>11232</v>
      </c>
      <c r="B1674" s="51" t="s">
        <v>6815</v>
      </c>
      <c r="C1674" s="51" t="s">
        <v>316</v>
      </c>
      <c r="D1674" s="57">
        <v>45048.31393474537</v>
      </c>
    </row>
    <row r="1675">
      <c r="A1675" s="51" t="s">
        <v>11283</v>
      </c>
      <c r="B1675" s="51" t="s">
        <v>9839</v>
      </c>
      <c r="C1675" s="51" t="s">
        <v>25</v>
      </c>
      <c r="D1675" s="57">
        <v>45048.87116505787</v>
      </c>
    </row>
    <row r="1676">
      <c r="A1676" s="51" t="s">
        <v>11339</v>
      </c>
      <c r="B1676" s="51" t="s">
        <v>200</v>
      </c>
      <c r="C1676" s="51" t="s">
        <v>25</v>
      </c>
      <c r="D1676" s="57">
        <v>45048.91149413194</v>
      </c>
    </row>
    <row r="1677">
      <c r="A1677" s="51" t="s">
        <v>11339</v>
      </c>
      <c r="B1677" s="51" t="s">
        <v>10621</v>
      </c>
      <c r="C1677" s="51" t="s">
        <v>84</v>
      </c>
      <c r="D1677" s="57">
        <v>45049.07337084491</v>
      </c>
    </row>
    <row r="1678">
      <c r="A1678" s="51" t="s">
        <v>11339</v>
      </c>
      <c r="B1678" s="51" t="s">
        <v>10621</v>
      </c>
      <c r="C1678" s="51" t="s">
        <v>84</v>
      </c>
      <c r="D1678" s="57">
        <v>45049.0737358912</v>
      </c>
    </row>
    <row r="1679">
      <c r="A1679" s="51" t="s">
        <v>11215</v>
      </c>
      <c r="B1679" s="51" t="s">
        <v>375</v>
      </c>
      <c r="C1679" s="51" t="s">
        <v>165</v>
      </c>
      <c r="D1679" s="57">
        <v>45054.374925069445</v>
      </c>
    </row>
    <row r="1680">
      <c r="A1680" s="51" t="s">
        <v>11215</v>
      </c>
      <c r="B1680" s="51" t="s">
        <v>9585</v>
      </c>
      <c r="C1680" s="51" t="s">
        <v>25</v>
      </c>
      <c r="D1680" s="57">
        <v>45054.37651630787</v>
      </c>
    </row>
    <row r="1681">
      <c r="A1681" s="51" t="s">
        <v>11353</v>
      </c>
      <c r="B1681" s="51" t="s">
        <v>5424</v>
      </c>
      <c r="C1681" s="51" t="s">
        <v>25</v>
      </c>
      <c r="D1681" s="57">
        <v>45055.2666377662</v>
      </c>
    </row>
    <row r="1682">
      <c r="A1682" s="51" t="s">
        <v>11353</v>
      </c>
      <c r="B1682" s="51" t="s">
        <v>7325</v>
      </c>
      <c r="C1682" s="51" t="s">
        <v>93</v>
      </c>
      <c r="D1682" s="57">
        <v>45055.27562626157</v>
      </c>
    </row>
    <row r="1683">
      <c r="A1683" s="51" t="s">
        <v>11234</v>
      </c>
      <c r="B1683" s="51" t="s">
        <v>9037</v>
      </c>
      <c r="C1683" s="51" t="s">
        <v>165</v>
      </c>
      <c r="D1683" s="57">
        <v>45055.905937800926</v>
      </c>
    </row>
    <row r="1684">
      <c r="A1684" s="51" t="s">
        <v>11234</v>
      </c>
      <c r="B1684" s="51" t="s">
        <v>8611</v>
      </c>
      <c r="C1684" s="51" t="s">
        <v>25</v>
      </c>
      <c r="D1684" s="57">
        <v>45055.90908809028</v>
      </c>
    </row>
    <row r="1685">
      <c r="A1685" s="51" t="s">
        <v>11259</v>
      </c>
      <c r="B1685" s="51" t="s">
        <v>10456</v>
      </c>
      <c r="C1685" s="51" t="s">
        <v>110</v>
      </c>
      <c r="D1685" s="57">
        <v>45056.70990108796</v>
      </c>
    </row>
    <row r="1686">
      <c r="A1686" s="51" t="s">
        <v>11282</v>
      </c>
      <c r="B1686" s="51" t="s">
        <v>6526</v>
      </c>
      <c r="C1686" s="51" t="s">
        <v>110</v>
      </c>
      <c r="D1686" s="57">
        <v>45056.912621979165</v>
      </c>
    </row>
    <row r="1687">
      <c r="A1687" s="51" t="s">
        <v>11301</v>
      </c>
      <c r="B1687" s="51" t="s">
        <v>6526</v>
      </c>
      <c r="C1687" s="51" t="s">
        <v>110</v>
      </c>
      <c r="D1687" s="57">
        <v>45056.91842015046</v>
      </c>
    </row>
    <row r="1688">
      <c r="A1688" s="51" t="s">
        <v>11301</v>
      </c>
      <c r="B1688" s="51" t="s">
        <v>7844</v>
      </c>
      <c r="C1688" s="51" t="s">
        <v>110</v>
      </c>
      <c r="D1688" s="57">
        <v>45056.972957210644</v>
      </c>
    </row>
    <row r="1689">
      <c r="A1689" s="51" t="s">
        <v>11205</v>
      </c>
      <c r="B1689" s="51" t="s">
        <v>10682</v>
      </c>
      <c r="C1689" s="51" t="s">
        <v>25</v>
      </c>
      <c r="D1689" s="57">
        <v>45057.12904600694</v>
      </c>
    </row>
    <row r="1690">
      <c r="A1690" s="51" t="s">
        <v>11205</v>
      </c>
      <c r="B1690" s="51" t="s">
        <v>10023</v>
      </c>
      <c r="C1690" s="51" t="s">
        <v>216</v>
      </c>
      <c r="D1690" s="57">
        <v>45057.13473284722</v>
      </c>
    </row>
    <row r="1691">
      <c r="A1691" s="51" t="s">
        <v>11301</v>
      </c>
      <c r="B1691" s="51" t="s">
        <v>10542</v>
      </c>
      <c r="C1691" s="51" t="s">
        <v>25</v>
      </c>
      <c r="D1691" s="57">
        <v>45057.21300506944</v>
      </c>
    </row>
    <row r="1692">
      <c r="A1692" s="51" t="s">
        <v>11338</v>
      </c>
      <c r="B1692" s="51" t="s">
        <v>8226</v>
      </c>
      <c r="C1692" s="51" t="s">
        <v>25</v>
      </c>
      <c r="D1692" s="57">
        <v>45057.22754050926</v>
      </c>
    </row>
    <row r="1693">
      <c r="A1693" s="51" t="s">
        <v>11339</v>
      </c>
      <c r="B1693" s="51" t="s">
        <v>10278</v>
      </c>
      <c r="C1693" s="51" t="s">
        <v>25</v>
      </c>
      <c r="D1693" s="57">
        <v>45057.31141796296</v>
      </c>
    </row>
    <row r="1694">
      <c r="A1694" s="51" t="s">
        <v>11338</v>
      </c>
      <c r="B1694" s="51" t="s">
        <v>7055</v>
      </c>
      <c r="C1694" s="51" t="s">
        <v>25</v>
      </c>
      <c r="D1694" s="57">
        <v>45057.404256249996</v>
      </c>
    </row>
    <row r="1695">
      <c r="A1695" s="51" t="s">
        <v>11354</v>
      </c>
      <c r="B1695" s="51" t="s">
        <v>10278</v>
      </c>
      <c r="C1695" s="51" t="s">
        <v>25</v>
      </c>
      <c r="D1695" s="57">
        <v>45057.534615613426</v>
      </c>
    </row>
    <row r="1696">
      <c r="A1696" s="51" t="s">
        <v>11338</v>
      </c>
      <c r="B1696" s="51" t="s">
        <v>10542</v>
      </c>
      <c r="C1696" s="51" t="s">
        <v>25</v>
      </c>
      <c r="D1696" s="57">
        <v>45057.92896282407</v>
      </c>
    </row>
    <row r="1697">
      <c r="A1697" s="51" t="s">
        <v>11354</v>
      </c>
      <c r="B1697" s="51" t="s">
        <v>10278</v>
      </c>
      <c r="C1697" s="51" t="s">
        <v>25</v>
      </c>
      <c r="D1697" s="57">
        <v>45058.1252540162</v>
      </c>
    </row>
    <row r="1698">
      <c r="A1698" s="51" t="s">
        <v>11354</v>
      </c>
      <c r="B1698" s="51" t="s">
        <v>10693</v>
      </c>
      <c r="C1698" s="51" t="s">
        <v>25</v>
      </c>
      <c r="D1698" s="57">
        <v>45058.135472442125</v>
      </c>
    </row>
    <row r="1699">
      <c r="A1699" s="51" t="s">
        <v>11338</v>
      </c>
      <c r="B1699" s="51" t="s">
        <v>9094</v>
      </c>
      <c r="C1699" s="51" t="s">
        <v>25</v>
      </c>
      <c r="D1699" s="57">
        <v>45058.20526033565</v>
      </c>
    </row>
    <row r="1700">
      <c r="A1700" s="51" t="s">
        <v>11338</v>
      </c>
      <c r="B1700" s="51" t="s">
        <v>2832</v>
      </c>
      <c r="C1700" s="51" t="s">
        <v>25</v>
      </c>
      <c r="D1700" s="57">
        <v>45058.21297663194</v>
      </c>
    </row>
    <row r="1701">
      <c r="A1701" s="51" t="s">
        <v>11338</v>
      </c>
      <c r="B1701" s="51" t="s">
        <v>9790</v>
      </c>
      <c r="C1701" s="51" t="s">
        <v>25</v>
      </c>
      <c r="D1701" s="57">
        <v>45058.21864824074</v>
      </c>
    </row>
    <row r="1702">
      <c r="A1702" s="51" t="s">
        <v>11266</v>
      </c>
      <c r="B1702" s="51" t="s">
        <v>9172</v>
      </c>
      <c r="C1702" s="51" t="s">
        <v>84</v>
      </c>
      <c r="D1702" s="57">
        <v>45058.89058327547</v>
      </c>
    </row>
    <row r="1703">
      <c r="A1703" s="51" t="s">
        <v>11355</v>
      </c>
      <c r="B1703" s="51" t="s">
        <v>778</v>
      </c>
      <c r="C1703" s="51" t="s">
        <v>110</v>
      </c>
      <c r="D1703" s="57">
        <v>45059.93584128472</v>
      </c>
    </row>
    <row r="1704">
      <c r="A1704" s="51" t="s">
        <v>11355</v>
      </c>
      <c r="B1704" s="51" t="s">
        <v>10991</v>
      </c>
      <c r="C1704" s="51" t="s">
        <v>316</v>
      </c>
      <c r="D1704" s="57">
        <v>45060.87648168982</v>
      </c>
    </row>
    <row r="1705">
      <c r="A1705" s="51" t="s">
        <v>11355</v>
      </c>
      <c r="B1705" s="51" t="s">
        <v>8649</v>
      </c>
      <c r="C1705" s="51" t="s">
        <v>316</v>
      </c>
      <c r="D1705" s="57">
        <v>45060.88173436343</v>
      </c>
    </row>
    <row r="1706">
      <c r="A1706" s="51" t="s">
        <v>11215</v>
      </c>
      <c r="B1706" s="51" t="s">
        <v>1600</v>
      </c>
      <c r="C1706" s="51" t="s">
        <v>316</v>
      </c>
      <c r="D1706" s="57">
        <v>45060.90988666667</v>
      </c>
    </row>
    <row r="1707">
      <c r="A1707" s="51" t="s">
        <v>11215</v>
      </c>
      <c r="B1707" s="51" t="s">
        <v>8371</v>
      </c>
      <c r="C1707" s="51" t="s">
        <v>316</v>
      </c>
      <c r="D1707" s="57">
        <v>45060.911292916666</v>
      </c>
    </row>
    <row r="1708">
      <c r="A1708" s="51" t="s">
        <v>11215</v>
      </c>
      <c r="B1708" s="51" t="s">
        <v>1600</v>
      </c>
      <c r="C1708" s="51" t="s">
        <v>316</v>
      </c>
      <c r="D1708" s="57">
        <v>45060.91534327547</v>
      </c>
    </row>
    <row r="1709">
      <c r="A1709" s="51" t="s">
        <v>11215</v>
      </c>
      <c r="B1709" s="51" t="s">
        <v>5101</v>
      </c>
      <c r="C1709" s="51" t="s">
        <v>284</v>
      </c>
      <c r="D1709" s="57">
        <v>45060.916469398144</v>
      </c>
    </row>
    <row r="1710">
      <c r="A1710" s="51" t="s">
        <v>11215</v>
      </c>
      <c r="B1710" s="51" t="s">
        <v>8911</v>
      </c>
      <c r="C1710" s="51" t="s">
        <v>517</v>
      </c>
      <c r="D1710" s="57">
        <v>45060.91736760417</v>
      </c>
    </row>
    <row r="1711">
      <c r="A1711" s="51" t="s">
        <v>11301</v>
      </c>
      <c r="B1711" s="51" t="s">
        <v>3340</v>
      </c>
      <c r="C1711" s="51" t="s">
        <v>110</v>
      </c>
      <c r="D1711" s="57">
        <v>45060.951721053236</v>
      </c>
    </row>
    <row r="1712">
      <c r="A1712" s="51" t="s">
        <v>11269</v>
      </c>
      <c r="B1712" s="51" t="s">
        <v>9699</v>
      </c>
      <c r="C1712" s="51" t="s">
        <v>25</v>
      </c>
      <c r="D1712" s="57">
        <v>45061.3858243287</v>
      </c>
    </row>
    <row r="1713">
      <c r="A1713" s="51" t="s">
        <v>11269</v>
      </c>
      <c r="B1713" s="51" t="s">
        <v>11012</v>
      </c>
      <c r="C1713" s="51" t="s">
        <v>25</v>
      </c>
      <c r="D1713" s="57">
        <v>45061.39295288194</v>
      </c>
    </row>
    <row r="1714">
      <c r="A1714" s="51" t="s">
        <v>11269</v>
      </c>
      <c r="B1714" s="51" t="s">
        <v>10924</v>
      </c>
      <c r="C1714" s="51" t="s">
        <v>25</v>
      </c>
      <c r="D1714" s="57">
        <v>45061.39613113426</v>
      </c>
    </row>
    <row r="1715">
      <c r="A1715" s="51" t="s">
        <v>11269</v>
      </c>
      <c r="B1715" s="51" t="s">
        <v>10693</v>
      </c>
      <c r="C1715" s="51" t="s">
        <v>25</v>
      </c>
      <c r="D1715" s="57">
        <v>45061.39774664352</v>
      </c>
    </row>
    <row r="1716">
      <c r="A1716" s="51" t="s">
        <v>11355</v>
      </c>
      <c r="B1716" s="51" t="s">
        <v>9505</v>
      </c>
      <c r="C1716" s="51" t="s">
        <v>110</v>
      </c>
      <c r="D1716" s="57">
        <v>45061.76082325232</v>
      </c>
    </row>
    <row r="1717">
      <c r="A1717" s="51" t="s">
        <v>11352</v>
      </c>
      <c r="B1717" s="51" t="s">
        <v>10289</v>
      </c>
      <c r="C1717" s="51" t="s">
        <v>165</v>
      </c>
      <c r="D1717" s="57">
        <v>45061.81060285879</v>
      </c>
    </row>
    <row r="1718">
      <c r="A1718" s="51" t="s">
        <v>11352</v>
      </c>
      <c r="B1718" s="51" t="s">
        <v>10159</v>
      </c>
      <c r="C1718" s="51" t="s">
        <v>165</v>
      </c>
      <c r="D1718" s="57">
        <v>45061.813443067134</v>
      </c>
    </row>
    <row r="1719">
      <c r="A1719" s="51" t="s">
        <v>11352</v>
      </c>
      <c r="B1719" s="51" t="s">
        <v>10159</v>
      </c>
      <c r="C1719" s="51" t="s">
        <v>165</v>
      </c>
      <c r="D1719" s="57">
        <v>45061.813488252315</v>
      </c>
    </row>
    <row r="1720">
      <c r="A1720" s="51" t="s">
        <v>11352</v>
      </c>
      <c r="B1720" s="51" t="s">
        <v>9066</v>
      </c>
      <c r="C1720" s="51" t="s">
        <v>165</v>
      </c>
      <c r="D1720" s="57">
        <v>45061.81854447917</v>
      </c>
    </row>
    <row r="1721">
      <c r="A1721" s="51" t="s">
        <v>11352</v>
      </c>
      <c r="B1721" s="51" t="s">
        <v>10983</v>
      </c>
      <c r="C1721" s="51" t="s">
        <v>1410</v>
      </c>
      <c r="D1721" s="57">
        <v>45061.83157008102</v>
      </c>
    </row>
    <row r="1722">
      <c r="A1722" s="51" t="s">
        <v>11339</v>
      </c>
      <c r="B1722" s="51" t="s">
        <v>10621</v>
      </c>
      <c r="C1722" s="51" t="s">
        <v>84</v>
      </c>
      <c r="D1722" s="57">
        <v>45061.992372673616</v>
      </c>
    </row>
    <row r="1723">
      <c r="A1723" s="51" t="s">
        <v>11339</v>
      </c>
      <c r="B1723" s="51" t="s">
        <v>10944</v>
      </c>
      <c r="C1723" s="51" t="s">
        <v>84</v>
      </c>
      <c r="D1723" s="57">
        <v>45061.993663981484</v>
      </c>
    </row>
    <row r="1724">
      <c r="A1724" s="51" t="s">
        <v>11327</v>
      </c>
      <c r="B1724" s="51" t="s">
        <v>10682</v>
      </c>
      <c r="C1724" s="51" t="s">
        <v>25</v>
      </c>
      <c r="D1724" s="57">
        <v>45063.89334018518</v>
      </c>
    </row>
    <row r="1725">
      <c r="A1725" s="51" t="s">
        <v>11327</v>
      </c>
      <c r="B1725" s="51" t="s">
        <v>7893</v>
      </c>
      <c r="C1725" s="51" t="s">
        <v>25</v>
      </c>
      <c r="D1725" s="57">
        <v>45063.896136180556</v>
      </c>
    </row>
    <row r="1726">
      <c r="A1726" s="51" t="s">
        <v>11339</v>
      </c>
      <c r="B1726" s="51" t="s">
        <v>2633</v>
      </c>
      <c r="C1726" s="51" t="s">
        <v>1410</v>
      </c>
      <c r="D1726" s="57">
        <v>45063.90537060185</v>
      </c>
    </row>
    <row r="1727">
      <c r="A1727" s="51" t="s">
        <v>11339</v>
      </c>
      <c r="B1727" s="51" t="s">
        <v>2633</v>
      </c>
      <c r="C1727" s="51" t="s">
        <v>1410</v>
      </c>
      <c r="D1727" s="57">
        <v>45063.908891875</v>
      </c>
    </row>
    <row r="1728">
      <c r="A1728" s="51" t="s">
        <v>11339</v>
      </c>
      <c r="B1728" s="51" t="s">
        <v>10504</v>
      </c>
      <c r="C1728" s="51" t="s">
        <v>84</v>
      </c>
      <c r="D1728" s="57">
        <v>45063.909624583335</v>
      </c>
    </row>
    <row r="1729">
      <c r="A1729" s="51" t="s">
        <v>11356</v>
      </c>
      <c r="B1729" s="51" t="s">
        <v>213</v>
      </c>
      <c r="C1729" s="51" t="s">
        <v>216</v>
      </c>
      <c r="D1729" s="57">
        <v>45063.94669848379</v>
      </c>
    </row>
    <row r="1730">
      <c r="A1730" s="51" t="s">
        <v>11283</v>
      </c>
      <c r="B1730" s="51" t="s">
        <v>10955</v>
      </c>
      <c r="C1730" s="51" t="s">
        <v>165</v>
      </c>
      <c r="D1730" s="57">
        <v>45064.83941410879</v>
      </c>
    </row>
    <row r="1731">
      <c r="A1731" s="51" t="s">
        <v>11283</v>
      </c>
      <c r="B1731" s="51" t="s">
        <v>179</v>
      </c>
      <c r="C1731" s="51" t="s">
        <v>165</v>
      </c>
      <c r="D1731" s="57">
        <v>45064.860081990744</v>
      </c>
    </row>
    <row r="1732">
      <c r="A1732" s="51" t="s">
        <v>11357</v>
      </c>
      <c r="B1732" s="51" t="s">
        <v>4705</v>
      </c>
      <c r="C1732" s="51" t="s">
        <v>84</v>
      </c>
      <c r="D1732" s="57">
        <v>45066.28507295139</v>
      </c>
    </row>
    <row r="1733">
      <c r="A1733" s="51" t="s">
        <v>11357</v>
      </c>
      <c r="B1733" s="51" t="s">
        <v>4705</v>
      </c>
      <c r="C1733" s="51" t="s">
        <v>84</v>
      </c>
      <c r="D1733" s="57">
        <v>45066.289857905096</v>
      </c>
    </row>
    <row r="1734">
      <c r="A1734" s="51" t="s">
        <v>11357</v>
      </c>
      <c r="B1734" s="51" t="s">
        <v>4705</v>
      </c>
      <c r="C1734" s="51" t="s">
        <v>84</v>
      </c>
      <c r="D1734" s="57">
        <v>45066.29749784722</v>
      </c>
    </row>
    <row r="1735">
      <c r="A1735" s="51" t="s">
        <v>11357</v>
      </c>
      <c r="B1735" s="51" t="s">
        <v>235</v>
      </c>
      <c r="C1735" s="51" t="s">
        <v>84</v>
      </c>
      <c r="D1735" s="57">
        <v>45066.308419629626</v>
      </c>
    </row>
    <row r="1736">
      <c r="A1736" s="51" t="s">
        <v>11357</v>
      </c>
      <c r="B1736" s="51" t="s">
        <v>186</v>
      </c>
      <c r="C1736" s="51" t="s">
        <v>84</v>
      </c>
      <c r="D1736" s="57">
        <v>45066.31013383102</v>
      </c>
    </row>
    <row r="1737">
      <c r="A1737" s="51" t="s">
        <v>11329</v>
      </c>
      <c r="B1737" s="51" t="s">
        <v>186</v>
      </c>
      <c r="C1737" s="51" t="s">
        <v>84</v>
      </c>
      <c r="D1737" s="57">
        <v>45066.84114974537</v>
      </c>
    </row>
    <row r="1738">
      <c r="A1738" s="51" t="s">
        <v>11276</v>
      </c>
      <c r="B1738" s="51" t="s">
        <v>9878</v>
      </c>
      <c r="C1738" s="51" t="s">
        <v>25</v>
      </c>
      <c r="D1738" s="57">
        <v>45067.01091849537</v>
      </c>
    </row>
    <row r="1739">
      <c r="A1739" s="51" t="s">
        <v>11276</v>
      </c>
      <c r="B1739" s="51" t="s">
        <v>8186</v>
      </c>
      <c r="C1739" s="51" t="s">
        <v>25</v>
      </c>
      <c r="D1739" s="57">
        <v>45067.01366810185</v>
      </c>
    </row>
    <row r="1740">
      <c r="A1740" s="51" t="s">
        <v>11328</v>
      </c>
      <c r="B1740" s="51" t="s">
        <v>11012</v>
      </c>
      <c r="C1740" s="51" t="s">
        <v>25</v>
      </c>
      <c r="D1740" s="57">
        <v>45067.041092037034</v>
      </c>
    </row>
    <row r="1741">
      <c r="A1741" s="51" t="s">
        <v>11347</v>
      </c>
      <c r="B1741" s="51" t="s">
        <v>928</v>
      </c>
      <c r="C1741" s="51" t="s">
        <v>93</v>
      </c>
      <c r="D1741" s="57">
        <v>45067.92004011574</v>
      </c>
    </row>
    <row r="1742">
      <c r="A1742" s="51" t="s">
        <v>11329</v>
      </c>
      <c r="B1742" s="51" t="s">
        <v>6274</v>
      </c>
      <c r="C1742" s="51" t="s">
        <v>84</v>
      </c>
      <c r="D1742" s="57">
        <v>45067.92662288195</v>
      </c>
    </row>
    <row r="1743">
      <c r="A1743" s="51" t="s">
        <v>11347</v>
      </c>
      <c r="B1743" s="51" t="s">
        <v>2365</v>
      </c>
      <c r="C1743" s="51" t="s">
        <v>93</v>
      </c>
      <c r="D1743" s="57">
        <v>45067.93378245371</v>
      </c>
    </row>
    <row r="1744">
      <c r="A1744" s="51" t="s">
        <v>11277</v>
      </c>
      <c r="B1744" s="51" t="s">
        <v>2081</v>
      </c>
      <c r="C1744" s="51" t="s">
        <v>165</v>
      </c>
      <c r="D1744" s="57">
        <v>45068.16130546296</v>
      </c>
    </row>
    <row r="1745">
      <c r="A1745" s="51" t="s">
        <v>11329</v>
      </c>
      <c r="B1745" s="51" t="s">
        <v>8649</v>
      </c>
      <c r="C1745" s="51" t="s">
        <v>316</v>
      </c>
      <c r="D1745" s="57">
        <v>45068.35474550926</v>
      </c>
    </row>
    <row r="1746">
      <c r="A1746" s="51" t="s">
        <v>11321</v>
      </c>
      <c r="B1746" s="51" t="s">
        <v>9829</v>
      </c>
      <c r="C1746" s="51" t="s">
        <v>216</v>
      </c>
      <c r="D1746" s="57">
        <v>45068.80493028935</v>
      </c>
    </row>
    <row r="1747">
      <c r="A1747" s="51" t="s">
        <v>11320</v>
      </c>
      <c r="B1747" s="51" t="s">
        <v>9829</v>
      </c>
      <c r="C1747" s="51" t="s">
        <v>216</v>
      </c>
      <c r="D1747" s="57">
        <v>45068.805783125004</v>
      </c>
    </row>
    <row r="1748">
      <c r="A1748" s="51" t="s">
        <v>11321</v>
      </c>
      <c r="B1748" s="51" t="s">
        <v>9595</v>
      </c>
      <c r="C1748" s="51" t="s">
        <v>216</v>
      </c>
      <c r="D1748" s="57">
        <v>45068.80760511574</v>
      </c>
    </row>
    <row r="1749">
      <c r="A1749" s="51" t="s">
        <v>11355</v>
      </c>
      <c r="B1749" s="51" t="s">
        <v>2540</v>
      </c>
      <c r="C1749" s="51" t="s">
        <v>25</v>
      </c>
      <c r="D1749" s="57">
        <v>45069.81280407407</v>
      </c>
    </row>
    <row r="1750">
      <c r="A1750" s="51" t="s">
        <v>11355</v>
      </c>
      <c r="B1750" s="51" t="s">
        <v>4596</v>
      </c>
      <c r="C1750" s="51" t="s">
        <v>93</v>
      </c>
      <c r="D1750" s="57">
        <v>45072.36550107639</v>
      </c>
    </row>
    <row r="1751">
      <c r="A1751" s="51" t="s">
        <v>11355</v>
      </c>
      <c r="B1751" s="51" t="s">
        <v>7873</v>
      </c>
      <c r="C1751" s="51" t="s">
        <v>216</v>
      </c>
      <c r="D1751" s="57">
        <v>45072.36728142361</v>
      </c>
    </row>
    <row r="1752">
      <c r="A1752" s="51" t="s">
        <v>11355</v>
      </c>
      <c r="B1752" s="51" t="s">
        <v>4916</v>
      </c>
      <c r="C1752" s="51" t="s">
        <v>25</v>
      </c>
      <c r="D1752" s="57">
        <v>45072.3713674537</v>
      </c>
    </row>
    <row r="1753">
      <c r="A1753" s="51" t="s">
        <v>11301</v>
      </c>
      <c r="B1753" s="51" t="s">
        <v>10278</v>
      </c>
      <c r="C1753" s="51" t="s">
        <v>25</v>
      </c>
      <c r="D1753" s="57">
        <v>45072.80083152778</v>
      </c>
    </row>
    <row r="1754">
      <c r="A1754" s="51" t="s">
        <v>11301</v>
      </c>
      <c r="B1754" s="51" t="s">
        <v>10278</v>
      </c>
      <c r="C1754" s="51" t="s">
        <v>25</v>
      </c>
      <c r="D1754" s="57">
        <v>45072.80084885417</v>
      </c>
    </row>
    <row r="1755">
      <c r="A1755" s="51" t="s">
        <v>11301</v>
      </c>
      <c r="B1755" s="51" t="s">
        <v>10278</v>
      </c>
      <c r="C1755" s="51" t="s">
        <v>25</v>
      </c>
      <c r="D1755" s="57">
        <v>45072.800853611116</v>
      </c>
    </row>
    <row r="1756">
      <c r="A1756" s="51" t="s">
        <v>11187</v>
      </c>
      <c r="B1756" s="51" t="s">
        <v>3752</v>
      </c>
      <c r="C1756" s="51" t="s">
        <v>165</v>
      </c>
      <c r="D1756" s="57">
        <v>45072.93130052084</v>
      </c>
    </row>
    <row r="1757">
      <c r="A1757" s="51" t="s">
        <v>11355</v>
      </c>
      <c r="B1757" s="51" t="s">
        <v>6691</v>
      </c>
      <c r="C1757" s="51" t="s">
        <v>93</v>
      </c>
      <c r="D1757" s="57">
        <v>45074.172745902775</v>
      </c>
    </row>
    <row r="1758">
      <c r="A1758" s="51" t="s">
        <v>11355</v>
      </c>
      <c r="B1758" s="51" t="s">
        <v>10553</v>
      </c>
      <c r="C1758" s="51" t="s">
        <v>1070</v>
      </c>
      <c r="D1758" s="57">
        <v>45074.17694377315</v>
      </c>
    </row>
    <row r="1759">
      <c r="A1759" s="51" t="s">
        <v>11232</v>
      </c>
      <c r="B1759" s="51" t="s">
        <v>1600</v>
      </c>
      <c r="C1759" s="51" t="s">
        <v>316</v>
      </c>
      <c r="D1759" s="57">
        <v>45074.822008055555</v>
      </c>
    </row>
    <row r="1760">
      <c r="A1760" s="51" t="s">
        <v>11232</v>
      </c>
      <c r="B1760" s="51" t="s">
        <v>1600</v>
      </c>
      <c r="C1760" s="51" t="s">
        <v>316</v>
      </c>
      <c r="D1760" s="57">
        <v>45074.82250601852</v>
      </c>
    </row>
    <row r="1761">
      <c r="A1761" s="51" t="s">
        <v>11232</v>
      </c>
      <c r="B1761" s="51" t="s">
        <v>8649</v>
      </c>
      <c r="C1761" s="51" t="s">
        <v>316</v>
      </c>
      <c r="D1761" s="57">
        <v>45074.823683738425</v>
      </c>
    </row>
    <row r="1762">
      <c r="A1762" s="51" t="s">
        <v>11232</v>
      </c>
      <c r="B1762" s="51" t="s">
        <v>5770</v>
      </c>
      <c r="C1762" s="51" t="s">
        <v>25</v>
      </c>
      <c r="D1762" s="57">
        <v>45074.82938246528</v>
      </c>
    </row>
    <row r="1763">
      <c r="A1763" s="51" t="s">
        <v>11232</v>
      </c>
      <c r="B1763" s="51" t="s">
        <v>5770</v>
      </c>
      <c r="C1763" s="51" t="s">
        <v>25</v>
      </c>
      <c r="D1763" s="57">
        <v>45074.83049202546</v>
      </c>
    </row>
    <row r="1764">
      <c r="A1764" s="51" t="s">
        <v>11283</v>
      </c>
      <c r="B1764" s="51" t="s">
        <v>4022</v>
      </c>
      <c r="C1764" s="51" t="s">
        <v>292</v>
      </c>
      <c r="D1764" s="57">
        <v>45074.94572541666</v>
      </c>
    </row>
    <row r="1765">
      <c r="A1765" s="51" t="s">
        <v>11283</v>
      </c>
      <c r="B1765" s="51" t="s">
        <v>10874</v>
      </c>
      <c r="C1765" s="51" t="s">
        <v>110</v>
      </c>
      <c r="D1765" s="57">
        <v>45074.951710810186</v>
      </c>
    </row>
    <row r="1766">
      <c r="A1766" s="51" t="s">
        <v>11269</v>
      </c>
      <c r="B1766" s="51" t="s">
        <v>10934</v>
      </c>
      <c r="C1766" s="51" t="s">
        <v>25</v>
      </c>
      <c r="D1766" s="57">
        <v>45075.20424987268</v>
      </c>
    </row>
    <row r="1767">
      <c r="A1767" s="51" t="s">
        <v>11269</v>
      </c>
      <c r="B1767" s="51" t="s">
        <v>9790</v>
      </c>
      <c r="C1767" s="51" t="s">
        <v>25</v>
      </c>
      <c r="D1767" s="57">
        <v>45075.20552204861</v>
      </c>
    </row>
    <row r="1768">
      <c r="A1768" s="51" t="s">
        <v>11355</v>
      </c>
      <c r="B1768" s="51" t="s">
        <v>8510</v>
      </c>
      <c r="C1768" s="51" t="s">
        <v>1410</v>
      </c>
      <c r="D1768" s="57">
        <v>45075.906756006945</v>
      </c>
    </row>
    <row r="1769">
      <c r="A1769" s="51" t="s">
        <v>11358</v>
      </c>
      <c r="B1769" s="51" t="s">
        <v>10486</v>
      </c>
      <c r="C1769" s="51" t="s">
        <v>84</v>
      </c>
      <c r="D1769" s="57">
        <v>45078.78463862269</v>
      </c>
    </row>
    <row r="1770">
      <c r="A1770" s="51" t="s">
        <v>11358</v>
      </c>
      <c r="B1770" s="51" t="s">
        <v>10504</v>
      </c>
      <c r="C1770" s="51" t="s">
        <v>84</v>
      </c>
      <c r="D1770" s="57">
        <v>45078.79313828704</v>
      </c>
    </row>
    <row r="1771">
      <c r="A1771" s="51" t="s">
        <v>11232</v>
      </c>
      <c r="B1771" s="51" t="s">
        <v>9308</v>
      </c>
      <c r="C1771" s="51" t="s">
        <v>25</v>
      </c>
      <c r="D1771" s="57">
        <v>45079.23642883102</v>
      </c>
    </row>
    <row r="1772">
      <c r="A1772" s="51" t="s">
        <v>11232</v>
      </c>
      <c r="B1772" s="51" t="s">
        <v>9308</v>
      </c>
      <c r="C1772" s="51" t="s">
        <v>25</v>
      </c>
      <c r="D1772" s="57">
        <v>45079.23748679398</v>
      </c>
    </row>
    <row r="1773">
      <c r="A1773" s="51" t="s">
        <v>11232</v>
      </c>
      <c r="B1773" s="51" t="s">
        <v>8031</v>
      </c>
      <c r="C1773" s="51" t="s">
        <v>25</v>
      </c>
      <c r="D1773" s="57">
        <v>45079.23799525463</v>
      </c>
    </row>
    <row r="1774">
      <c r="A1774" s="51" t="s">
        <v>11355</v>
      </c>
      <c r="B1774" s="51" t="s">
        <v>9986</v>
      </c>
      <c r="C1774" s="51" t="s">
        <v>93</v>
      </c>
      <c r="D1774" s="57">
        <v>45079.8889130787</v>
      </c>
    </row>
    <row r="1775">
      <c r="A1775" s="51" t="s">
        <v>11355</v>
      </c>
      <c r="B1775" s="51" t="s">
        <v>4503</v>
      </c>
      <c r="C1775" s="51" t="s">
        <v>93</v>
      </c>
      <c r="D1775" s="57">
        <v>45079.891141493055</v>
      </c>
    </row>
    <row r="1776">
      <c r="A1776" s="51" t="s">
        <v>11330</v>
      </c>
      <c r="B1776" s="51" t="s">
        <v>2212</v>
      </c>
      <c r="C1776" s="51" t="s">
        <v>110</v>
      </c>
      <c r="D1776" s="57">
        <v>45080.33210783565</v>
      </c>
    </row>
    <row r="1777">
      <c r="A1777" s="51" t="s">
        <v>11330</v>
      </c>
      <c r="B1777" s="51" t="s">
        <v>3006</v>
      </c>
      <c r="C1777" s="51" t="s">
        <v>84</v>
      </c>
      <c r="D1777" s="57">
        <v>45080.33442465278</v>
      </c>
    </row>
    <row r="1778">
      <c r="A1778" s="51" t="s">
        <v>11330</v>
      </c>
      <c r="B1778" s="51" t="s">
        <v>4126</v>
      </c>
      <c r="C1778" s="51" t="s">
        <v>84</v>
      </c>
      <c r="D1778" s="57">
        <v>45080.33812752315</v>
      </c>
    </row>
    <row r="1779">
      <c r="A1779" s="51" t="s">
        <v>11330</v>
      </c>
      <c r="B1779" s="51" t="s">
        <v>8119</v>
      </c>
      <c r="C1779" s="51" t="s">
        <v>110</v>
      </c>
      <c r="D1779" s="57">
        <v>45080.34477109954</v>
      </c>
    </row>
    <row r="1780">
      <c r="A1780" s="51" t="s">
        <v>11330</v>
      </c>
      <c r="B1780" s="51" t="s">
        <v>8996</v>
      </c>
      <c r="C1780" s="51" t="s">
        <v>84</v>
      </c>
      <c r="D1780" s="57">
        <v>45080.34806895834</v>
      </c>
    </row>
    <row r="1781">
      <c r="A1781" s="51" t="s">
        <v>11264</v>
      </c>
      <c r="B1781" s="51" t="s">
        <v>10005</v>
      </c>
      <c r="C1781" s="51" t="s">
        <v>165</v>
      </c>
      <c r="D1781" s="57">
        <v>45081.213462245374</v>
      </c>
    </row>
    <row r="1782">
      <c r="A1782" s="51" t="s">
        <v>11264</v>
      </c>
      <c r="B1782" s="51" t="s">
        <v>10005</v>
      </c>
      <c r="C1782" s="51" t="s">
        <v>165</v>
      </c>
      <c r="D1782" s="57">
        <v>45081.21612831019</v>
      </c>
    </row>
    <row r="1783">
      <c r="A1783" s="51" t="s">
        <v>11326</v>
      </c>
      <c r="B1783" s="51" t="s">
        <v>10693</v>
      </c>
      <c r="C1783" s="51" t="s">
        <v>25</v>
      </c>
      <c r="D1783" s="57">
        <v>45082.33665546296</v>
      </c>
    </row>
    <row r="1784">
      <c r="A1784" s="51" t="s">
        <v>11359</v>
      </c>
      <c r="B1784" s="51" t="s">
        <v>578</v>
      </c>
      <c r="C1784" s="51" t="s">
        <v>157</v>
      </c>
      <c r="D1784" s="57">
        <v>45083.32138026621</v>
      </c>
    </row>
    <row r="1785">
      <c r="A1785" s="51" t="s">
        <v>11358</v>
      </c>
      <c r="B1785" s="51" t="s">
        <v>10793</v>
      </c>
      <c r="C1785" s="51" t="s">
        <v>84</v>
      </c>
      <c r="D1785" s="57">
        <v>45085.766274525464</v>
      </c>
    </row>
    <row r="1786">
      <c r="A1786" s="51" t="s">
        <v>11215</v>
      </c>
      <c r="B1786" s="51" t="s">
        <v>235</v>
      </c>
      <c r="C1786" s="51" t="s">
        <v>84</v>
      </c>
      <c r="D1786" s="57">
        <v>45086.41656524305</v>
      </c>
    </row>
    <row r="1787">
      <c r="A1787" s="51" t="s">
        <v>11330</v>
      </c>
      <c r="B1787" s="51" t="s">
        <v>10874</v>
      </c>
      <c r="C1787" s="51" t="s">
        <v>110</v>
      </c>
      <c r="D1787" s="57">
        <v>45087.440144004635</v>
      </c>
    </row>
    <row r="1788">
      <c r="A1788" s="51" t="s">
        <v>11291</v>
      </c>
      <c r="B1788" s="51" t="s">
        <v>41</v>
      </c>
      <c r="C1788" s="51" t="s">
        <v>25</v>
      </c>
      <c r="D1788" s="57">
        <v>45087.475342060185</v>
      </c>
    </row>
    <row r="1789">
      <c r="A1789" s="51" t="s">
        <v>11291</v>
      </c>
      <c r="B1789" s="51" t="s">
        <v>57</v>
      </c>
      <c r="C1789" s="51" t="s">
        <v>25</v>
      </c>
      <c r="D1789" s="57">
        <v>45087.47719091435</v>
      </c>
    </row>
    <row r="1790">
      <c r="A1790" s="51" t="s">
        <v>11324</v>
      </c>
      <c r="B1790" s="51" t="s">
        <v>107</v>
      </c>
      <c r="C1790" s="51" t="s">
        <v>110</v>
      </c>
      <c r="D1790" s="57">
        <v>45088.26516688657</v>
      </c>
    </row>
    <row r="1791">
      <c r="A1791" s="51" t="s">
        <v>11324</v>
      </c>
      <c r="B1791" s="51" t="s">
        <v>207</v>
      </c>
      <c r="C1791" s="51" t="s">
        <v>110</v>
      </c>
      <c r="D1791" s="57">
        <v>45088.26567815972</v>
      </c>
    </row>
    <row r="1792">
      <c r="A1792" s="51" t="s">
        <v>11324</v>
      </c>
      <c r="B1792" s="51" t="s">
        <v>4847</v>
      </c>
      <c r="C1792" s="51" t="s">
        <v>110</v>
      </c>
      <c r="D1792" s="57">
        <v>45088.26646104167</v>
      </c>
    </row>
    <row r="1793">
      <c r="A1793" s="51" t="s">
        <v>11324</v>
      </c>
      <c r="B1793" s="51" t="s">
        <v>5433</v>
      </c>
      <c r="C1793" s="51" t="s">
        <v>110</v>
      </c>
      <c r="D1793" s="57">
        <v>45088.26784960648</v>
      </c>
    </row>
    <row r="1794">
      <c r="A1794" s="51" t="s">
        <v>11324</v>
      </c>
      <c r="B1794" s="51" t="s">
        <v>4467</v>
      </c>
      <c r="C1794" s="51" t="s">
        <v>52</v>
      </c>
      <c r="D1794" s="57">
        <v>45088.269216342596</v>
      </c>
    </row>
    <row r="1795">
      <c r="A1795" s="51" t="s">
        <v>11324</v>
      </c>
      <c r="B1795" s="51" t="s">
        <v>4048</v>
      </c>
      <c r="C1795" s="51" t="s">
        <v>52</v>
      </c>
      <c r="D1795" s="57">
        <v>45088.269694525465</v>
      </c>
    </row>
    <row r="1796">
      <c r="A1796" s="51" t="s">
        <v>11324</v>
      </c>
      <c r="B1796" s="51" t="s">
        <v>2414</v>
      </c>
      <c r="C1796" s="51" t="s">
        <v>52</v>
      </c>
      <c r="D1796" s="57">
        <v>45088.27028428241</v>
      </c>
    </row>
    <row r="1797">
      <c r="A1797" s="51" t="s">
        <v>11269</v>
      </c>
      <c r="B1797" s="51" t="s">
        <v>10904</v>
      </c>
      <c r="C1797" s="51" t="s">
        <v>25</v>
      </c>
      <c r="D1797" s="57">
        <v>45089.34063362268</v>
      </c>
    </row>
    <row r="1798">
      <c r="A1798" s="51" t="s">
        <v>11269</v>
      </c>
      <c r="B1798" s="51" t="s">
        <v>10894</v>
      </c>
      <c r="C1798" s="51" t="s">
        <v>25</v>
      </c>
      <c r="D1798" s="57">
        <v>45089.3440066551</v>
      </c>
    </row>
    <row r="1799">
      <c r="A1799" s="51" t="s">
        <v>11269</v>
      </c>
      <c r="B1799" s="51" t="s">
        <v>10863</v>
      </c>
      <c r="C1799" s="51" t="s">
        <v>25</v>
      </c>
      <c r="D1799" s="57">
        <v>45089.346559074074</v>
      </c>
    </row>
    <row r="1800">
      <c r="A1800" s="51" t="s">
        <v>11269</v>
      </c>
      <c r="B1800" s="51" t="s">
        <v>10854</v>
      </c>
      <c r="C1800" s="51" t="s">
        <v>25</v>
      </c>
      <c r="D1800" s="57">
        <v>45089.34772049768</v>
      </c>
    </row>
    <row r="1801">
      <c r="A1801" s="51" t="s">
        <v>11269</v>
      </c>
      <c r="B1801" s="51" t="s">
        <v>10844</v>
      </c>
      <c r="C1801" s="51" t="s">
        <v>25</v>
      </c>
      <c r="D1801" s="57">
        <v>45089.35170759259</v>
      </c>
    </row>
    <row r="1802">
      <c r="A1802" s="51" t="s">
        <v>11269</v>
      </c>
      <c r="B1802" s="51" t="s">
        <v>10803</v>
      </c>
      <c r="C1802" s="51" t="s">
        <v>25</v>
      </c>
      <c r="D1802" s="57">
        <v>45089.35681670139</v>
      </c>
    </row>
    <row r="1803">
      <c r="A1803" s="51" t="s">
        <v>11269</v>
      </c>
      <c r="B1803" s="51" t="s">
        <v>10755</v>
      </c>
      <c r="C1803" s="51" t="s">
        <v>25</v>
      </c>
      <c r="D1803" s="57">
        <v>45089.35833099537</v>
      </c>
    </row>
    <row r="1804">
      <c r="A1804" s="51" t="s">
        <v>11360</v>
      </c>
      <c r="B1804" s="51" t="s">
        <v>10611</v>
      </c>
      <c r="C1804" s="51" t="s">
        <v>25</v>
      </c>
      <c r="D1804" s="57">
        <v>45097.04977049769</v>
      </c>
    </row>
    <row r="1805">
      <c r="A1805" s="51" t="s">
        <v>11310</v>
      </c>
      <c r="B1805" s="51" t="s">
        <v>865</v>
      </c>
      <c r="C1805" s="51" t="s">
        <v>275</v>
      </c>
      <c r="D1805" s="57">
        <v>45099.31488420139</v>
      </c>
    </row>
    <row r="1806">
      <c r="A1806" s="51" t="s">
        <v>11310</v>
      </c>
      <c r="B1806" s="51" t="s">
        <v>10783</v>
      </c>
      <c r="C1806" s="51" t="s">
        <v>68</v>
      </c>
      <c r="D1806" s="57">
        <v>45099.31880060185</v>
      </c>
    </row>
    <row r="1807">
      <c r="A1807" s="51" t="s">
        <v>11300</v>
      </c>
      <c r="B1807" s="51" t="s">
        <v>5365</v>
      </c>
      <c r="C1807" s="51" t="s">
        <v>386</v>
      </c>
      <c r="D1807" s="57">
        <v>45100.90266443287</v>
      </c>
    </row>
    <row r="1808">
      <c r="A1808" s="51" t="s">
        <v>11360</v>
      </c>
      <c r="B1808" s="51" t="s">
        <v>10611</v>
      </c>
      <c r="C1808" s="51" t="s">
        <v>25</v>
      </c>
      <c r="D1808" s="57">
        <v>45103.781857662034</v>
      </c>
    </row>
    <row r="1809">
      <c r="A1809" s="51" t="s">
        <v>11360</v>
      </c>
      <c r="B1809" s="51" t="s">
        <v>423</v>
      </c>
      <c r="C1809" s="51" t="s">
        <v>275</v>
      </c>
      <c r="D1809" s="57">
        <v>45103.80243473379</v>
      </c>
    </row>
    <row r="1810">
      <c r="A1810" s="51" t="s">
        <v>11360</v>
      </c>
      <c r="B1810" s="51" t="s">
        <v>2540</v>
      </c>
      <c r="C1810" s="51" t="s">
        <v>25</v>
      </c>
      <c r="D1810" s="57">
        <v>45103.8328434375</v>
      </c>
    </row>
    <row r="1811">
      <c r="A1811" s="51" t="s">
        <v>11360</v>
      </c>
      <c r="B1811" s="51" t="s">
        <v>10964</v>
      </c>
      <c r="C1811" s="51" t="s">
        <v>157</v>
      </c>
      <c r="D1811" s="57">
        <v>45103.83853113426</v>
      </c>
    </row>
    <row r="1812">
      <c r="A1812" s="51" t="s">
        <v>11360</v>
      </c>
      <c r="B1812" s="51" t="s">
        <v>10914</v>
      </c>
      <c r="C1812" s="51" t="s">
        <v>25</v>
      </c>
      <c r="D1812" s="57">
        <v>45103.84115385417</v>
      </c>
    </row>
    <row r="1813">
      <c r="A1813" s="51" t="s">
        <v>11360</v>
      </c>
      <c r="B1813" s="51" t="s">
        <v>10934</v>
      </c>
      <c r="C1813" s="51" t="s">
        <v>25</v>
      </c>
      <c r="D1813" s="57">
        <v>45104.23455842593</v>
      </c>
    </row>
    <row r="1814">
      <c r="A1814" s="51" t="s">
        <v>11360</v>
      </c>
      <c r="B1814" s="51" t="s">
        <v>10924</v>
      </c>
      <c r="C1814" s="51" t="s">
        <v>25</v>
      </c>
      <c r="D1814" s="57">
        <v>45104.23609302084</v>
      </c>
    </row>
    <row r="1815">
      <c r="A1815" s="51" t="s">
        <v>11360</v>
      </c>
      <c r="B1815" s="51" t="s">
        <v>10863</v>
      </c>
      <c r="C1815" s="51" t="s">
        <v>25</v>
      </c>
      <c r="D1815" s="57">
        <v>45104.23763966435</v>
      </c>
    </row>
    <row r="1816">
      <c r="A1816" s="51" t="s">
        <v>11360</v>
      </c>
      <c r="B1816" s="51" t="s">
        <v>10863</v>
      </c>
      <c r="C1816" s="51" t="s">
        <v>25</v>
      </c>
      <c r="D1816" s="57">
        <v>45104.25331399306</v>
      </c>
    </row>
    <row r="1817">
      <c r="A1817" s="51" t="s">
        <v>11360</v>
      </c>
      <c r="B1817" s="51" t="s">
        <v>10863</v>
      </c>
      <c r="C1817" s="51" t="s">
        <v>25</v>
      </c>
      <c r="D1817" s="57">
        <v>45104.254648483795</v>
      </c>
    </row>
    <row r="1818">
      <c r="A1818" s="51" t="s">
        <v>11360</v>
      </c>
      <c r="B1818" s="51" t="s">
        <v>10466</v>
      </c>
      <c r="C1818" s="51" t="s">
        <v>25</v>
      </c>
      <c r="D1818" s="57">
        <v>45104.25466665509</v>
      </c>
    </row>
    <row r="1819">
      <c r="A1819" s="51" t="s">
        <v>11222</v>
      </c>
      <c r="B1819" s="51" t="s">
        <v>5770</v>
      </c>
      <c r="C1819" s="51" t="s">
        <v>25</v>
      </c>
      <c r="D1819" s="57">
        <v>45110.218319074076</v>
      </c>
    </row>
    <row r="1820">
      <c r="A1820" s="51" t="s">
        <v>11222</v>
      </c>
      <c r="B1820" s="51"/>
      <c r="C1820" s="51"/>
      <c r="D1820" s="57">
        <v>45110.219481319444</v>
      </c>
    </row>
    <row r="1821">
      <c r="A1821" s="51" t="s">
        <v>11222</v>
      </c>
      <c r="B1821" s="51" t="s">
        <v>762</v>
      </c>
      <c r="C1821" s="51" t="s">
        <v>110</v>
      </c>
      <c r="D1821" s="57">
        <v>45110.21963797454</v>
      </c>
    </row>
    <row r="1822">
      <c r="A1822" s="51" t="s">
        <v>11222</v>
      </c>
      <c r="B1822" s="51" t="s">
        <v>3169</v>
      </c>
      <c r="C1822" s="51" t="s">
        <v>517</v>
      </c>
      <c r="D1822" s="57">
        <v>45110.220732118054</v>
      </c>
    </row>
    <row r="1823">
      <c r="A1823" s="51" t="s">
        <v>11346</v>
      </c>
      <c r="B1823" s="51" t="s">
        <v>610</v>
      </c>
      <c r="C1823" s="51" t="s">
        <v>165</v>
      </c>
      <c r="D1823" s="57">
        <v>45113.21366368055</v>
      </c>
    </row>
    <row r="1824">
      <c r="A1824" s="51" t="s">
        <v>11346</v>
      </c>
      <c r="B1824" s="51" t="s">
        <v>610</v>
      </c>
      <c r="C1824" s="51" t="s">
        <v>165</v>
      </c>
      <c r="D1824" s="57">
        <v>45113.21377451389</v>
      </c>
    </row>
    <row r="1825">
      <c r="A1825" s="51" t="s">
        <v>11215</v>
      </c>
      <c r="B1825" s="51" t="s">
        <v>3304</v>
      </c>
      <c r="C1825" s="51" t="s">
        <v>141</v>
      </c>
      <c r="D1825" s="57">
        <v>45113.293985439814</v>
      </c>
    </row>
    <row r="1826">
      <c r="A1826" s="51" t="s">
        <v>11313</v>
      </c>
      <c r="B1826" s="51" t="s">
        <v>10023</v>
      </c>
      <c r="C1826" s="51" t="s">
        <v>216</v>
      </c>
      <c r="D1826" s="57">
        <v>45113.84169877315</v>
      </c>
    </row>
    <row r="1827">
      <c r="A1827" s="51" t="s">
        <v>11361</v>
      </c>
      <c r="B1827" s="51" t="s">
        <v>10023</v>
      </c>
      <c r="C1827" s="51" t="s">
        <v>216</v>
      </c>
      <c r="D1827" s="57">
        <v>45113.85907706019</v>
      </c>
    </row>
    <row r="1828">
      <c r="A1828" s="51" t="s">
        <v>11361</v>
      </c>
      <c r="B1828" s="51" t="s">
        <v>10023</v>
      </c>
      <c r="C1828" s="51" t="s">
        <v>216</v>
      </c>
      <c r="D1828" s="57">
        <v>45113.85908671297</v>
      </c>
    </row>
    <row r="1829">
      <c r="A1829" s="51" t="s">
        <v>11215</v>
      </c>
      <c r="B1829" s="51" t="s">
        <v>10673</v>
      </c>
      <c r="C1829" s="51" t="s">
        <v>25</v>
      </c>
      <c r="D1829" s="57">
        <v>45114.10460127315</v>
      </c>
    </row>
    <row r="1830">
      <c r="A1830" s="51" t="s">
        <v>11215</v>
      </c>
      <c r="B1830" s="51" t="s">
        <v>9967</v>
      </c>
      <c r="C1830" s="51" t="s">
        <v>25</v>
      </c>
      <c r="D1830" s="57">
        <v>45114.105725127316</v>
      </c>
    </row>
    <row r="1831">
      <c r="A1831" s="51" t="s">
        <v>11215</v>
      </c>
      <c r="B1831" s="51" t="s">
        <v>10673</v>
      </c>
      <c r="C1831" s="51" t="s">
        <v>25</v>
      </c>
      <c r="D1831" s="57">
        <v>45114.14131049768</v>
      </c>
    </row>
    <row r="1832">
      <c r="A1832" s="51" t="s">
        <v>11232</v>
      </c>
      <c r="B1832" s="51" t="s">
        <v>8649</v>
      </c>
      <c r="C1832" s="51" t="s">
        <v>316</v>
      </c>
      <c r="D1832" s="57">
        <v>45115.02286046297</v>
      </c>
    </row>
    <row r="1833">
      <c r="A1833" s="51" t="s">
        <v>11232</v>
      </c>
      <c r="B1833" s="51" t="s">
        <v>9780</v>
      </c>
      <c r="C1833" s="51" t="s">
        <v>316</v>
      </c>
      <c r="D1833" s="57">
        <v>45115.02643162037</v>
      </c>
    </row>
    <row r="1834">
      <c r="A1834" s="51" t="s">
        <v>11232</v>
      </c>
      <c r="B1834" s="51" t="s">
        <v>990</v>
      </c>
      <c r="C1834" s="51" t="s">
        <v>165</v>
      </c>
      <c r="D1834" s="57">
        <v>45115.0296345949</v>
      </c>
    </row>
    <row r="1835">
      <c r="A1835" s="51" t="s">
        <v>11352</v>
      </c>
      <c r="B1835" s="51" t="s">
        <v>9545</v>
      </c>
      <c r="C1835" s="51" t="s">
        <v>165</v>
      </c>
      <c r="D1835" s="57">
        <v>45116.163305381946</v>
      </c>
    </row>
    <row r="1836">
      <c r="A1836" s="51" t="s">
        <v>11352</v>
      </c>
      <c r="B1836" s="51" t="s">
        <v>9545</v>
      </c>
      <c r="C1836" s="51" t="s">
        <v>165</v>
      </c>
      <c r="D1836" s="57">
        <v>45116.16331791667</v>
      </c>
    </row>
    <row r="1837">
      <c r="A1837" s="51" t="s">
        <v>11281</v>
      </c>
      <c r="B1837" s="51" t="s">
        <v>3986</v>
      </c>
      <c r="C1837" s="51" t="s">
        <v>25</v>
      </c>
      <c r="D1837" s="57">
        <v>45117.974430532406</v>
      </c>
    </row>
    <row r="1838">
      <c r="A1838" s="51" t="s">
        <v>11281</v>
      </c>
      <c r="B1838" s="51" t="s">
        <v>7703</v>
      </c>
      <c r="C1838" s="51" t="s">
        <v>25</v>
      </c>
      <c r="D1838" s="57">
        <v>45118.00523692129</v>
      </c>
    </row>
    <row r="1839">
      <c r="A1839" s="51" t="s">
        <v>11281</v>
      </c>
      <c r="B1839" s="51" t="s">
        <v>5151</v>
      </c>
      <c r="C1839" s="51" t="s">
        <v>25</v>
      </c>
      <c r="D1839" s="57">
        <v>45118.16858817129</v>
      </c>
    </row>
    <row r="1840">
      <c r="A1840" s="51" t="s">
        <v>11362</v>
      </c>
      <c r="B1840" s="51" t="s">
        <v>9298</v>
      </c>
      <c r="C1840" s="51" t="s">
        <v>557</v>
      </c>
      <c r="D1840" s="57">
        <v>45121.031298622685</v>
      </c>
    </row>
    <row r="1841">
      <c r="A1841" s="51" t="s">
        <v>11238</v>
      </c>
      <c r="B1841" s="51" t="s">
        <v>8520</v>
      </c>
      <c r="C1841" s="51" t="s">
        <v>316</v>
      </c>
      <c r="D1841" s="57">
        <v>45122.239195243055</v>
      </c>
    </row>
    <row r="1842">
      <c r="A1842" s="51" t="s">
        <v>11281</v>
      </c>
      <c r="B1842" s="51" t="s">
        <v>8726</v>
      </c>
      <c r="C1842" s="51" t="s">
        <v>25</v>
      </c>
      <c r="D1842" s="57">
        <v>45122.30197252315</v>
      </c>
    </row>
    <row r="1843">
      <c r="A1843" s="51" t="s">
        <v>11281</v>
      </c>
      <c r="B1843" s="51" t="s">
        <v>8726</v>
      </c>
      <c r="C1843" s="51" t="s">
        <v>25</v>
      </c>
      <c r="D1843" s="57">
        <v>45122.31127736111</v>
      </c>
    </row>
    <row r="1844">
      <c r="A1844" s="51" t="s">
        <v>11281</v>
      </c>
      <c r="B1844" s="51" t="s">
        <v>8726</v>
      </c>
      <c r="C1844" s="51" t="s">
        <v>25</v>
      </c>
      <c r="D1844" s="57">
        <v>45122.31128401621</v>
      </c>
    </row>
    <row r="1845">
      <c r="A1845" s="51" t="s">
        <v>11281</v>
      </c>
      <c r="B1845" s="51" t="s">
        <v>8726</v>
      </c>
      <c r="C1845" s="51" t="s">
        <v>25</v>
      </c>
      <c r="D1845" s="57">
        <v>45122.31128940972</v>
      </c>
    </row>
    <row r="1846">
      <c r="A1846" s="51" t="s">
        <v>11281</v>
      </c>
      <c r="B1846" s="51" t="s">
        <v>8726</v>
      </c>
      <c r="C1846" s="51" t="s">
        <v>25</v>
      </c>
      <c r="D1846" s="57">
        <v>45122.31224326389</v>
      </c>
    </row>
    <row r="1847">
      <c r="A1847" s="51" t="s">
        <v>11281</v>
      </c>
      <c r="B1847" s="51" t="s">
        <v>8726</v>
      </c>
      <c r="C1847" s="51" t="s">
        <v>25</v>
      </c>
      <c r="D1847" s="57">
        <v>45122.31323987269</v>
      </c>
    </row>
    <row r="1848">
      <c r="A1848" s="51" t="s">
        <v>11281</v>
      </c>
      <c r="B1848" s="51" t="s">
        <v>3468</v>
      </c>
      <c r="C1848" s="51" t="s">
        <v>25</v>
      </c>
      <c r="D1848" s="57">
        <v>45124.18482892361</v>
      </c>
    </row>
    <row r="1849">
      <c r="A1849" s="51" t="s">
        <v>11281</v>
      </c>
      <c r="B1849" s="51" t="s">
        <v>3468</v>
      </c>
      <c r="C1849" s="51" t="s">
        <v>25</v>
      </c>
      <c r="D1849" s="57">
        <v>45125.084142719905</v>
      </c>
    </row>
    <row r="1850">
      <c r="A1850" s="51" t="s">
        <v>11363</v>
      </c>
      <c r="B1850" s="51" t="s">
        <v>81</v>
      </c>
      <c r="C1850" s="51" t="s">
        <v>84</v>
      </c>
      <c r="D1850" s="57">
        <v>45125.36161997685</v>
      </c>
    </row>
    <row r="1851">
      <c r="A1851" s="51" t="s">
        <v>11310</v>
      </c>
      <c r="B1851" s="51" t="s">
        <v>10783</v>
      </c>
      <c r="C1851" s="51" t="s">
        <v>68</v>
      </c>
      <c r="D1851" s="57">
        <v>45126.28808646991</v>
      </c>
    </row>
    <row r="1852">
      <c r="A1852" s="51" t="s">
        <v>11310</v>
      </c>
      <c r="B1852" s="51" t="s">
        <v>10783</v>
      </c>
      <c r="C1852" s="51" t="s">
        <v>68</v>
      </c>
      <c r="D1852" s="57">
        <v>45126.28821387731</v>
      </c>
    </row>
    <row r="1853">
      <c r="A1853" s="51" t="s">
        <v>11310</v>
      </c>
      <c r="B1853" s="51" t="s">
        <v>4829</v>
      </c>
      <c r="C1853" s="51" t="s">
        <v>157</v>
      </c>
      <c r="D1853" s="57">
        <v>45126.29257680556</v>
      </c>
    </row>
    <row r="1854">
      <c r="A1854" s="51" t="s">
        <v>11215</v>
      </c>
      <c r="B1854" s="51" t="s">
        <v>7873</v>
      </c>
      <c r="C1854" s="51" t="s">
        <v>216</v>
      </c>
      <c r="D1854" s="57">
        <v>45126.34039324074</v>
      </c>
    </row>
    <row r="1855">
      <c r="A1855" s="51" t="s">
        <v>11281</v>
      </c>
      <c r="B1855" s="51" t="s">
        <v>3220</v>
      </c>
      <c r="C1855" s="51" t="s">
        <v>25</v>
      </c>
      <c r="D1855" s="57">
        <v>45132.17231231481</v>
      </c>
    </row>
    <row r="1856">
      <c r="A1856" s="51" t="s">
        <v>11273</v>
      </c>
      <c r="B1856" s="51" t="s">
        <v>10611</v>
      </c>
      <c r="C1856" s="51" t="s">
        <v>25</v>
      </c>
      <c r="D1856" s="57">
        <v>45132.208105682876</v>
      </c>
    </row>
    <row r="1857">
      <c r="A1857" s="51" t="s">
        <v>11273</v>
      </c>
      <c r="B1857" s="51" t="s">
        <v>8844</v>
      </c>
      <c r="C1857" s="51" t="s">
        <v>25</v>
      </c>
      <c r="D1857" s="57">
        <v>45132.21880289352</v>
      </c>
    </row>
    <row r="1858">
      <c r="A1858" s="51" t="s">
        <v>11273</v>
      </c>
      <c r="B1858" s="51" t="s">
        <v>5947</v>
      </c>
      <c r="C1858" s="51" t="s">
        <v>25</v>
      </c>
      <c r="D1858" s="57">
        <v>45132.21944444445</v>
      </c>
    </row>
    <row r="1859">
      <c r="A1859" s="51" t="s">
        <v>11281</v>
      </c>
      <c r="B1859" s="51" t="s">
        <v>11012</v>
      </c>
      <c r="C1859" s="51" t="s">
        <v>25</v>
      </c>
      <c r="D1859" s="57">
        <v>45133.13350751158</v>
      </c>
    </row>
    <row r="1860">
      <c r="A1860" s="51" t="s">
        <v>11281</v>
      </c>
      <c r="B1860" s="51" t="s">
        <v>10863</v>
      </c>
      <c r="C1860" s="51" t="s">
        <v>25</v>
      </c>
      <c r="D1860" s="57">
        <v>45133.23074849537</v>
      </c>
    </row>
    <row r="1861">
      <c r="A1861" s="51" t="s">
        <v>11358</v>
      </c>
      <c r="B1861" s="51" t="s">
        <v>10823</v>
      </c>
      <c r="C1861" s="51" t="s">
        <v>84</v>
      </c>
      <c r="D1861" s="57">
        <v>45133.97220771991</v>
      </c>
    </row>
    <row r="1862">
      <c r="A1862" s="51" t="s">
        <v>11358</v>
      </c>
      <c r="B1862" s="51" t="s">
        <v>10602</v>
      </c>
      <c r="C1862" s="51" t="s">
        <v>84</v>
      </c>
      <c r="D1862" s="57">
        <v>45133.979863217595</v>
      </c>
    </row>
    <row r="1863">
      <c r="A1863" s="51" t="s">
        <v>11364</v>
      </c>
      <c r="B1863" s="51" t="s">
        <v>3151</v>
      </c>
      <c r="C1863" s="51" t="s">
        <v>84</v>
      </c>
      <c r="D1863" s="57">
        <v>45137.90667548611</v>
      </c>
    </row>
    <row r="1864">
      <c r="A1864" s="51" t="s">
        <v>11365</v>
      </c>
      <c r="B1864" s="51" t="s">
        <v>7873</v>
      </c>
      <c r="C1864" s="51" t="s">
        <v>216</v>
      </c>
      <c r="D1864" s="57">
        <v>45137.912475219906</v>
      </c>
    </row>
    <row r="1865">
      <c r="A1865" s="51" t="s">
        <v>11364</v>
      </c>
      <c r="B1865" s="51" t="s">
        <v>3409</v>
      </c>
      <c r="C1865" s="51" t="s">
        <v>84</v>
      </c>
      <c r="D1865" s="57">
        <v>45137.912938865746</v>
      </c>
    </row>
    <row r="1866">
      <c r="A1866" s="51" t="s">
        <v>11365</v>
      </c>
      <c r="B1866" s="51" t="s">
        <v>7931</v>
      </c>
      <c r="C1866" s="51" t="s">
        <v>141</v>
      </c>
      <c r="D1866" s="57">
        <v>45137.91355023148</v>
      </c>
    </row>
    <row r="1867">
      <c r="A1867" s="51" t="s">
        <v>11365</v>
      </c>
      <c r="B1867" s="51" t="s">
        <v>3276</v>
      </c>
      <c r="C1867" s="51" t="s">
        <v>25</v>
      </c>
      <c r="D1867" s="57">
        <v>45137.91568119213</v>
      </c>
    </row>
    <row r="1868">
      <c r="A1868" s="51" t="s">
        <v>11366</v>
      </c>
      <c r="B1868" s="51" t="s">
        <v>9348</v>
      </c>
      <c r="C1868" s="51" t="s">
        <v>84</v>
      </c>
      <c r="D1868" s="57">
        <v>45138.10925971065</v>
      </c>
    </row>
    <row r="1869">
      <c r="A1869" s="51" t="s">
        <v>11366</v>
      </c>
      <c r="B1869" s="51" t="s">
        <v>9467</v>
      </c>
      <c r="C1869" s="51" t="s">
        <v>84</v>
      </c>
      <c r="D1869" s="57">
        <v>45138.11191328704</v>
      </c>
    </row>
    <row r="1870">
      <c r="A1870" s="51" t="s">
        <v>11366</v>
      </c>
      <c r="B1870" s="51" t="s">
        <v>10217</v>
      </c>
      <c r="C1870" s="51" t="s">
        <v>84</v>
      </c>
      <c r="D1870" s="57">
        <v>45138.11288829861</v>
      </c>
    </row>
    <row r="1871">
      <c r="A1871" s="51" t="s">
        <v>11366</v>
      </c>
      <c r="B1871" s="51" t="s">
        <v>10793</v>
      </c>
      <c r="C1871" s="51" t="s">
        <v>84</v>
      </c>
      <c r="D1871" s="57">
        <v>45138.114326689814</v>
      </c>
    </row>
    <row r="1872">
      <c r="A1872" s="51" t="s">
        <v>11364</v>
      </c>
      <c r="B1872" s="51" t="s">
        <v>1616</v>
      </c>
      <c r="C1872" s="51" t="s">
        <v>316</v>
      </c>
      <c r="D1872" s="57">
        <v>45138.13766122685</v>
      </c>
    </row>
    <row r="1873">
      <c r="A1873" s="51" t="s">
        <v>11364</v>
      </c>
      <c r="B1873" s="51" t="s">
        <v>2433</v>
      </c>
      <c r="C1873" s="51" t="s">
        <v>316</v>
      </c>
      <c r="D1873" s="57">
        <v>45138.14254262732</v>
      </c>
    </row>
    <row r="1874">
      <c r="A1874" s="51" t="s">
        <v>11364</v>
      </c>
      <c r="B1874" s="51" t="s">
        <v>6806</v>
      </c>
      <c r="C1874" s="51" t="s">
        <v>25</v>
      </c>
      <c r="D1874" s="57">
        <v>45138.14411797454</v>
      </c>
    </row>
    <row r="1875">
      <c r="A1875" s="51" t="s">
        <v>11364</v>
      </c>
      <c r="B1875" s="51" t="s">
        <v>9219</v>
      </c>
      <c r="C1875" s="51" t="s">
        <v>6246</v>
      </c>
      <c r="D1875" s="57">
        <v>45138.144924803244</v>
      </c>
    </row>
    <row r="1876">
      <c r="A1876" s="51" t="s">
        <v>11364</v>
      </c>
      <c r="B1876" s="51" t="s">
        <v>9467</v>
      </c>
      <c r="C1876" s="51" t="s">
        <v>84</v>
      </c>
      <c r="D1876" s="57">
        <v>45138.21072614583</v>
      </c>
    </row>
    <row r="1877">
      <c r="A1877" s="51" t="s">
        <v>11364</v>
      </c>
      <c r="B1877" s="51" t="s">
        <v>3151</v>
      </c>
      <c r="C1877" s="51" t="s">
        <v>84</v>
      </c>
      <c r="D1877" s="57">
        <v>45138.24478704861</v>
      </c>
    </row>
    <row r="1878">
      <c r="A1878" s="51" t="s">
        <v>11280</v>
      </c>
      <c r="B1878" s="51" t="s">
        <v>11012</v>
      </c>
      <c r="C1878" s="51" t="s">
        <v>25</v>
      </c>
      <c r="D1878" s="57">
        <v>45138.4181971875</v>
      </c>
    </row>
    <row r="1879">
      <c r="A1879" s="51" t="s">
        <v>11280</v>
      </c>
      <c r="B1879" s="51" t="s">
        <v>10844</v>
      </c>
      <c r="C1879" s="51" t="s">
        <v>25</v>
      </c>
      <c r="D1879" s="57">
        <v>45138.41918704861</v>
      </c>
    </row>
    <row r="1880">
      <c r="A1880" s="51" t="s">
        <v>11367</v>
      </c>
      <c r="B1880" s="51" t="s">
        <v>4674</v>
      </c>
      <c r="C1880" s="51" t="s">
        <v>517</v>
      </c>
      <c r="D1880" s="57">
        <v>45138.999918518515</v>
      </c>
    </row>
    <row r="1881">
      <c r="A1881" s="51" t="s">
        <v>11238</v>
      </c>
      <c r="B1881" s="51" t="s">
        <v>7873</v>
      </c>
      <c r="C1881" s="51" t="s">
        <v>216</v>
      </c>
      <c r="D1881" s="57">
        <v>45139.27257020833</v>
      </c>
    </row>
    <row r="1882">
      <c r="A1882" s="51" t="s">
        <v>11366</v>
      </c>
      <c r="B1882" s="51" t="s">
        <v>10141</v>
      </c>
      <c r="C1882" s="51" t="s">
        <v>84</v>
      </c>
      <c r="D1882" s="57">
        <v>45139.409974988426</v>
      </c>
    </row>
    <row r="1883">
      <c r="A1883" s="51" t="s">
        <v>11366</v>
      </c>
      <c r="B1883" s="51" t="s">
        <v>10198</v>
      </c>
      <c r="C1883" s="51" t="s">
        <v>84</v>
      </c>
      <c r="D1883" s="57">
        <v>45139.410978761574</v>
      </c>
    </row>
    <row r="1884">
      <c r="A1884" s="51" t="s">
        <v>11366</v>
      </c>
      <c r="B1884" s="51" t="s">
        <v>10198</v>
      </c>
      <c r="C1884" s="51" t="s">
        <v>84</v>
      </c>
      <c r="D1884" s="57">
        <v>45139.41098364584</v>
      </c>
    </row>
    <row r="1885">
      <c r="A1885" s="51" t="s">
        <v>11366</v>
      </c>
      <c r="B1885" s="51" t="s">
        <v>10365</v>
      </c>
      <c r="C1885" s="51" t="s">
        <v>84</v>
      </c>
      <c r="D1885" s="57">
        <v>45139.41265363426</v>
      </c>
    </row>
    <row r="1886">
      <c r="A1886" s="51" t="s">
        <v>11285</v>
      </c>
      <c r="B1886" s="51" t="s">
        <v>10632</v>
      </c>
      <c r="C1886" s="51" t="s">
        <v>1070</v>
      </c>
      <c r="D1886" s="57">
        <v>45141.0783659375</v>
      </c>
    </row>
    <row r="1887">
      <c r="A1887" s="51" t="s">
        <v>11358</v>
      </c>
      <c r="B1887" s="51" t="s">
        <v>1261</v>
      </c>
      <c r="C1887" s="51" t="s">
        <v>165</v>
      </c>
      <c r="D1887" s="57">
        <v>45141.86344951389</v>
      </c>
    </row>
    <row r="1888">
      <c r="A1888" s="51" t="s">
        <v>11273</v>
      </c>
      <c r="B1888" s="51" t="s">
        <v>10765</v>
      </c>
      <c r="C1888" s="51" t="s">
        <v>517</v>
      </c>
      <c r="D1888" s="57">
        <v>45143.100830717594</v>
      </c>
    </row>
    <row r="1889">
      <c r="A1889" s="51" t="s">
        <v>11273</v>
      </c>
      <c r="B1889" s="51" t="s">
        <v>3970</v>
      </c>
      <c r="C1889" s="51" t="s">
        <v>275</v>
      </c>
      <c r="D1889" s="57">
        <v>45143.11777351852</v>
      </c>
    </row>
    <row r="1890">
      <c r="A1890" s="51" t="s">
        <v>11240</v>
      </c>
      <c r="B1890" s="51" t="s">
        <v>57</v>
      </c>
      <c r="C1890" s="51" t="s">
        <v>25</v>
      </c>
      <c r="D1890" s="57">
        <v>45146.40221773148</v>
      </c>
    </row>
    <row r="1891">
      <c r="A1891" s="51" t="s">
        <v>11284</v>
      </c>
      <c r="B1891" s="51" t="s">
        <v>1878</v>
      </c>
      <c r="C1891" s="51" t="s">
        <v>157</v>
      </c>
      <c r="D1891" s="57">
        <v>45147.78555480324</v>
      </c>
    </row>
    <row r="1892">
      <c r="A1892" s="51" t="s">
        <v>11281</v>
      </c>
      <c r="B1892" s="51" t="s">
        <v>9799</v>
      </c>
      <c r="C1892" s="51" t="s">
        <v>25</v>
      </c>
      <c r="D1892" s="57">
        <v>45151.40084180556</v>
      </c>
    </row>
    <row r="1893">
      <c r="A1893" s="51" t="s">
        <v>11364</v>
      </c>
      <c r="B1893" s="51" t="s">
        <v>2691</v>
      </c>
      <c r="C1893" s="51" t="s">
        <v>84</v>
      </c>
      <c r="D1893" s="57">
        <v>45154.324911284726</v>
      </c>
    </row>
    <row r="1894">
      <c r="A1894" s="51" t="s">
        <v>11364</v>
      </c>
      <c r="B1894" s="51" t="s">
        <v>9348</v>
      </c>
      <c r="C1894" s="51" t="s">
        <v>84</v>
      </c>
      <c r="D1894" s="57">
        <v>45154.32665391204</v>
      </c>
    </row>
    <row r="1895">
      <c r="A1895" s="51" t="s">
        <v>11364</v>
      </c>
      <c r="B1895" s="51" t="s">
        <v>9348</v>
      </c>
      <c r="C1895" s="51" t="s">
        <v>84</v>
      </c>
      <c r="D1895" s="57">
        <v>45154.33860297454</v>
      </c>
    </row>
    <row r="1896">
      <c r="A1896" s="51" t="s">
        <v>11364</v>
      </c>
      <c r="B1896" s="51" t="s">
        <v>9348</v>
      </c>
      <c r="C1896" s="51" t="s">
        <v>84</v>
      </c>
      <c r="D1896" s="57">
        <v>45154.33948001158</v>
      </c>
    </row>
    <row r="1897">
      <c r="A1897" s="51" t="s">
        <v>11364</v>
      </c>
      <c r="B1897" s="51" t="s">
        <v>9348</v>
      </c>
      <c r="C1897" s="51" t="s">
        <v>84</v>
      </c>
      <c r="D1897" s="57">
        <v>45154.343578761574</v>
      </c>
    </row>
    <row r="1898">
      <c r="A1898" s="51" t="s">
        <v>11281</v>
      </c>
      <c r="B1898" s="51" t="s">
        <v>10924</v>
      </c>
      <c r="C1898" s="51" t="s">
        <v>25</v>
      </c>
      <c r="D1898" s="57">
        <v>45155.01942052083</v>
      </c>
    </row>
    <row r="1899">
      <c r="A1899" s="51" t="s">
        <v>11281</v>
      </c>
      <c r="B1899" s="51" t="s">
        <v>10533</v>
      </c>
      <c r="C1899" s="51" t="s">
        <v>25</v>
      </c>
      <c r="D1899" s="57">
        <v>45155.02137821759</v>
      </c>
    </row>
    <row r="1900">
      <c r="A1900" s="51" t="s">
        <v>11364</v>
      </c>
      <c r="B1900" s="51" t="s">
        <v>10874</v>
      </c>
      <c r="C1900" s="51" t="s">
        <v>110</v>
      </c>
      <c r="D1900" s="57">
        <v>45156.99565052083</v>
      </c>
    </row>
    <row r="1901">
      <c r="A1901" s="51" t="s">
        <v>11365</v>
      </c>
      <c r="B1901" s="51" t="s">
        <v>8695</v>
      </c>
      <c r="C1901" s="51" t="s">
        <v>25</v>
      </c>
      <c r="D1901" s="57">
        <v>45158.18446376157</v>
      </c>
    </row>
    <row r="1902">
      <c r="A1902" s="51" t="s">
        <v>11364</v>
      </c>
      <c r="B1902" s="51" t="s">
        <v>7553</v>
      </c>
      <c r="C1902" s="51" t="s">
        <v>25</v>
      </c>
      <c r="D1902" s="57">
        <v>45158.20446122685</v>
      </c>
    </row>
    <row r="1903">
      <c r="A1903" s="51" t="s">
        <v>11364</v>
      </c>
      <c r="B1903" s="51" t="s">
        <v>1140</v>
      </c>
      <c r="C1903" s="51" t="s">
        <v>84</v>
      </c>
      <c r="D1903" s="57">
        <v>45158.225032766204</v>
      </c>
    </row>
    <row r="1904">
      <c r="A1904" s="51" t="s">
        <v>11364</v>
      </c>
      <c r="B1904" s="51" t="s">
        <v>7553</v>
      </c>
      <c r="C1904" s="51" t="s">
        <v>25</v>
      </c>
      <c r="D1904" s="57">
        <v>45159.07755371528</v>
      </c>
    </row>
    <row r="1905">
      <c r="A1905" s="51" t="s">
        <v>11364</v>
      </c>
      <c r="B1905" s="51" t="s">
        <v>7553</v>
      </c>
      <c r="C1905" s="51" t="s">
        <v>25</v>
      </c>
      <c r="D1905" s="57">
        <v>45159.078498877316</v>
      </c>
    </row>
    <row r="1906">
      <c r="A1906" s="51" t="s">
        <v>11364</v>
      </c>
      <c r="B1906" s="51" t="s">
        <v>10894</v>
      </c>
      <c r="C1906" s="51" t="s">
        <v>25</v>
      </c>
      <c r="D1906" s="57">
        <v>45159.080497939816</v>
      </c>
    </row>
    <row r="1907">
      <c r="A1907" s="51" t="s">
        <v>11364</v>
      </c>
      <c r="B1907" s="51" t="s">
        <v>107</v>
      </c>
      <c r="C1907" s="51" t="s">
        <v>110</v>
      </c>
      <c r="D1907" s="57">
        <v>45159.362059618055</v>
      </c>
    </row>
    <row r="1908">
      <c r="A1908" s="51" t="s">
        <v>11365</v>
      </c>
      <c r="B1908" s="51" t="s">
        <v>4013</v>
      </c>
      <c r="C1908" s="51" t="s">
        <v>110</v>
      </c>
      <c r="D1908" s="57">
        <v>45159.88807390047</v>
      </c>
    </row>
    <row r="1909">
      <c r="A1909" s="51" t="s">
        <v>11365</v>
      </c>
      <c r="B1909" s="51" t="s">
        <v>6274</v>
      </c>
      <c r="C1909" s="51" t="s">
        <v>84</v>
      </c>
      <c r="D1909" s="57">
        <v>45159.88981931713</v>
      </c>
    </row>
    <row r="1910">
      <c r="A1910" s="51" t="s">
        <v>11365</v>
      </c>
      <c r="B1910" s="51" t="s">
        <v>6274</v>
      </c>
      <c r="C1910" s="51" t="s">
        <v>84</v>
      </c>
      <c r="D1910" s="57">
        <v>45159.889831747685</v>
      </c>
    </row>
    <row r="1911">
      <c r="A1911" s="51" t="s">
        <v>11365</v>
      </c>
      <c r="B1911" s="51" t="s">
        <v>6274</v>
      </c>
      <c r="C1911" s="51" t="s">
        <v>84</v>
      </c>
      <c r="D1911" s="57">
        <v>45159.88983688658</v>
      </c>
    </row>
    <row r="1912">
      <c r="A1912" s="51" t="s">
        <v>11281</v>
      </c>
      <c r="B1912" s="51" t="s">
        <v>9318</v>
      </c>
      <c r="C1912" s="51" t="s">
        <v>25</v>
      </c>
      <c r="D1912" s="57">
        <v>45162.24124239583</v>
      </c>
    </row>
    <row r="1913">
      <c r="A1913" s="51" t="s">
        <v>11282</v>
      </c>
      <c r="B1913" s="51" t="s">
        <v>10844</v>
      </c>
      <c r="C1913" s="51" t="s">
        <v>25</v>
      </c>
      <c r="D1913" s="57">
        <v>45163.07787674769</v>
      </c>
    </row>
    <row r="1914">
      <c r="A1914" s="51" t="s">
        <v>11282</v>
      </c>
      <c r="B1914" s="51" t="s">
        <v>11012</v>
      </c>
      <c r="C1914" s="51" t="s">
        <v>25</v>
      </c>
      <c r="D1914" s="57">
        <v>45163.101247303246</v>
      </c>
    </row>
    <row r="1915">
      <c r="A1915" s="51" t="s">
        <v>11282</v>
      </c>
      <c r="B1915" s="51" t="s">
        <v>10914</v>
      </c>
      <c r="C1915" s="51" t="s">
        <v>25</v>
      </c>
      <c r="D1915" s="57">
        <v>45163.173246481485</v>
      </c>
    </row>
    <row r="1916">
      <c r="A1916" s="51" t="s">
        <v>11282</v>
      </c>
      <c r="B1916" s="51" t="s">
        <v>10755</v>
      </c>
      <c r="C1916" s="51" t="s">
        <v>25</v>
      </c>
      <c r="D1916" s="57">
        <v>45163.18221339121</v>
      </c>
    </row>
    <row r="1917">
      <c r="A1917" s="51" t="s">
        <v>11301</v>
      </c>
      <c r="B1917" s="51" t="s">
        <v>10755</v>
      </c>
      <c r="C1917" s="51" t="s">
        <v>25</v>
      </c>
      <c r="D1917" s="57">
        <v>45165.993592847226</v>
      </c>
    </row>
    <row r="1918">
      <c r="A1918" s="51" t="s">
        <v>11301</v>
      </c>
      <c r="B1918" s="51" t="s">
        <v>10914</v>
      </c>
      <c r="C1918" s="51" t="s">
        <v>25</v>
      </c>
      <c r="D1918" s="57">
        <v>45165.99543517361</v>
      </c>
    </row>
    <row r="1919">
      <c r="A1919" s="51" t="s">
        <v>11301</v>
      </c>
      <c r="B1919" s="51" t="s">
        <v>10673</v>
      </c>
      <c r="C1919" s="51" t="s">
        <v>25</v>
      </c>
      <c r="D1919" s="57">
        <v>45165.99873555556</v>
      </c>
    </row>
    <row r="1920">
      <c r="A1920" s="51" t="s">
        <v>11301</v>
      </c>
      <c r="B1920" s="51" t="s">
        <v>10581</v>
      </c>
      <c r="C1920" s="51" t="s">
        <v>25</v>
      </c>
      <c r="D1920" s="57">
        <v>45166.00242122685</v>
      </c>
    </row>
    <row r="1921">
      <c r="A1921" s="51" t="s">
        <v>11358</v>
      </c>
      <c r="B1921" s="51" t="s">
        <v>8244</v>
      </c>
      <c r="C1921" s="51" t="s">
        <v>216</v>
      </c>
      <c r="D1921" s="57">
        <v>45166.86177215278</v>
      </c>
    </row>
    <row r="1922">
      <c r="A1922" s="51" t="s">
        <v>11358</v>
      </c>
      <c r="B1922" s="51" t="s">
        <v>9066</v>
      </c>
      <c r="C1922" s="51" t="s">
        <v>165</v>
      </c>
      <c r="D1922" s="57">
        <v>45166.86230591435</v>
      </c>
    </row>
    <row r="1923">
      <c r="A1923" s="51" t="s">
        <v>11358</v>
      </c>
      <c r="B1923" s="51" t="s">
        <v>9066</v>
      </c>
      <c r="C1923" s="51" t="s">
        <v>165</v>
      </c>
      <c r="D1923" s="57">
        <v>45166.862937638885</v>
      </c>
    </row>
    <row r="1924">
      <c r="A1924" s="51" t="s">
        <v>11273</v>
      </c>
      <c r="B1924" s="51" t="s">
        <v>9839</v>
      </c>
      <c r="C1924" s="51" t="s">
        <v>25</v>
      </c>
      <c r="D1924" s="57">
        <v>45168.65170054398</v>
      </c>
    </row>
    <row r="1925">
      <c r="A1925" s="51" t="s">
        <v>11273</v>
      </c>
      <c r="B1925" s="51" t="s">
        <v>6969</v>
      </c>
      <c r="C1925" s="51" t="s">
        <v>110</v>
      </c>
      <c r="D1925" s="57">
        <v>45168.65303966435</v>
      </c>
    </row>
    <row r="1926">
      <c r="A1926" s="51" t="s">
        <v>11358</v>
      </c>
      <c r="B1926" s="51" t="s">
        <v>10523</v>
      </c>
      <c r="C1926" s="51" t="s">
        <v>84</v>
      </c>
      <c r="D1926" s="57">
        <v>45169.343478333336</v>
      </c>
    </row>
    <row r="1927">
      <c r="A1927" s="51" t="s">
        <v>11358</v>
      </c>
      <c r="B1927" s="51" t="s">
        <v>81</v>
      </c>
      <c r="C1927" s="51" t="s">
        <v>84</v>
      </c>
      <c r="D1927" s="57">
        <v>45169.34694820602</v>
      </c>
    </row>
    <row r="1928">
      <c r="A1928" s="51" t="s">
        <v>11358</v>
      </c>
      <c r="B1928" s="51" t="s">
        <v>655</v>
      </c>
      <c r="C1928" s="51" t="s">
        <v>84</v>
      </c>
      <c r="D1928" s="57">
        <v>45169.35018666666</v>
      </c>
    </row>
    <row r="1929">
      <c r="A1929" s="51" t="s">
        <v>11358</v>
      </c>
      <c r="B1929" s="51" t="s">
        <v>10944</v>
      </c>
      <c r="C1929" s="51" t="s">
        <v>84</v>
      </c>
      <c r="D1929" s="57">
        <v>45169.35190892361</v>
      </c>
    </row>
    <row r="1930">
      <c r="A1930" s="51" t="s">
        <v>11328</v>
      </c>
      <c r="B1930" s="51" t="s">
        <v>10964</v>
      </c>
      <c r="C1930" s="51" t="s">
        <v>157</v>
      </c>
      <c r="D1930" s="57">
        <v>45170.03057563657</v>
      </c>
    </row>
    <row r="1931">
      <c r="A1931" s="51" t="s">
        <v>11328</v>
      </c>
      <c r="B1931" s="51" t="s">
        <v>9486</v>
      </c>
      <c r="C1931" s="51" t="s">
        <v>141</v>
      </c>
      <c r="D1931" s="57">
        <v>45170.04335724537</v>
      </c>
    </row>
    <row r="1932">
      <c r="A1932" s="51" t="s">
        <v>11328</v>
      </c>
      <c r="B1932" s="51" t="s">
        <v>4866</v>
      </c>
      <c r="C1932" s="51" t="s">
        <v>68</v>
      </c>
      <c r="D1932" s="57">
        <v>45170.06165181713</v>
      </c>
    </row>
    <row r="1933">
      <c r="A1933" s="51" t="s">
        <v>11328</v>
      </c>
      <c r="B1933" s="51" t="s">
        <v>10783</v>
      </c>
      <c r="C1933" s="51" t="s">
        <v>68</v>
      </c>
      <c r="D1933" s="57">
        <v>45170.11591104166</v>
      </c>
    </row>
    <row r="1934">
      <c r="A1934" s="51" t="s">
        <v>11328</v>
      </c>
      <c r="B1934" s="51" t="s">
        <v>9298</v>
      </c>
      <c r="C1934" s="51" t="s">
        <v>557</v>
      </c>
      <c r="D1934" s="57">
        <v>45170.12487594907</v>
      </c>
    </row>
    <row r="1935">
      <c r="A1935" s="51" t="s">
        <v>11312</v>
      </c>
      <c r="B1935" s="51" t="s">
        <v>11001</v>
      </c>
      <c r="C1935" s="51" t="s">
        <v>84</v>
      </c>
      <c r="D1935" s="57">
        <v>45170.12652179398</v>
      </c>
    </row>
    <row r="1936">
      <c r="A1936" s="51" t="s">
        <v>11260</v>
      </c>
      <c r="B1936" s="51" t="s">
        <v>10278</v>
      </c>
      <c r="C1936" s="51" t="s">
        <v>25</v>
      </c>
      <c r="D1936" s="57">
        <v>45174.244086203704</v>
      </c>
    </row>
    <row r="1937">
      <c r="A1937" s="51" t="s">
        <v>11234</v>
      </c>
      <c r="B1937" s="51" t="s">
        <v>8520</v>
      </c>
      <c r="C1937" s="51" t="s">
        <v>316</v>
      </c>
      <c r="D1937" s="57">
        <v>45174.278335752315</v>
      </c>
    </row>
    <row r="1938">
      <c r="A1938" s="51" t="s">
        <v>11307</v>
      </c>
      <c r="B1938" s="51" t="s">
        <v>10198</v>
      </c>
      <c r="C1938" s="51" t="s">
        <v>84</v>
      </c>
      <c r="D1938" s="57">
        <v>45174.862987939814</v>
      </c>
    </row>
    <row r="1939">
      <c r="A1939" s="51" t="s">
        <v>11307</v>
      </c>
      <c r="B1939" s="51" t="s">
        <v>10217</v>
      </c>
      <c r="C1939" s="51" t="s">
        <v>84</v>
      </c>
      <c r="D1939" s="57">
        <v>45174.86722107639</v>
      </c>
    </row>
    <row r="1940">
      <c r="A1940" s="51" t="s">
        <v>11284</v>
      </c>
      <c r="B1940" s="51" t="s">
        <v>9868</v>
      </c>
      <c r="C1940" s="51" t="s">
        <v>25</v>
      </c>
      <c r="D1940" s="57">
        <v>45174.875603796296</v>
      </c>
    </row>
    <row r="1941">
      <c r="A1941" s="51" t="s">
        <v>11307</v>
      </c>
      <c r="B1941" s="51" t="s">
        <v>10793</v>
      </c>
      <c r="C1941" s="51" t="s">
        <v>84</v>
      </c>
      <c r="D1941" s="57">
        <v>45175.26370094907</v>
      </c>
    </row>
    <row r="1942">
      <c r="A1942" s="51" t="s">
        <v>11364</v>
      </c>
      <c r="B1942" s="51" t="s">
        <v>3151</v>
      </c>
      <c r="C1942" s="51" t="s">
        <v>84</v>
      </c>
      <c r="D1942" s="57">
        <v>45177.21264496528</v>
      </c>
    </row>
    <row r="1943">
      <c r="A1943" s="51" t="s">
        <v>11364</v>
      </c>
      <c r="B1943" s="51" t="s">
        <v>3151</v>
      </c>
      <c r="C1943" s="51" t="s">
        <v>84</v>
      </c>
      <c r="D1943" s="57">
        <v>45177.21320820602</v>
      </c>
    </row>
    <row r="1944">
      <c r="A1944" s="51" t="s">
        <v>11358</v>
      </c>
      <c r="B1944" s="51" t="s">
        <v>9277</v>
      </c>
      <c r="C1944" s="51" t="s">
        <v>110</v>
      </c>
      <c r="D1944" s="57">
        <v>45177.858714675924</v>
      </c>
    </row>
    <row r="1945">
      <c r="A1945" s="51" t="s">
        <v>11368</v>
      </c>
      <c r="B1945" s="51" t="s">
        <v>33</v>
      </c>
      <c r="C1945" s="51" t="s">
        <v>25</v>
      </c>
      <c r="D1945" s="57">
        <v>45180.30466592593</v>
      </c>
    </row>
    <row r="1946">
      <c r="A1946" s="51" t="s">
        <v>11240</v>
      </c>
      <c r="B1946" s="51" t="s">
        <v>3678</v>
      </c>
      <c r="C1946" s="51" t="s">
        <v>292</v>
      </c>
      <c r="D1946" s="57">
        <v>45180.84790390046</v>
      </c>
    </row>
    <row r="1947">
      <c r="A1947" s="51" t="s">
        <v>11285</v>
      </c>
      <c r="B1947" s="51" t="s">
        <v>3678</v>
      </c>
      <c r="C1947" s="51" t="s">
        <v>292</v>
      </c>
      <c r="D1947" s="57">
        <v>45180.85886043981</v>
      </c>
    </row>
    <row r="1948">
      <c r="A1948" s="51" t="s">
        <v>11300</v>
      </c>
      <c r="B1948" s="51" t="s">
        <v>1059</v>
      </c>
      <c r="C1948" s="51" t="s">
        <v>292</v>
      </c>
      <c r="D1948" s="57">
        <v>45181.03301189815</v>
      </c>
    </row>
    <row r="1949">
      <c r="A1949" s="51" t="s">
        <v>11275</v>
      </c>
      <c r="B1949" s="51" t="s">
        <v>9878</v>
      </c>
      <c r="C1949" s="51" t="s">
        <v>25</v>
      </c>
      <c r="D1949" s="57">
        <v>45181.11018740741</v>
      </c>
    </row>
    <row r="1950">
      <c r="A1950" s="51" t="s">
        <v>11364</v>
      </c>
      <c r="B1950" s="51" t="s">
        <v>5452</v>
      </c>
      <c r="C1950" s="51" t="s">
        <v>84</v>
      </c>
      <c r="D1950" s="57">
        <v>45181.117616435185</v>
      </c>
    </row>
    <row r="1951">
      <c r="A1951" s="51" t="s">
        <v>11358</v>
      </c>
      <c r="B1951" s="51" t="s">
        <v>10621</v>
      </c>
      <c r="C1951" s="51" t="s">
        <v>84</v>
      </c>
      <c r="D1951" s="57">
        <v>45181.997930011574</v>
      </c>
    </row>
    <row r="1952">
      <c r="A1952" s="51" t="s">
        <v>11285</v>
      </c>
      <c r="B1952" s="51" t="s">
        <v>4107</v>
      </c>
      <c r="C1952" s="51" t="s">
        <v>25</v>
      </c>
      <c r="D1952" s="57">
        <v>45182.38710881944</v>
      </c>
    </row>
    <row r="1953">
      <c r="A1953" s="51" t="s">
        <v>11273</v>
      </c>
      <c r="B1953" s="51" t="s">
        <v>958</v>
      </c>
      <c r="C1953" s="51" t="s">
        <v>84</v>
      </c>
      <c r="D1953" s="57">
        <v>45184.08674255787</v>
      </c>
    </row>
    <row r="1954">
      <c r="A1954" s="51" t="s">
        <v>11369</v>
      </c>
      <c r="B1954" s="51" t="s">
        <v>8462</v>
      </c>
      <c r="C1954" s="51" t="s">
        <v>25</v>
      </c>
      <c r="D1954" s="57">
        <v>45184.37241869213</v>
      </c>
    </row>
    <row r="1955">
      <c r="A1955" s="51" t="s">
        <v>11369</v>
      </c>
      <c r="B1955" s="51" t="s">
        <v>9318</v>
      </c>
      <c r="C1955" s="51" t="s">
        <v>25</v>
      </c>
      <c r="D1955" s="57">
        <v>45184.375987453706</v>
      </c>
    </row>
    <row r="1956">
      <c r="A1956" s="51" t="s">
        <v>11284</v>
      </c>
      <c r="B1956" s="51" t="s">
        <v>10383</v>
      </c>
      <c r="C1956" s="51" t="s">
        <v>25</v>
      </c>
      <c r="D1956" s="57">
        <v>45185.046872719904</v>
      </c>
    </row>
    <row r="1957">
      <c r="A1957" s="51" t="s">
        <v>11327</v>
      </c>
      <c r="B1957" s="51" t="s">
        <v>10863</v>
      </c>
      <c r="C1957" s="51" t="s">
        <v>25</v>
      </c>
      <c r="D1957" s="57">
        <v>45188.39513958333</v>
      </c>
    </row>
    <row r="1958">
      <c r="A1958" s="51" t="s">
        <v>11370</v>
      </c>
      <c r="B1958" s="51" t="s">
        <v>10553</v>
      </c>
      <c r="C1958" s="51" t="s">
        <v>1070</v>
      </c>
      <c r="D1958" s="57">
        <v>45189.3389228125</v>
      </c>
    </row>
    <row r="1959">
      <c r="A1959" s="51" t="s">
        <v>11327</v>
      </c>
      <c r="B1959" s="51" t="s">
        <v>10983</v>
      </c>
      <c r="C1959" s="51" t="s">
        <v>1410</v>
      </c>
      <c r="D1959" s="57">
        <v>45189.77510458333</v>
      </c>
    </row>
    <row r="1960">
      <c r="A1960" s="51" t="s">
        <v>11327</v>
      </c>
      <c r="B1960" s="51"/>
      <c r="C1960" s="51"/>
      <c r="D1960" s="57">
        <v>45189.78400458333</v>
      </c>
    </row>
    <row r="1961">
      <c r="A1961" s="51" t="s">
        <v>11327</v>
      </c>
      <c r="B1961" s="51" t="s">
        <v>9378</v>
      </c>
      <c r="C1961" s="51" t="s">
        <v>1410</v>
      </c>
      <c r="D1961" s="57">
        <v>45189.78437840278</v>
      </c>
    </row>
    <row r="1962">
      <c r="A1962" s="51" t="s">
        <v>11371</v>
      </c>
      <c r="B1962" s="51" t="s">
        <v>10914</v>
      </c>
      <c r="C1962" s="51" t="s">
        <v>25</v>
      </c>
      <c r="D1962" s="57">
        <v>45193.296210879635</v>
      </c>
    </row>
    <row r="1963">
      <c r="A1963" s="51" t="s">
        <v>11371</v>
      </c>
      <c r="B1963" s="51" t="s">
        <v>10914</v>
      </c>
      <c r="C1963" s="51" t="s">
        <v>25</v>
      </c>
      <c r="D1963" s="57">
        <v>45193.29769994213</v>
      </c>
    </row>
    <row r="1964">
      <c r="A1964" s="51" t="s">
        <v>11371</v>
      </c>
      <c r="B1964" s="51" t="s">
        <v>10914</v>
      </c>
      <c r="C1964" s="51" t="s">
        <v>25</v>
      </c>
      <c r="D1964" s="57">
        <v>45193.30232859954</v>
      </c>
    </row>
    <row r="1965">
      <c r="A1965" s="51" t="s">
        <v>11371</v>
      </c>
      <c r="B1965" s="51" t="s">
        <v>10914</v>
      </c>
      <c r="C1965" s="51" t="s">
        <v>25</v>
      </c>
      <c r="D1965" s="57">
        <v>45193.305648124995</v>
      </c>
    </row>
    <row r="1966">
      <c r="A1966" s="51" t="s">
        <v>11371</v>
      </c>
      <c r="B1966" s="51" t="s">
        <v>9751</v>
      </c>
      <c r="C1966" s="51" t="s">
        <v>25</v>
      </c>
      <c r="D1966" s="57">
        <v>45193.30724951389</v>
      </c>
    </row>
    <row r="1967">
      <c r="A1967" s="51" t="s">
        <v>11371</v>
      </c>
      <c r="B1967" s="51" t="s">
        <v>10419</v>
      </c>
      <c r="C1967" s="51" t="s">
        <v>25</v>
      </c>
      <c r="D1967" s="57">
        <v>45193.310266388886</v>
      </c>
    </row>
    <row r="1968">
      <c r="A1968" s="51" t="s">
        <v>11371</v>
      </c>
      <c r="B1968" s="51" t="s">
        <v>6284</v>
      </c>
      <c r="C1968" s="51" t="s">
        <v>25</v>
      </c>
      <c r="D1968" s="57">
        <v>45193.31489729167</v>
      </c>
    </row>
    <row r="1969">
      <c r="A1969" s="51" t="s">
        <v>11330</v>
      </c>
      <c r="B1969" s="51" t="s">
        <v>9277</v>
      </c>
      <c r="C1969" s="51" t="s">
        <v>110</v>
      </c>
      <c r="D1969" s="57">
        <v>45193.37135736111</v>
      </c>
    </row>
    <row r="1970">
      <c r="A1970" s="51" t="s">
        <v>11330</v>
      </c>
      <c r="B1970" s="51" t="s">
        <v>10874</v>
      </c>
      <c r="C1970" s="51" t="s">
        <v>110</v>
      </c>
      <c r="D1970" s="57">
        <v>45193.372574837966</v>
      </c>
    </row>
    <row r="1971">
      <c r="A1971" s="51" t="s">
        <v>11370</v>
      </c>
      <c r="B1971" s="51" t="s">
        <v>2100</v>
      </c>
      <c r="C1971" s="51" t="s">
        <v>165</v>
      </c>
      <c r="D1971" s="57">
        <v>45193.88353993055</v>
      </c>
    </row>
    <row r="1972">
      <c r="A1972" s="51" t="s">
        <v>11371</v>
      </c>
      <c r="B1972" s="51" t="s">
        <v>10914</v>
      </c>
      <c r="C1972" s="51" t="s">
        <v>25</v>
      </c>
      <c r="D1972" s="57">
        <v>45194.06752239584</v>
      </c>
    </row>
    <row r="1973">
      <c r="A1973" s="51" t="s">
        <v>11371</v>
      </c>
      <c r="B1973" s="51" t="s">
        <v>10914</v>
      </c>
      <c r="C1973" s="51" t="s">
        <v>25</v>
      </c>
      <c r="D1973" s="57">
        <v>45194.087613587966</v>
      </c>
    </row>
    <row r="1974">
      <c r="A1974" s="51" t="s">
        <v>11371</v>
      </c>
      <c r="B1974" s="51" t="s">
        <v>10914</v>
      </c>
      <c r="C1974" s="51" t="s">
        <v>25</v>
      </c>
      <c r="D1974" s="57">
        <v>45194.942630624995</v>
      </c>
    </row>
    <row r="1975">
      <c r="A1975" s="51" t="s">
        <v>11371</v>
      </c>
      <c r="B1975" s="51" t="s">
        <v>10914</v>
      </c>
      <c r="C1975" s="51" t="s">
        <v>25</v>
      </c>
      <c r="D1975" s="57">
        <v>45194.94549834491</v>
      </c>
    </row>
    <row r="1976">
      <c r="A1976" s="51" t="s">
        <v>11371</v>
      </c>
      <c r="B1976" s="51" t="s">
        <v>10914</v>
      </c>
      <c r="C1976" s="51" t="s">
        <v>25</v>
      </c>
      <c r="D1976" s="57">
        <v>45194.9455159375</v>
      </c>
    </row>
    <row r="1977">
      <c r="A1977" s="51" t="s">
        <v>11371</v>
      </c>
      <c r="B1977" s="51" t="s">
        <v>10914</v>
      </c>
      <c r="C1977" s="51" t="s">
        <v>25</v>
      </c>
      <c r="D1977" s="57">
        <v>45195.094491076394</v>
      </c>
    </row>
    <row r="1978">
      <c r="A1978" s="51" t="s">
        <v>11371</v>
      </c>
      <c r="B1978" s="51" t="s">
        <v>10914</v>
      </c>
      <c r="C1978" s="51" t="s">
        <v>25</v>
      </c>
      <c r="D1978" s="57">
        <v>45195.13203689815</v>
      </c>
    </row>
    <row r="1979">
      <c r="A1979" s="51" t="s">
        <v>11354</v>
      </c>
      <c r="B1979" s="51" t="s">
        <v>10914</v>
      </c>
      <c r="C1979" s="51" t="s">
        <v>25</v>
      </c>
      <c r="D1979" s="57">
        <v>45195.28991190973</v>
      </c>
    </row>
    <row r="1980">
      <c r="A1980" s="51" t="s">
        <v>11354</v>
      </c>
      <c r="B1980" s="51" t="s">
        <v>6284</v>
      </c>
      <c r="C1980" s="51" t="s">
        <v>25</v>
      </c>
      <c r="D1980" s="57">
        <v>45195.410845081016</v>
      </c>
    </row>
    <row r="1981">
      <c r="A1981" s="51" t="s">
        <v>11354</v>
      </c>
      <c r="B1981" s="51" t="s">
        <v>6836</v>
      </c>
      <c r="C1981" s="51" t="s">
        <v>25</v>
      </c>
      <c r="D1981" s="57">
        <v>45195.41189701389</v>
      </c>
    </row>
    <row r="1982">
      <c r="A1982" s="51" t="s">
        <v>11354</v>
      </c>
      <c r="B1982" s="51" t="s">
        <v>9751</v>
      </c>
      <c r="C1982" s="51" t="s">
        <v>25</v>
      </c>
      <c r="D1982" s="57">
        <v>45195.412641469906</v>
      </c>
    </row>
    <row r="1983">
      <c r="A1983" s="51" t="s">
        <v>11354</v>
      </c>
      <c r="B1983" s="51" t="s">
        <v>10419</v>
      </c>
      <c r="C1983" s="51" t="s">
        <v>25</v>
      </c>
      <c r="D1983" s="57">
        <v>45195.41320729167</v>
      </c>
    </row>
    <row r="1984">
      <c r="A1984" s="51" t="s">
        <v>11354</v>
      </c>
      <c r="B1984" s="51" t="s">
        <v>10653</v>
      </c>
      <c r="C1984" s="51" t="s">
        <v>25</v>
      </c>
      <c r="D1984" s="57">
        <v>45195.41395836805</v>
      </c>
    </row>
    <row r="1985">
      <c r="A1985" s="51" t="s">
        <v>11367</v>
      </c>
      <c r="B1985" s="51" t="s">
        <v>186</v>
      </c>
      <c r="C1985" s="51" t="s">
        <v>84</v>
      </c>
      <c r="D1985" s="57">
        <v>45196.89678804398</v>
      </c>
    </row>
    <row r="1986">
      <c r="A1986" s="51" t="s">
        <v>11205</v>
      </c>
      <c r="B1986" s="51" t="s">
        <v>6058</v>
      </c>
      <c r="C1986" s="51" t="s">
        <v>25</v>
      </c>
      <c r="D1986" s="57">
        <v>45197.18182806713</v>
      </c>
    </row>
    <row r="1987">
      <c r="A1987" s="51" t="s">
        <v>11372</v>
      </c>
      <c r="B1987" s="51" t="s">
        <v>33</v>
      </c>
      <c r="C1987" s="51" t="s">
        <v>25</v>
      </c>
      <c r="D1987" s="57">
        <v>45197.39074578704</v>
      </c>
    </row>
    <row r="1988">
      <c r="A1988" s="51" t="s">
        <v>11372</v>
      </c>
      <c r="B1988" s="51" t="s">
        <v>33</v>
      </c>
      <c r="C1988" s="51" t="s">
        <v>25</v>
      </c>
      <c r="D1988" s="57">
        <v>45197.39393372685</v>
      </c>
    </row>
    <row r="1989">
      <c r="A1989" s="51" t="s">
        <v>11354</v>
      </c>
      <c r="B1989" s="51" t="s">
        <v>6284</v>
      </c>
      <c r="C1989" s="51" t="s">
        <v>25</v>
      </c>
      <c r="D1989" s="57">
        <v>45198.13050951389</v>
      </c>
    </row>
    <row r="1990">
      <c r="A1990" s="51" t="s">
        <v>11354</v>
      </c>
      <c r="B1990" s="51" t="s">
        <v>6284</v>
      </c>
      <c r="C1990" s="51" t="s">
        <v>25</v>
      </c>
      <c r="D1990" s="57">
        <v>45198.135792719906</v>
      </c>
    </row>
    <row r="1991">
      <c r="A1991" s="51" t="s">
        <v>11354</v>
      </c>
      <c r="B1991" s="51" t="s">
        <v>9751</v>
      </c>
      <c r="C1991" s="51" t="s">
        <v>25</v>
      </c>
      <c r="D1991" s="57">
        <v>45198.13852400463</v>
      </c>
    </row>
    <row r="1992">
      <c r="A1992" s="51" t="s">
        <v>11354</v>
      </c>
      <c r="B1992" s="51" t="s">
        <v>9751</v>
      </c>
      <c r="C1992" s="51" t="s">
        <v>25</v>
      </c>
      <c r="D1992" s="57">
        <v>45198.14149677083</v>
      </c>
    </row>
    <row r="1993">
      <c r="A1993" s="51" t="s">
        <v>11354</v>
      </c>
      <c r="B1993" s="51" t="s">
        <v>10914</v>
      </c>
      <c r="C1993" s="51" t="s">
        <v>25</v>
      </c>
      <c r="D1993" s="57">
        <v>45198.14237238426</v>
      </c>
    </row>
    <row r="1994">
      <c r="A1994" s="51" t="s">
        <v>11372</v>
      </c>
      <c r="B1994" s="51" t="s">
        <v>5770</v>
      </c>
      <c r="C1994" s="51" t="s">
        <v>25</v>
      </c>
      <c r="D1994" s="57">
        <v>45198.84794388889</v>
      </c>
    </row>
    <row r="1995">
      <c r="A1995" s="51" t="s">
        <v>11354</v>
      </c>
      <c r="B1995" s="51" t="s">
        <v>10653</v>
      </c>
      <c r="C1995" s="51" t="s">
        <v>25</v>
      </c>
      <c r="D1995" s="57">
        <v>45200.13577206018</v>
      </c>
    </row>
    <row r="1996">
      <c r="A1996" s="51" t="s">
        <v>11354</v>
      </c>
      <c r="B1996" s="51" t="s">
        <v>2605</v>
      </c>
      <c r="C1996" s="51" t="s">
        <v>25</v>
      </c>
      <c r="D1996" s="57">
        <v>45200.23730130787</v>
      </c>
    </row>
    <row r="1997">
      <c r="A1997" s="51" t="s">
        <v>11354</v>
      </c>
      <c r="B1997" s="51" t="s">
        <v>10854</v>
      </c>
      <c r="C1997" s="51" t="s">
        <v>25</v>
      </c>
      <c r="D1997" s="57">
        <v>45200.241747962966</v>
      </c>
    </row>
    <row r="1998">
      <c r="A1998" s="51" t="s">
        <v>11354</v>
      </c>
      <c r="B1998" s="51" t="s">
        <v>3687</v>
      </c>
      <c r="C1998" s="51" t="s">
        <v>25</v>
      </c>
      <c r="D1998" s="57">
        <v>45200.29909767361</v>
      </c>
    </row>
    <row r="1999">
      <c r="A1999" s="51" t="s">
        <v>11372</v>
      </c>
      <c r="B1999" s="51" t="s">
        <v>6205</v>
      </c>
      <c r="C1999" s="51" t="s">
        <v>25</v>
      </c>
      <c r="D1999" s="57">
        <v>45200.42854412037</v>
      </c>
    </row>
    <row r="2000">
      <c r="A2000" s="51" t="s">
        <v>11354</v>
      </c>
      <c r="B2000" s="51" t="s">
        <v>7605</v>
      </c>
      <c r="C2000" s="51" t="s">
        <v>157</v>
      </c>
      <c r="D2000" s="57">
        <v>45201.31510366898</v>
      </c>
    </row>
    <row r="2001">
      <c r="A2001" s="51" t="s">
        <v>11354</v>
      </c>
      <c r="B2001" s="51" t="s">
        <v>7605</v>
      </c>
      <c r="C2001" s="51" t="s">
        <v>157</v>
      </c>
      <c r="D2001" s="57">
        <v>45201.31698778935</v>
      </c>
    </row>
    <row r="2002">
      <c r="A2002" s="51" t="s">
        <v>11354</v>
      </c>
      <c r="B2002" s="51" t="s">
        <v>7444</v>
      </c>
      <c r="C2002" s="51" t="s">
        <v>25</v>
      </c>
      <c r="D2002" s="57">
        <v>45201.318522939815</v>
      </c>
    </row>
    <row r="2003">
      <c r="A2003" s="51" t="s">
        <v>11372</v>
      </c>
      <c r="B2003" s="51" t="s">
        <v>3266</v>
      </c>
      <c r="C2003" s="51" t="s">
        <v>25</v>
      </c>
      <c r="D2003" s="57">
        <v>45202.78275965278</v>
      </c>
    </row>
    <row r="2004">
      <c r="A2004" s="51" t="s">
        <v>11294</v>
      </c>
      <c r="B2004" s="51" t="s">
        <v>20</v>
      </c>
      <c r="C2004" s="51" t="s">
        <v>25</v>
      </c>
      <c r="D2004" s="57">
        <v>45202.784166990736</v>
      </c>
    </row>
    <row r="2005">
      <c r="A2005" s="51" t="s">
        <v>11373</v>
      </c>
      <c r="B2005" s="51" t="s">
        <v>8177</v>
      </c>
      <c r="C2005" s="51" t="s">
        <v>25</v>
      </c>
      <c r="D2005" s="57">
        <v>45203.15524136574</v>
      </c>
    </row>
    <row r="2006">
      <c r="A2006" s="51" t="s">
        <v>11373</v>
      </c>
      <c r="B2006" s="51" t="s">
        <v>8949</v>
      </c>
      <c r="C2006" s="51" t="s">
        <v>25</v>
      </c>
      <c r="D2006" s="57">
        <v>45203.15684685185</v>
      </c>
    </row>
    <row r="2007">
      <c r="A2007" s="51" t="s">
        <v>11352</v>
      </c>
      <c r="B2007" s="51" t="s">
        <v>10198</v>
      </c>
      <c r="C2007" s="51" t="s">
        <v>84</v>
      </c>
      <c r="D2007" s="57">
        <v>45203.342376678236</v>
      </c>
    </row>
    <row r="2008">
      <c r="A2008" s="51" t="s">
        <v>11352</v>
      </c>
      <c r="B2008" s="51" t="s">
        <v>10092</v>
      </c>
      <c r="C2008" s="51" t="s">
        <v>84</v>
      </c>
      <c r="D2008" s="57">
        <v>45203.34520416667</v>
      </c>
    </row>
    <row r="2009">
      <c r="A2009" s="51" t="s">
        <v>11352</v>
      </c>
      <c r="B2009" s="51" t="s">
        <v>10486</v>
      </c>
      <c r="C2009" s="51" t="s">
        <v>84</v>
      </c>
      <c r="D2009" s="57">
        <v>45203.346391354164</v>
      </c>
    </row>
    <row r="2010">
      <c r="A2010" s="51" t="s">
        <v>11352</v>
      </c>
      <c r="B2010" s="51" t="s">
        <v>10642</v>
      </c>
      <c r="C2010" s="51" t="s">
        <v>84</v>
      </c>
      <c r="D2010" s="57">
        <v>45203.34938704861</v>
      </c>
    </row>
    <row r="2011">
      <c r="A2011" s="51" t="s">
        <v>11352</v>
      </c>
      <c r="B2011" s="51" t="s">
        <v>10793</v>
      </c>
      <c r="C2011" s="51" t="s">
        <v>84</v>
      </c>
      <c r="D2011" s="57">
        <v>45203.35028429398</v>
      </c>
    </row>
    <row r="2012">
      <c r="A2012" s="51" t="s">
        <v>11352</v>
      </c>
      <c r="B2012" s="51" t="s">
        <v>10813</v>
      </c>
      <c r="C2012" s="51" t="s">
        <v>84</v>
      </c>
      <c r="D2012" s="57">
        <v>45203.352769942125</v>
      </c>
    </row>
    <row r="2013">
      <c r="A2013" s="51" t="s">
        <v>11369</v>
      </c>
      <c r="B2013" s="51" t="s">
        <v>7665</v>
      </c>
      <c r="C2013" s="51" t="s">
        <v>25</v>
      </c>
      <c r="D2013" s="57">
        <v>45203.83836873843</v>
      </c>
    </row>
    <row r="2014">
      <c r="A2014" s="51" t="s">
        <v>11354</v>
      </c>
      <c r="B2014" s="51" t="s">
        <v>10693</v>
      </c>
      <c r="C2014" s="51" t="s">
        <v>25</v>
      </c>
      <c r="D2014" s="57">
        <v>45205.045675891204</v>
      </c>
    </row>
    <row r="2015">
      <c r="A2015" s="51" t="s">
        <v>11354</v>
      </c>
      <c r="B2015" s="51" t="s">
        <v>6836</v>
      </c>
      <c r="C2015" s="51" t="s">
        <v>25</v>
      </c>
      <c r="D2015" s="57">
        <v>45206.56247009259</v>
      </c>
    </row>
    <row r="2016">
      <c r="A2016" s="51" t="s">
        <v>11354</v>
      </c>
      <c r="B2016" s="51" t="s">
        <v>10904</v>
      </c>
      <c r="C2016" s="51" t="s">
        <v>25</v>
      </c>
      <c r="D2016" s="57">
        <v>45208.01633020834</v>
      </c>
    </row>
    <row r="2017">
      <c r="A2017" s="51" t="s">
        <v>11354</v>
      </c>
      <c r="B2017" s="51" t="s">
        <v>10581</v>
      </c>
      <c r="C2017" s="51" t="s">
        <v>25</v>
      </c>
      <c r="D2017" s="57">
        <v>45208.017097731485</v>
      </c>
    </row>
    <row r="2018">
      <c r="A2018" s="51" t="s">
        <v>11354</v>
      </c>
      <c r="B2018" s="51" t="s">
        <v>10307</v>
      </c>
      <c r="C2018" s="51" t="s">
        <v>25</v>
      </c>
      <c r="D2018" s="57">
        <v>45208.01823891204</v>
      </c>
    </row>
    <row r="2019">
      <c r="A2019" s="51" t="s">
        <v>11354</v>
      </c>
      <c r="B2019" s="51" t="s">
        <v>2605</v>
      </c>
      <c r="C2019" s="51" t="s">
        <v>25</v>
      </c>
      <c r="D2019" s="57">
        <v>45208.02292711806</v>
      </c>
    </row>
    <row r="2020">
      <c r="A2020" s="51" t="s">
        <v>11354</v>
      </c>
      <c r="B2020" s="51" t="s">
        <v>10653</v>
      </c>
      <c r="C2020" s="51" t="s">
        <v>25</v>
      </c>
      <c r="D2020" s="57">
        <v>45208.027761516205</v>
      </c>
    </row>
    <row r="2021">
      <c r="A2021" s="51" t="s">
        <v>11281</v>
      </c>
      <c r="B2021" s="51" t="s">
        <v>3418</v>
      </c>
      <c r="C2021" s="51" t="s">
        <v>216</v>
      </c>
      <c r="D2021" s="57">
        <v>45208.069011631946</v>
      </c>
    </row>
    <row r="2022">
      <c r="A2022" s="51" t="s">
        <v>11307</v>
      </c>
      <c r="B2022" s="51" t="s">
        <v>10365</v>
      </c>
      <c r="C2022" s="51" t="s">
        <v>84</v>
      </c>
      <c r="D2022" s="57">
        <v>45208.18111502315</v>
      </c>
    </row>
    <row r="2023">
      <c r="A2023" s="51" t="s">
        <v>11374</v>
      </c>
      <c r="B2023" s="51" t="s">
        <v>7665</v>
      </c>
      <c r="C2023" s="51" t="s">
        <v>25</v>
      </c>
      <c r="D2023" s="57">
        <v>45208.331176458334</v>
      </c>
    </row>
    <row r="2024">
      <c r="A2024" s="51" t="s">
        <v>11375</v>
      </c>
      <c r="B2024" s="51" t="s">
        <v>5819</v>
      </c>
      <c r="C2024" s="51" t="s">
        <v>216</v>
      </c>
      <c r="D2024" s="57">
        <v>45209.010065532406</v>
      </c>
    </row>
    <row r="2025">
      <c r="A2025" s="51" t="s">
        <v>11375</v>
      </c>
      <c r="B2025" s="51" t="s">
        <v>5819</v>
      </c>
      <c r="C2025" s="51" t="s">
        <v>216</v>
      </c>
      <c r="D2025" s="57">
        <v>45209.010103368055</v>
      </c>
    </row>
    <row r="2026">
      <c r="A2026" s="51" t="s">
        <v>11375</v>
      </c>
      <c r="B2026" s="51" t="s">
        <v>5819</v>
      </c>
      <c r="C2026" s="51" t="s">
        <v>216</v>
      </c>
      <c r="D2026" s="57">
        <v>45209.01012259259</v>
      </c>
    </row>
    <row r="2027">
      <c r="A2027" s="51" t="s">
        <v>11375</v>
      </c>
      <c r="B2027" s="51" t="s">
        <v>5819</v>
      </c>
      <c r="C2027" s="51" t="s">
        <v>216</v>
      </c>
      <c r="D2027" s="57">
        <v>45209.01040107639</v>
      </c>
    </row>
    <row r="2028">
      <c r="A2028" s="51" t="s">
        <v>11375</v>
      </c>
      <c r="B2028" s="51" t="s">
        <v>5819</v>
      </c>
      <c r="C2028" s="51" t="s">
        <v>216</v>
      </c>
      <c r="D2028" s="57">
        <v>45209.010409317125</v>
      </c>
    </row>
    <row r="2029">
      <c r="A2029" s="51" t="s">
        <v>11375</v>
      </c>
      <c r="B2029" s="51" t="s">
        <v>5819</v>
      </c>
      <c r="C2029" s="51" t="s">
        <v>216</v>
      </c>
      <c r="D2029" s="57">
        <v>45209.010410648145</v>
      </c>
    </row>
    <row r="2030">
      <c r="A2030" s="51" t="s">
        <v>11375</v>
      </c>
      <c r="B2030" s="51" t="s">
        <v>5819</v>
      </c>
      <c r="C2030" s="51" t="s">
        <v>216</v>
      </c>
      <c r="D2030" s="57">
        <v>45209.01040953703</v>
      </c>
    </row>
    <row r="2031">
      <c r="A2031" s="51" t="s">
        <v>11375</v>
      </c>
      <c r="B2031" s="51" t="s">
        <v>5819</v>
      </c>
      <c r="C2031" s="51" t="s">
        <v>216</v>
      </c>
      <c r="D2031" s="57">
        <v>45209.010427534726</v>
      </c>
    </row>
    <row r="2032">
      <c r="A2032" s="51" t="s">
        <v>11375</v>
      </c>
      <c r="B2032" s="51" t="s">
        <v>5819</v>
      </c>
      <c r="C2032" s="51" t="s">
        <v>216</v>
      </c>
      <c r="D2032" s="57">
        <v>45209.01045</v>
      </c>
    </row>
    <row r="2033">
      <c r="A2033" s="51" t="s">
        <v>11375</v>
      </c>
      <c r="B2033" s="51" t="s">
        <v>5819</v>
      </c>
      <c r="C2033" s="51" t="s">
        <v>216</v>
      </c>
      <c r="D2033" s="57">
        <v>45209.010503530095</v>
      </c>
    </row>
    <row r="2034">
      <c r="A2034" s="51" t="s">
        <v>11375</v>
      </c>
      <c r="B2034" s="51" t="s">
        <v>5819</v>
      </c>
      <c r="C2034" s="51" t="s">
        <v>216</v>
      </c>
      <c r="D2034" s="57">
        <v>45209.01053363426</v>
      </c>
    </row>
    <row r="2035">
      <c r="A2035" s="51" t="s">
        <v>11375</v>
      </c>
      <c r="B2035" s="51" t="s">
        <v>5819</v>
      </c>
      <c r="C2035" s="51" t="s">
        <v>216</v>
      </c>
      <c r="D2035" s="57">
        <v>45209.01054020833</v>
      </c>
    </row>
    <row r="2036">
      <c r="A2036" s="51" t="s">
        <v>11375</v>
      </c>
      <c r="B2036" s="51" t="s">
        <v>5819</v>
      </c>
      <c r="C2036" s="51" t="s">
        <v>216</v>
      </c>
      <c r="D2036" s="57">
        <v>45209.01054575232</v>
      </c>
    </row>
    <row r="2037">
      <c r="A2037" s="51" t="s">
        <v>11375</v>
      </c>
      <c r="B2037" s="51" t="s">
        <v>5819</v>
      </c>
      <c r="C2037" s="51" t="s">
        <v>216</v>
      </c>
      <c r="D2037" s="57">
        <v>45209.01055065972</v>
      </c>
    </row>
    <row r="2038">
      <c r="A2038" s="51" t="s">
        <v>11375</v>
      </c>
      <c r="B2038" s="51" t="s">
        <v>5819</v>
      </c>
      <c r="C2038" s="51" t="s">
        <v>216</v>
      </c>
      <c r="D2038" s="57">
        <v>45209.010554560184</v>
      </c>
    </row>
    <row r="2039">
      <c r="A2039" s="51" t="s">
        <v>11375</v>
      </c>
      <c r="B2039" s="51" t="s">
        <v>5819</v>
      </c>
      <c r="C2039" s="51" t="s">
        <v>216</v>
      </c>
      <c r="D2039" s="57">
        <v>45209.01055491898</v>
      </c>
    </row>
    <row r="2040">
      <c r="A2040" s="51" t="s">
        <v>11375</v>
      </c>
      <c r="B2040" s="51" t="s">
        <v>5819</v>
      </c>
      <c r="C2040" s="51" t="s">
        <v>216</v>
      </c>
      <c r="D2040" s="57">
        <v>45209.01055944445</v>
      </c>
    </row>
    <row r="2041">
      <c r="A2041" s="51" t="s">
        <v>11375</v>
      </c>
      <c r="B2041" s="51" t="s">
        <v>10774</v>
      </c>
      <c r="C2041" s="51" t="s">
        <v>216</v>
      </c>
      <c r="D2041" s="57">
        <v>45209.01277430556</v>
      </c>
    </row>
    <row r="2042">
      <c r="A2042" s="51" t="s">
        <v>11353</v>
      </c>
      <c r="B2042" s="51" t="s">
        <v>5424</v>
      </c>
      <c r="C2042" s="51" t="s">
        <v>25</v>
      </c>
      <c r="D2042" s="57">
        <v>45209.11889175926</v>
      </c>
    </row>
    <row r="2043">
      <c r="A2043" s="51" t="s">
        <v>11375</v>
      </c>
      <c r="B2043" s="51" t="s">
        <v>5819</v>
      </c>
      <c r="C2043" s="51" t="s">
        <v>216</v>
      </c>
      <c r="D2043" s="57">
        <v>45209.95820262731</v>
      </c>
    </row>
    <row r="2044">
      <c r="A2044" s="51" t="s">
        <v>11375</v>
      </c>
      <c r="B2044" s="51" t="s">
        <v>9829</v>
      </c>
      <c r="C2044" s="51" t="s">
        <v>216</v>
      </c>
      <c r="D2044" s="57">
        <v>45209.960268055554</v>
      </c>
    </row>
    <row r="2045">
      <c r="A2045" s="51" t="s">
        <v>11375</v>
      </c>
      <c r="B2045" s="51" t="s">
        <v>5937</v>
      </c>
      <c r="C2045" s="51" t="s">
        <v>216</v>
      </c>
      <c r="D2045" s="57">
        <v>45209.98667462963</v>
      </c>
    </row>
    <row r="2046">
      <c r="A2046" s="51" t="s">
        <v>11375</v>
      </c>
      <c r="B2046" s="51"/>
      <c r="C2046" s="51"/>
      <c r="D2046" s="57">
        <v>45209.98758170139</v>
      </c>
    </row>
    <row r="2047">
      <c r="A2047" s="51" t="s">
        <v>11375</v>
      </c>
      <c r="B2047" s="51" t="s">
        <v>9056</v>
      </c>
      <c r="C2047" s="51" t="s">
        <v>216</v>
      </c>
      <c r="D2047" s="57">
        <v>45209.98832834491</v>
      </c>
    </row>
    <row r="2048">
      <c r="A2048" s="51" t="s">
        <v>11375</v>
      </c>
      <c r="B2048" s="51" t="s">
        <v>9056</v>
      </c>
      <c r="C2048" s="51" t="s">
        <v>216</v>
      </c>
      <c r="D2048" s="57">
        <v>45209.99525775463</v>
      </c>
    </row>
    <row r="2049">
      <c r="A2049" s="51" t="s">
        <v>11358</v>
      </c>
      <c r="B2049" s="51" t="s">
        <v>8244</v>
      </c>
      <c r="C2049" s="51" t="s">
        <v>216</v>
      </c>
      <c r="D2049" s="57">
        <v>45210.83941238426</v>
      </c>
    </row>
    <row r="2050">
      <c r="A2050" s="51" t="s">
        <v>11358</v>
      </c>
      <c r="B2050" s="51" t="s">
        <v>9066</v>
      </c>
      <c r="C2050" s="51" t="s">
        <v>165</v>
      </c>
      <c r="D2050" s="57">
        <v>45210.83980444445</v>
      </c>
    </row>
    <row r="2051">
      <c r="A2051" s="51" t="s">
        <v>11358</v>
      </c>
      <c r="B2051" s="51" t="s">
        <v>11001</v>
      </c>
      <c r="C2051" s="51" t="s">
        <v>84</v>
      </c>
      <c r="D2051" s="57">
        <v>45210.84098184027</v>
      </c>
    </row>
    <row r="2052">
      <c r="A2052" s="51" t="s">
        <v>11358</v>
      </c>
      <c r="B2052" s="51" t="s">
        <v>10944</v>
      </c>
      <c r="C2052" s="51" t="s">
        <v>84</v>
      </c>
      <c r="D2052" s="57">
        <v>45210.842144803246</v>
      </c>
    </row>
    <row r="2053">
      <c r="A2053" s="51" t="s">
        <v>11358</v>
      </c>
      <c r="B2053" s="51" t="s">
        <v>10602</v>
      </c>
      <c r="C2053" s="51" t="s">
        <v>84</v>
      </c>
      <c r="D2053" s="57">
        <v>45210.84307212963</v>
      </c>
    </row>
    <row r="2054">
      <c r="A2054" s="51" t="s">
        <v>11358</v>
      </c>
      <c r="B2054" s="51" t="s">
        <v>10823</v>
      </c>
      <c r="C2054" s="51" t="s">
        <v>84</v>
      </c>
      <c r="D2054" s="57">
        <v>45210.84425106482</v>
      </c>
    </row>
    <row r="2055">
      <c r="A2055" s="51" t="s">
        <v>11376</v>
      </c>
      <c r="B2055" s="51" t="s">
        <v>265</v>
      </c>
      <c r="C2055" s="51" t="s">
        <v>25</v>
      </c>
      <c r="D2055" s="57">
        <v>45210.97322918981</v>
      </c>
    </row>
    <row r="2056">
      <c r="A2056" s="51" t="s">
        <v>11376</v>
      </c>
      <c r="B2056" s="51" t="s">
        <v>265</v>
      </c>
      <c r="C2056" s="51" t="s">
        <v>25</v>
      </c>
      <c r="D2056" s="57">
        <v>45210.97450521991</v>
      </c>
    </row>
    <row r="2057">
      <c r="A2057" s="51" t="s">
        <v>11376</v>
      </c>
      <c r="B2057" s="51" t="s">
        <v>9037</v>
      </c>
      <c r="C2057" s="51" t="s">
        <v>165</v>
      </c>
      <c r="D2057" s="57">
        <v>45210.98303221064</v>
      </c>
    </row>
    <row r="2058">
      <c r="A2058" s="51" t="s">
        <v>11376</v>
      </c>
      <c r="B2058" s="51" t="s">
        <v>478</v>
      </c>
      <c r="C2058" s="51" t="s">
        <v>25</v>
      </c>
      <c r="D2058" s="57">
        <v>45210.987722962964</v>
      </c>
    </row>
    <row r="2059">
      <c r="A2059" s="51" t="s">
        <v>11376</v>
      </c>
      <c r="B2059" s="51" t="s">
        <v>478</v>
      </c>
      <c r="C2059" s="51" t="s">
        <v>25</v>
      </c>
      <c r="D2059" s="57">
        <v>45210.99224733796</v>
      </c>
    </row>
    <row r="2060">
      <c r="A2060" s="51" t="s">
        <v>11376</v>
      </c>
      <c r="B2060" s="51" t="s">
        <v>7553</v>
      </c>
      <c r="C2060" s="51" t="s">
        <v>25</v>
      </c>
      <c r="D2060" s="57">
        <v>45211.004440046294</v>
      </c>
    </row>
    <row r="2061">
      <c r="A2061" s="51" t="s">
        <v>11376</v>
      </c>
      <c r="B2061" s="51" t="s">
        <v>7553</v>
      </c>
      <c r="C2061" s="51" t="s">
        <v>25</v>
      </c>
      <c r="D2061" s="57">
        <v>45211.00988557871</v>
      </c>
    </row>
    <row r="2062">
      <c r="A2062" s="51" t="s">
        <v>11377</v>
      </c>
      <c r="B2062" s="51" t="s">
        <v>265</v>
      </c>
      <c r="C2062" s="51" t="s">
        <v>25</v>
      </c>
      <c r="D2062" s="57">
        <v>45211.94171893518</v>
      </c>
    </row>
    <row r="2063">
      <c r="A2063" s="51" t="s">
        <v>11377</v>
      </c>
      <c r="B2063" s="51" t="s">
        <v>478</v>
      </c>
      <c r="C2063" s="51" t="s">
        <v>25</v>
      </c>
      <c r="D2063" s="57">
        <v>45211.97406912037</v>
      </c>
    </row>
    <row r="2064">
      <c r="A2064" s="51" t="s">
        <v>11378</v>
      </c>
      <c r="B2064" s="51" t="s">
        <v>10863</v>
      </c>
      <c r="C2064" s="51" t="s">
        <v>25</v>
      </c>
      <c r="D2064" s="57">
        <v>45214.32505866898</v>
      </c>
    </row>
    <row r="2065">
      <c r="A2065" s="51" t="s">
        <v>11379</v>
      </c>
      <c r="B2065" s="51" t="s">
        <v>7665</v>
      </c>
      <c r="C2065" s="51" t="s">
        <v>25</v>
      </c>
      <c r="D2065" s="57">
        <v>45214.998327002315</v>
      </c>
    </row>
    <row r="2066">
      <c r="A2066" s="51" t="s">
        <v>11379</v>
      </c>
      <c r="B2066" s="51" t="s">
        <v>7665</v>
      </c>
      <c r="C2066" s="51" t="s">
        <v>25</v>
      </c>
      <c r="D2066" s="57">
        <v>45214.998473761574</v>
      </c>
    </row>
    <row r="2067">
      <c r="A2067" s="51" t="s">
        <v>11379</v>
      </c>
      <c r="B2067" s="51" t="s">
        <v>7665</v>
      </c>
      <c r="C2067" s="51" t="s">
        <v>25</v>
      </c>
      <c r="D2067" s="57">
        <v>45214.998479594906</v>
      </c>
    </row>
    <row r="2068">
      <c r="A2068" s="51" t="s">
        <v>11379</v>
      </c>
      <c r="B2068" s="51" t="s">
        <v>7665</v>
      </c>
      <c r="C2068" s="51" t="s">
        <v>25</v>
      </c>
      <c r="D2068" s="57">
        <v>45214.99848767361</v>
      </c>
    </row>
    <row r="2069">
      <c r="A2069" s="51" t="s">
        <v>11380</v>
      </c>
      <c r="B2069" s="51" t="s">
        <v>3360</v>
      </c>
      <c r="C2069" s="51" t="s">
        <v>25</v>
      </c>
      <c r="D2069" s="57">
        <v>45215.749790092596</v>
      </c>
    </row>
    <row r="2070">
      <c r="A2070" s="51" t="s">
        <v>11380</v>
      </c>
      <c r="B2070" s="51" t="s">
        <v>20</v>
      </c>
      <c r="C2070" s="51" t="s">
        <v>25</v>
      </c>
      <c r="D2070" s="57">
        <v>45215.75905241898</v>
      </c>
    </row>
    <row r="2071">
      <c r="A2071" s="51" t="s">
        <v>11380</v>
      </c>
      <c r="B2071" s="51"/>
      <c r="C2071" s="51"/>
      <c r="D2071" s="57">
        <v>45215.77214756944</v>
      </c>
    </row>
    <row r="2072">
      <c r="A2072" s="51" t="s">
        <v>11380</v>
      </c>
      <c r="B2072" s="51" t="s">
        <v>455</v>
      </c>
      <c r="C2072" s="51" t="s">
        <v>316</v>
      </c>
      <c r="D2072" s="57">
        <v>45215.78080571759</v>
      </c>
    </row>
    <row r="2073">
      <c r="A2073" s="51" t="s">
        <v>11380</v>
      </c>
      <c r="B2073" s="51" t="s">
        <v>6815</v>
      </c>
      <c r="C2073" s="51" t="s">
        <v>316</v>
      </c>
      <c r="D2073" s="57">
        <v>45215.78293239583</v>
      </c>
    </row>
    <row r="2074">
      <c r="A2074" s="51" t="s">
        <v>11380</v>
      </c>
      <c r="B2074" s="51" t="s">
        <v>10991</v>
      </c>
      <c r="C2074" s="51" t="s">
        <v>316</v>
      </c>
      <c r="D2074" s="57">
        <v>45215.78563972222</v>
      </c>
    </row>
    <row r="2075">
      <c r="A2075" s="51" t="s">
        <v>11380</v>
      </c>
      <c r="B2075" s="51" t="s">
        <v>3016</v>
      </c>
      <c r="C2075" s="51" t="s">
        <v>25</v>
      </c>
      <c r="D2075" s="57">
        <v>45215.812189282406</v>
      </c>
    </row>
    <row r="2076">
      <c r="A2076" s="51" t="s">
        <v>11380</v>
      </c>
      <c r="B2076" s="51"/>
      <c r="C2076" s="51"/>
      <c r="D2076" s="57">
        <v>45215.840872430555</v>
      </c>
    </row>
    <row r="2077">
      <c r="A2077" s="51" t="s">
        <v>11380</v>
      </c>
      <c r="B2077" s="51" t="s">
        <v>8069</v>
      </c>
      <c r="C2077" s="51" t="s">
        <v>25</v>
      </c>
      <c r="D2077" s="57">
        <v>45215.84159982639</v>
      </c>
    </row>
    <row r="2078">
      <c r="A2078" s="51" t="s">
        <v>11380</v>
      </c>
      <c r="B2078" s="51" t="s">
        <v>10702</v>
      </c>
      <c r="C2078" s="51" t="s">
        <v>25</v>
      </c>
      <c r="D2078" s="57">
        <v>45215.848464305556</v>
      </c>
    </row>
    <row r="2079">
      <c r="A2079" s="51" t="s">
        <v>11380</v>
      </c>
      <c r="B2079" s="51" t="s">
        <v>9318</v>
      </c>
      <c r="C2079" s="51" t="s">
        <v>25</v>
      </c>
      <c r="D2079" s="57">
        <v>45215.853464872685</v>
      </c>
    </row>
    <row r="2080">
      <c r="A2080" s="51" t="s">
        <v>11380</v>
      </c>
      <c r="B2080" s="51" t="s">
        <v>7940</v>
      </c>
      <c r="C2080" s="51" t="s">
        <v>316</v>
      </c>
      <c r="D2080" s="57">
        <v>45216.0147902662</v>
      </c>
    </row>
    <row r="2081">
      <c r="A2081" s="51" t="s">
        <v>11380</v>
      </c>
      <c r="B2081" s="51" t="s">
        <v>1218</v>
      </c>
      <c r="C2081" s="51" t="s">
        <v>25</v>
      </c>
      <c r="D2081" s="57">
        <v>45216.01676663195</v>
      </c>
    </row>
    <row r="2082">
      <c r="A2082" s="51" t="s">
        <v>11380</v>
      </c>
      <c r="B2082" s="51" t="s">
        <v>9132</v>
      </c>
      <c r="C2082" s="51" t="s">
        <v>25</v>
      </c>
      <c r="D2082" s="57">
        <v>45216.02770445602</v>
      </c>
    </row>
    <row r="2083">
      <c r="A2083" s="51" t="s">
        <v>11381</v>
      </c>
      <c r="B2083" s="51" t="s">
        <v>9132</v>
      </c>
      <c r="C2083" s="51" t="s">
        <v>25</v>
      </c>
      <c r="D2083" s="57">
        <v>45216.06947133102</v>
      </c>
    </row>
    <row r="2084">
      <c r="A2084" s="51" t="s">
        <v>11381</v>
      </c>
      <c r="B2084" s="51" t="s">
        <v>9132</v>
      </c>
      <c r="C2084" s="51" t="s">
        <v>25</v>
      </c>
      <c r="D2084" s="57">
        <v>45216.07007469908</v>
      </c>
    </row>
    <row r="2085">
      <c r="A2085" s="51" t="s">
        <v>11381</v>
      </c>
      <c r="B2085" s="51"/>
      <c r="C2085" s="51"/>
      <c r="D2085" s="57">
        <v>45216.11659145833</v>
      </c>
    </row>
    <row r="2086">
      <c r="A2086" s="51" t="s">
        <v>11381</v>
      </c>
      <c r="B2086" s="51" t="s">
        <v>6622</v>
      </c>
      <c r="C2086" s="51" t="s">
        <v>25</v>
      </c>
      <c r="D2086" s="57">
        <v>45216.12041548611</v>
      </c>
    </row>
    <row r="2087">
      <c r="A2087" s="51" t="s">
        <v>11260</v>
      </c>
      <c r="B2087" s="51" t="s">
        <v>2090</v>
      </c>
      <c r="C2087" s="51" t="s">
        <v>25</v>
      </c>
      <c r="D2087" s="57">
        <v>45216.166633518515</v>
      </c>
    </row>
    <row r="2088">
      <c r="A2088" s="51" t="s">
        <v>11380</v>
      </c>
      <c r="B2088" s="51" t="s">
        <v>8815</v>
      </c>
      <c r="C2088" s="51" t="s">
        <v>25</v>
      </c>
      <c r="D2088" s="57">
        <v>45216.19377655092</v>
      </c>
    </row>
    <row r="2089">
      <c r="A2089" s="51" t="s">
        <v>11378</v>
      </c>
      <c r="B2089" s="51" t="s">
        <v>8619</v>
      </c>
      <c r="C2089" s="51" t="s">
        <v>25</v>
      </c>
      <c r="D2089" s="57">
        <v>45216.19845916667</v>
      </c>
    </row>
    <row r="2090">
      <c r="A2090" s="51" t="s">
        <v>11378</v>
      </c>
      <c r="B2090" s="51" t="s">
        <v>7190</v>
      </c>
      <c r="C2090" s="51" t="s">
        <v>25</v>
      </c>
      <c r="D2090" s="57">
        <v>45216.20737314815</v>
      </c>
    </row>
    <row r="2091">
      <c r="A2091" s="51" t="s">
        <v>11221</v>
      </c>
      <c r="B2091" s="51" t="s">
        <v>7393</v>
      </c>
      <c r="C2091" s="51" t="s">
        <v>84</v>
      </c>
      <c r="D2091" s="57">
        <v>45216.286977372685</v>
      </c>
    </row>
    <row r="2092">
      <c r="A2092" s="51" t="s">
        <v>11221</v>
      </c>
      <c r="B2092" s="51" t="s">
        <v>4039</v>
      </c>
      <c r="C2092" s="51" t="s">
        <v>110</v>
      </c>
      <c r="D2092" s="57">
        <v>45216.28983634259</v>
      </c>
    </row>
    <row r="2093">
      <c r="A2093" s="51" t="s">
        <v>11382</v>
      </c>
      <c r="B2093" s="51" t="s">
        <v>360</v>
      </c>
      <c r="C2093" s="51" t="s">
        <v>110</v>
      </c>
      <c r="D2093" s="57">
        <v>45216.41659815972</v>
      </c>
    </row>
    <row r="2094">
      <c r="A2094" s="51" t="s">
        <v>11382</v>
      </c>
      <c r="B2094" s="51" t="s">
        <v>9505</v>
      </c>
      <c r="C2094" s="51" t="s">
        <v>110</v>
      </c>
      <c r="D2094" s="57">
        <v>45216.422802835645</v>
      </c>
    </row>
    <row r="2095">
      <c r="A2095" s="51" t="s">
        <v>11383</v>
      </c>
      <c r="B2095" s="51" t="s">
        <v>8815</v>
      </c>
      <c r="C2095" s="51" t="s">
        <v>25</v>
      </c>
      <c r="D2095" s="57">
        <v>45216.97055967593</v>
      </c>
    </row>
    <row r="2096">
      <c r="A2096" s="51" t="s">
        <v>11380</v>
      </c>
      <c r="B2096" s="51" t="s">
        <v>8561</v>
      </c>
      <c r="C2096" s="51" t="s">
        <v>25</v>
      </c>
      <c r="D2096" s="57">
        <v>45217.1032540625</v>
      </c>
    </row>
    <row r="2097">
      <c r="A2097" s="51" t="s">
        <v>11384</v>
      </c>
      <c r="B2097" s="51" t="s">
        <v>10863</v>
      </c>
      <c r="C2097" s="51" t="s">
        <v>25</v>
      </c>
      <c r="D2097" s="57">
        <v>45217.20938172453</v>
      </c>
    </row>
    <row r="2098">
      <c r="A2098" s="51" t="s">
        <v>11385</v>
      </c>
      <c r="B2098" s="51" t="s">
        <v>1234</v>
      </c>
      <c r="C2098" s="51" t="s">
        <v>25</v>
      </c>
      <c r="D2098" s="57">
        <v>45217.71566008102</v>
      </c>
    </row>
    <row r="2099">
      <c r="A2099" s="51" t="s">
        <v>11385</v>
      </c>
      <c r="B2099" s="51" t="s">
        <v>1234</v>
      </c>
      <c r="C2099" s="51" t="s">
        <v>25</v>
      </c>
      <c r="D2099" s="57">
        <v>45217.71576155093</v>
      </c>
    </row>
    <row r="2100">
      <c r="A2100" s="51" t="s">
        <v>11358</v>
      </c>
      <c r="B2100" s="51" t="s">
        <v>9277</v>
      </c>
      <c r="C2100" s="51" t="s">
        <v>110</v>
      </c>
      <c r="D2100" s="57">
        <v>45217.79311488426</v>
      </c>
    </row>
    <row r="2101">
      <c r="A2101" s="51" t="s">
        <v>11380</v>
      </c>
      <c r="B2101" s="51" t="s">
        <v>8561</v>
      </c>
      <c r="C2101" s="51" t="s">
        <v>25</v>
      </c>
      <c r="D2101" s="57">
        <v>45217.99608207176</v>
      </c>
    </row>
    <row r="2102">
      <c r="A2102" s="51" t="s">
        <v>11385</v>
      </c>
      <c r="B2102" s="51" t="s">
        <v>478</v>
      </c>
      <c r="C2102" s="51" t="s">
        <v>25</v>
      </c>
      <c r="D2102" s="57">
        <v>45218.70865082176</v>
      </c>
    </row>
    <row r="2103">
      <c r="A2103" s="51" t="s">
        <v>11385</v>
      </c>
      <c r="B2103" s="51" t="s">
        <v>1857</v>
      </c>
      <c r="C2103" s="51" t="s">
        <v>25</v>
      </c>
      <c r="D2103" s="57">
        <v>45218.70991938657</v>
      </c>
    </row>
    <row r="2104">
      <c r="A2104" s="51" t="s">
        <v>11385</v>
      </c>
      <c r="B2104" s="51" t="s">
        <v>3497</v>
      </c>
      <c r="C2104" s="51" t="s">
        <v>25</v>
      </c>
      <c r="D2104" s="57">
        <v>45218.712098923614</v>
      </c>
    </row>
    <row r="2105">
      <c r="A2105" s="51" t="s">
        <v>11385</v>
      </c>
      <c r="B2105" s="51" t="s">
        <v>7190</v>
      </c>
      <c r="C2105" s="51" t="s">
        <v>25</v>
      </c>
      <c r="D2105" s="57">
        <v>45218.71576097222</v>
      </c>
    </row>
    <row r="2106">
      <c r="A2106" s="51" t="s">
        <v>11385</v>
      </c>
      <c r="B2106" s="51" t="s">
        <v>8619</v>
      </c>
      <c r="C2106" s="51" t="s">
        <v>25</v>
      </c>
      <c r="D2106" s="57">
        <v>45218.71747765046</v>
      </c>
    </row>
    <row r="2107">
      <c r="A2107" s="51" t="s">
        <v>11386</v>
      </c>
      <c r="B2107" s="51"/>
      <c r="C2107" s="51"/>
      <c r="D2107" s="57">
        <v>45218.85940523148</v>
      </c>
    </row>
    <row r="2108">
      <c r="A2108" s="51" t="s">
        <v>11386</v>
      </c>
      <c r="B2108" s="51" t="s">
        <v>8619</v>
      </c>
      <c r="C2108" s="51" t="s">
        <v>25</v>
      </c>
      <c r="D2108" s="57">
        <v>45218.85969697917</v>
      </c>
    </row>
    <row r="2109">
      <c r="A2109" s="51" t="s">
        <v>11387</v>
      </c>
      <c r="B2109" s="51" t="s">
        <v>8619</v>
      </c>
      <c r="C2109" s="51" t="s">
        <v>25</v>
      </c>
      <c r="D2109" s="57">
        <v>45219.05925164351</v>
      </c>
    </row>
    <row r="2110">
      <c r="A2110" s="51" t="s">
        <v>11388</v>
      </c>
      <c r="B2110" s="51" t="s">
        <v>123</v>
      </c>
      <c r="C2110" s="51" t="s">
        <v>25</v>
      </c>
      <c r="D2110" s="57">
        <v>45219.332240625</v>
      </c>
    </row>
    <row r="2111">
      <c r="A2111" s="51" t="s">
        <v>11388</v>
      </c>
      <c r="B2111" s="51" t="s">
        <v>123</v>
      </c>
      <c r="C2111" s="51" t="s">
        <v>25</v>
      </c>
      <c r="D2111" s="57">
        <v>45219.332883888885</v>
      </c>
    </row>
    <row r="2112">
      <c r="A2112" s="51" t="s">
        <v>11389</v>
      </c>
      <c r="B2112" s="51" t="s">
        <v>20</v>
      </c>
      <c r="C2112" s="51" t="s">
        <v>25</v>
      </c>
      <c r="D2112" s="57">
        <v>45219.37693751157</v>
      </c>
    </row>
    <row r="2113">
      <c r="A2113" s="51" t="s">
        <v>11389</v>
      </c>
      <c r="B2113" s="51" t="s">
        <v>10755</v>
      </c>
      <c r="C2113" s="51" t="s">
        <v>25</v>
      </c>
      <c r="D2113" s="57">
        <v>45219.38999578704</v>
      </c>
    </row>
    <row r="2114">
      <c r="A2114" s="51" t="s">
        <v>11389</v>
      </c>
      <c r="B2114" s="51" t="s">
        <v>10904</v>
      </c>
      <c r="C2114" s="51" t="s">
        <v>25</v>
      </c>
      <c r="D2114" s="57">
        <v>45219.44504009259</v>
      </c>
    </row>
    <row r="2115">
      <c r="A2115" s="51" t="s">
        <v>11389</v>
      </c>
      <c r="B2115" s="51" t="s">
        <v>10854</v>
      </c>
      <c r="C2115" s="51" t="s">
        <v>25</v>
      </c>
      <c r="D2115" s="57">
        <v>45219.44801771991</v>
      </c>
    </row>
    <row r="2116">
      <c r="A2116" s="51" t="s">
        <v>11389</v>
      </c>
      <c r="B2116" s="51" t="s">
        <v>10744</v>
      </c>
      <c r="C2116" s="51" t="s">
        <v>25</v>
      </c>
      <c r="D2116" s="57">
        <v>45219.4564925</v>
      </c>
    </row>
    <row r="2117">
      <c r="A2117" s="51" t="s">
        <v>11389</v>
      </c>
      <c r="B2117" s="51" t="s">
        <v>10611</v>
      </c>
      <c r="C2117" s="51" t="s">
        <v>25</v>
      </c>
      <c r="D2117" s="57">
        <v>45219.46049923611</v>
      </c>
    </row>
    <row r="2118">
      <c r="A2118" s="51" t="s">
        <v>11389</v>
      </c>
      <c r="B2118" s="51" t="s">
        <v>10298</v>
      </c>
      <c r="C2118" s="51" t="s">
        <v>25</v>
      </c>
      <c r="D2118" s="57">
        <v>45219.470495092595</v>
      </c>
    </row>
    <row r="2119">
      <c r="A2119" s="51" t="s">
        <v>11389</v>
      </c>
      <c r="B2119" s="51" t="s">
        <v>10298</v>
      </c>
      <c r="C2119" s="51" t="s">
        <v>25</v>
      </c>
      <c r="D2119" s="57">
        <v>45219.4705852662</v>
      </c>
    </row>
    <row r="2120">
      <c r="A2120" s="51" t="s">
        <v>11389</v>
      </c>
      <c r="B2120" s="51" t="s">
        <v>6205</v>
      </c>
      <c r="C2120" s="51" t="s">
        <v>25</v>
      </c>
      <c r="D2120" s="57">
        <v>45219.88813071759</v>
      </c>
    </row>
    <row r="2121">
      <c r="A2121" s="51" t="s">
        <v>11390</v>
      </c>
      <c r="B2121" s="51" t="s">
        <v>7931</v>
      </c>
      <c r="C2121" s="51" t="s">
        <v>141</v>
      </c>
      <c r="D2121" s="57">
        <v>45220.13943989584</v>
      </c>
    </row>
    <row r="2122">
      <c r="A2122" s="51" t="s">
        <v>11390</v>
      </c>
      <c r="B2122" s="51" t="s">
        <v>7931</v>
      </c>
      <c r="C2122" s="51" t="s">
        <v>141</v>
      </c>
      <c r="D2122" s="57">
        <v>45220.1394603588</v>
      </c>
    </row>
    <row r="2123">
      <c r="A2123" s="51" t="s">
        <v>11390</v>
      </c>
      <c r="B2123" s="51" t="s">
        <v>171</v>
      </c>
      <c r="C2123" s="51" t="s">
        <v>157</v>
      </c>
      <c r="D2123" s="57">
        <v>45220.16863570602</v>
      </c>
    </row>
    <row r="2124">
      <c r="A2124" s="51" t="s">
        <v>11390</v>
      </c>
      <c r="B2124" s="51" t="s">
        <v>171</v>
      </c>
      <c r="C2124" s="51" t="s">
        <v>157</v>
      </c>
      <c r="D2124" s="57">
        <v>45220.16865391204</v>
      </c>
    </row>
    <row r="2125">
      <c r="A2125" s="51" t="s">
        <v>11385</v>
      </c>
      <c r="B2125" s="51" t="s">
        <v>7991</v>
      </c>
      <c r="C2125" s="51" t="s">
        <v>25</v>
      </c>
      <c r="D2125" s="57">
        <v>45220.35982453704</v>
      </c>
    </row>
    <row r="2126">
      <c r="A2126" s="51" t="s">
        <v>11385</v>
      </c>
      <c r="B2126" s="51" t="s">
        <v>10673</v>
      </c>
      <c r="C2126" s="51" t="s">
        <v>25</v>
      </c>
      <c r="D2126" s="57">
        <v>45220.36038267361</v>
      </c>
    </row>
    <row r="2127">
      <c r="A2127" s="51" t="s">
        <v>11333</v>
      </c>
      <c r="B2127" s="51" t="s">
        <v>5819</v>
      </c>
      <c r="C2127" s="51" t="s">
        <v>216</v>
      </c>
      <c r="D2127" s="57">
        <v>45222.15825861111</v>
      </c>
    </row>
    <row r="2128">
      <c r="A2128" s="51" t="s">
        <v>11380</v>
      </c>
      <c r="B2128" s="51" t="s">
        <v>9457</v>
      </c>
      <c r="C2128" s="51" t="s">
        <v>25</v>
      </c>
      <c r="D2128" s="57">
        <v>45224.06886784722</v>
      </c>
    </row>
    <row r="2129">
      <c r="A2129" s="51" t="s">
        <v>11390</v>
      </c>
      <c r="B2129" s="51" t="s">
        <v>507</v>
      </c>
      <c r="C2129" s="51" t="s">
        <v>25</v>
      </c>
      <c r="D2129" s="57">
        <v>45224.844218865735</v>
      </c>
    </row>
    <row r="2130">
      <c r="A2130" s="51" t="s">
        <v>11391</v>
      </c>
      <c r="B2130" s="51" t="s">
        <v>507</v>
      </c>
      <c r="C2130" s="51" t="s">
        <v>25</v>
      </c>
      <c r="D2130" s="57">
        <v>45224.88868229167</v>
      </c>
    </row>
    <row r="2131">
      <c r="A2131" s="51" t="s">
        <v>11391</v>
      </c>
      <c r="B2131" s="51" t="s">
        <v>507</v>
      </c>
      <c r="C2131" s="51" t="s">
        <v>25</v>
      </c>
      <c r="D2131" s="57">
        <v>45224.892870474534</v>
      </c>
    </row>
    <row r="2132">
      <c r="A2132" s="51" t="s">
        <v>11367</v>
      </c>
      <c r="B2132" s="51" t="s">
        <v>10642</v>
      </c>
      <c r="C2132" s="51" t="s">
        <v>84</v>
      </c>
      <c r="D2132" s="57">
        <v>45226.0705665162</v>
      </c>
    </row>
    <row r="2133">
      <c r="A2133" s="51" t="s">
        <v>11191</v>
      </c>
      <c r="B2133" s="51" t="s">
        <v>10653</v>
      </c>
      <c r="C2133" s="51" t="s">
        <v>25</v>
      </c>
      <c r="D2133" s="57">
        <v>45228.857028750004</v>
      </c>
    </row>
    <row r="2134">
      <c r="A2134" s="51" t="s">
        <v>11191</v>
      </c>
      <c r="B2134" s="51" t="s">
        <v>10236</v>
      </c>
      <c r="C2134" s="51" t="s">
        <v>165</v>
      </c>
      <c r="D2134" s="57">
        <v>45228.85863342593</v>
      </c>
    </row>
    <row r="2135">
      <c r="A2135" s="51" t="s">
        <v>11191</v>
      </c>
      <c r="B2135" s="51" t="s">
        <v>5375</v>
      </c>
      <c r="C2135" s="51" t="s">
        <v>165</v>
      </c>
      <c r="D2135" s="57">
        <v>45228.860319733794</v>
      </c>
    </row>
    <row r="2136">
      <c r="A2136" s="51" t="s">
        <v>11191</v>
      </c>
      <c r="B2136" s="51" t="s">
        <v>9268</v>
      </c>
      <c r="C2136" s="51" t="s">
        <v>284</v>
      </c>
      <c r="D2136" s="57">
        <v>45228.86183388889</v>
      </c>
    </row>
    <row r="2137">
      <c r="A2137" s="51" t="s">
        <v>11191</v>
      </c>
      <c r="B2137" s="51" t="s">
        <v>6109</v>
      </c>
      <c r="C2137" s="51" t="s">
        <v>25</v>
      </c>
      <c r="D2137" s="57">
        <v>45228.8824241088</v>
      </c>
    </row>
    <row r="2138">
      <c r="A2138" s="51" t="s">
        <v>11390</v>
      </c>
      <c r="B2138" s="51" t="s">
        <v>11012</v>
      </c>
      <c r="C2138" s="51" t="s">
        <v>25</v>
      </c>
      <c r="D2138" s="57">
        <v>45229.28795009259</v>
      </c>
    </row>
    <row r="2139">
      <c r="A2139" s="51" t="s">
        <v>11277</v>
      </c>
      <c r="B2139" s="51" t="s">
        <v>10217</v>
      </c>
      <c r="C2139" s="51" t="s">
        <v>84</v>
      </c>
      <c r="D2139" s="57">
        <v>45229.364353854166</v>
      </c>
    </row>
    <row r="2140">
      <c r="A2140" s="51" t="s">
        <v>11277</v>
      </c>
      <c r="B2140" s="51" t="s">
        <v>7393</v>
      </c>
      <c r="C2140" s="51" t="s">
        <v>84</v>
      </c>
      <c r="D2140" s="57">
        <v>45229.37871576389</v>
      </c>
    </row>
    <row r="2141">
      <c r="A2141" s="51" t="s">
        <v>11277</v>
      </c>
      <c r="B2141" s="51" t="s">
        <v>4039</v>
      </c>
      <c r="C2141" s="51" t="s">
        <v>110</v>
      </c>
      <c r="D2141" s="57">
        <v>45229.37981637732</v>
      </c>
    </row>
    <row r="2142">
      <c r="A2142" s="51" t="s">
        <v>11273</v>
      </c>
      <c r="B2142" s="51" t="s">
        <v>9839</v>
      </c>
      <c r="C2142" s="51" t="s">
        <v>25</v>
      </c>
      <c r="D2142" s="57">
        <v>45229.68057928241</v>
      </c>
    </row>
    <row r="2143">
      <c r="A2143" s="51" t="s">
        <v>11273</v>
      </c>
      <c r="B2143" s="51" t="s">
        <v>11012</v>
      </c>
      <c r="C2143" s="51" t="s">
        <v>25</v>
      </c>
      <c r="D2143" s="57">
        <v>45229.683259467594</v>
      </c>
    </row>
    <row r="2144">
      <c r="A2144" s="51" t="s">
        <v>11273</v>
      </c>
      <c r="B2144" s="51" t="s">
        <v>10803</v>
      </c>
      <c r="C2144" s="51" t="s">
        <v>25</v>
      </c>
      <c r="D2144" s="57">
        <v>45229.68446730324</v>
      </c>
    </row>
    <row r="2145">
      <c r="A2145" s="51" t="s">
        <v>11328</v>
      </c>
      <c r="B2145" s="51" t="s">
        <v>4866</v>
      </c>
      <c r="C2145" s="51" t="s">
        <v>68</v>
      </c>
      <c r="D2145" s="57">
        <v>45231.0514703588</v>
      </c>
    </row>
    <row r="2146">
      <c r="A2146" s="51" t="s">
        <v>11374</v>
      </c>
      <c r="B2146" s="51" t="s">
        <v>7665</v>
      </c>
      <c r="C2146" s="51" t="s">
        <v>25</v>
      </c>
      <c r="D2146" s="57">
        <v>45232.96183223379</v>
      </c>
    </row>
    <row r="2147">
      <c r="A2147" s="51" t="s">
        <v>11380</v>
      </c>
      <c r="B2147" s="51" t="s">
        <v>10673</v>
      </c>
      <c r="C2147" s="51" t="s">
        <v>25</v>
      </c>
      <c r="D2147" s="57">
        <v>45234.736748842595</v>
      </c>
    </row>
    <row r="2148">
      <c r="A2148" s="51" t="s">
        <v>11363</v>
      </c>
      <c r="B2148" s="51" t="s">
        <v>90</v>
      </c>
      <c r="C2148" s="51" t="s">
        <v>93</v>
      </c>
      <c r="D2148" s="57">
        <v>45235.304881874996</v>
      </c>
    </row>
    <row r="2149">
      <c r="A2149" s="51" t="s">
        <v>11277</v>
      </c>
      <c r="B2149" s="51" t="s">
        <v>4039</v>
      </c>
      <c r="C2149" s="51" t="s">
        <v>110</v>
      </c>
      <c r="D2149" s="57">
        <v>45237.291413032406</v>
      </c>
    </row>
    <row r="2150">
      <c r="A2150" s="51" t="s">
        <v>11277</v>
      </c>
      <c r="B2150" s="51" t="s">
        <v>6797</v>
      </c>
      <c r="C2150" s="51" t="s">
        <v>84</v>
      </c>
      <c r="D2150" s="57">
        <v>45237.30500928241</v>
      </c>
    </row>
    <row r="2151">
      <c r="A2151" s="51" t="s">
        <v>11277</v>
      </c>
      <c r="B2151" s="51" t="s">
        <v>6797</v>
      </c>
      <c r="C2151" s="51" t="s">
        <v>84</v>
      </c>
      <c r="D2151" s="57">
        <v>45237.30501725695</v>
      </c>
    </row>
    <row r="2152">
      <c r="A2152" s="51" t="s">
        <v>11293</v>
      </c>
      <c r="B2152" s="51" t="s">
        <v>8602</v>
      </c>
      <c r="C2152" s="51" t="s">
        <v>25</v>
      </c>
      <c r="D2152" s="57">
        <v>45237.332013182866</v>
      </c>
    </row>
    <row r="2153">
      <c r="A2153" s="51" t="s">
        <v>11191</v>
      </c>
      <c r="B2153" s="51" t="s">
        <v>10973</v>
      </c>
      <c r="C2153" s="51" t="s">
        <v>284</v>
      </c>
      <c r="D2153" s="57">
        <v>45241.147239768514</v>
      </c>
    </row>
    <row r="2154">
      <c r="A2154" s="51" t="s">
        <v>11293</v>
      </c>
      <c r="B2154" s="51" t="s">
        <v>391</v>
      </c>
      <c r="C2154" s="51" t="s">
        <v>25</v>
      </c>
      <c r="D2154" s="57">
        <v>45244.07499666666</v>
      </c>
    </row>
    <row r="2155">
      <c r="A2155" s="51" t="s">
        <v>11293</v>
      </c>
      <c r="B2155" s="51" t="s">
        <v>8530</v>
      </c>
      <c r="C2155" s="51" t="s">
        <v>25</v>
      </c>
      <c r="D2155" s="57">
        <v>45244.08786349537</v>
      </c>
    </row>
    <row r="2156">
      <c r="A2156" s="51" t="s">
        <v>11240</v>
      </c>
      <c r="B2156" s="51" t="s">
        <v>9751</v>
      </c>
      <c r="C2156" s="51" t="s">
        <v>25</v>
      </c>
      <c r="D2156" s="57">
        <v>45244.910350474536</v>
      </c>
    </row>
    <row r="2157">
      <c r="A2157" s="51" t="s">
        <v>11368</v>
      </c>
      <c r="B2157" s="51" t="s">
        <v>9751</v>
      </c>
      <c r="C2157" s="51" t="s">
        <v>25</v>
      </c>
      <c r="D2157" s="57">
        <v>45244.91106337963</v>
      </c>
    </row>
    <row r="2158">
      <c r="A2158" s="51" t="s">
        <v>11273</v>
      </c>
      <c r="B2158" s="51" t="s">
        <v>4311</v>
      </c>
      <c r="C2158" s="51" t="s">
        <v>25</v>
      </c>
      <c r="D2158" s="57">
        <v>45246.73165290509</v>
      </c>
    </row>
    <row r="2159">
      <c r="A2159" s="51" t="s">
        <v>11385</v>
      </c>
      <c r="B2159" s="51" t="s">
        <v>3238</v>
      </c>
      <c r="C2159" s="51" t="s">
        <v>275</v>
      </c>
      <c r="D2159" s="57">
        <v>45246.732322129625</v>
      </c>
    </row>
    <row r="2160">
      <c r="A2160" s="51" t="s">
        <v>11286</v>
      </c>
      <c r="B2160" s="51" t="s">
        <v>10983</v>
      </c>
      <c r="C2160" s="51" t="s">
        <v>1410</v>
      </c>
      <c r="D2160" s="57">
        <v>45247.88250910879</v>
      </c>
    </row>
    <row r="2161">
      <c r="A2161" s="51" t="s">
        <v>11286</v>
      </c>
      <c r="B2161" s="51" t="s">
        <v>10632</v>
      </c>
      <c r="C2161" s="51" t="s">
        <v>1070</v>
      </c>
      <c r="D2161" s="57">
        <v>45247.88587615741</v>
      </c>
    </row>
    <row r="2162">
      <c r="A2162" s="51" t="s">
        <v>11286</v>
      </c>
      <c r="B2162" s="51" t="s">
        <v>10289</v>
      </c>
      <c r="C2162" s="51" t="s">
        <v>165</v>
      </c>
      <c r="D2162" s="57">
        <v>45247.8918806713</v>
      </c>
    </row>
    <row r="2163">
      <c r="A2163" s="51" t="s">
        <v>11378</v>
      </c>
      <c r="B2163" s="51" t="s">
        <v>10307</v>
      </c>
      <c r="C2163" s="51" t="s">
        <v>25</v>
      </c>
      <c r="D2163" s="57">
        <v>45251.30571988426</v>
      </c>
    </row>
    <row r="2164">
      <c r="A2164" s="51" t="s">
        <v>11378</v>
      </c>
      <c r="B2164" s="51" t="s">
        <v>7574</v>
      </c>
      <c r="C2164" s="51" t="s">
        <v>25</v>
      </c>
      <c r="D2164" s="57">
        <v>45251.308577303236</v>
      </c>
    </row>
    <row r="2165">
      <c r="A2165" s="51" t="s">
        <v>11378</v>
      </c>
      <c r="B2165" s="51" t="s">
        <v>7574</v>
      </c>
      <c r="C2165" s="51" t="s">
        <v>25</v>
      </c>
      <c r="D2165" s="57">
        <v>45251.31058009259</v>
      </c>
    </row>
    <row r="2166">
      <c r="A2166" s="51" t="s">
        <v>11378</v>
      </c>
      <c r="B2166" s="51" t="s">
        <v>8695</v>
      </c>
      <c r="C2166" s="51" t="s">
        <v>25</v>
      </c>
      <c r="D2166" s="57">
        <v>45251.311547997684</v>
      </c>
    </row>
    <row r="2167">
      <c r="A2167" s="51" t="s">
        <v>11319</v>
      </c>
      <c r="B2167" s="51" t="s">
        <v>115</v>
      </c>
      <c r="C2167" s="51" t="s">
        <v>84</v>
      </c>
      <c r="D2167" s="57">
        <v>45253.245444444445</v>
      </c>
    </row>
    <row r="2168">
      <c r="A2168" s="51" t="s">
        <v>11319</v>
      </c>
      <c r="B2168" s="51" t="s">
        <v>10393</v>
      </c>
      <c r="C2168" s="51" t="s">
        <v>84</v>
      </c>
      <c r="D2168" s="57">
        <v>45253.25638763889</v>
      </c>
    </row>
    <row r="2169">
      <c r="A2169" s="51" t="s">
        <v>11319</v>
      </c>
      <c r="B2169" s="51" t="s">
        <v>11001</v>
      </c>
      <c r="C2169" s="51" t="s">
        <v>84</v>
      </c>
      <c r="D2169" s="57">
        <v>45253.260957025464</v>
      </c>
    </row>
    <row r="2170">
      <c r="A2170" s="51" t="s">
        <v>11312</v>
      </c>
      <c r="B2170" s="51" t="s">
        <v>9338</v>
      </c>
      <c r="C2170" s="51" t="s">
        <v>110</v>
      </c>
      <c r="D2170" s="57">
        <v>45254.047541782405</v>
      </c>
    </row>
    <row r="2171">
      <c r="A2171" s="51" t="s">
        <v>11312</v>
      </c>
      <c r="B2171" s="51" t="s">
        <v>6080</v>
      </c>
      <c r="C2171" s="51" t="s">
        <v>292</v>
      </c>
      <c r="D2171" s="57">
        <v>45254.05312266204</v>
      </c>
    </row>
    <row r="2172">
      <c r="A2172" s="51" t="s">
        <v>11312</v>
      </c>
      <c r="B2172" s="51" t="s">
        <v>6080</v>
      </c>
      <c r="C2172" s="51" t="s">
        <v>292</v>
      </c>
      <c r="D2172" s="57">
        <v>45254.05833483796</v>
      </c>
    </row>
    <row r="2173">
      <c r="A2173" s="51" t="s">
        <v>11312</v>
      </c>
      <c r="B2173" s="51" t="s">
        <v>7797</v>
      </c>
      <c r="C2173" s="51" t="s">
        <v>25</v>
      </c>
      <c r="D2173" s="57">
        <v>45254.05870652778</v>
      </c>
    </row>
    <row r="2174">
      <c r="A2174" s="51" t="s">
        <v>11312</v>
      </c>
      <c r="B2174" s="51" t="s">
        <v>4532</v>
      </c>
      <c r="C2174" s="51" t="s">
        <v>517</v>
      </c>
      <c r="D2174" s="57">
        <v>45254.06074584491</v>
      </c>
    </row>
    <row r="2175">
      <c r="A2175" s="51" t="s">
        <v>11286</v>
      </c>
      <c r="B2175" s="51" t="s">
        <v>10803</v>
      </c>
      <c r="C2175" s="51" t="s">
        <v>25</v>
      </c>
      <c r="D2175" s="57">
        <v>45255.24494414352</v>
      </c>
    </row>
    <row r="2176">
      <c r="A2176" s="51" t="s">
        <v>11286</v>
      </c>
      <c r="B2176" s="51" t="s">
        <v>10168</v>
      </c>
      <c r="C2176" s="51" t="s">
        <v>165</v>
      </c>
      <c r="D2176" s="57">
        <v>45255.247528912034</v>
      </c>
    </row>
    <row r="2177">
      <c r="A2177" s="51" t="s">
        <v>11286</v>
      </c>
      <c r="B2177" s="51" t="s">
        <v>8883</v>
      </c>
      <c r="C2177" s="51" t="s">
        <v>165</v>
      </c>
      <c r="D2177" s="57">
        <v>45255.25066388889</v>
      </c>
    </row>
    <row r="2178">
      <c r="A2178" s="51" t="s">
        <v>11286</v>
      </c>
      <c r="B2178" s="51" t="s">
        <v>9399</v>
      </c>
      <c r="C2178" s="51" t="s">
        <v>165</v>
      </c>
      <c r="D2178" s="57">
        <v>45255.25163414352</v>
      </c>
    </row>
    <row r="2179">
      <c r="A2179" s="51" t="s">
        <v>11286</v>
      </c>
      <c r="B2179" s="51" t="s">
        <v>9626</v>
      </c>
      <c r="C2179" s="51" t="s">
        <v>165</v>
      </c>
      <c r="D2179" s="57">
        <v>45255.25210023148</v>
      </c>
    </row>
    <row r="2180">
      <c r="A2180" s="51" t="s">
        <v>11286</v>
      </c>
      <c r="B2180" s="51" t="s">
        <v>10005</v>
      </c>
      <c r="C2180" s="51" t="s">
        <v>165</v>
      </c>
      <c r="D2180" s="57">
        <v>45255.252514618056</v>
      </c>
    </row>
    <row r="2181">
      <c r="A2181" s="51" t="s">
        <v>11286</v>
      </c>
      <c r="B2181" s="51" t="s">
        <v>10005</v>
      </c>
      <c r="C2181" s="51" t="s">
        <v>165</v>
      </c>
      <c r="D2181" s="57">
        <v>45255.25300846065</v>
      </c>
    </row>
    <row r="2182">
      <c r="A2182" s="51" t="s">
        <v>11286</v>
      </c>
      <c r="B2182" s="51" t="s">
        <v>10632</v>
      </c>
      <c r="C2182" s="51" t="s">
        <v>1070</v>
      </c>
      <c r="D2182" s="57">
        <v>45255.25356287037</v>
      </c>
    </row>
    <row r="2183">
      <c r="A2183" s="51" t="s">
        <v>11281</v>
      </c>
      <c r="B2183" s="51" t="s">
        <v>10874</v>
      </c>
      <c r="C2183" s="51" t="s">
        <v>110</v>
      </c>
      <c r="D2183" s="57">
        <v>45256.36935059028</v>
      </c>
    </row>
    <row r="2184">
      <c r="A2184" s="51" t="s">
        <v>11294</v>
      </c>
      <c r="B2184" s="51" t="s">
        <v>10673</v>
      </c>
      <c r="C2184" s="51" t="s">
        <v>25</v>
      </c>
      <c r="D2184" s="57">
        <v>45257.13472947916</v>
      </c>
    </row>
    <row r="2185">
      <c r="A2185" s="51" t="s">
        <v>11294</v>
      </c>
      <c r="B2185" s="51" t="s">
        <v>10673</v>
      </c>
      <c r="C2185" s="51" t="s">
        <v>25</v>
      </c>
      <c r="D2185" s="57">
        <v>45257.137773877315</v>
      </c>
    </row>
    <row r="2186">
      <c r="A2186" s="51" t="s">
        <v>11294</v>
      </c>
      <c r="B2186" s="51"/>
      <c r="C2186" s="51"/>
      <c r="D2186" s="57">
        <v>45257.332034652776</v>
      </c>
    </row>
    <row r="2187">
      <c r="A2187" s="51" t="s">
        <v>11294</v>
      </c>
      <c r="B2187" s="51" t="s">
        <v>9868</v>
      </c>
      <c r="C2187" s="51" t="s">
        <v>25</v>
      </c>
      <c r="D2187" s="57">
        <v>45257.33275460648</v>
      </c>
    </row>
    <row r="2188">
      <c r="A2188" s="51" t="s">
        <v>11273</v>
      </c>
      <c r="B2188" s="51" t="s">
        <v>11012</v>
      </c>
      <c r="C2188" s="51" t="s">
        <v>25</v>
      </c>
      <c r="D2188" s="57">
        <v>45257.82688275463</v>
      </c>
    </row>
    <row r="2189">
      <c r="A2189" s="51" t="s">
        <v>11273</v>
      </c>
      <c r="B2189" s="51" t="s">
        <v>11012</v>
      </c>
      <c r="C2189" s="51" t="s">
        <v>25</v>
      </c>
      <c r="D2189" s="57">
        <v>45257.827567071756</v>
      </c>
    </row>
    <row r="2190">
      <c r="A2190" s="51" t="s">
        <v>11273</v>
      </c>
      <c r="B2190" s="51" t="s">
        <v>10346</v>
      </c>
      <c r="C2190" s="51" t="s">
        <v>25</v>
      </c>
      <c r="D2190" s="57">
        <v>45257.82991255787</v>
      </c>
    </row>
    <row r="2191">
      <c r="A2191" s="51" t="s">
        <v>11273</v>
      </c>
      <c r="B2191" s="51" t="s">
        <v>4695</v>
      </c>
      <c r="C2191" s="51" t="s">
        <v>25</v>
      </c>
      <c r="D2191" s="57">
        <v>45257.832996805555</v>
      </c>
    </row>
    <row r="2192">
      <c r="A2192" s="51" t="s">
        <v>11273</v>
      </c>
      <c r="B2192" s="51" t="s">
        <v>4695</v>
      </c>
      <c r="C2192" s="51" t="s">
        <v>25</v>
      </c>
      <c r="D2192" s="57">
        <v>45257.833099525466</v>
      </c>
    </row>
    <row r="2193">
      <c r="A2193" s="51" t="s">
        <v>11385</v>
      </c>
      <c r="B2193" s="51" t="s">
        <v>10673</v>
      </c>
      <c r="C2193" s="51" t="s">
        <v>25</v>
      </c>
      <c r="D2193" s="57">
        <v>45258.12036179398</v>
      </c>
    </row>
    <row r="2194">
      <c r="A2194" s="51" t="s">
        <v>11378</v>
      </c>
      <c r="B2194" s="51" t="s">
        <v>4412</v>
      </c>
      <c r="C2194" s="51" t="s">
        <v>110</v>
      </c>
      <c r="D2194" s="57">
        <v>45259.82463820602</v>
      </c>
    </row>
    <row r="2195">
      <c r="A2195" s="51" t="s">
        <v>11273</v>
      </c>
      <c r="B2195" s="51" t="s">
        <v>7256</v>
      </c>
      <c r="C2195" s="51" t="s">
        <v>25</v>
      </c>
      <c r="D2195" s="57">
        <v>45259.86265648148</v>
      </c>
    </row>
    <row r="2196">
      <c r="A2196" s="51" t="s">
        <v>11273</v>
      </c>
      <c r="B2196" s="51" t="s">
        <v>9839</v>
      </c>
      <c r="C2196" s="51" t="s">
        <v>25</v>
      </c>
      <c r="D2196" s="57">
        <v>45260.11348378472</v>
      </c>
    </row>
    <row r="2197">
      <c r="A2197" s="51" t="s">
        <v>11232</v>
      </c>
      <c r="B2197" s="51" t="s">
        <v>470</v>
      </c>
      <c r="C2197" s="51" t="s">
        <v>84</v>
      </c>
      <c r="D2197" s="57">
        <v>45260.24046332176</v>
      </c>
    </row>
    <row r="2198">
      <c r="A2198" s="51" t="s">
        <v>11392</v>
      </c>
      <c r="B2198" s="51" t="s">
        <v>9505</v>
      </c>
      <c r="C2198" s="51" t="s">
        <v>110</v>
      </c>
      <c r="D2198" s="57">
        <v>45261.08798491898</v>
      </c>
    </row>
    <row r="2199">
      <c r="A2199" s="51" t="s">
        <v>11324</v>
      </c>
      <c r="B2199" s="51" t="s">
        <v>10991</v>
      </c>
      <c r="C2199" s="51" t="s">
        <v>316</v>
      </c>
      <c r="D2199" s="57">
        <v>45262.41187476851</v>
      </c>
    </row>
    <row r="2200">
      <c r="A2200" s="51" t="s">
        <v>11324</v>
      </c>
      <c r="B2200" s="51" t="s">
        <v>10991</v>
      </c>
      <c r="C2200" s="51" t="s">
        <v>316</v>
      </c>
      <c r="D2200" s="57">
        <v>45262.41644863426</v>
      </c>
    </row>
    <row r="2201">
      <c r="A2201" s="51" t="s">
        <v>11324</v>
      </c>
      <c r="B2201" s="51" t="s">
        <v>640</v>
      </c>
      <c r="C2201" s="51" t="s">
        <v>316</v>
      </c>
      <c r="D2201" s="57">
        <v>45264.50679114583</v>
      </c>
    </row>
    <row r="2202">
      <c r="A2202" s="51" t="s">
        <v>11324</v>
      </c>
      <c r="B2202" s="51" t="s">
        <v>7940</v>
      </c>
      <c r="C2202" s="51" t="s">
        <v>316</v>
      </c>
      <c r="D2202" s="57">
        <v>45264.50922037037</v>
      </c>
    </row>
    <row r="2203">
      <c r="A2203" s="51" t="s">
        <v>11318</v>
      </c>
      <c r="B2203" s="51" t="s">
        <v>10783</v>
      </c>
      <c r="C2203" s="51" t="s">
        <v>68</v>
      </c>
      <c r="D2203" s="57">
        <v>45265.341309490745</v>
      </c>
    </row>
    <row r="2204">
      <c r="A2204" s="51" t="s">
        <v>11324</v>
      </c>
      <c r="B2204" s="51" t="s">
        <v>4577</v>
      </c>
      <c r="C2204" s="51" t="s">
        <v>84</v>
      </c>
      <c r="D2204" s="57">
        <v>45268.06103210648</v>
      </c>
    </row>
    <row r="2205">
      <c r="A2205" s="51" t="s">
        <v>11375</v>
      </c>
      <c r="B2205" s="51"/>
      <c r="C2205" s="51"/>
      <c r="D2205" s="57">
        <v>45268.06678375</v>
      </c>
    </row>
    <row r="2206">
      <c r="A2206" s="51" t="s">
        <v>11375</v>
      </c>
      <c r="B2206" s="51" t="s">
        <v>1504</v>
      </c>
      <c r="C2206" s="51" t="s">
        <v>216</v>
      </c>
      <c r="D2206" s="57">
        <v>45268.067140300926</v>
      </c>
    </row>
    <row r="2207">
      <c r="A2207" s="51" t="s">
        <v>11375</v>
      </c>
      <c r="B2207" s="51" t="s">
        <v>1504</v>
      </c>
      <c r="C2207" s="51" t="s">
        <v>216</v>
      </c>
      <c r="D2207" s="57">
        <v>45268.067158136575</v>
      </c>
    </row>
    <row r="2208">
      <c r="A2208" s="51" t="s">
        <v>11375</v>
      </c>
      <c r="B2208" s="51" t="s">
        <v>1113</v>
      </c>
      <c r="C2208" s="51" t="s">
        <v>216</v>
      </c>
      <c r="D2208" s="57">
        <v>45268.071359548616</v>
      </c>
    </row>
    <row r="2209">
      <c r="A2209" s="51" t="s">
        <v>11273</v>
      </c>
      <c r="B2209" s="51" t="s">
        <v>8422</v>
      </c>
      <c r="C2209" s="51" t="s">
        <v>25</v>
      </c>
      <c r="D2209" s="57">
        <v>45276.35355528935</v>
      </c>
    </row>
    <row r="2210">
      <c r="A2210" s="51" t="s">
        <v>11393</v>
      </c>
      <c r="B2210" s="51" t="s">
        <v>115</v>
      </c>
      <c r="C2210" s="51" t="s">
        <v>84</v>
      </c>
      <c r="D2210" s="57">
        <v>45289.91978280093</v>
      </c>
    </row>
    <row r="2211">
      <c r="A2211" s="51" t="s">
        <v>11393</v>
      </c>
      <c r="B2211" s="51" t="s">
        <v>115</v>
      </c>
      <c r="C2211" s="51" t="s">
        <v>84</v>
      </c>
      <c r="D2211" s="57">
        <v>45289.921958680556</v>
      </c>
    </row>
    <row r="2212">
      <c r="A2212" s="51" t="s">
        <v>11393</v>
      </c>
      <c r="B2212" s="51" t="s">
        <v>10621</v>
      </c>
      <c r="C2212" s="51" t="s">
        <v>84</v>
      </c>
      <c r="D2212" s="57">
        <v>45290.153865115746</v>
      </c>
    </row>
    <row r="2213">
      <c r="A2213" s="51" t="s">
        <v>11393</v>
      </c>
      <c r="B2213" s="51" t="s">
        <v>10621</v>
      </c>
      <c r="C2213" s="51" t="s">
        <v>84</v>
      </c>
      <c r="D2213" s="57">
        <v>45290.153884513886</v>
      </c>
    </row>
    <row r="2214">
      <c r="A2214" s="51" t="s">
        <v>11393</v>
      </c>
      <c r="B2214" s="51" t="s">
        <v>11001</v>
      </c>
      <c r="C2214" s="51" t="s">
        <v>84</v>
      </c>
      <c r="D2214" s="57">
        <v>45290.165733518515</v>
      </c>
    </row>
    <row r="2215">
      <c r="A2215" s="51" t="s">
        <v>11393</v>
      </c>
      <c r="B2215" s="51" t="s">
        <v>10944</v>
      </c>
      <c r="C2215" s="51" t="s">
        <v>84</v>
      </c>
      <c r="D2215" s="57">
        <v>45290.17517065972</v>
      </c>
    </row>
    <row r="2216">
      <c r="A2216" s="51" t="s">
        <v>11393</v>
      </c>
      <c r="B2216" s="51" t="s">
        <v>10141</v>
      </c>
      <c r="C2216" s="51" t="s">
        <v>84</v>
      </c>
      <c r="D2216" s="57">
        <v>45290.22442342593</v>
      </c>
    </row>
    <row r="2217">
      <c r="A2217" s="51" t="s">
        <v>11393</v>
      </c>
      <c r="B2217" s="51" t="s">
        <v>10141</v>
      </c>
      <c r="C2217" s="51" t="s">
        <v>84</v>
      </c>
      <c r="D2217" s="57">
        <v>45290.22450074074</v>
      </c>
    </row>
    <row r="2218">
      <c r="A2218" s="51" t="s">
        <v>11393</v>
      </c>
      <c r="B2218" s="51" t="s">
        <v>10393</v>
      </c>
      <c r="C2218" s="51" t="s">
        <v>84</v>
      </c>
      <c r="D2218" s="57">
        <v>45290.22744672454</v>
      </c>
    </row>
    <row r="2219">
      <c r="A2219" s="51" t="s">
        <v>11393</v>
      </c>
      <c r="B2219" s="51" t="s">
        <v>10393</v>
      </c>
      <c r="C2219" s="51" t="s">
        <v>84</v>
      </c>
      <c r="D2219" s="57">
        <v>45290.22762472222</v>
      </c>
    </row>
    <row r="2220">
      <c r="A2220" s="51" t="s">
        <v>11393</v>
      </c>
      <c r="B2220" s="51" t="s">
        <v>9201</v>
      </c>
      <c r="C2220" s="51" t="s">
        <v>84</v>
      </c>
      <c r="D2220" s="57">
        <v>45290.233801678245</v>
      </c>
    </row>
    <row r="2221">
      <c r="A2221" s="51" t="s">
        <v>11393</v>
      </c>
      <c r="B2221" s="51" t="s">
        <v>10944</v>
      </c>
      <c r="C2221" s="51" t="s">
        <v>84</v>
      </c>
      <c r="D2221" s="57">
        <v>45290.349574837965</v>
      </c>
    </row>
    <row r="2222">
      <c r="A2222" s="51" t="s">
        <v>11393</v>
      </c>
      <c r="B2222" s="51" t="s">
        <v>10944</v>
      </c>
      <c r="C2222" s="51" t="s">
        <v>84</v>
      </c>
      <c r="D2222" s="57">
        <v>45290.34964884259</v>
      </c>
    </row>
    <row r="2223">
      <c r="A2223" s="51" t="s">
        <v>11393</v>
      </c>
      <c r="B2223" s="51" t="s">
        <v>10944</v>
      </c>
      <c r="C2223" s="51" t="s">
        <v>84</v>
      </c>
      <c r="D2223" s="57">
        <v>45290.34989039352</v>
      </c>
    </row>
    <row r="2224">
      <c r="A2224" s="51" t="s">
        <v>11277</v>
      </c>
      <c r="B2224" s="51" t="s">
        <v>4191</v>
      </c>
      <c r="C2224" s="51" t="s">
        <v>84</v>
      </c>
      <c r="D2224" s="57">
        <v>45294.0044453125</v>
      </c>
    </row>
    <row r="2225">
      <c r="A2225" s="51" t="s">
        <v>11368</v>
      </c>
      <c r="B2225" s="51" t="s">
        <v>10062</v>
      </c>
      <c r="C2225" s="51" t="s">
        <v>517</v>
      </c>
      <c r="D2225" s="57">
        <v>45295.85692899306</v>
      </c>
    </row>
    <row r="2226">
      <c r="A2226" s="51" t="s">
        <v>11368</v>
      </c>
      <c r="B2226" s="51" t="s">
        <v>10062</v>
      </c>
      <c r="C2226" s="51" t="s">
        <v>517</v>
      </c>
      <c r="D2226" s="57">
        <v>45295.8611094213</v>
      </c>
    </row>
    <row r="2227">
      <c r="A2227" s="51" t="s">
        <v>11282</v>
      </c>
      <c r="B2227" s="51" t="s">
        <v>10337</v>
      </c>
      <c r="C2227" s="51" t="s">
        <v>25</v>
      </c>
      <c r="D2227" s="57">
        <v>45296.70089096065</v>
      </c>
    </row>
    <row r="2228">
      <c r="A2228" s="51" t="s">
        <v>11282</v>
      </c>
      <c r="B2228" s="51" t="s">
        <v>7354</v>
      </c>
      <c r="C2228" s="51" t="s">
        <v>25</v>
      </c>
      <c r="D2228" s="57">
        <v>45296.704583287035</v>
      </c>
    </row>
    <row r="2229">
      <c r="A2229" s="51" t="s">
        <v>11282</v>
      </c>
      <c r="B2229" s="51" t="s">
        <v>9669</v>
      </c>
      <c r="C2229" s="51" t="s">
        <v>25</v>
      </c>
      <c r="D2229" s="57">
        <v>45296.70533778935</v>
      </c>
    </row>
    <row r="2230">
      <c r="A2230" s="51" t="s">
        <v>11282</v>
      </c>
      <c r="B2230" s="51" t="s">
        <v>11012</v>
      </c>
      <c r="C2230" s="51" t="s">
        <v>25</v>
      </c>
      <c r="D2230" s="57">
        <v>45297.82262337963</v>
      </c>
    </row>
    <row r="2231">
      <c r="A2231" s="51" t="s">
        <v>11282</v>
      </c>
      <c r="B2231" s="51" t="s">
        <v>10914</v>
      </c>
      <c r="C2231" s="51" t="s">
        <v>25</v>
      </c>
      <c r="D2231" s="57">
        <v>45297.8239219213</v>
      </c>
    </row>
    <row r="2232">
      <c r="A2232" s="51" t="s">
        <v>11300</v>
      </c>
      <c r="B2232" s="51" t="s">
        <v>5365</v>
      </c>
      <c r="C2232" s="51" t="s">
        <v>386</v>
      </c>
      <c r="D2232" s="57">
        <v>45302.248756180554</v>
      </c>
    </row>
    <row r="2233">
      <c r="A2233" s="51" t="s">
        <v>11300</v>
      </c>
      <c r="B2233" s="51" t="s">
        <v>10991</v>
      </c>
      <c r="C2233" s="51" t="s">
        <v>316</v>
      </c>
      <c r="D2233" s="57">
        <v>45302.27257487268</v>
      </c>
    </row>
    <row r="2234">
      <c r="A2234" s="51" t="s">
        <v>11282</v>
      </c>
      <c r="B2234" s="51" t="s">
        <v>10964</v>
      </c>
      <c r="C2234" s="51" t="s">
        <v>157</v>
      </c>
      <c r="D2234" s="57">
        <v>45305.21721811342</v>
      </c>
    </row>
    <row r="2235">
      <c r="A2235" s="51" t="s">
        <v>11282</v>
      </c>
      <c r="B2235" s="51" t="s">
        <v>9948</v>
      </c>
      <c r="C2235" s="51" t="s">
        <v>25</v>
      </c>
      <c r="D2235" s="57">
        <v>45305.218411828704</v>
      </c>
    </row>
    <row r="2236">
      <c r="A2236" s="51" t="s">
        <v>11393</v>
      </c>
      <c r="B2236" s="51" t="s">
        <v>702</v>
      </c>
      <c r="C2236" s="51" t="s">
        <v>84</v>
      </c>
      <c r="D2236" s="57">
        <v>45306.29287189815</v>
      </c>
    </row>
    <row r="2237">
      <c r="A2237" s="51" t="s">
        <v>11382</v>
      </c>
      <c r="B2237" s="51" t="s">
        <v>10553</v>
      </c>
      <c r="C2237" s="51" t="s">
        <v>1070</v>
      </c>
      <c r="D2237" s="57">
        <v>45307.34810806713</v>
      </c>
    </row>
    <row r="2238">
      <c r="A2238" s="51" t="s">
        <v>11392</v>
      </c>
      <c r="B2238" s="51" t="s">
        <v>10553</v>
      </c>
      <c r="C2238" s="51" t="s">
        <v>1070</v>
      </c>
      <c r="D2238" s="57">
        <v>45307.35022457176</v>
      </c>
    </row>
    <row r="2239">
      <c r="A2239" s="51" t="s">
        <v>11392</v>
      </c>
      <c r="B2239" s="51" t="s">
        <v>2012</v>
      </c>
      <c r="C2239" s="51" t="s">
        <v>1070</v>
      </c>
      <c r="D2239" s="57">
        <v>45307.35178383102</v>
      </c>
    </row>
    <row r="2240">
      <c r="A2240" s="51" t="s">
        <v>11392</v>
      </c>
      <c r="B2240" s="51" t="s">
        <v>3101</v>
      </c>
      <c r="C2240" s="51" t="s">
        <v>93</v>
      </c>
      <c r="D2240" s="57">
        <v>45307.35797331019</v>
      </c>
    </row>
    <row r="2241">
      <c r="A2241" s="51" t="s">
        <v>11394</v>
      </c>
      <c r="B2241" s="51" t="s">
        <v>10043</v>
      </c>
      <c r="C2241" s="51" t="s">
        <v>84</v>
      </c>
      <c r="D2241" s="57">
        <v>45307.84333355324</v>
      </c>
    </row>
    <row r="2242">
      <c r="A2242" s="51" t="s">
        <v>11367</v>
      </c>
      <c r="B2242" s="51" t="s">
        <v>6825</v>
      </c>
      <c r="C2242" s="51" t="s">
        <v>84</v>
      </c>
      <c r="D2242" s="57">
        <v>45316.76554104166</v>
      </c>
    </row>
    <row r="2243">
      <c r="A2243" s="51" t="s">
        <v>11372</v>
      </c>
      <c r="B2243" s="51" t="s">
        <v>7844</v>
      </c>
      <c r="C2243" s="51" t="s">
        <v>110</v>
      </c>
      <c r="D2243" s="57">
        <v>45317.34332813657</v>
      </c>
    </row>
    <row r="2244">
      <c r="A2244" s="51" t="s">
        <v>11202</v>
      </c>
      <c r="B2244" s="51" t="s">
        <v>1847</v>
      </c>
      <c r="C2244" s="51" t="s">
        <v>216</v>
      </c>
      <c r="D2244" s="57">
        <v>45320.310595625</v>
      </c>
    </row>
    <row r="2245">
      <c r="A2245" s="51" t="s">
        <v>11240</v>
      </c>
      <c r="B2245" s="51" t="s">
        <v>41</v>
      </c>
      <c r="C2245" s="51" t="s">
        <v>25</v>
      </c>
      <c r="D2245" s="57">
        <v>45321.821943993054</v>
      </c>
    </row>
    <row r="2246">
      <c r="A2246" s="51" t="s">
        <v>11202</v>
      </c>
      <c r="B2246" s="51" t="s">
        <v>9829</v>
      </c>
      <c r="C2246" s="51" t="s">
        <v>216</v>
      </c>
      <c r="D2246" s="57">
        <v>45322.66503887731</v>
      </c>
    </row>
    <row r="2247">
      <c r="A2247" s="51" t="s">
        <v>11378</v>
      </c>
      <c r="B2247" s="51" t="s">
        <v>2888</v>
      </c>
      <c r="C2247" s="51" t="s">
        <v>84</v>
      </c>
      <c r="D2247" s="57">
        <v>45323.90114335648</v>
      </c>
    </row>
    <row r="2248">
      <c r="A2248" s="51" t="s">
        <v>11378</v>
      </c>
      <c r="B2248" s="51" t="s">
        <v>10198</v>
      </c>
      <c r="C2248" s="51" t="s">
        <v>84</v>
      </c>
      <c r="D2248" s="57">
        <v>45324.324162627316</v>
      </c>
    </row>
    <row r="2249">
      <c r="A2249" s="51" t="s">
        <v>11378</v>
      </c>
      <c r="B2249" s="51" t="s">
        <v>10944</v>
      </c>
      <c r="C2249" s="51" t="s">
        <v>84</v>
      </c>
      <c r="D2249" s="57">
        <v>45324.329617048614</v>
      </c>
    </row>
    <row r="2250">
      <c r="A2250" s="51" t="s">
        <v>11378</v>
      </c>
      <c r="B2250" s="51" t="s">
        <v>9563</v>
      </c>
      <c r="C2250" s="51" t="s">
        <v>84</v>
      </c>
      <c r="D2250" s="57">
        <v>45327.13718358796</v>
      </c>
    </row>
    <row r="2251">
      <c r="A2251" s="51" t="s">
        <v>11378</v>
      </c>
      <c r="B2251" s="51" t="s">
        <v>11001</v>
      </c>
      <c r="C2251" s="51" t="s">
        <v>84</v>
      </c>
      <c r="D2251" s="57">
        <v>45327.14699298611</v>
      </c>
    </row>
    <row r="2252">
      <c r="A2252" s="51" t="s">
        <v>11378</v>
      </c>
      <c r="B2252" s="51" t="s">
        <v>7514</v>
      </c>
      <c r="C2252" s="51" t="s">
        <v>25</v>
      </c>
      <c r="D2252" s="57">
        <v>45327.18452386574</v>
      </c>
    </row>
    <row r="2253">
      <c r="A2253" s="51" t="s">
        <v>11202</v>
      </c>
      <c r="B2253" s="51" t="s">
        <v>10833</v>
      </c>
      <c r="C2253" s="51" t="s">
        <v>517</v>
      </c>
      <c r="D2253" s="57">
        <v>45328.875959745375</v>
      </c>
    </row>
    <row r="2254">
      <c r="A2254" s="51" t="s">
        <v>11221</v>
      </c>
      <c r="B2254" s="51" t="s">
        <v>8149</v>
      </c>
      <c r="C2254" s="51" t="s">
        <v>316</v>
      </c>
      <c r="D2254" s="57">
        <v>45329.82093053241</v>
      </c>
    </row>
    <row r="2255">
      <c r="A2255" s="51" t="s">
        <v>11310</v>
      </c>
      <c r="B2255" s="51" t="s">
        <v>5770</v>
      </c>
      <c r="C2255" s="51" t="s">
        <v>25</v>
      </c>
      <c r="D2255" s="57">
        <v>45331.031406435184</v>
      </c>
    </row>
    <row r="2256">
      <c r="A2256" s="51" t="s">
        <v>11310</v>
      </c>
      <c r="B2256" s="51" t="s">
        <v>5770</v>
      </c>
      <c r="C2256" s="51" t="s">
        <v>25</v>
      </c>
      <c r="D2256" s="57">
        <v>45331.03293585648</v>
      </c>
    </row>
    <row r="2257">
      <c r="A2257" s="51" t="s">
        <v>11310</v>
      </c>
      <c r="B2257" s="51" t="s">
        <v>8353</v>
      </c>
      <c r="C2257" s="51" t="s">
        <v>84</v>
      </c>
      <c r="D2257" s="57">
        <v>45331.34267153935</v>
      </c>
    </row>
    <row r="2258">
      <c r="A2258" s="51" t="s">
        <v>11234</v>
      </c>
      <c r="B2258" s="51" t="s">
        <v>8520</v>
      </c>
      <c r="C2258" s="51" t="s">
        <v>316</v>
      </c>
      <c r="D2258" s="57">
        <v>45335.32410699074</v>
      </c>
    </row>
    <row r="2259">
      <c r="A2259" s="51" t="s">
        <v>11273</v>
      </c>
      <c r="B2259" s="51" t="s">
        <v>5031</v>
      </c>
      <c r="C2259" s="51" t="s">
        <v>84</v>
      </c>
      <c r="D2259" s="57">
        <v>45335.801358888886</v>
      </c>
    </row>
    <row r="2260">
      <c r="A2260" s="51" t="s">
        <v>11273</v>
      </c>
      <c r="B2260" s="51" t="s">
        <v>9916</v>
      </c>
      <c r="C2260" s="51" t="s">
        <v>216</v>
      </c>
      <c r="D2260" s="57">
        <v>45335.80921946759</v>
      </c>
    </row>
    <row r="2261">
      <c r="A2261" s="51" t="s">
        <v>11395</v>
      </c>
      <c r="B2261" s="51" t="s">
        <v>1093</v>
      </c>
      <c r="C2261" s="51" t="s">
        <v>110</v>
      </c>
      <c r="D2261" s="57">
        <v>45336.98395927083</v>
      </c>
    </row>
    <row r="2262">
      <c r="A2262" s="51" t="s">
        <v>11395</v>
      </c>
      <c r="B2262" s="51" t="s">
        <v>4847</v>
      </c>
      <c r="C2262" s="51" t="s">
        <v>110</v>
      </c>
      <c r="D2262" s="57">
        <v>45336.98916258102</v>
      </c>
    </row>
    <row r="2263">
      <c r="A2263" s="51" t="s">
        <v>11395</v>
      </c>
      <c r="B2263" s="51" t="s">
        <v>2414</v>
      </c>
      <c r="C2263" s="51" t="s">
        <v>52</v>
      </c>
      <c r="D2263" s="57">
        <v>45336.99041053241</v>
      </c>
    </row>
    <row r="2264">
      <c r="A2264" s="51" t="s">
        <v>11395</v>
      </c>
      <c r="B2264" s="51" t="s">
        <v>8959</v>
      </c>
      <c r="C2264" s="51" t="s">
        <v>316</v>
      </c>
      <c r="D2264" s="57">
        <v>45336.99364263889</v>
      </c>
    </row>
    <row r="2265">
      <c r="A2265" s="51" t="s">
        <v>11318</v>
      </c>
      <c r="B2265" s="51" t="s">
        <v>10783</v>
      </c>
      <c r="C2265" s="51" t="s">
        <v>68</v>
      </c>
      <c r="D2265" s="57">
        <v>45341.88863002315</v>
      </c>
    </row>
    <row r="2266">
      <c r="A2266" s="51" t="s">
        <v>11285</v>
      </c>
      <c r="B2266" s="51" t="s">
        <v>10632</v>
      </c>
      <c r="C2266" s="51" t="s">
        <v>1070</v>
      </c>
      <c r="D2266" s="57">
        <v>45343.31352039352</v>
      </c>
    </row>
    <row r="2267">
      <c r="A2267" s="51" t="s">
        <v>11285</v>
      </c>
      <c r="B2267" s="51" t="s">
        <v>8021</v>
      </c>
      <c r="C2267" s="51" t="s">
        <v>165</v>
      </c>
      <c r="D2267" s="57">
        <v>45343.798528935185</v>
      </c>
    </row>
    <row r="2268">
      <c r="A2268" s="51" t="s">
        <v>11285</v>
      </c>
      <c r="B2268" s="51" t="s">
        <v>8381</v>
      </c>
      <c r="C2268" s="51" t="s">
        <v>93</v>
      </c>
      <c r="D2268" s="57">
        <v>45343.80023474537</v>
      </c>
    </row>
    <row r="2269">
      <c r="A2269" s="51" t="s">
        <v>11378</v>
      </c>
      <c r="B2269" s="51" t="s">
        <v>6506</v>
      </c>
      <c r="C2269" s="51" t="s">
        <v>25</v>
      </c>
      <c r="D2269" s="57">
        <v>45349.82740959491</v>
      </c>
    </row>
    <row r="2270">
      <c r="A2270" s="51" t="s">
        <v>11378</v>
      </c>
      <c r="B2270" s="51" t="s">
        <v>10874</v>
      </c>
      <c r="C2270" s="51" t="s">
        <v>110</v>
      </c>
      <c r="D2270" s="57">
        <v>45349.879144375</v>
      </c>
    </row>
    <row r="2271">
      <c r="A2271" s="51" t="s">
        <v>11277</v>
      </c>
      <c r="B2271" s="51" t="s">
        <v>762</v>
      </c>
      <c r="C2271" s="51" t="s">
        <v>110</v>
      </c>
      <c r="D2271" s="57">
        <v>45350.149120648144</v>
      </c>
    </row>
    <row r="2272">
      <c r="A2272" s="51" t="s">
        <v>11277</v>
      </c>
      <c r="B2272" s="51" t="s">
        <v>4191</v>
      </c>
      <c r="C2272" s="51" t="s">
        <v>84</v>
      </c>
      <c r="D2272" s="57">
        <v>45350.153319930556</v>
      </c>
    </row>
    <row r="2273">
      <c r="A2273" s="51" t="s">
        <v>11324</v>
      </c>
      <c r="B2273" s="51" t="s">
        <v>10514</v>
      </c>
      <c r="C2273" s="51" t="s">
        <v>84</v>
      </c>
      <c r="D2273" s="57">
        <v>45351.8050303125</v>
      </c>
    </row>
    <row r="2274">
      <c r="A2274" s="51" t="s">
        <v>11282</v>
      </c>
      <c r="B2274" s="51" t="s">
        <v>9094</v>
      </c>
      <c r="C2274" s="51" t="s">
        <v>25</v>
      </c>
      <c r="D2274" s="57">
        <v>45353.05619540509</v>
      </c>
    </row>
    <row r="2275">
      <c r="A2275" s="51" t="s">
        <v>11282</v>
      </c>
      <c r="B2275" s="51" t="s">
        <v>10894</v>
      </c>
      <c r="C2275" s="51" t="s">
        <v>25</v>
      </c>
      <c r="D2275" s="57">
        <v>45353.05729157408</v>
      </c>
    </row>
    <row r="2276">
      <c r="A2276" s="51" t="s">
        <v>11282</v>
      </c>
      <c r="B2276" s="51" t="s">
        <v>10755</v>
      </c>
      <c r="C2276" s="51" t="s">
        <v>25</v>
      </c>
      <c r="D2276" s="57">
        <v>45353.06628326389</v>
      </c>
    </row>
    <row r="2277">
      <c r="A2277" s="51" t="s">
        <v>11301</v>
      </c>
      <c r="B2277" s="51" t="s">
        <v>11012</v>
      </c>
      <c r="C2277" s="51" t="s">
        <v>25</v>
      </c>
      <c r="D2277" s="57">
        <v>45353.81250871527</v>
      </c>
    </row>
    <row r="2278">
      <c r="A2278" s="51" t="s">
        <v>11301</v>
      </c>
      <c r="B2278" s="51" t="s">
        <v>10337</v>
      </c>
      <c r="C2278" s="51" t="s">
        <v>25</v>
      </c>
      <c r="D2278" s="57">
        <v>45353.862615590275</v>
      </c>
    </row>
    <row r="2279">
      <c r="A2279" s="51" t="s">
        <v>11282</v>
      </c>
      <c r="B2279" s="51" t="s">
        <v>10755</v>
      </c>
      <c r="C2279" s="51" t="s">
        <v>25</v>
      </c>
      <c r="D2279" s="57">
        <v>45353.868043229166</v>
      </c>
    </row>
    <row r="2280">
      <c r="A2280" s="51" t="s">
        <v>11396</v>
      </c>
      <c r="B2280" s="51" t="s">
        <v>10721</v>
      </c>
      <c r="C2280" s="51" t="s">
        <v>216</v>
      </c>
      <c r="D2280" s="57">
        <v>45354.91463417824</v>
      </c>
    </row>
    <row r="2281">
      <c r="A2281" s="51" t="s">
        <v>11396</v>
      </c>
      <c r="B2281" s="51" t="s">
        <v>10721</v>
      </c>
      <c r="C2281" s="51" t="s">
        <v>216</v>
      </c>
      <c r="D2281" s="57">
        <v>45354.915669525464</v>
      </c>
    </row>
    <row r="2282">
      <c r="A2282" s="51" t="s">
        <v>11396</v>
      </c>
      <c r="B2282" s="51" t="s">
        <v>10711</v>
      </c>
      <c r="C2282" s="51" t="s">
        <v>275</v>
      </c>
      <c r="D2282" s="57">
        <v>45354.917469340275</v>
      </c>
    </row>
    <row r="2283">
      <c r="A2283" s="51" t="s">
        <v>11372</v>
      </c>
      <c r="B2283" s="51" t="s">
        <v>7135</v>
      </c>
      <c r="C2283" s="51" t="s">
        <v>25</v>
      </c>
      <c r="D2283" s="57">
        <v>45355.426265277776</v>
      </c>
    </row>
    <row r="2284">
      <c r="A2284" s="51" t="s">
        <v>11354</v>
      </c>
      <c r="B2284" s="51" t="s">
        <v>10863</v>
      </c>
      <c r="C2284" s="51" t="s">
        <v>25</v>
      </c>
      <c r="D2284" s="57">
        <v>45356.07288820602</v>
      </c>
    </row>
    <row r="2285">
      <c r="A2285" s="51" t="s">
        <v>11312</v>
      </c>
      <c r="B2285" s="51" t="s">
        <v>4945</v>
      </c>
      <c r="C2285" s="51" t="s">
        <v>165</v>
      </c>
      <c r="D2285" s="57">
        <v>45357.14326938658</v>
      </c>
    </row>
    <row r="2286">
      <c r="A2286" s="51" t="s">
        <v>11312</v>
      </c>
      <c r="B2286" s="51" t="s">
        <v>10874</v>
      </c>
      <c r="C2286" s="51" t="s">
        <v>110</v>
      </c>
      <c r="D2286" s="57">
        <v>45357.154984270834</v>
      </c>
    </row>
    <row r="2287">
      <c r="A2287" s="51" t="s">
        <v>11397</v>
      </c>
      <c r="B2287" s="51" t="s">
        <v>4301</v>
      </c>
      <c r="C2287" s="51" t="s">
        <v>25</v>
      </c>
      <c r="D2287" s="57">
        <v>45358.795149224534</v>
      </c>
    </row>
    <row r="2288">
      <c r="A2288" s="51" t="s">
        <v>11301</v>
      </c>
      <c r="B2288" s="51" t="s">
        <v>10337</v>
      </c>
      <c r="C2288" s="51" t="s">
        <v>25</v>
      </c>
      <c r="D2288" s="57">
        <v>45359.190177372686</v>
      </c>
    </row>
    <row r="2289">
      <c r="A2289" s="51" t="s">
        <v>11398</v>
      </c>
      <c r="B2289" s="51" t="s">
        <v>10217</v>
      </c>
      <c r="C2289" s="51" t="s">
        <v>84</v>
      </c>
      <c r="D2289" s="57">
        <v>45359.95949039352</v>
      </c>
    </row>
    <row r="2290">
      <c r="A2290" s="51" t="s">
        <v>11398</v>
      </c>
      <c r="B2290" s="51" t="s">
        <v>9467</v>
      </c>
      <c r="C2290" s="51" t="s">
        <v>84</v>
      </c>
      <c r="D2290" s="57">
        <v>45362.24233851852</v>
      </c>
    </row>
    <row r="2291">
      <c r="A2291" s="51" t="s">
        <v>11385</v>
      </c>
      <c r="B2291" s="51" t="s">
        <v>1683</v>
      </c>
      <c r="C2291" s="51" t="s">
        <v>84</v>
      </c>
      <c r="D2291" s="57">
        <v>45362.788020844906</v>
      </c>
    </row>
    <row r="2292">
      <c r="A2292" s="51" t="s">
        <v>11385</v>
      </c>
      <c r="B2292" s="51" t="s">
        <v>1683</v>
      </c>
      <c r="C2292" s="51" t="s">
        <v>84</v>
      </c>
      <c r="D2292" s="57">
        <v>45362.78839314815</v>
      </c>
    </row>
    <row r="2293">
      <c r="A2293" s="51" t="s">
        <v>11282</v>
      </c>
      <c r="B2293" s="51" t="s">
        <v>9976</v>
      </c>
      <c r="C2293" s="51" t="s">
        <v>25</v>
      </c>
      <c r="D2293" s="57">
        <v>45362.963002222226</v>
      </c>
    </row>
    <row r="2294">
      <c r="A2294" s="51" t="s">
        <v>11354</v>
      </c>
      <c r="B2294" s="51" t="s">
        <v>2279</v>
      </c>
      <c r="C2294" s="51" t="s">
        <v>25</v>
      </c>
      <c r="D2294" s="57">
        <v>45363.03761197916</v>
      </c>
    </row>
    <row r="2295">
      <c r="A2295" s="51" t="s">
        <v>11385</v>
      </c>
      <c r="B2295" s="51" t="s">
        <v>6987</v>
      </c>
      <c r="C2295" s="51" t="s">
        <v>84</v>
      </c>
      <c r="D2295" s="57">
        <v>45363.2339292824</v>
      </c>
    </row>
    <row r="2296">
      <c r="A2296" s="51" t="s">
        <v>11385</v>
      </c>
      <c r="B2296" s="51" t="s">
        <v>1896</v>
      </c>
      <c r="C2296" s="51" t="s">
        <v>84</v>
      </c>
      <c r="D2296" s="57">
        <v>45363.238637256945</v>
      </c>
    </row>
    <row r="2297">
      <c r="A2297" s="51" t="s">
        <v>11396</v>
      </c>
      <c r="B2297" s="51" t="s">
        <v>10023</v>
      </c>
      <c r="C2297" s="51" t="s">
        <v>216</v>
      </c>
      <c r="D2297" s="57">
        <v>45364.09488089121</v>
      </c>
    </row>
    <row r="2298">
      <c r="A2298" s="51" t="s">
        <v>11396</v>
      </c>
      <c r="B2298" s="51" t="s">
        <v>10774</v>
      </c>
      <c r="C2298" s="51" t="s">
        <v>216</v>
      </c>
      <c r="D2298" s="57">
        <v>45364.11158471065</v>
      </c>
    </row>
    <row r="2299">
      <c r="A2299" s="51" t="s">
        <v>11396</v>
      </c>
      <c r="B2299" s="51" t="s">
        <v>10884</v>
      </c>
      <c r="C2299" s="51" t="s">
        <v>216</v>
      </c>
      <c r="D2299" s="57">
        <v>45364.114874618055</v>
      </c>
    </row>
    <row r="2300">
      <c r="A2300" s="51" t="s">
        <v>11324</v>
      </c>
      <c r="B2300" s="51" t="s">
        <v>5365</v>
      </c>
      <c r="C2300" s="51" t="s">
        <v>386</v>
      </c>
      <c r="D2300" s="57">
        <v>45364.82121178241</v>
      </c>
    </row>
    <row r="2301">
      <c r="A2301" s="51" t="s">
        <v>11385</v>
      </c>
      <c r="B2301" s="51" t="s">
        <v>3389</v>
      </c>
      <c r="C2301" s="51" t="s">
        <v>84</v>
      </c>
      <c r="D2301" s="57">
        <v>45366.961616493056</v>
      </c>
    </row>
    <row r="2302">
      <c r="A2302" s="51" t="s">
        <v>11385</v>
      </c>
      <c r="B2302" s="51" t="s">
        <v>3389</v>
      </c>
      <c r="C2302" s="51" t="s">
        <v>84</v>
      </c>
      <c r="D2302" s="57">
        <v>45366.96171325231</v>
      </c>
    </row>
    <row r="2303">
      <c r="A2303" s="51" t="s">
        <v>11385</v>
      </c>
      <c r="B2303" s="51" t="s">
        <v>115</v>
      </c>
      <c r="C2303" s="51" t="s">
        <v>84</v>
      </c>
      <c r="D2303" s="57">
        <v>45366.96227550926</v>
      </c>
    </row>
    <row r="2304">
      <c r="A2304" s="51" t="s">
        <v>11385</v>
      </c>
      <c r="B2304" s="51" t="s">
        <v>3447</v>
      </c>
      <c r="C2304" s="51" t="s">
        <v>84</v>
      </c>
      <c r="D2304" s="57">
        <v>45366.96354241898</v>
      </c>
    </row>
    <row r="2305">
      <c r="A2305" s="51" t="s">
        <v>11385</v>
      </c>
      <c r="B2305" s="51" t="s">
        <v>3873</v>
      </c>
      <c r="C2305" s="51" t="s">
        <v>84</v>
      </c>
      <c r="D2305" s="57">
        <v>45366.96479006944</v>
      </c>
    </row>
    <row r="2306">
      <c r="A2306" s="51" t="s">
        <v>11319</v>
      </c>
      <c r="B2306" s="51" t="s">
        <v>6836</v>
      </c>
      <c r="C2306" s="51" t="s">
        <v>25</v>
      </c>
      <c r="D2306" s="57">
        <v>45367.06353358796</v>
      </c>
    </row>
    <row r="2307">
      <c r="A2307" s="51" t="s">
        <v>11372</v>
      </c>
      <c r="B2307" s="51" t="s">
        <v>1093</v>
      </c>
      <c r="C2307" s="51" t="s">
        <v>110</v>
      </c>
      <c r="D2307" s="57">
        <v>45371.20688298611</v>
      </c>
    </row>
    <row r="2308">
      <c r="A2308" s="51" t="s">
        <v>11399</v>
      </c>
      <c r="B2308" s="51" t="s">
        <v>33</v>
      </c>
      <c r="C2308" s="51" t="s">
        <v>25</v>
      </c>
      <c r="D2308" s="57">
        <v>45371.335968113424</v>
      </c>
    </row>
    <row r="2309">
      <c r="A2309" s="51" t="s">
        <v>11399</v>
      </c>
      <c r="B2309" s="51" t="s">
        <v>75</v>
      </c>
      <c r="C2309" s="51" t="s">
        <v>25</v>
      </c>
      <c r="D2309" s="57">
        <v>45371.34466664352</v>
      </c>
    </row>
    <row r="2310">
      <c r="A2310" s="51" t="s">
        <v>11301</v>
      </c>
      <c r="B2310" s="51" t="s">
        <v>9976</v>
      </c>
      <c r="C2310" s="51" t="s">
        <v>25</v>
      </c>
      <c r="D2310" s="57">
        <v>45372.791132638886</v>
      </c>
    </row>
    <row r="2311">
      <c r="A2311" s="51" t="s">
        <v>11282</v>
      </c>
      <c r="B2311" s="51" t="s">
        <v>9027</v>
      </c>
      <c r="C2311" s="51" t="s">
        <v>25</v>
      </c>
      <c r="D2311" s="57">
        <v>45373.01907657407</v>
      </c>
    </row>
    <row r="2312">
      <c r="A2312" s="51" t="s">
        <v>11301</v>
      </c>
      <c r="B2312" s="51" t="s">
        <v>9027</v>
      </c>
      <c r="C2312" s="51" t="s">
        <v>25</v>
      </c>
      <c r="D2312" s="57">
        <v>45373.08033253472</v>
      </c>
    </row>
    <row r="2313">
      <c r="A2313" s="51" t="s">
        <v>11385</v>
      </c>
      <c r="B2313" s="51" t="s">
        <v>912</v>
      </c>
      <c r="C2313" s="51" t="s">
        <v>84</v>
      </c>
      <c r="D2313" s="57">
        <v>45373.23754796296</v>
      </c>
    </row>
    <row r="2314">
      <c r="A2314" s="51" t="s">
        <v>11338</v>
      </c>
      <c r="B2314" s="51" t="s">
        <v>4885</v>
      </c>
      <c r="C2314" s="51" t="s">
        <v>517</v>
      </c>
      <c r="D2314" s="57">
        <v>45375.21046386574</v>
      </c>
    </row>
    <row r="2315">
      <c r="A2315" s="51" t="s">
        <v>11338</v>
      </c>
      <c r="B2315" s="51" t="s">
        <v>4885</v>
      </c>
      <c r="C2315" s="51" t="s">
        <v>517</v>
      </c>
      <c r="D2315" s="57">
        <v>45375.214070277776</v>
      </c>
    </row>
    <row r="2316">
      <c r="A2316" s="51" t="s">
        <v>11399</v>
      </c>
      <c r="B2316" s="51" t="s">
        <v>6909</v>
      </c>
      <c r="C2316" s="51" t="s">
        <v>25</v>
      </c>
      <c r="D2316" s="57">
        <v>45376.28944677083</v>
      </c>
    </row>
    <row r="2317">
      <c r="A2317" s="51" t="s">
        <v>11269</v>
      </c>
      <c r="B2317" s="51" t="s">
        <v>470</v>
      </c>
      <c r="C2317" s="51" t="s">
        <v>84</v>
      </c>
      <c r="D2317" s="57">
        <v>45376.75942894676</v>
      </c>
    </row>
    <row r="2318">
      <c r="A2318" s="51" t="s">
        <v>11380</v>
      </c>
      <c r="B2318" s="51" t="s">
        <v>10365</v>
      </c>
      <c r="C2318" s="51" t="s">
        <v>84</v>
      </c>
      <c r="D2318" s="57">
        <v>45376.85976186342</v>
      </c>
    </row>
    <row r="2319">
      <c r="A2319" s="51" t="s">
        <v>11380</v>
      </c>
      <c r="B2319" s="51" t="s">
        <v>9467</v>
      </c>
      <c r="C2319" s="51" t="s">
        <v>84</v>
      </c>
      <c r="D2319" s="57">
        <v>45376.86402084491</v>
      </c>
    </row>
    <row r="2320">
      <c r="A2320" s="51" t="s">
        <v>11380</v>
      </c>
      <c r="B2320" s="51" t="s">
        <v>10198</v>
      </c>
      <c r="C2320" s="51" t="s">
        <v>84</v>
      </c>
      <c r="D2320" s="57">
        <v>45376.865877013886</v>
      </c>
    </row>
    <row r="2321">
      <c r="A2321" s="51" t="s">
        <v>11380</v>
      </c>
      <c r="B2321" s="51" t="s">
        <v>10793</v>
      </c>
      <c r="C2321" s="51" t="s">
        <v>84</v>
      </c>
      <c r="D2321" s="57">
        <v>45376.86777387731</v>
      </c>
    </row>
    <row r="2322">
      <c r="A2322" s="51" t="s">
        <v>11385</v>
      </c>
      <c r="B2322" s="51" t="s">
        <v>305</v>
      </c>
      <c r="C2322" s="51" t="s">
        <v>216</v>
      </c>
      <c r="D2322" s="57">
        <v>45377.204150335645</v>
      </c>
    </row>
    <row r="2323">
      <c r="A2323" s="51" t="s">
        <v>11385</v>
      </c>
      <c r="B2323" s="51" t="s">
        <v>305</v>
      </c>
      <c r="C2323" s="51" t="s">
        <v>216</v>
      </c>
      <c r="D2323" s="57">
        <v>45377.20427322917</v>
      </c>
    </row>
    <row r="2324">
      <c r="A2324" s="51" t="s">
        <v>11385</v>
      </c>
      <c r="B2324" s="51" t="s">
        <v>4715</v>
      </c>
      <c r="C2324" s="51" t="s">
        <v>517</v>
      </c>
      <c r="D2324" s="57">
        <v>45377.21187513889</v>
      </c>
    </row>
    <row r="2325">
      <c r="A2325" s="51" t="s">
        <v>11385</v>
      </c>
      <c r="B2325" s="51" t="s">
        <v>4715</v>
      </c>
      <c r="C2325" s="51" t="s">
        <v>517</v>
      </c>
      <c r="D2325" s="57">
        <v>45377.21240914352</v>
      </c>
    </row>
    <row r="2326">
      <c r="A2326" s="51" t="s">
        <v>11385</v>
      </c>
      <c r="B2326" s="51" t="s">
        <v>305</v>
      </c>
      <c r="C2326" s="51" t="s">
        <v>216</v>
      </c>
      <c r="D2326" s="57">
        <v>45377.21474386574</v>
      </c>
    </row>
    <row r="2327">
      <c r="A2327" s="51" t="s">
        <v>11385</v>
      </c>
      <c r="B2327" s="51" t="s">
        <v>305</v>
      </c>
      <c r="C2327" s="51" t="s">
        <v>216</v>
      </c>
      <c r="D2327" s="57">
        <v>45377.67387885417</v>
      </c>
    </row>
    <row r="2328">
      <c r="A2328" s="51" t="s">
        <v>11385</v>
      </c>
      <c r="B2328" s="51" t="s">
        <v>213</v>
      </c>
      <c r="C2328" s="51" t="s">
        <v>216</v>
      </c>
      <c r="D2328" s="57">
        <v>45377.676572349534</v>
      </c>
    </row>
    <row r="2329">
      <c r="A2329" s="51" t="s">
        <v>11385</v>
      </c>
      <c r="B2329" s="51" t="s">
        <v>213</v>
      </c>
      <c r="C2329" s="51" t="s">
        <v>216</v>
      </c>
      <c r="D2329" s="57">
        <v>45377.67673770833</v>
      </c>
    </row>
    <row r="2330">
      <c r="A2330" s="51" t="s">
        <v>11385</v>
      </c>
      <c r="B2330" s="51" t="s">
        <v>1113</v>
      </c>
      <c r="C2330" s="51" t="s">
        <v>216</v>
      </c>
      <c r="D2330" s="57">
        <v>45377.677726967595</v>
      </c>
    </row>
    <row r="2331">
      <c r="A2331" s="51" t="s">
        <v>11385</v>
      </c>
      <c r="B2331" s="51" t="s">
        <v>8969</v>
      </c>
      <c r="C2331" s="51" t="s">
        <v>216</v>
      </c>
      <c r="D2331" s="57">
        <v>45377.68025929398</v>
      </c>
    </row>
    <row r="2332">
      <c r="A2332" s="51" t="s">
        <v>11385</v>
      </c>
      <c r="B2332" s="51" t="s">
        <v>10523</v>
      </c>
      <c r="C2332" s="51" t="s">
        <v>84</v>
      </c>
      <c r="D2332" s="57">
        <v>45377.68290945602</v>
      </c>
    </row>
    <row r="2333">
      <c r="A2333" s="51" t="s">
        <v>11385</v>
      </c>
      <c r="B2333" s="51" t="s">
        <v>6028</v>
      </c>
      <c r="C2333" s="51" t="s">
        <v>84</v>
      </c>
      <c r="D2333" s="57">
        <v>45377.90392702546</v>
      </c>
    </row>
    <row r="2334">
      <c r="A2334" s="51" t="s">
        <v>11385</v>
      </c>
      <c r="B2334" s="51" t="s">
        <v>7306</v>
      </c>
      <c r="C2334" s="51" t="s">
        <v>84</v>
      </c>
      <c r="D2334" s="57">
        <v>45377.90484394676</v>
      </c>
    </row>
    <row r="2335">
      <c r="A2335" s="51" t="s">
        <v>11385</v>
      </c>
      <c r="B2335" s="51" t="s">
        <v>10793</v>
      </c>
      <c r="C2335" s="51" t="s">
        <v>84</v>
      </c>
      <c r="D2335" s="57">
        <v>45379.856039583334</v>
      </c>
    </row>
    <row r="2336">
      <c r="A2336" s="51" t="s">
        <v>11385</v>
      </c>
      <c r="B2336" s="51" t="s">
        <v>10944</v>
      </c>
      <c r="C2336" s="51" t="s">
        <v>84</v>
      </c>
      <c r="D2336" s="57">
        <v>45379.85740988426</v>
      </c>
    </row>
    <row r="2337">
      <c r="A2337" s="51" t="s">
        <v>11385</v>
      </c>
      <c r="B2337" s="51" t="s">
        <v>10523</v>
      </c>
      <c r="C2337" s="51" t="s">
        <v>84</v>
      </c>
      <c r="D2337" s="57">
        <v>45379.85808424768</v>
      </c>
    </row>
    <row r="2338">
      <c r="A2338" s="51" t="s">
        <v>11385</v>
      </c>
      <c r="B2338" s="51" t="s">
        <v>10217</v>
      </c>
      <c r="C2338" s="51" t="s">
        <v>84</v>
      </c>
      <c r="D2338" s="57">
        <v>45379.85935327546</v>
      </c>
    </row>
    <row r="2339">
      <c r="A2339" s="51" t="s">
        <v>11389</v>
      </c>
      <c r="B2339" s="51" t="s">
        <v>3379</v>
      </c>
      <c r="C2339" s="51" t="s">
        <v>84</v>
      </c>
      <c r="D2339" s="57">
        <v>45380.37378542824</v>
      </c>
    </row>
    <row r="2340">
      <c r="A2340" s="51" t="s">
        <v>11389</v>
      </c>
      <c r="B2340" s="51" t="s">
        <v>3873</v>
      </c>
      <c r="C2340" s="51" t="s">
        <v>84</v>
      </c>
      <c r="D2340" s="57">
        <v>45380.41845528936</v>
      </c>
    </row>
    <row r="2341">
      <c r="A2341" s="51" t="s">
        <v>11389</v>
      </c>
      <c r="B2341" s="51" t="s">
        <v>10523</v>
      </c>
      <c r="C2341" s="51" t="s">
        <v>84</v>
      </c>
      <c r="D2341" s="57">
        <v>45380.42039835648</v>
      </c>
    </row>
    <row r="2342">
      <c r="A2342" s="51" t="s">
        <v>11389</v>
      </c>
      <c r="B2342" s="51" t="s">
        <v>10523</v>
      </c>
      <c r="C2342" s="51" t="s">
        <v>84</v>
      </c>
      <c r="D2342" s="57">
        <v>45380.42138436342</v>
      </c>
    </row>
    <row r="2343">
      <c r="A2343" s="51" t="s">
        <v>11389</v>
      </c>
      <c r="B2343" s="51" t="s">
        <v>10944</v>
      </c>
      <c r="C2343" s="51" t="s">
        <v>84</v>
      </c>
      <c r="D2343" s="57">
        <v>45380.421397557875</v>
      </c>
    </row>
    <row r="2344">
      <c r="A2344" s="51" t="s">
        <v>11399</v>
      </c>
      <c r="B2344" s="51" t="s">
        <v>57</v>
      </c>
      <c r="C2344" s="51" t="s">
        <v>25</v>
      </c>
      <c r="D2344" s="57">
        <v>45381.303754872686</v>
      </c>
    </row>
    <row r="2345">
      <c r="A2345" s="51" t="s">
        <v>11399</v>
      </c>
      <c r="B2345" s="51" t="s">
        <v>57</v>
      </c>
      <c r="C2345" s="51" t="s">
        <v>25</v>
      </c>
      <c r="D2345" s="57">
        <v>45381.30589599537</v>
      </c>
    </row>
    <row r="2346">
      <c r="A2346" s="51" t="s">
        <v>11389</v>
      </c>
      <c r="B2346" s="51" t="s">
        <v>7180</v>
      </c>
      <c r="C2346" s="51" t="s">
        <v>25</v>
      </c>
      <c r="D2346" s="57">
        <v>45382.25490138889</v>
      </c>
    </row>
    <row r="2347">
      <c r="A2347" s="51" t="s">
        <v>11234</v>
      </c>
      <c r="B2347" s="51" t="s">
        <v>3816</v>
      </c>
      <c r="C2347" s="51" t="s">
        <v>316</v>
      </c>
      <c r="D2347" s="57">
        <v>45382.29062971065</v>
      </c>
    </row>
    <row r="2348">
      <c r="A2348" s="51" t="s">
        <v>11352</v>
      </c>
      <c r="B2348" s="51" t="s">
        <v>9916</v>
      </c>
      <c r="C2348" s="51" t="s">
        <v>216</v>
      </c>
      <c r="D2348" s="57">
        <v>45382.30378555556</v>
      </c>
    </row>
    <row r="2349">
      <c r="A2349" s="51" t="s">
        <v>11352</v>
      </c>
      <c r="B2349" s="51" t="s">
        <v>5031</v>
      </c>
      <c r="C2349" s="51" t="s">
        <v>84</v>
      </c>
      <c r="D2349" s="57">
        <v>45382.30483429398</v>
      </c>
    </row>
    <row r="2350">
      <c r="A2350" s="51" t="s">
        <v>11352</v>
      </c>
      <c r="B2350" s="51" t="s">
        <v>5031</v>
      </c>
      <c r="C2350" s="51" t="s">
        <v>84</v>
      </c>
      <c r="D2350" s="57">
        <v>45382.31545684028</v>
      </c>
    </row>
    <row r="2351">
      <c r="A2351" s="51" t="s">
        <v>11352</v>
      </c>
      <c r="B2351" s="51" t="s">
        <v>10504</v>
      </c>
      <c r="C2351" s="51" t="s">
        <v>84</v>
      </c>
      <c r="D2351" s="57">
        <v>45382.33370318287</v>
      </c>
    </row>
    <row r="2352">
      <c r="A2352" s="51" t="s">
        <v>11234</v>
      </c>
      <c r="B2352" s="51"/>
      <c r="C2352" s="51"/>
      <c r="D2352" s="57">
        <v>45382.36920173611</v>
      </c>
    </row>
    <row r="2353">
      <c r="A2353" s="51" t="s">
        <v>11234</v>
      </c>
      <c r="B2353" s="51" t="s">
        <v>9486</v>
      </c>
      <c r="C2353" s="51" t="s">
        <v>141</v>
      </c>
      <c r="D2353" s="57">
        <v>45382.36952385417</v>
      </c>
    </row>
    <row r="2354">
      <c r="A2354" s="51" t="s">
        <v>11234</v>
      </c>
      <c r="B2354" s="51" t="s">
        <v>9486</v>
      </c>
      <c r="C2354" s="51" t="s">
        <v>141</v>
      </c>
      <c r="D2354" s="57">
        <v>45382.370146030094</v>
      </c>
    </row>
    <row r="2355">
      <c r="A2355" s="51" t="s">
        <v>11394</v>
      </c>
      <c r="B2355" s="51" t="s">
        <v>3650</v>
      </c>
      <c r="C2355" s="51" t="s">
        <v>84</v>
      </c>
      <c r="D2355" s="57">
        <v>45382.377156585644</v>
      </c>
    </row>
    <row r="2356">
      <c r="A2356" s="51" t="s">
        <v>11394</v>
      </c>
      <c r="B2356" s="51" t="s">
        <v>10944</v>
      </c>
      <c r="C2356" s="51" t="s">
        <v>84</v>
      </c>
      <c r="D2356" s="57">
        <v>45382.4100974537</v>
      </c>
    </row>
    <row r="2357">
      <c r="A2357" s="51" t="s">
        <v>11394</v>
      </c>
      <c r="B2357" s="51" t="s">
        <v>10621</v>
      </c>
      <c r="C2357" s="51" t="s">
        <v>84</v>
      </c>
      <c r="D2357" s="57">
        <v>45382.48146545139</v>
      </c>
    </row>
    <row r="2358">
      <c r="A2358" s="51" t="s">
        <v>11385</v>
      </c>
      <c r="B2358" s="51" t="s">
        <v>10365</v>
      </c>
      <c r="C2358" s="51" t="s">
        <v>84</v>
      </c>
      <c r="D2358" s="57">
        <v>45382.82735063657</v>
      </c>
    </row>
    <row r="2359">
      <c r="A2359" s="51" t="s">
        <v>11385</v>
      </c>
      <c r="B2359" s="51" t="s">
        <v>2728</v>
      </c>
      <c r="C2359" s="51" t="s">
        <v>84</v>
      </c>
      <c r="D2359" s="57">
        <v>45382.82804361111</v>
      </c>
    </row>
    <row r="2360">
      <c r="A2360" s="51" t="s">
        <v>11385</v>
      </c>
      <c r="B2360" s="51" t="s">
        <v>5073</v>
      </c>
      <c r="C2360" s="51" t="s">
        <v>84</v>
      </c>
      <c r="D2360" s="57">
        <v>45382.82907378473</v>
      </c>
    </row>
    <row r="2361">
      <c r="A2361" s="51" t="s">
        <v>11385</v>
      </c>
      <c r="B2361" s="51" t="s">
        <v>2691</v>
      </c>
      <c r="C2361" s="51" t="s">
        <v>84</v>
      </c>
      <c r="D2361" s="57">
        <v>45382.83205405093</v>
      </c>
    </row>
    <row r="2362">
      <c r="A2362" s="51" t="s">
        <v>11385</v>
      </c>
      <c r="B2362" s="51" t="s">
        <v>10602</v>
      </c>
      <c r="C2362" s="51" t="s">
        <v>84</v>
      </c>
      <c r="D2362" s="57">
        <v>45382.83490971065</v>
      </c>
    </row>
    <row r="2363">
      <c r="A2363" s="51" t="s">
        <v>11263</v>
      </c>
      <c r="B2363" s="51" t="s">
        <v>8659</v>
      </c>
      <c r="C2363" s="51" t="s">
        <v>25</v>
      </c>
      <c r="D2363" s="57">
        <v>45383.91517717592</v>
      </c>
    </row>
    <row r="2364">
      <c r="A2364" s="51" t="s">
        <v>11263</v>
      </c>
      <c r="B2364" s="51" t="s">
        <v>8659</v>
      </c>
      <c r="C2364" s="51" t="s">
        <v>25</v>
      </c>
      <c r="D2364" s="57">
        <v>45383.91547958333</v>
      </c>
    </row>
    <row r="2365">
      <c r="A2365" s="51" t="s">
        <v>11394</v>
      </c>
      <c r="B2365" s="51"/>
      <c r="C2365" s="51"/>
      <c r="D2365" s="57">
        <v>45384.24677621528</v>
      </c>
    </row>
    <row r="2366">
      <c r="A2366" s="51" t="s">
        <v>11394</v>
      </c>
      <c r="B2366" s="51" t="s">
        <v>10198</v>
      </c>
      <c r="C2366" s="51" t="s">
        <v>84</v>
      </c>
      <c r="D2366" s="57">
        <v>45384.247711296295</v>
      </c>
    </row>
    <row r="2367">
      <c r="A2367" s="51" t="s">
        <v>11400</v>
      </c>
      <c r="B2367" s="51" t="s">
        <v>10854</v>
      </c>
      <c r="C2367" s="51" t="s">
        <v>25</v>
      </c>
      <c r="D2367" s="57">
        <v>45385.08114196759</v>
      </c>
    </row>
    <row r="2368">
      <c r="A2368" s="51" t="s">
        <v>11400</v>
      </c>
      <c r="B2368" s="51" t="s">
        <v>9799</v>
      </c>
      <c r="C2368" s="51" t="s">
        <v>25</v>
      </c>
      <c r="D2368" s="57">
        <v>45385.0892515625</v>
      </c>
    </row>
    <row r="2369">
      <c r="A2369" s="51" t="s">
        <v>11263</v>
      </c>
      <c r="B2369" s="51" t="s">
        <v>755</v>
      </c>
      <c r="C2369" s="51" t="s">
        <v>216</v>
      </c>
      <c r="D2369" s="57">
        <v>45385.327117442124</v>
      </c>
    </row>
    <row r="2370">
      <c r="A2370" s="51" t="s">
        <v>11378</v>
      </c>
      <c r="B2370" s="51" t="s">
        <v>9419</v>
      </c>
      <c r="C2370" s="51" t="s">
        <v>165</v>
      </c>
      <c r="D2370" s="57">
        <v>45387.02734212963</v>
      </c>
    </row>
    <row r="2371">
      <c r="A2371" s="51" t="s">
        <v>11401</v>
      </c>
      <c r="B2371" s="51"/>
      <c r="C2371" s="51"/>
      <c r="D2371" s="57">
        <v>45387.80886607639</v>
      </c>
    </row>
    <row r="2372">
      <c r="A2372" s="51" t="s">
        <v>11338</v>
      </c>
      <c r="B2372" s="51" t="s">
        <v>11012</v>
      </c>
      <c r="C2372" s="51" t="s">
        <v>25</v>
      </c>
      <c r="D2372" s="57">
        <v>45389.12872011574</v>
      </c>
    </row>
    <row r="2373">
      <c r="A2373" s="51" t="s">
        <v>11394</v>
      </c>
      <c r="B2373" s="51"/>
      <c r="C2373" s="51"/>
      <c r="D2373" s="57">
        <v>45390.95211131945</v>
      </c>
    </row>
    <row r="2374">
      <c r="A2374" s="51" t="s">
        <v>11388</v>
      </c>
      <c r="B2374" s="51" t="s">
        <v>3458</v>
      </c>
      <c r="C2374" s="51" t="s">
        <v>25</v>
      </c>
      <c r="D2374" s="57">
        <v>45391.01485391204</v>
      </c>
    </row>
    <row r="2375">
      <c r="A2375" s="51" t="s">
        <v>11277</v>
      </c>
      <c r="B2375" s="51" t="s">
        <v>762</v>
      </c>
      <c r="C2375" s="51" t="s">
        <v>110</v>
      </c>
      <c r="D2375" s="57">
        <v>45391.085504965275</v>
      </c>
    </row>
    <row r="2376">
      <c r="A2376" s="51" t="s">
        <v>11388</v>
      </c>
      <c r="B2376" s="51" t="s">
        <v>10495</v>
      </c>
      <c r="C2376" s="51" t="s">
        <v>25</v>
      </c>
      <c r="D2376" s="57">
        <v>45391.130505497684</v>
      </c>
    </row>
    <row r="2377">
      <c r="A2377" s="51" t="s">
        <v>11402</v>
      </c>
      <c r="B2377" s="51" t="s">
        <v>6284</v>
      </c>
      <c r="C2377" s="51" t="s">
        <v>25</v>
      </c>
      <c r="D2377" s="57">
        <v>45391.76286412037</v>
      </c>
    </row>
    <row r="2378">
      <c r="A2378" s="51" t="s">
        <v>11384</v>
      </c>
      <c r="B2378" s="51" t="s">
        <v>5780</v>
      </c>
      <c r="C2378" s="51" t="s">
        <v>316</v>
      </c>
      <c r="D2378" s="57">
        <v>45391.812929618056</v>
      </c>
    </row>
    <row r="2379">
      <c r="A2379" s="51" t="s">
        <v>11384</v>
      </c>
      <c r="B2379" s="51" t="s">
        <v>10774</v>
      </c>
      <c r="C2379" s="51" t="s">
        <v>216</v>
      </c>
      <c r="D2379" s="57">
        <v>45391.82755990741</v>
      </c>
    </row>
    <row r="2380">
      <c r="A2380" s="51" t="s">
        <v>11301</v>
      </c>
      <c r="B2380" s="51" t="s">
        <v>9669</v>
      </c>
      <c r="C2380" s="51" t="s">
        <v>25</v>
      </c>
      <c r="D2380" s="57">
        <v>45393.05082225695</v>
      </c>
    </row>
    <row r="2381">
      <c r="A2381" s="51" t="s">
        <v>11277</v>
      </c>
      <c r="B2381" s="51" t="s">
        <v>6130</v>
      </c>
      <c r="C2381" s="51" t="s">
        <v>68</v>
      </c>
      <c r="D2381" s="57">
        <v>45393.31961810185</v>
      </c>
    </row>
    <row r="2382">
      <c r="A2382" s="51" t="s">
        <v>11277</v>
      </c>
      <c r="B2382" s="51" t="s">
        <v>10401</v>
      </c>
      <c r="C2382" s="51" t="s">
        <v>1410</v>
      </c>
      <c r="D2382" s="57">
        <v>45393.328066875</v>
      </c>
    </row>
    <row r="2383">
      <c r="A2383" s="51" t="s">
        <v>11388</v>
      </c>
      <c r="B2383" s="51" t="s">
        <v>6119</v>
      </c>
      <c r="C2383" s="51" t="s">
        <v>25</v>
      </c>
      <c r="D2383" s="57">
        <v>45394.37566502315</v>
      </c>
    </row>
    <row r="2384">
      <c r="A2384" s="51" t="s">
        <v>11403</v>
      </c>
      <c r="B2384" s="51" t="s">
        <v>9027</v>
      </c>
      <c r="C2384" s="51" t="s">
        <v>25</v>
      </c>
      <c r="D2384" s="57">
        <v>45395.04233848379</v>
      </c>
    </row>
    <row r="2385">
      <c r="A2385" s="51" t="s">
        <v>11324</v>
      </c>
      <c r="B2385" s="51" t="s">
        <v>383</v>
      </c>
      <c r="C2385" s="51" t="s">
        <v>386</v>
      </c>
      <c r="D2385" s="57">
        <v>45395.97318689815</v>
      </c>
    </row>
    <row r="2386">
      <c r="A2386" s="51" t="s">
        <v>11324</v>
      </c>
      <c r="B2386" s="51" t="s">
        <v>5365</v>
      </c>
      <c r="C2386" s="51" t="s">
        <v>386</v>
      </c>
      <c r="D2386" s="57">
        <v>45395.97375837963</v>
      </c>
    </row>
    <row r="2387">
      <c r="A2387" s="51" t="s">
        <v>11378</v>
      </c>
      <c r="B2387" s="51" t="s">
        <v>4057</v>
      </c>
      <c r="C2387" s="51" t="s">
        <v>216</v>
      </c>
      <c r="D2387" s="57">
        <v>45396.879695254625</v>
      </c>
    </row>
    <row r="2388">
      <c r="A2388" s="51" t="s">
        <v>11388</v>
      </c>
      <c r="B2388" s="51" t="s">
        <v>8874</v>
      </c>
      <c r="C2388" s="51" t="s">
        <v>25</v>
      </c>
      <c r="D2388" s="57">
        <v>45398.20217583333</v>
      </c>
    </row>
    <row r="2389">
      <c r="A2389" s="51" t="s">
        <v>11390</v>
      </c>
      <c r="B2389" s="51" t="s">
        <v>2137</v>
      </c>
      <c r="C2389" s="51" t="s">
        <v>157</v>
      </c>
      <c r="D2389" s="57">
        <v>45398.22393777777</v>
      </c>
    </row>
    <row r="2390">
      <c r="A2390" s="51" t="s">
        <v>11390</v>
      </c>
      <c r="B2390" s="51" t="s">
        <v>4532</v>
      </c>
      <c r="C2390" s="51" t="s">
        <v>517</v>
      </c>
      <c r="D2390" s="57">
        <v>45398.69663096065</v>
      </c>
    </row>
    <row r="2391">
      <c r="A2391" s="51" t="s">
        <v>11398</v>
      </c>
      <c r="B2391" s="51" t="s">
        <v>3399</v>
      </c>
      <c r="C2391" s="51" t="s">
        <v>316</v>
      </c>
      <c r="D2391" s="57">
        <v>45398.83234299769</v>
      </c>
    </row>
    <row r="2392">
      <c r="A2392" s="51" t="s">
        <v>11403</v>
      </c>
      <c r="B2392" s="51" t="s">
        <v>2002</v>
      </c>
      <c r="C2392" s="51" t="s">
        <v>25</v>
      </c>
      <c r="D2392" s="57">
        <v>45400.08779290509</v>
      </c>
    </row>
    <row r="2393">
      <c r="A2393" s="51" t="s">
        <v>11403</v>
      </c>
      <c r="B2393" s="51" t="s">
        <v>2002</v>
      </c>
      <c r="C2393" s="51" t="s">
        <v>25</v>
      </c>
      <c r="D2393" s="57">
        <v>45400.087801354166</v>
      </c>
    </row>
    <row r="2394">
      <c r="A2394" s="51" t="s">
        <v>11403</v>
      </c>
      <c r="B2394" s="51" t="s">
        <v>2002</v>
      </c>
      <c r="C2394" s="51" t="s">
        <v>25</v>
      </c>
      <c r="D2394" s="57">
        <v>45400.0878065162</v>
      </c>
    </row>
    <row r="2395">
      <c r="A2395" s="51" t="s">
        <v>11403</v>
      </c>
      <c r="B2395" s="51" t="s">
        <v>10337</v>
      </c>
      <c r="C2395" s="51" t="s">
        <v>25</v>
      </c>
      <c r="D2395" s="57">
        <v>45402.08711609954</v>
      </c>
    </row>
    <row r="2396">
      <c r="A2396" s="51" t="s">
        <v>11403</v>
      </c>
      <c r="B2396" s="51" t="s">
        <v>10337</v>
      </c>
      <c r="C2396" s="51" t="s">
        <v>25</v>
      </c>
      <c r="D2396" s="57">
        <v>45402.08757015046</v>
      </c>
    </row>
    <row r="2397">
      <c r="A2397" s="51" t="s">
        <v>11403</v>
      </c>
      <c r="B2397" s="51" t="s">
        <v>3613</v>
      </c>
      <c r="C2397" s="51" t="s">
        <v>25</v>
      </c>
      <c r="D2397" s="57">
        <v>45402.08869891203</v>
      </c>
    </row>
    <row r="2398">
      <c r="A2398" s="51" t="s">
        <v>11394</v>
      </c>
      <c r="B2398" s="51"/>
      <c r="C2398" s="51"/>
      <c r="D2398" s="57">
        <v>45403.410621076386</v>
      </c>
    </row>
    <row r="2399">
      <c r="A2399" s="51" t="s">
        <v>11394</v>
      </c>
      <c r="B2399" s="51" t="s">
        <v>6747</v>
      </c>
      <c r="C2399" s="51" t="s">
        <v>110</v>
      </c>
      <c r="D2399" s="57">
        <v>45403.410875671296</v>
      </c>
    </row>
    <row r="2400">
      <c r="A2400" s="51" t="s">
        <v>11404</v>
      </c>
      <c r="B2400" s="51" t="s">
        <v>9056</v>
      </c>
      <c r="C2400" s="51" t="s">
        <v>216</v>
      </c>
      <c r="D2400" s="57">
        <v>45403.90926180556</v>
      </c>
    </row>
    <row r="2401">
      <c r="A2401" s="51" t="s">
        <v>11395</v>
      </c>
      <c r="B2401" s="51" t="s">
        <v>7325</v>
      </c>
      <c r="C2401" s="51" t="s">
        <v>93</v>
      </c>
      <c r="D2401" s="57">
        <v>45404.16626590278</v>
      </c>
    </row>
    <row r="2402">
      <c r="A2402" s="51" t="s">
        <v>11398</v>
      </c>
      <c r="B2402" s="51" t="s">
        <v>186</v>
      </c>
      <c r="C2402" s="51" t="s">
        <v>84</v>
      </c>
      <c r="D2402" s="57">
        <v>45404.26136614583</v>
      </c>
    </row>
    <row r="2403">
      <c r="A2403" s="51" t="s">
        <v>11255</v>
      </c>
      <c r="B2403" s="51" t="s">
        <v>5092</v>
      </c>
      <c r="C2403" s="51" t="s">
        <v>84</v>
      </c>
      <c r="D2403" s="57">
        <v>45407.167377210644</v>
      </c>
    </row>
    <row r="2404">
      <c r="A2404" s="51" t="s">
        <v>11255</v>
      </c>
      <c r="B2404" s="51" t="s">
        <v>5092</v>
      </c>
      <c r="C2404" s="51" t="s">
        <v>84</v>
      </c>
      <c r="D2404" s="57">
        <v>45407.16744943287</v>
      </c>
    </row>
    <row r="2405">
      <c r="A2405" s="51" t="s">
        <v>11324</v>
      </c>
      <c r="B2405" s="51" t="s">
        <v>801</v>
      </c>
      <c r="C2405" s="51" t="s">
        <v>141</v>
      </c>
      <c r="D2405" s="57">
        <v>45412.36004193287</v>
      </c>
    </row>
    <row r="2406">
      <c r="A2406" s="51" t="s">
        <v>11385</v>
      </c>
      <c r="B2406" s="51" t="s">
        <v>6874</v>
      </c>
      <c r="C2406" s="51" t="s">
        <v>275</v>
      </c>
      <c r="D2406" s="57">
        <v>45415.282323368054</v>
      </c>
    </row>
    <row r="2407">
      <c r="A2407" s="51" t="s">
        <v>11385</v>
      </c>
      <c r="B2407" s="51" t="s">
        <v>2540</v>
      </c>
      <c r="C2407" s="51" t="s">
        <v>25</v>
      </c>
      <c r="D2407" s="57">
        <v>45415.33205730324</v>
      </c>
    </row>
    <row r="2408">
      <c r="A2408" s="51" t="s">
        <v>11392</v>
      </c>
      <c r="B2408" s="51" t="s">
        <v>9348</v>
      </c>
      <c r="C2408" s="51" t="s">
        <v>84</v>
      </c>
      <c r="D2408" s="57">
        <v>45420.274233495365</v>
      </c>
    </row>
    <row r="2409">
      <c r="A2409" s="51" t="s">
        <v>11392</v>
      </c>
      <c r="B2409" s="51" t="s">
        <v>9348</v>
      </c>
      <c r="C2409" s="51" t="s">
        <v>84</v>
      </c>
      <c r="D2409" s="57">
        <v>45420.274249166665</v>
      </c>
    </row>
    <row r="2410">
      <c r="A2410" s="51" t="s">
        <v>11392</v>
      </c>
      <c r="B2410" s="51"/>
      <c r="C2410" s="51"/>
      <c r="D2410" s="57">
        <v>45420.27480454861</v>
      </c>
    </row>
    <row r="2411">
      <c r="A2411" s="51" t="s">
        <v>11392</v>
      </c>
      <c r="B2411" s="51"/>
      <c r="C2411" s="51"/>
      <c r="D2411" s="57">
        <v>45420.275418958336</v>
      </c>
    </row>
    <row r="2412">
      <c r="A2412" s="51" t="s">
        <v>11392</v>
      </c>
      <c r="B2412" s="51" t="s">
        <v>10365</v>
      </c>
      <c r="C2412" s="51" t="s">
        <v>84</v>
      </c>
      <c r="D2412" s="57">
        <v>45420.275812754626</v>
      </c>
    </row>
    <row r="2413">
      <c r="A2413" s="51" t="s">
        <v>11282</v>
      </c>
      <c r="B2413" s="51" t="s">
        <v>10863</v>
      </c>
      <c r="C2413" s="51" t="s">
        <v>25</v>
      </c>
      <c r="D2413" s="57">
        <v>45420.843759282405</v>
      </c>
    </row>
    <row r="2414">
      <c r="A2414" s="51" t="s">
        <v>11282</v>
      </c>
      <c r="B2414" s="51" t="s">
        <v>10495</v>
      </c>
      <c r="C2414" s="51" t="s">
        <v>25</v>
      </c>
      <c r="D2414" s="57">
        <v>45420.848404930555</v>
      </c>
    </row>
    <row r="2415">
      <c r="A2415" s="51" t="s">
        <v>11385</v>
      </c>
      <c r="B2415" s="51" t="s">
        <v>11001</v>
      </c>
      <c r="C2415" s="51" t="s">
        <v>84</v>
      </c>
      <c r="D2415" s="57">
        <v>45420.85967452546</v>
      </c>
    </row>
    <row r="2416">
      <c r="A2416" s="51" t="s">
        <v>11301</v>
      </c>
      <c r="B2416" s="51" t="s">
        <v>10495</v>
      </c>
      <c r="C2416" s="51" t="s">
        <v>25</v>
      </c>
      <c r="D2416" s="57">
        <v>45420.87681019676</v>
      </c>
    </row>
    <row r="2417">
      <c r="A2417" s="51" t="s">
        <v>11301</v>
      </c>
      <c r="B2417" s="51" t="s">
        <v>10495</v>
      </c>
      <c r="C2417" s="51" t="s">
        <v>25</v>
      </c>
      <c r="D2417" s="57">
        <v>45420.876925833334</v>
      </c>
    </row>
    <row r="2418">
      <c r="A2418" s="51" t="s">
        <v>11301</v>
      </c>
      <c r="B2418" s="51" t="s">
        <v>11012</v>
      </c>
      <c r="C2418" s="51" t="s">
        <v>25</v>
      </c>
      <c r="D2418" s="57">
        <v>45422.127796712964</v>
      </c>
    </row>
    <row r="2419">
      <c r="A2419" s="51" t="s">
        <v>11385</v>
      </c>
      <c r="B2419" s="51" t="s">
        <v>3379</v>
      </c>
      <c r="C2419" s="51" t="s">
        <v>84</v>
      </c>
      <c r="D2419" s="57">
        <v>45422.819980810185</v>
      </c>
    </row>
    <row r="2420">
      <c r="A2420" s="51" t="s">
        <v>11389</v>
      </c>
      <c r="B2420" s="51" t="s">
        <v>1896</v>
      </c>
      <c r="C2420" s="51" t="s">
        <v>84</v>
      </c>
      <c r="D2420" s="57">
        <v>45424.40568793981</v>
      </c>
    </row>
    <row r="2421">
      <c r="A2421" s="51" t="s">
        <v>11385</v>
      </c>
      <c r="B2421" s="51" t="s">
        <v>9368</v>
      </c>
      <c r="C2421" s="51" t="s">
        <v>84</v>
      </c>
      <c r="D2421" s="57">
        <v>45425.888629050925</v>
      </c>
    </row>
    <row r="2422">
      <c r="A2422" s="51" t="s">
        <v>11301</v>
      </c>
      <c r="B2422" s="51" t="s">
        <v>10964</v>
      </c>
      <c r="C2422" s="51" t="s">
        <v>157</v>
      </c>
      <c r="D2422" s="57">
        <v>45426.85400533565</v>
      </c>
    </row>
    <row r="2423">
      <c r="A2423" s="51" t="s">
        <v>11389</v>
      </c>
      <c r="B2423" s="51" t="s">
        <v>912</v>
      </c>
      <c r="C2423" s="51" t="s">
        <v>84</v>
      </c>
      <c r="D2423" s="57">
        <v>45428.42139944444</v>
      </c>
    </row>
    <row r="2424">
      <c r="A2424" s="51" t="s">
        <v>11301</v>
      </c>
      <c r="B2424" s="51" t="s">
        <v>10863</v>
      </c>
      <c r="C2424" s="51" t="s">
        <v>25</v>
      </c>
      <c r="D2424" s="57">
        <v>45428.84645832176</v>
      </c>
    </row>
    <row r="2425">
      <c r="A2425" s="51" t="s">
        <v>11384</v>
      </c>
      <c r="B2425" s="51" t="s">
        <v>9056</v>
      </c>
      <c r="C2425" s="51" t="s">
        <v>216</v>
      </c>
      <c r="D2425" s="57">
        <v>45431.813583842595</v>
      </c>
    </row>
    <row r="2426">
      <c r="A2426" s="51" t="s">
        <v>11396</v>
      </c>
      <c r="B2426" s="51" t="s">
        <v>20</v>
      </c>
      <c r="C2426" s="51" t="s">
        <v>25</v>
      </c>
      <c r="D2426" s="57">
        <v>45432.877041608794</v>
      </c>
    </row>
    <row r="2427">
      <c r="A2427" s="51" t="s">
        <v>11354</v>
      </c>
      <c r="B2427" s="51" t="s">
        <v>9751</v>
      </c>
      <c r="C2427" s="51" t="s">
        <v>25</v>
      </c>
      <c r="D2427" s="57">
        <v>45434.01511231481</v>
      </c>
    </row>
    <row r="2428">
      <c r="A2428" s="51" t="s">
        <v>11354</v>
      </c>
      <c r="B2428" s="51" t="s">
        <v>9751</v>
      </c>
      <c r="C2428" s="51" t="s">
        <v>25</v>
      </c>
      <c r="D2428" s="57">
        <v>45434.015383564816</v>
      </c>
    </row>
    <row r="2429">
      <c r="A2429" s="51" t="s">
        <v>11255</v>
      </c>
      <c r="B2429" s="51" t="s">
        <v>808</v>
      </c>
      <c r="C2429" s="51" t="s">
        <v>110</v>
      </c>
      <c r="D2429" s="57">
        <v>45435.18328228009</v>
      </c>
    </row>
    <row r="2430">
      <c r="A2430" s="51" t="s">
        <v>11405</v>
      </c>
      <c r="B2430" s="51" t="s">
        <v>9751</v>
      </c>
      <c r="C2430" s="51" t="s">
        <v>25</v>
      </c>
      <c r="D2430" s="57">
        <v>45436.12926184028</v>
      </c>
    </row>
    <row r="2431">
      <c r="A2431" s="51" t="s">
        <v>11394</v>
      </c>
      <c r="B2431" s="51" t="s">
        <v>10653</v>
      </c>
      <c r="C2431" s="51" t="s">
        <v>25</v>
      </c>
      <c r="D2431" s="57">
        <v>45436.13889988426</v>
      </c>
    </row>
    <row r="2432">
      <c r="A2432" s="51" t="s">
        <v>11394</v>
      </c>
      <c r="B2432" s="51" t="s">
        <v>10854</v>
      </c>
      <c r="C2432" s="51" t="s">
        <v>25</v>
      </c>
      <c r="D2432" s="57">
        <v>45437.04801362268</v>
      </c>
    </row>
    <row r="2433">
      <c r="A2433" s="51" t="s">
        <v>11406</v>
      </c>
      <c r="B2433" s="51" t="s">
        <v>10854</v>
      </c>
      <c r="C2433" s="51" t="s">
        <v>25</v>
      </c>
      <c r="D2433" s="57">
        <v>45437.05591606481</v>
      </c>
    </row>
    <row r="2434">
      <c r="A2434" s="51" t="s">
        <v>11406</v>
      </c>
      <c r="B2434" s="51" t="s">
        <v>10854</v>
      </c>
      <c r="C2434" s="51" t="s">
        <v>25</v>
      </c>
      <c r="D2434" s="57">
        <v>45437.05593109954</v>
      </c>
    </row>
    <row r="2435">
      <c r="A2435" s="51" t="s">
        <v>11406</v>
      </c>
      <c r="B2435" s="51" t="s">
        <v>11012</v>
      </c>
      <c r="C2435" s="51" t="s">
        <v>25</v>
      </c>
      <c r="D2435" s="57">
        <v>45437.06889988426</v>
      </c>
    </row>
    <row r="2436">
      <c r="A2436" s="51" t="s">
        <v>11394</v>
      </c>
      <c r="B2436" s="51"/>
      <c r="C2436" s="51"/>
      <c r="D2436" s="57">
        <v>45437.07675936342</v>
      </c>
    </row>
    <row r="2437">
      <c r="A2437" s="51" t="s">
        <v>11394</v>
      </c>
      <c r="B2437" s="51" t="s">
        <v>11012</v>
      </c>
      <c r="C2437" s="51" t="s">
        <v>25</v>
      </c>
      <c r="D2437" s="57">
        <v>45437.07698128472</v>
      </c>
    </row>
    <row r="2438">
      <c r="A2438" s="51" t="s">
        <v>11407</v>
      </c>
      <c r="B2438" s="51" t="s">
        <v>9181</v>
      </c>
      <c r="C2438" s="51" t="s">
        <v>25</v>
      </c>
      <c r="D2438" s="57">
        <v>45441.1000459375</v>
      </c>
    </row>
    <row r="2439">
      <c r="A2439" s="51" t="s">
        <v>11408</v>
      </c>
      <c r="B2439" s="51" t="s">
        <v>33</v>
      </c>
      <c r="C2439" s="51" t="s">
        <v>25</v>
      </c>
      <c r="D2439" s="57">
        <v>45441.100931180554</v>
      </c>
    </row>
    <row r="2440">
      <c r="A2440" s="51" t="s">
        <v>11392</v>
      </c>
      <c r="B2440" s="51" t="s">
        <v>610</v>
      </c>
      <c r="C2440" s="51" t="s">
        <v>165</v>
      </c>
      <c r="D2440" s="57">
        <v>45441.11304642361</v>
      </c>
    </row>
    <row r="2441">
      <c r="A2441" s="51" t="s">
        <v>11392</v>
      </c>
      <c r="B2441" s="51" t="s">
        <v>1067</v>
      </c>
      <c r="C2441" s="51" t="s">
        <v>1070</v>
      </c>
      <c r="D2441" s="57">
        <v>45441.1161320949</v>
      </c>
    </row>
    <row r="2442">
      <c r="A2442" s="51" t="s">
        <v>11392</v>
      </c>
      <c r="B2442" s="51" t="s">
        <v>2941</v>
      </c>
      <c r="C2442" s="51" t="s">
        <v>1070</v>
      </c>
      <c r="D2442" s="57">
        <v>45441.11657976852</v>
      </c>
    </row>
    <row r="2443">
      <c r="A2443" s="51" t="s">
        <v>11408</v>
      </c>
      <c r="B2443" s="51" t="s">
        <v>2978</v>
      </c>
      <c r="C2443" s="51" t="s">
        <v>25</v>
      </c>
      <c r="D2443" s="57">
        <v>45441.12224523148</v>
      </c>
    </row>
    <row r="2444">
      <c r="A2444" s="51" t="s">
        <v>11408</v>
      </c>
      <c r="B2444" s="51" t="s">
        <v>5770</v>
      </c>
      <c r="C2444" s="51" t="s">
        <v>25</v>
      </c>
      <c r="D2444" s="57">
        <v>45441.12387200231</v>
      </c>
    </row>
    <row r="2445">
      <c r="A2445" s="51" t="s">
        <v>11408</v>
      </c>
      <c r="B2445" s="51" t="s">
        <v>10894</v>
      </c>
      <c r="C2445" s="51" t="s">
        <v>25</v>
      </c>
      <c r="D2445" s="57">
        <v>45441.124998831016</v>
      </c>
    </row>
    <row r="2446">
      <c r="A2446" s="51" t="s">
        <v>11408</v>
      </c>
      <c r="B2446" s="51" t="s">
        <v>2923</v>
      </c>
      <c r="C2446" s="51" t="s">
        <v>25</v>
      </c>
      <c r="D2446" s="57">
        <v>45441.12610439815</v>
      </c>
    </row>
    <row r="2447">
      <c r="A2447" s="51" t="s">
        <v>11408</v>
      </c>
      <c r="B2447" s="51" t="s">
        <v>5898</v>
      </c>
      <c r="C2447" s="51" t="s">
        <v>25</v>
      </c>
      <c r="D2447" s="57">
        <v>45441.131117638884</v>
      </c>
    </row>
    <row r="2448">
      <c r="A2448" s="51" t="s">
        <v>11378</v>
      </c>
      <c r="B2448" s="51" t="s">
        <v>10774</v>
      </c>
      <c r="C2448" s="51" t="s">
        <v>216</v>
      </c>
      <c r="D2448" s="57">
        <v>45443.30485303241</v>
      </c>
    </row>
    <row r="2449">
      <c r="A2449" s="51" t="s">
        <v>11378</v>
      </c>
      <c r="B2449" s="51" t="s">
        <v>9916</v>
      </c>
      <c r="C2449" s="51" t="s">
        <v>216</v>
      </c>
      <c r="D2449" s="57">
        <v>45443.788167962965</v>
      </c>
    </row>
    <row r="2450">
      <c r="A2450" s="51" t="s">
        <v>11409</v>
      </c>
      <c r="B2450" s="51" t="s">
        <v>11012</v>
      </c>
      <c r="C2450" s="51" t="s">
        <v>25</v>
      </c>
      <c r="D2450" s="57">
        <v>45444.104462812495</v>
      </c>
    </row>
    <row r="2451">
      <c r="A2451" s="51" t="s">
        <v>11409</v>
      </c>
      <c r="B2451" s="51" t="s">
        <v>10934</v>
      </c>
      <c r="C2451" s="51" t="s">
        <v>25</v>
      </c>
      <c r="D2451" s="57">
        <v>45444.10963111111</v>
      </c>
    </row>
    <row r="2452">
      <c r="A2452" s="51" t="s">
        <v>11409</v>
      </c>
      <c r="B2452" s="51" t="s">
        <v>10924</v>
      </c>
      <c r="C2452" s="51" t="s">
        <v>25</v>
      </c>
      <c r="D2452" s="57">
        <v>45444.11154359954</v>
      </c>
    </row>
    <row r="2453">
      <c r="A2453" s="51" t="s">
        <v>11409</v>
      </c>
      <c r="B2453" s="51" t="s">
        <v>10914</v>
      </c>
      <c r="C2453" s="51" t="s">
        <v>25</v>
      </c>
      <c r="D2453" s="57">
        <v>45444.114321064815</v>
      </c>
    </row>
    <row r="2454">
      <c r="A2454" s="51" t="s">
        <v>11409</v>
      </c>
      <c r="B2454" s="51" t="s">
        <v>10904</v>
      </c>
      <c r="C2454" s="51" t="s">
        <v>25</v>
      </c>
      <c r="D2454" s="57">
        <v>45444.116436979166</v>
      </c>
    </row>
    <row r="2455">
      <c r="A2455" s="51" t="s">
        <v>11409</v>
      </c>
      <c r="B2455" s="51" t="s">
        <v>10894</v>
      </c>
      <c r="C2455" s="51" t="s">
        <v>25</v>
      </c>
      <c r="D2455" s="57">
        <v>45444.118665856484</v>
      </c>
    </row>
    <row r="2456">
      <c r="A2456" s="51" t="s">
        <v>11409</v>
      </c>
      <c r="B2456" s="51" t="s">
        <v>10863</v>
      </c>
      <c r="C2456" s="51" t="s">
        <v>25</v>
      </c>
      <c r="D2456" s="57">
        <v>45444.11991920139</v>
      </c>
    </row>
    <row r="2457">
      <c r="A2457" s="51" t="s">
        <v>11409</v>
      </c>
      <c r="B2457" s="51" t="s">
        <v>10854</v>
      </c>
      <c r="C2457" s="51" t="s">
        <v>25</v>
      </c>
      <c r="D2457" s="57">
        <v>45444.16040238426</v>
      </c>
    </row>
    <row r="2458">
      <c r="A2458" s="51" t="s">
        <v>11409</v>
      </c>
      <c r="B2458" s="51" t="s">
        <v>10844</v>
      </c>
      <c r="C2458" s="51" t="s">
        <v>25</v>
      </c>
      <c r="D2458" s="57">
        <v>45444.16273099537</v>
      </c>
    </row>
    <row r="2459">
      <c r="A2459" s="51" t="s">
        <v>11409</v>
      </c>
      <c r="B2459" s="51" t="s">
        <v>10803</v>
      </c>
      <c r="C2459" s="51" t="s">
        <v>25</v>
      </c>
      <c r="D2459" s="57">
        <v>45444.164777048616</v>
      </c>
    </row>
    <row r="2460">
      <c r="A2460" s="51" t="s">
        <v>11409</v>
      </c>
      <c r="B2460" s="51" t="s">
        <v>10803</v>
      </c>
      <c r="C2460" s="51" t="s">
        <v>25</v>
      </c>
      <c r="D2460" s="57">
        <v>45444.16485688658</v>
      </c>
    </row>
    <row r="2461">
      <c r="A2461" s="51" t="s">
        <v>11409</v>
      </c>
      <c r="B2461" s="51" t="s">
        <v>10755</v>
      </c>
      <c r="C2461" s="51" t="s">
        <v>25</v>
      </c>
      <c r="D2461" s="57">
        <v>45444.167587372685</v>
      </c>
    </row>
    <row r="2462">
      <c r="A2462" s="51" t="s">
        <v>11409</v>
      </c>
      <c r="B2462" s="51" t="s">
        <v>10755</v>
      </c>
      <c r="C2462" s="51" t="s">
        <v>25</v>
      </c>
      <c r="D2462" s="57">
        <v>45444.1682063426</v>
      </c>
    </row>
    <row r="2463">
      <c r="A2463" s="51" t="s">
        <v>11409</v>
      </c>
      <c r="B2463" s="51" t="s">
        <v>10755</v>
      </c>
      <c r="C2463" s="51" t="s">
        <v>25</v>
      </c>
      <c r="D2463" s="57">
        <v>45444.16874079861</v>
      </c>
    </row>
    <row r="2464">
      <c r="A2464" s="51" t="s">
        <v>11409</v>
      </c>
      <c r="B2464" s="51" t="s">
        <v>10744</v>
      </c>
      <c r="C2464" s="51" t="s">
        <v>25</v>
      </c>
      <c r="D2464" s="57">
        <v>45444.1771347801</v>
      </c>
    </row>
    <row r="2465">
      <c r="A2465" s="51" t="s">
        <v>11409</v>
      </c>
      <c r="B2465" s="51" t="s">
        <v>10744</v>
      </c>
      <c r="C2465" s="51" t="s">
        <v>25</v>
      </c>
      <c r="D2465" s="57">
        <v>45444.177400555556</v>
      </c>
    </row>
    <row r="2466">
      <c r="A2466" s="51" t="s">
        <v>11409</v>
      </c>
      <c r="B2466" s="51" t="s">
        <v>10702</v>
      </c>
      <c r="C2466" s="51" t="s">
        <v>25</v>
      </c>
      <c r="D2466" s="57">
        <v>45444.17975821759</v>
      </c>
    </row>
    <row r="2467">
      <c r="A2467" s="51" t="s">
        <v>11409</v>
      </c>
      <c r="B2467" s="51" t="s">
        <v>10702</v>
      </c>
      <c r="C2467" s="51" t="s">
        <v>25</v>
      </c>
      <c r="D2467" s="57">
        <v>45444.18002613426</v>
      </c>
    </row>
    <row r="2468">
      <c r="A2468" s="51" t="s">
        <v>11409</v>
      </c>
      <c r="B2468" s="51" t="s">
        <v>10693</v>
      </c>
      <c r="C2468" s="51" t="s">
        <v>25</v>
      </c>
      <c r="D2468" s="57">
        <v>45444.183428425924</v>
      </c>
    </row>
    <row r="2469">
      <c r="A2469" s="51" t="s">
        <v>11409</v>
      </c>
      <c r="B2469" s="51" t="s">
        <v>10682</v>
      </c>
      <c r="C2469" s="51" t="s">
        <v>25</v>
      </c>
      <c r="D2469" s="57">
        <v>45444.18700662037</v>
      </c>
    </row>
    <row r="2470">
      <c r="A2470" s="51" t="s">
        <v>11409</v>
      </c>
      <c r="B2470" s="51" t="s">
        <v>10673</v>
      </c>
      <c r="C2470" s="51" t="s">
        <v>25</v>
      </c>
      <c r="D2470" s="57">
        <v>45444.19827461806</v>
      </c>
    </row>
    <row r="2471">
      <c r="A2471" s="51" t="s">
        <v>11409</v>
      </c>
      <c r="B2471" s="51" t="s">
        <v>10662</v>
      </c>
      <c r="C2471" s="51" t="s">
        <v>25</v>
      </c>
      <c r="D2471" s="57">
        <v>45444.19873960648</v>
      </c>
    </row>
    <row r="2472">
      <c r="A2472" s="51" t="s">
        <v>11409</v>
      </c>
      <c r="B2472" s="51" t="s">
        <v>10653</v>
      </c>
      <c r="C2472" s="51" t="s">
        <v>25</v>
      </c>
      <c r="D2472" s="57">
        <v>45444.203171967594</v>
      </c>
    </row>
    <row r="2473">
      <c r="A2473" s="51" t="s">
        <v>11409</v>
      </c>
      <c r="B2473" s="51" t="s">
        <v>10611</v>
      </c>
      <c r="C2473" s="51" t="s">
        <v>25</v>
      </c>
      <c r="D2473" s="57">
        <v>45444.20405667824</v>
      </c>
    </row>
    <row r="2474">
      <c r="A2474" s="51" t="s">
        <v>11409</v>
      </c>
      <c r="B2474" s="51"/>
      <c r="C2474" s="51"/>
      <c r="D2474" s="57">
        <v>45444.2072903125</v>
      </c>
    </row>
    <row r="2475">
      <c r="A2475" s="51" t="s">
        <v>11409</v>
      </c>
      <c r="B2475" s="51" t="s">
        <v>10581</v>
      </c>
      <c r="C2475" s="51" t="s">
        <v>25</v>
      </c>
      <c r="D2475" s="57">
        <v>45444.207688842595</v>
      </c>
    </row>
    <row r="2476">
      <c r="A2476" s="51" t="s">
        <v>11409</v>
      </c>
      <c r="B2476" s="51" t="s">
        <v>10572</v>
      </c>
      <c r="C2476" s="51" t="s">
        <v>25</v>
      </c>
      <c r="D2476" s="57">
        <v>45444.213147511575</v>
      </c>
    </row>
    <row r="2477">
      <c r="A2477" s="51" t="s">
        <v>11409</v>
      </c>
      <c r="B2477" s="51" t="s">
        <v>9585</v>
      </c>
      <c r="C2477" s="51" t="s">
        <v>25</v>
      </c>
      <c r="D2477" s="57">
        <v>45444.2137168287</v>
      </c>
    </row>
    <row r="2478">
      <c r="A2478" s="51" t="s">
        <v>11409</v>
      </c>
      <c r="B2478" s="51" t="s">
        <v>10542</v>
      </c>
      <c r="C2478" s="51" t="s">
        <v>25</v>
      </c>
      <c r="D2478" s="57">
        <v>45444.216904120374</v>
      </c>
    </row>
    <row r="2479">
      <c r="A2479" s="51" t="s">
        <v>11409</v>
      </c>
      <c r="B2479" s="51" t="s">
        <v>10533</v>
      </c>
      <c r="C2479" s="51" t="s">
        <v>25</v>
      </c>
      <c r="D2479" s="57">
        <v>45444.21737619213</v>
      </c>
    </row>
    <row r="2480">
      <c r="A2480" s="51" t="s">
        <v>11409</v>
      </c>
      <c r="B2480" s="51" t="s">
        <v>10495</v>
      </c>
      <c r="C2480" s="51" t="s">
        <v>25</v>
      </c>
      <c r="D2480" s="57">
        <v>45444.217910844905</v>
      </c>
    </row>
    <row r="2481">
      <c r="A2481" s="51" t="s">
        <v>11409</v>
      </c>
      <c r="B2481" s="51" t="s">
        <v>10466</v>
      </c>
      <c r="C2481" s="51" t="s">
        <v>25</v>
      </c>
      <c r="D2481" s="57">
        <v>45444.224164907406</v>
      </c>
    </row>
    <row r="2482">
      <c r="A2482" s="51" t="s">
        <v>11409</v>
      </c>
      <c r="B2482" s="51" t="s">
        <v>10447</v>
      </c>
      <c r="C2482" s="51" t="s">
        <v>25</v>
      </c>
      <c r="D2482" s="57">
        <v>45444.231403032405</v>
      </c>
    </row>
    <row r="2483">
      <c r="A2483" s="51" t="s">
        <v>11409</v>
      </c>
      <c r="B2483" s="51" t="s">
        <v>10466</v>
      </c>
      <c r="C2483" s="51" t="s">
        <v>25</v>
      </c>
      <c r="D2483" s="57">
        <v>45444.23524603009</v>
      </c>
    </row>
    <row r="2484">
      <c r="A2484" s="51" t="s">
        <v>11409</v>
      </c>
      <c r="B2484" s="51" t="s">
        <v>10466</v>
      </c>
      <c r="C2484" s="51" t="s">
        <v>25</v>
      </c>
      <c r="D2484" s="57">
        <v>45444.23538153935</v>
      </c>
    </row>
    <row r="2485">
      <c r="A2485" s="51" t="s">
        <v>11409</v>
      </c>
      <c r="B2485" s="51" t="s">
        <v>10466</v>
      </c>
      <c r="C2485" s="51" t="s">
        <v>25</v>
      </c>
      <c r="D2485" s="57">
        <v>45444.2359115162</v>
      </c>
    </row>
    <row r="2486">
      <c r="A2486" s="51" t="s">
        <v>11409</v>
      </c>
      <c r="B2486" s="51" t="s">
        <v>10592</v>
      </c>
      <c r="C2486" s="51" t="s">
        <v>25</v>
      </c>
      <c r="D2486" s="57">
        <v>45444.25743715277</v>
      </c>
    </row>
    <row r="2487">
      <c r="A2487" s="51" t="s">
        <v>11409</v>
      </c>
      <c r="B2487" s="51" t="s">
        <v>10592</v>
      </c>
      <c r="C2487" s="51" t="s">
        <v>25</v>
      </c>
      <c r="D2487" s="57">
        <v>45444.262397349536</v>
      </c>
    </row>
    <row r="2488">
      <c r="A2488" s="51" t="s">
        <v>11409</v>
      </c>
      <c r="B2488" s="51" t="s">
        <v>10562</v>
      </c>
      <c r="C2488" s="51" t="s">
        <v>25</v>
      </c>
      <c r="D2488" s="57">
        <v>45444.26258487269</v>
      </c>
    </row>
    <row r="2489">
      <c r="A2489" s="51" t="s">
        <v>11407</v>
      </c>
      <c r="B2489" s="51" t="s">
        <v>5898</v>
      </c>
      <c r="C2489" s="51" t="s">
        <v>25</v>
      </c>
      <c r="D2489" s="57">
        <v>45445.845914317135</v>
      </c>
    </row>
    <row r="2490">
      <c r="A2490" s="51" t="s">
        <v>11407</v>
      </c>
      <c r="B2490" s="51" t="s">
        <v>5898</v>
      </c>
      <c r="C2490" s="51" t="s">
        <v>25</v>
      </c>
      <c r="D2490" s="57">
        <v>45445.84620696759</v>
      </c>
    </row>
    <row r="2491">
      <c r="A2491" s="51" t="s">
        <v>11407</v>
      </c>
      <c r="B2491" s="51" t="s">
        <v>5898</v>
      </c>
      <c r="C2491" s="51" t="s">
        <v>25</v>
      </c>
      <c r="D2491" s="57">
        <v>45445.84775891204</v>
      </c>
    </row>
    <row r="2492">
      <c r="A2492" s="51" t="s">
        <v>11354</v>
      </c>
      <c r="B2492" s="51" t="s">
        <v>11012</v>
      </c>
      <c r="C2492" s="51" t="s">
        <v>25</v>
      </c>
      <c r="D2492" s="57">
        <v>45446.13754420139</v>
      </c>
    </row>
    <row r="2493">
      <c r="A2493" s="51" t="s">
        <v>11354</v>
      </c>
      <c r="B2493" s="51" t="s">
        <v>10466</v>
      </c>
      <c r="C2493" s="51" t="s">
        <v>25</v>
      </c>
      <c r="D2493" s="57">
        <v>45446.13915321759</v>
      </c>
    </row>
    <row r="2494">
      <c r="A2494" s="51" t="s">
        <v>11354</v>
      </c>
      <c r="B2494" s="51" t="s">
        <v>10495</v>
      </c>
      <c r="C2494" s="51" t="s">
        <v>25</v>
      </c>
      <c r="D2494" s="57">
        <v>45446.13970372685</v>
      </c>
    </row>
    <row r="2495">
      <c r="A2495" s="51" t="s">
        <v>11354</v>
      </c>
      <c r="B2495" s="51" t="s">
        <v>10533</v>
      </c>
      <c r="C2495" s="51" t="s">
        <v>25</v>
      </c>
      <c r="D2495" s="57">
        <v>45446.14008700231</v>
      </c>
    </row>
    <row r="2496">
      <c r="A2496" s="51" t="s">
        <v>11354</v>
      </c>
      <c r="B2496" s="51" t="s">
        <v>10542</v>
      </c>
      <c r="C2496" s="51" t="s">
        <v>25</v>
      </c>
      <c r="D2496" s="57">
        <v>45446.14394226852</v>
      </c>
    </row>
    <row r="2497">
      <c r="A2497" s="51" t="s">
        <v>11354</v>
      </c>
      <c r="B2497" s="51" t="s">
        <v>10562</v>
      </c>
      <c r="C2497" s="51" t="s">
        <v>25</v>
      </c>
      <c r="D2497" s="57">
        <v>45446.144362858795</v>
      </c>
    </row>
    <row r="2498">
      <c r="A2498" s="51" t="s">
        <v>11354</v>
      </c>
      <c r="B2498" s="51" t="s">
        <v>10592</v>
      </c>
      <c r="C2498" s="51" t="s">
        <v>25</v>
      </c>
      <c r="D2498" s="57">
        <v>45446.14497076389</v>
      </c>
    </row>
    <row r="2499">
      <c r="A2499" s="51" t="s">
        <v>11354</v>
      </c>
      <c r="B2499" s="51" t="s">
        <v>10662</v>
      </c>
      <c r="C2499" s="51" t="s">
        <v>25</v>
      </c>
      <c r="D2499" s="57">
        <v>45446.145537476856</v>
      </c>
    </row>
    <row r="2500">
      <c r="A2500" s="51" t="s">
        <v>11354</v>
      </c>
      <c r="B2500" s="51" t="s">
        <v>10673</v>
      </c>
      <c r="C2500" s="51" t="s">
        <v>25</v>
      </c>
      <c r="D2500" s="57">
        <v>45446.15376530093</v>
      </c>
    </row>
    <row r="2501">
      <c r="A2501" s="51" t="s">
        <v>11354</v>
      </c>
      <c r="B2501" s="51" t="s">
        <v>10682</v>
      </c>
      <c r="C2501" s="51" t="s">
        <v>25</v>
      </c>
      <c r="D2501" s="57">
        <v>45446.15420634259</v>
      </c>
    </row>
    <row r="2502">
      <c r="A2502" s="51" t="s">
        <v>11354</v>
      </c>
      <c r="B2502" s="51" t="s">
        <v>10693</v>
      </c>
      <c r="C2502" s="51" t="s">
        <v>25</v>
      </c>
      <c r="D2502" s="57">
        <v>45446.15455170139</v>
      </c>
    </row>
    <row r="2503">
      <c r="A2503" s="51" t="s">
        <v>11354</v>
      </c>
      <c r="B2503" s="51" t="s">
        <v>10744</v>
      </c>
      <c r="C2503" s="51" t="s">
        <v>25</v>
      </c>
      <c r="D2503" s="57">
        <v>45446.15545481481</v>
      </c>
    </row>
    <row r="2504">
      <c r="A2504" s="51" t="s">
        <v>11354</v>
      </c>
      <c r="B2504" s="51" t="s">
        <v>10755</v>
      </c>
      <c r="C2504" s="51" t="s">
        <v>25</v>
      </c>
      <c r="D2504" s="57">
        <v>45446.155773900464</v>
      </c>
    </row>
    <row r="2505">
      <c r="A2505" s="51" t="s">
        <v>11354</v>
      </c>
      <c r="B2505" s="51" t="s">
        <v>10854</v>
      </c>
      <c r="C2505" s="51" t="s">
        <v>25</v>
      </c>
      <c r="D2505" s="57">
        <v>45446.15637859954</v>
      </c>
    </row>
    <row r="2506">
      <c r="A2506" s="51" t="s">
        <v>11354</v>
      </c>
      <c r="B2506" s="51" t="s">
        <v>9751</v>
      </c>
      <c r="C2506" s="51" t="s">
        <v>25</v>
      </c>
      <c r="D2506" s="57">
        <v>45446.1747077662</v>
      </c>
    </row>
    <row r="2507">
      <c r="A2507" s="51" t="s">
        <v>11354</v>
      </c>
      <c r="B2507" s="51" t="s">
        <v>10863</v>
      </c>
      <c r="C2507" s="51" t="s">
        <v>25</v>
      </c>
      <c r="D2507" s="57">
        <v>45446.26803791667</v>
      </c>
    </row>
    <row r="2508">
      <c r="A2508" s="51" t="s">
        <v>11354</v>
      </c>
      <c r="B2508" s="51" t="s">
        <v>10894</v>
      </c>
      <c r="C2508" s="51" t="s">
        <v>25</v>
      </c>
      <c r="D2508" s="57">
        <v>45446.26854238426</v>
      </c>
    </row>
    <row r="2509">
      <c r="A2509" s="51" t="s">
        <v>11354</v>
      </c>
      <c r="B2509" s="51" t="s">
        <v>10904</v>
      </c>
      <c r="C2509" s="51" t="s">
        <v>25</v>
      </c>
      <c r="D2509" s="57">
        <v>45446.26950954861</v>
      </c>
    </row>
    <row r="2510">
      <c r="A2510" s="51" t="s">
        <v>11354</v>
      </c>
      <c r="B2510" s="51" t="s">
        <v>10914</v>
      </c>
      <c r="C2510" s="51" t="s">
        <v>25</v>
      </c>
      <c r="D2510" s="57">
        <v>45446.26981974537</v>
      </c>
    </row>
    <row r="2511">
      <c r="A2511" s="51" t="s">
        <v>11354</v>
      </c>
      <c r="B2511" s="51" t="s">
        <v>10914</v>
      </c>
      <c r="C2511" s="51" t="s">
        <v>25</v>
      </c>
      <c r="D2511" s="57">
        <v>45446.269921921295</v>
      </c>
    </row>
    <row r="2512">
      <c r="A2512" s="51" t="s">
        <v>11354</v>
      </c>
      <c r="B2512" s="51" t="s">
        <v>10914</v>
      </c>
      <c r="C2512" s="51" t="s">
        <v>25</v>
      </c>
      <c r="D2512" s="57">
        <v>45446.27034902778</v>
      </c>
    </row>
    <row r="2513">
      <c r="A2513" s="51" t="s">
        <v>11354</v>
      </c>
      <c r="B2513" s="51" t="s">
        <v>10924</v>
      </c>
      <c r="C2513" s="51" t="s">
        <v>25</v>
      </c>
      <c r="D2513" s="57">
        <v>45446.27072059028</v>
      </c>
    </row>
    <row r="2514">
      <c r="A2514" s="51" t="s">
        <v>11354</v>
      </c>
      <c r="B2514" s="51" t="s">
        <v>10924</v>
      </c>
      <c r="C2514" s="51" t="s">
        <v>25</v>
      </c>
      <c r="D2514" s="57">
        <v>45446.271075937504</v>
      </c>
    </row>
    <row r="2515">
      <c r="A2515" s="51" t="s">
        <v>11354</v>
      </c>
      <c r="B2515" s="51" t="s">
        <v>10934</v>
      </c>
      <c r="C2515" s="51" t="s">
        <v>25</v>
      </c>
      <c r="D2515" s="57">
        <v>45446.27142480324</v>
      </c>
    </row>
    <row r="2516">
      <c r="A2516" s="51" t="s">
        <v>11354</v>
      </c>
      <c r="B2516" s="51" t="s">
        <v>33</v>
      </c>
      <c r="C2516" s="51" t="s">
        <v>25</v>
      </c>
      <c r="D2516" s="57">
        <v>45446.30688626158</v>
      </c>
    </row>
    <row r="2517">
      <c r="A2517" s="51" t="s">
        <v>11399</v>
      </c>
      <c r="B2517" s="51" t="s">
        <v>200</v>
      </c>
      <c r="C2517" s="51" t="s">
        <v>25</v>
      </c>
      <c r="D2517" s="57">
        <v>45446.498026851856</v>
      </c>
    </row>
    <row r="2518">
      <c r="A2518" s="51" t="s">
        <v>11399</v>
      </c>
      <c r="B2518" s="51" t="s">
        <v>200</v>
      </c>
      <c r="C2518" s="51" t="s">
        <v>25</v>
      </c>
      <c r="D2518" s="57">
        <v>45446.49893138889</v>
      </c>
    </row>
    <row r="2519">
      <c r="A2519" s="51" t="s">
        <v>11398</v>
      </c>
      <c r="B2519" s="51" t="s">
        <v>9268</v>
      </c>
      <c r="C2519" s="51" t="s">
        <v>284</v>
      </c>
      <c r="D2519" s="57">
        <v>45446.81925864583</v>
      </c>
    </row>
    <row r="2520">
      <c r="A2520" s="51" t="s">
        <v>11398</v>
      </c>
      <c r="B2520" s="51" t="s">
        <v>3399</v>
      </c>
      <c r="C2520" s="51" t="s">
        <v>316</v>
      </c>
      <c r="D2520" s="57">
        <v>45446.97939148148</v>
      </c>
    </row>
    <row r="2521">
      <c r="A2521" s="51" t="s">
        <v>11398</v>
      </c>
      <c r="B2521" s="51" t="s">
        <v>107</v>
      </c>
      <c r="C2521" s="51" t="s">
        <v>110</v>
      </c>
      <c r="D2521" s="57">
        <v>45446.995472916664</v>
      </c>
    </row>
    <row r="2522">
      <c r="A2522" s="51" t="s">
        <v>11409</v>
      </c>
      <c r="B2522" s="51" t="s">
        <v>10429</v>
      </c>
      <c r="C2522" s="51" t="s">
        <v>25</v>
      </c>
      <c r="D2522" s="57">
        <v>45447.10209789352</v>
      </c>
    </row>
    <row r="2523">
      <c r="A2523" s="51" t="s">
        <v>11409</v>
      </c>
      <c r="B2523" s="51" t="s">
        <v>10429</v>
      </c>
      <c r="C2523" s="51" t="s">
        <v>25</v>
      </c>
      <c r="D2523" s="57">
        <v>45447.10488782407</v>
      </c>
    </row>
    <row r="2524">
      <c r="A2524" s="51" t="s">
        <v>11409</v>
      </c>
      <c r="B2524" s="51" t="s">
        <v>10356</v>
      </c>
      <c r="C2524" s="51" t="s">
        <v>25</v>
      </c>
      <c r="D2524" s="57">
        <v>45447.106522222224</v>
      </c>
    </row>
    <row r="2525">
      <c r="A2525" s="51" t="s">
        <v>11409</v>
      </c>
      <c r="B2525" s="51" t="s">
        <v>602</v>
      </c>
      <c r="C2525" s="51" t="s">
        <v>68</v>
      </c>
      <c r="D2525" s="57">
        <v>45447.107807858796</v>
      </c>
    </row>
    <row r="2526">
      <c r="A2526" s="51" t="s">
        <v>11409</v>
      </c>
      <c r="B2526" s="51" t="s">
        <v>4057</v>
      </c>
      <c r="C2526" s="51" t="s">
        <v>216</v>
      </c>
      <c r="D2526" s="57">
        <v>45447.10842304398</v>
      </c>
    </row>
    <row r="2527">
      <c r="A2527" s="51" t="s">
        <v>11409</v>
      </c>
      <c r="B2527" s="51" t="s">
        <v>4039</v>
      </c>
      <c r="C2527" s="51" t="s">
        <v>110</v>
      </c>
      <c r="D2527" s="57">
        <v>45447.120589722224</v>
      </c>
    </row>
    <row r="2528">
      <c r="A2528" s="51" t="s">
        <v>11409</v>
      </c>
      <c r="B2528" s="51" t="s">
        <v>7533</v>
      </c>
      <c r="C2528" s="51" t="s">
        <v>52</v>
      </c>
      <c r="D2528" s="57">
        <v>45447.12135572916</v>
      </c>
    </row>
    <row r="2529">
      <c r="A2529" s="51" t="s">
        <v>11410</v>
      </c>
      <c r="B2529" s="51" t="s">
        <v>20</v>
      </c>
      <c r="C2529" s="51" t="s">
        <v>25</v>
      </c>
      <c r="D2529" s="57">
        <v>45447.27312204861</v>
      </c>
    </row>
    <row r="2530">
      <c r="A2530" s="51" t="s">
        <v>11410</v>
      </c>
      <c r="B2530" s="51" t="s">
        <v>769</v>
      </c>
      <c r="C2530" s="51" t="s">
        <v>25</v>
      </c>
      <c r="D2530" s="57">
        <v>45447.28329994213</v>
      </c>
    </row>
    <row r="2531">
      <c r="A2531" s="51" t="s">
        <v>11410</v>
      </c>
      <c r="B2531" s="51" t="s">
        <v>769</v>
      </c>
      <c r="C2531" s="51" t="s">
        <v>25</v>
      </c>
      <c r="D2531" s="57">
        <v>45447.28355768519</v>
      </c>
    </row>
    <row r="2532">
      <c r="A2532" s="51" t="s">
        <v>11410</v>
      </c>
      <c r="B2532" s="51" t="s">
        <v>7256</v>
      </c>
      <c r="C2532" s="51" t="s">
        <v>25</v>
      </c>
      <c r="D2532" s="57">
        <v>45447.28706990741</v>
      </c>
    </row>
    <row r="2533">
      <c r="A2533" s="51" t="s">
        <v>11410</v>
      </c>
      <c r="B2533" s="51" t="s">
        <v>10466</v>
      </c>
      <c r="C2533" s="51" t="s">
        <v>25</v>
      </c>
      <c r="D2533" s="57">
        <v>45447.290955335644</v>
      </c>
    </row>
    <row r="2534">
      <c r="A2534" s="51" t="s">
        <v>11410</v>
      </c>
      <c r="B2534" s="51" t="s">
        <v>10466</v>
      </c>
      <c r="C2534" s="51" t="s">
        <v>25</v>
      </c>
      <c r="D2534" s="57">
        <v>45447.380897442126</v>
      </c>
    </row>
    <row r="2535">
      <c r="A2535" s="51" t="s">
        <v>11409</v>
      </c>
      <c r="B2535" s="51" t="s">
        <v>6797</v>
      </c>
      <c r="C2535" s="51" t="s">
        <v>84</v>
      </c>
      <c r="D2535" s="57">
        <v>45448.08124024306</v>
      </c>
    </row>
    <row r="2536">
      <c r="A2536" s="51" t="s">
        <v>11409</v>
      </c>
      <c r="B2536" s="51" t="s">
        <v>7815</v>
      </c>
      <c r="C2536" s="51" t="s">
        <v>165</v>
      </c>
      <c r="D2536" s="57">
        <v>45448.08188804398</v>
      </c>
    </row>
    <row r="2537">
      <c r="A2537" s="51" t="s">
        <v>11409</v>
      </c>
      <c r="B2537" s="51" t="s">
        <v>7815</v>
      </c>
      <c r="C2537" s="51" t="s">
        <v>165</v>
      </c>
      <c r="D2537" s="57">
        <v>45448.081900624995</v>
      </c>
    </row>
    <row r="2538">
      <c r="A2538" s="51" t="s">
        <v>11409</v>
      </c>
      <c r="B2538" s="51" t="s">
        <v>4057</v>
      </c>
      <c r="C2538" s="51" t="s">
        <v>216</v>
      </c>
      <c r="D2538" s="57">
        <v>45448.29310248843</v>
      </c>
    </row>
    <row r="2539">
      <c r="A2539" s="51" t="s">
        <v>11398</v>
      </c>
      <c r="B2539" s="51" t="s">
        <v>10774</v>
      </c>
      <c r="C2539" s="51" t="s">
        <v>216</v>
      </c>
      <c r="D2539" s="57">
        <v>45448.887913287035</v>
      </c>
    </row>
    <row r="2540">
      <c r="A2540" s="51" t="s">
        <v>11398</v>
      </c>
      <c r="B2540" s="51" t="s">
        <v>10207</v>
      </c>
      <c r="C2540" s="51" t="s">
        <v>517</v>
      </c>
      <c r="D2540" s="57">
        <v>45448.93153295139</v>
      </c>
    </row>
    <row r="2541">
      <c r="A2541" s="51" t="s">
        <v>11411</v>
      </c>
      <c r="B2541" s="51" t="s">
        <v>162</v>
      </c>
      <c r="C2541" s="51" t="s">
        <v>165</v>
      </c>
      <c r="D2541" s="57">
        <v>45449.85844052084</v>
      </c>
    </row>
    <row r="2542">
      <c r="A2542" s="51" t="s">
        <v>11411</v>
      </c>
      <c r="B2542" s="51" t="s">
        <v>9524</v>
      </c>
      <c r="C2542" s="51" t="s">
        <v>165</v>
      </c>
      <c r="D2542" s="57">
        <v>45450.03448664352</v>
      </c>
    </row>
    <row r="2543">
      <c r="A2543" s="51" t="s">
        <v>11411</v>
      </c>
      <c r="B2543" s="51" t="s">
        <v>9399</v>
      </c>
      <c r="C2543" s="51" t="s">
        <v>165</v>
      </c>
      <c r="D2543" s="57">
        <v>45450.03561556713</v>
      </c>
    </row>
    <row r="2544">
      <c r="A2544" s="51" t="s">
        <v>11411</v>
      </c>
      <c r="B2544" s="51" t="s">
        <v>8883</v>
      </c>
      <c r="C2544" s="51" t="s">
        <v>165</v>
      </c>
      <c r="D2544" s="57">
        <v>45450.03617893519</v>
      </c>
    </row>
    <row r="2545">
      <c r="A2545" s="51" t="s">
        <v>11411</v>
      </c>
      <c r="B2545" s="51" t="s">
        <v>9219</v>
      </c>
      <c r="C2545" s="51" t="s">
        <v>6246</v>
      </c>
      <c r="D2545" s="57">
        <v>45450.05364006944</v>
      </c>
    </row>
    <row r="2546">
      <c r="A2546" s="51" t="s">
        <v>11411</v>
      </c>
      <c r="B2546" s="51" t="s">
        <v>1723</v>
      </c>
      <c r="C2546" s="51" t="s">
        <v>284</v>
      </c>
      <c r="D2546" s="57">
        <v>45450.090950694444</v>
      </c>
    </row>
    <row r="2547">
      <c r="A2547" s="51" t="s">
        <v>11411</v>
      </c>
      <c r="B2547" s="51" t="s">
        <v>492</v>
      </c>
      <c r="C2547" s="51" t="s">
        <v>284</v>
      </c>
      <c r="D2547" s="57">
        <v>45450.09232106482</v>
      </c>
    </row>
    <row r="2548">
      <c r="A2548" s="51" t="s">
        <v>11411</v>
      </c>
      <c r="B2548" s="51" t="s">
        <v>400</v>
      </c>
      <c r="C2548" s="51" t="s">
        <v>284</v>
      </c>
      <c r="D2548" s="57">
        <v>45450.09432097222</v>
      </c>
    </row>
    <row r="2549">
      <c r="A2549" s="51" t="s">
        <v>11412</v>
      </c>
      <c r="B2549" s="51" t="s">
        <v>10863</v>
      </c>
      <c r="C2549" s="51" t="s">
        <v>25</v>
      </c>
      <c r="D2549" s="57">
        <v>45450.10724479167</v>
      </c>
    </row>
    <row r="2550">
      <c r="A2550" s="51" t="s">
        <v>11253</v>
      </c>
      <c r="B2550" s="51" t="s">
        <v>9348</v>
      </c>
      <c r="C2550" s="51" t="s">
        <v>84</v>
      </c>
      <c r="D2550" s="57">
        <v>45455.06068521991</v>
      </c>
    </row>
    <row r="2551">
      <c r="A2551" s="51" t="s">
        <v>11354</v>
      </c>
      <c r="B2551" s="51" t="s">
        <v>10863</v>
      </c>
      <c r="C2551" s="51" t="s">
        <v>25</v>
      </c>
      <c r="D2551" s="57">
        <v>45456.999643981486</v>
      </c>
    </row>
    <row r="2552">
      <c r="A2552" s="51" t="s">
        <v>11411</v>
      </c>
      <c r="B2552" s="51" t="s">
        <v>9219</v>
      </c>
      <c r="C2552" s="51" t="s">
        <v>6246</v>
      </c>
      <c r="D2552" s="57">
        <v>45459.07486444444</v>
      </c>
    </row>
    <row r="2553">
      <c r="A2553" s="51" t="s">
        <v>11409</v>
      </c>
      <c r="B2553" s="51"/>
      <c r="C2553" s="51"/>
      <c r="D2553" s="57">
        <v>45459.90472097222</v>
      </c>
    </row>
    <row r="2554">
      <c r="A2554" s="51" t="s">
        <v>11409</v>
      </c>
      <c r="B2554" s="51" t="s">
        <v>2832</v>
      </c>
      <c r="C2554" s="51" t="s">
        <v>25</v>
      </c>
      <c r="D2554" s="57">
        <v>45459.90561224537</v>
      </c>
    </row>
    <row r="2555">
      <c r="A2555" s="51" t="s">
        <v>11382</v>
      </c>
      <c r="B2555" s="51" t="s">
        <v>8883</v>
      </c>
      <c r="C2555" s="51" t="s">
        <v>165</v>
      </c>
      <c r="D2555" s="57">
        <v>45460.176993229165</v>
      </c>
    </row>
    <row r="2556">
      <c r="A2556" s="51" t="s">
        <v>11392</v>
      </c>
      <c r="B2556" s="51" t="s">
        <v>8883</v>
      </c>
      <c r="C2556" s="51" t="s">
        <v>165</v>
      </c>
      <c r="D2556" s="57">
        <v>45460.18073216435</v>
      </c>
    </row>
    <row r="2557">
      <c r="A2557" s="51" t="s">
        <v>11382</v>
      </c>
      <c r="B2557" s="51" t="s">
        <v>9524</v>
      </c>
      <c r="C2557" s="51" t="s">
        <v>165</v>
      </c>
      <c r="D2557" s="57">
        <v>45460.181867962965</v>
      </c>
    </row>
    <row r="2558">
      <c r="A2558" s="51" t="s">
        <v>11392</v>
      </c>
      <c r="B2558" s="51" t="s">
        <v>9524</v>
      </c>
      <c r="C2558" s="51" t="s">
        <v>165</v>
      </c>
      <c r="D2558" s="57">
        <v>45460.18386046296</v>
      </c>
    </row>
    <row r="2559">
      <c r="A2559" s="51" t="s">
        <v>11336</v>
      </c>
      <c r="B2559" s="51" t="s">
        <v>7873</v>
      </c>
      <c r="C2559" s="51" t="s">
        <v>216</v>
      </c>
      <c r="D2559" s="57">
        <v>45460.29874868055</v>
      </c>
    </row>
    <row r="2560">
      <c r="A2560" s="51" t="s">
        <v>11255</v>
      </c>
      <c r="B2560" s="51" t="s">
        <v>5247</v>
      </c>
      <c r="C2560" s="51" t="s">
        <v>110</v>
      </c>
      <c r="D2560" s="57">
        <v>45460.91872761574</v>
      </c>
    </row>
    <row r="2561">
      <c r="A2561" s="51" t="s">
        <v>11255</v>
      </c>
      <c r="B2561" s="51" t="s">
        <v>5819</v>
      </c>
      <c r="C2561" s="51" t="s">
        <v>216</v>
      </c>
      <c r="D2561" s="57">
        <v>45460.930429224536</v>
      </c>
    </row>
    <row r="2562">
      <c r="A2562" s="51" t="s">
        <v>11255</v>
      </c>
      <c r="B2562" s="51" t="s">
        <v>115</v>
      </c>
      <c r="C2562" s="51" t="s">
        <v>84</v>
      </c>
      <c r="D2562" s="57">
        <v>45460.94929038195</v>
      </c>
    </row>
    <row r="2563">
      <c r="A2563" s="51" t="s">
        <v>11255</v>
      </c>
      <c r="B2563" s="51" t="s">
        <v>115</v>
      </c>
      <c r="C2563" s="51" t="s">
        <v>84</v>
      </c>
      <c r="D2563" s="57">
        <v>45460.94947391204</v>
      </c>
    </row>
    <row r="2564">
      <c r="A2564" s="51" t="s">
        <v>11255</v>
      </c>
      <c r="B2564" s="51" t="s">
        <v>5031</v>
      </c>
      <c r="C2564" s="51" t="s">
        <v>84</v>
      </c>
      <c r="D2564" s="57">
        <v>45460.950911631946</v>
      </c>
    </row>
    <row r="2565">
      <c r="A2565" s="51" t="s">
        <v>11255</v>
      </c>
      <c r="B2565" s="51"/>
      <c r="C2565" s="51"/>
      <c r="D2565" s="57">
        <v>45460.952393472224</v>
      </c>
    </row>
    <row r="2566">
      <c r="A2566" s="51" t="s">
        <v>11255</v>
      </c>
      <c r="B2566" s="51" t="s">
        <v>8755</v>
      </c>
      <c r="C2566" s="51" t="s">
        <v>84</v>
      </c>
      <c r="D2566" s="57">
        <v>45460.95247179398</v>
      </c>
    </row>
    <row r="2567">
      <c r="A2567" s="51" t="s">
        <v>11255</v>
      </c>
      <c r="B2567" s="51" t="s">
        <v>2166</v>
      </c>
      <c r="C2567" s="51" t="s">
        <v>110</v>
      </c>
      <c r="D2567" s="57">
        <v>45461.02838108796</v>
      </c>
    </row>
    <row r="2568">
      <c r="A2568" s="51" t="s">
        <v>11338</v>
      </c>
      <c r="B2568" s="51" t="s">
        <v>4885</v>
      </c>
      <c r="C2568" s="51" t="s">
        <v>517</v>
      </c>
      <c r="D2568" s="57">
        <v>45461.36568940972</v>
      </c>
    </row>
    <row r="2569">
      <c r="A2569" s="51" t="s">
        <v>11313</v>
      </c>
      <c r="B2569" s="51" t="s">
        <v>4412</v>
      </c>
      <c r="C2569" s="51" t="s">
        <v>110</v>
      </c>
      <c r="D2569" s="57">
        <v>45462.16319107639</v>
      </c>
    </row>
    <row r="2570">
      <c r="A2570" s="51" t="s">
        <v>11313</v>
      </c>
      <c r="B2570" s="51" t="s">
        <v>4412</v>
      </c>
      <c r="C2570" s="51" t="s">
        <v>110</v>
      </c>
      <c r="D2570" s="57">
        <v>45462.21557424769</v>
      </c>
    </row>
    <row r="2571">
      <c r="A2571" s="51" t="s">
        <v>11313</v>
      </c>
      <c r="B2571" s="51" t="s">
        <v>5819</v>
      </c>
      <c r="C2571" s="51" t="s">
        <v>216</v>
      </c>
      <c r="D2571" s="57">
        <v>45462.263916041666</v>
      </c>
    </row>
    <row r="2572">
      <c r="A2572" s="51" t="s">
        <v>11313</v>
      </c>
      <c r="B2572" s="51" t="s">
        <v>9428</v>
      </c>
      <c r="C2572" s="51" t="s">
        <v>216</v>
      </c>
      <c r="D2572" s="57">
        <v>45462.26687040509</v>
      </c>
    </row>
    <row r="2573">
      <c r="A2573" s="51" t="s">
        <v>11313</v>
      </c>
      <c r="B2573" s="51" t="s">
        <v>9428</v>
      </c>
      <c r="C2573" s="51" t="s">
        <v>216</v>
      </c>
      <c r="D2573" s="57">
        <v>45462.27167994213</v>
      </c>
    </row>
    <row r="2574">
      <c r="A2574" s="51" t="s">
        <v>11313</v>
      </c>
      <c r="B2574" s="51" t="s">
        <v>4885</v>
      </c>
      <c r="C2574" s="51" t="s">
        <v>517</v>
      </c>
      <c r="D2574" s="57">
        <v>45462.27180849537</v>
      </c>
    </row>
    <row r="2575">
      <c r="A2575" s="51" t="s">
        <v>11313</v>
      </c>
      <c r="B2575" s="51" t="s">
        <v>10884</v>
      </c>
      <c r="C2575" s="51" t="s">
        <v>216</v>
      </c>
      <c r="D2575" s="57">
        <v>45462.27787892361</v>
      </c>
    </row>
    <row r="2576">
      <c r="A2576" s="51" t="s">
        <v>11313</v>
      </c>
      <c r="B2576" s="51" t="s">
        <v>10884</v>
      </c>
      <c r="C2576" s="51" t="s">
        <v>216</v>
      </c>
      <c r="D2576" s="57">
        <v>45462.282280706015</v>
      </c>
    </row>
    <row r="2577">
      <c r="A2577" s="51" t="s">
        <v>11313</v>
      </c>
      <c r="B2577" s="51" t="s">
        <v>624</v>
      </c>
      <c r="C2577" s="51" t="s">
        <v>517</v>
      </c>
      <c r="D2577" s="57">
        <v>45462.28279460648</v>
      </c>
    </row>
    <row r="2578">
      <c r="A2578" s="51" t="s">
        <v>11313</v>
      </c>
      <c r="B2578" s="51" t="s">
        <v>3111</v>
      </c>
      <c r="C2578" s="51" t="s">
        <v>517</v>
      </c>
      <c r="D2578" s="57">
        <v>45462.285125497685</v>
      </c>
    </row>
    <row r="2579">
      <c r="A2579" s="51" t="s">
        <v>11313</v>
      </c>
      <c r="B2579" s="51" t="s">
        <v>3111</v>
      </c>
      <c r="C2579" s="51" t="s">
        <v>517</v>
      </c>
      <c r="D2579" s="57">
        <v>45462.285261122684</v>
      </c>
    </row>
    <row r="2580">
      <c r="A2580" s="51" t="s">
        <v>11409</v>
      </c>
      <c r="B2580" s="51" t="s">
        <v>10278</v>
      </c>
      <c r="C2580" s="51" t="s">
        <v>25</v>
      </c>
      <c r="D2580" s="57">
        <v>45463.19360319445</v>
      </c>
    </row>
    <row r="2581">
      <c r="A2581" s="51" t="s">
        <v>11384</v>
      </c>
      <c r="B2581" s="51" t="s">
        <v>10023</v>
      </c>
      <c r="C2581" s="51" t="s">
        <v>216</v>
      </c>
      <c r="D2581" s="57">
        <v>45463.28381586805</v>
      </c>
    </row>
    <row r="2582">
      <c r="A2582" s="51" t="s">
        <v>11354</v>
      </c>
      <c r="B2582" s="51" t="s">
        <v>281</v>
      </c>
      <c r="C2582" s="51" t="s">
        <v>284</v>
      </c>
      <c r="D2582" s="57">
        <v>45463.39355712963</v>
      </c>
    </row>
    <row r="2583">
      <c r="A2583" s="51" t="s">
        <v>11413</v>
      </c>
      <c r="B2583" s="51" t="s">
        <v>115</v>
      </c>
      <c r="C2583" s="51" t="s">
        <v>84</v>
      </c>
      <c r="D2583" s="57">
        <v>45464.14188940972</v>
      </c>
    </row>
    <row r="2584">
      <c r="A2584" s="51" t="s">
        <v>11400</v>
      </c>
      <c r="B2584" s="51" t="s">
        <v>10863</v>
      </c>
      <c r="C2584" s="51" t="s">
        <v>25</v>
      </c>
      <c r="D2584" s="57">
        <v>45464.164309618056</v>
      </c>
    </row>
    <row r="2585">
      <c r="A2585" s="51" t="s">
        <v>11400</v>
      </c>
      <c r="B2585" s="51" t="s">
        <v>10653</v>
      </c>
      <c r="C2585" s="51" t="s">
        <v>25</v>
      </c>
      <c r="D2585" s="57">
        <v>45464.167931805554</v>
      </c>
    </row>
    <row r="2586">
      <c r="A2586" s="51" t="s">
        <v>11313</v>
      </c>
      <c r="B2586" s="51" t="s">
        <v>4451</v>
      </c>
      <c r="C2586" s="51" t="s">
        <v>517</v>
      </c>
      <c r="D2586" s="57">
        <v>45464.235381770835</v>
      </c>
    </row>
    <row r="2587">
      <c r="A2587" s="51" t="s">
        <v>11313</v>
      </c>
      <c r="B2587" s="51" t="s">
        <v>10711</v>
      </c>
      <c r="C2587" s="51" t="s">
        <v>275</v>
      </c>
      <c r="D2587" s="57">
        <v>45464.24392212963</v>
      </c>
    </row>
    <row r="2588">
      <c r="A2588" s="51" t="s">
        <v>11313</v>
      </c>
      <c r="B2588" s="51" t="s">
        <v>9056</v>
      </c>
      <c r="C2588" s="51" t="s">
        <v>216</v>
      </c>
      <c r="D2588" s="57">
        <v>45464.25844806713</v>
      </c>
    </row>
    <row r="2589">
      <c r="A2589" s="51" t="s">
        <v>11313</v>
      </c>
      <c r="B2589" s="51" t="s">
        <v>8969</v>
      </c>
      <c r="C2589" s="51" t="s">
        <v>216</v>
      </c>
      <c r="D2589" s="57">
        <v>45464.262634212966</v>
      </c>
    </row>
    <row r="2590">
      <c r="A2590" s="51" t="s">
        <v>11310</v>
      </c>
      <c r="B2590" s="51" t="s">
        <v>9399</v>
      </c>
      <c r="C2590" s="51" t="s">
        <v>165</v>
      </c>
      <c r="D2590" s="57">
        <v>45464.35566960648</v>
      </c>
    </row>
    <row r="2591">
      <c r="A2591" s="51" t="s">
        <v>11310</v>
      </c>
      <c r="B2591" s="51"/>
      <c r="C2591" s="51"/>
      <c r="D2591" s="57">
        <v>45464.35723241898</v>
      </c>
    </row>
    <row r="2592">
      <c r="A2592" s="51" t="s">
        <v>11310</v>
      </c>
      <c r="B2592" s="51" t="s">
        <v>10005</v>
      </c>
      <c r="C2592" s="51" t="s">
        <v>165</v>
      </c>
      <c r="D2592" s="57">
        <v>45464.35814224537</v>
      </c>
    </row>
    <row r="2593">
      <c r="A2593" s="51" t="s">
        <v>11389</v>
      </c>
      <c r="B2593" s="51" t="s">
        <v>10476</v>
      </c>
      <c r="C2593" s="51" t="s">
        <v>84</v>
      </c>
      <c r="D2593" s="57">
        <v>45464.87061549768</v>
      </c>
    </row>
    <row r="2594">
      <c r="A2594" s="51" t="s">
        <v>11389</v>
      </c>
      <c r="B2594" s="51" t="s">
        <v>10486</v>
      </c>
      <c r="C2594" s="51" t="s">
        <v>84</v>
      </c>
      <c r="D2594" s="57">
        <v>45464.87121290509</v>
      </c>
    </row>
    <row r="2595">
      <c r="A2595" s="51" t="s">
        <v>11389</v>
      </c>
      <c r="B2595" s="51" t="s">
        <v>10504</v>
      </c>
      <c r="C2595" s="51" t="s">
        <v>84</v>
      </c>
      <c r="D2595" s="57">
        <v>45464.87162144676</v>
      </c>
    </row>
    <row r="2596">
      <c r="A2596" s="51" t="s">
        <v>11413</v>
      </c>
      <c r="B2596" s="51" t="s">
        <v>11001</v>
      </c>
      <c r="C2596" s="51" t="s">
        <v>84</v>
      </c>
      <c r="D2596" s="57">
        <v>45464.917009571756</v>
      </c>
    </row>
    <row r="2597">
      <c r="A2597" s="51" t="s">
        <v>11413</v>
      </c>
      <c r="B2597" s="51" t="s">
        <v>4476</v>
      </c>
      <c r="C2597" s="51" t="s">
        <v>84</v>
      </c>
      <c r="D2597" s="57">
        <v>45464.919830706014</v>
      </c>
    </row>
    <row r="2598">
      <c r="A2598" s="51" t="s">
        <v>11413</v>
      </c>
      <c r="B2598" s="51" t="s">
        <v>5619</v>
      </c>
      <c r="C2598" s="51" t="s">
        <v>84</v>
      </c>
      <c r="D2598" s="57">
        <v>45464.94245847222</v>
      </c>
    </row>
    <row r="2599">
      <c r="A2599" s="51" t="s">
        <v>11410</v>
      </c>
      <c r="B2599" s="51" t="s">
        <v>193</v>
      </c>
      <c r="C2599" s="51" t="s">
        <v>84</v>
      </c>
      <c r="D2599" s="57">
        <v>45464.96369282407</v>
      </c>
    </row>
    <row r="2600">
      <c r="A2600" s="51" t="s">
        <v>11410</v>
      </c>
      <c r="B2600" s="51" t="s">
        <v>193</v>
      </c>
      <c r="C2600" s="51" t="s">
        <v>84</v>
      </c>
      <c r="D2600" s="57">
        <v>45464.96370875</v>
      </c>
    </row>
    <row r="2601">
      <c r="A2601" s="51" t="s">
        <v>11410</v>
      </c>
      <c r="B2601" s="51" t="s">
        <v>11001</v>
      </c>
      <c r="C2601" s="51" t="s">
        <v>84</v>
      </c>
      <c r="D2601" s="57">
        <v>45464.96696952546</v>
      </c>
    </row>
    <row r="2602">
      <c r="A2602" s="51" t="s">
        <v>11410</v>
      </c>
      <c r="B2602" s="51" t="s">
        <v>11001</v>
      </c>
      <c r="C2602" s="51" t="s">
        <v>84</v>
      </c>
      <c r="D2602" s="57">
        <v>45464.97513501157</v>
      </c>
    </row>
    <row r="2603">
      <c r="A2603" s="51" t="s">
        <v>11413</v>
      </c>
      <c r="B2603" s="51" t="s">
        <v>7646</v>
      </c>
      <c r="C2603" s="51" t="s">
        <v>84</v>
      </c>
      <c r="D2603" s="57">
        <v>45464.982155370366</v>
      </c>
    </row>
    <row r="2604">
      <c r="A2604" s="51" t="s">
        <v>11414</v>
      </c>
      <c r="B2604" s="51" t="s">
        <v>2433</v>
      </c>
      <c r="C2604" s="51" t="s">
        <v>316</v>
      </c>
      <c r="D2604" s="57">
        <v>45465.1233769213</v>
      </c>
    </row>
    <row r="2605">
      <c r="A2605" s="51" t="s">
        <v>11414</v>
      </c>
      <c r="B2605" s="51" t="s">
        <v>10373</v>
      </c>
      <c r="C2605" s="51" t="s">
        <v>110</v>
      </c>
      <c r="D2605" s="57">
        <v>45465.12469449074</v>
      </c>
    </row>
    <row r="2606">
      <c r="A2606" s="51" t="s">
        <v>11414</v>
      </c>
      <c r="B2606" s="51" t="s">
        <v>9888</v>
      </c>
      <c r="C2606" s="51" t="s">
        <v>110</v>
      </c>
      <c r="D2606" s="57">
        <v>45465.12521465278</v>
      </c>
    </row>
    <row r="2607">
      <c r="A2607" s="51" t="s">
        <v>11414</v>
      </c>
      <c r="B2607" s="51" t="s">
        <v>6738</v>
      </c>
      <c r="C2607" s="51" t="s">
        <v>165</v>
      </c>
      <c r="D2607" s="57">
        <v>45465.12690989583</v>
      </c>
    </row>
    <row r="2608">
      <c r="A2608" s="51" t="s">
        <v>11413</v>
      </c>
      <c r="B2608" s="51" t="s">
        <v>10393</v>
      </c>
      <c r="C2608" s="51" t="s">
        <v>84</v>
      </c>
      <c r="D2608" s="57">
        <v>45465.17901818287</v>
      </c>
    </row>
    <row r="2609">
      <c r="A2609" s="51" t="s">
        <v>11413</v>
      </c>
      <c r="B2609" s="51" t="s">
        <v>10141</v>
      </c>
      <c r="C2609" s="51" t="s">
        <v>84</v>
      </c>
      <c r="D2609" s="57">
        <v>45465.17974489584</v>
      </c>
    </row>
    <row r="2610">
      <c r="A2610" s="51" t="s">
        <v>11266</v>
      </c>
      <c r="B2610" s="51" t="s">
        <v>10141</v>
      </c>
      <c r="C2610" s="51" t="s">
        <v>84</v>
      </c>
      <c r="D2610" s="57">
        <v>45465.350636041665</v>
      </c>
    </row>
    <row r="2611">
      <c r="A2611" s="51" t="s">
        <v>11413</v>
      </c>
      <c r="B2611" s="51" t="s">
        <v>5039</v>
      </c>
      <c r="C2611" s="51" t="s">
        <v>84</v>
      </c>
      <c r="D2611" s="57">
        <v>45465.90429380787</v>
      </c>
    </row>
    <row r="2612">
      <c r="A2612" s="51" t="s">
        <v>11413</v>
      </c>
      <c r="B2612" s="51" t="s">
        <v>3220</v>
      </c>
      <c r="C2612" s="51" t="s">
        <v>25</v>
      </c>
      <c r="D2612" s="57">
        <v>45465.94288728009</v>
      </c>
    </row>
    <row r="2613">
      <c r="A2613" s="51" t="s">
        <v>11313</v>
      </c>
      <c r="B2613" s="51" t="s">
        <v>2269</v>
      </c>
      <c r="C2613" s="51" t="s">
        <v>517</v>
      </c>
      <c r="D2613" s="57">
        <v>45465.94788791667</v>
      </c>
    </row>
    <row r="2614">
      <c r="A2614" s="51" t="s">
        <v>11413</v>
      </c>
      <c r="B2614" s="51" t="s">
        <v>7393</v>
      </c>
      <c r="C2614" s="51" t="s">
        <v>84</v>
      </c>
      <c r="D2614" s="57">
        <v>45465.95332738426</v>
      </c>
    </row>
    <row r="2615">
      <c r="A2615" s="51" t="s">
        <v>11410</v>
      </c>
      <c r="B2615" s="51" t="s">
        <v>10944</v>
      </c>
      <c r="C2615" s="51" t="s">
        <v>84</v>
      </c>
      <c r="D2615" s="57">
        <v>45465.97277030093</v>
      </c>
    </row>
    <row r="2616">
      <c r="A2616" s="51" t="s">
        <v>11410</v>
      </c>
      <c r="B2616" s="51" t="s">
        <v>10813</v>
      </c>
      <c r="C2616" s="51" t="s">
        <v>84</v>
      </c>
      <c r="D2616" s="57">
        <v>45465.983455891204</v>
      </c>
    </row>
    <row r="2617">
      <c r="A2617" s="51" t="s">
        <v>11410</v>
      </c>
      <c r="B2617" s="51" t="s">
        <v>10813</v>
      </c>
      <c r="C2617" s="51" t="s">
        <v>84</v>
      </c>
      <c r="D2617" s="57">
        <v>45465.983481539355</v>
      </c>
    </row>
    <row r="2618">
      <c r="A2618" s="51" t="s">
        <v>11410</v>
      </c>
      <c r="B2618" s="51"/>
      <c r="C2618" s="51"/>
      <c r="D2618" s="57">
        <v>45465.98961466435</v>
      </c>
    </row>
    <row r="2619">
      <c r="A2619" s="51" t="s">
        <v>11410</v>
      </c>
      <c r="B2619" s="51" t="s">
        <v>10642</v>
      </c>
      <c r="C2619" s="51" t="s">
        <v>84</v>
      </c>
      <c r="D2619" s="57">
        <v>45465.98977630787</v>
      </c>
    </row>
    <row r="2620">
      <c r="A2620" s="51" t="s">
        <v>11410</v>
      </c>
      <c r="B2620" s="51" t="s">
        <v>10642</v>
      </c>
      <c r="C2620" s="51" t="s">
        <v>84</v>
      </c>
      <c r="D2620" s="57">
        <v>45465.98990951389</v>
      </c>
    </row>
    <row r="2621">
      <c r="A2621" s="51" t="s">
        <v>11410</v>
      </c>
      <c r="B2621" s="51" t="s">
        <v>10813</v>
      </c>
      <c r="C2621" s="51" t="s">
        <v>84</v>
      </c>
      <c r="D2621" s="57">
        <v>45465.997101817135</v>
      </c>
    </row>
    <row r="2622">
      <c r="A2622" s="51" t="s">
        <v>11410</v>
      </c>
      <c r="B2622" s="51" t="s">
        <v>10813</v>
      </c>
      <c r="C2622" s="51" t="s">
        <v>84</v>
      </c>
      <c r="D2622" s="57">
        <v>45465.9971144213</v>
      </c>
    </row>
    <row r="2623">
      <c r="A2623" s="51" t="s">
        <v>11410</v>
      </c>
      <c r="B2623" s="51" t="s">
        <v>10793</v>
      </c>
      <c r="C2623" s="51" t="s">
        <v>84</v>
      </c>
      <c r="D2623" s="57">
        <v>45466.04453003472</v>
      </c>
    </row>
    <row r="2624">
      <c r="A2624" s="51" t="s">
        <v>11409</v>
      </c>
      <c r="B2624" s="51" t="s">
        <v>10131</v>
      </c>
      <c r="C2624" s="51" t="s">
        <v>25</v>
      </c>
      <c r="D2624" s="57">
        <v>45466.12460747686</v>
      </c>
    </row>
    <row r="2625">
      <c r="A2625" s="51" t="s">
        <v>11409</v>
      </c>
      <c r="B2625" s="51" t="s">
        <v>10131</v>
      </c>
      <c r="C2625" s="51" t="s">
        <v>25</v>
      </c>
      <c r="D2625" s="57">
        <v>45466.1296065625</v>
      </c>
    </row>
    <row r="2626">
      <c r="A2626" s="51" t="s">
        <v>11409</v>
      </c>
      <c r="B2626" s="51" t="s">
        <v>1416</v>
      </c>
      <c r="C2626" s="51" t="s">
        <v>93</v>
      </c>
      <c r="D2626" s="57">
        <v>45466.13008043982</v>
      </c>
    </row>
    <row r="2627">
      <c r="A2627" s="51" t="s">
        <v>11399</v>
      </c>
      <c r="B2627" s="51" t="s">
        <v>200</v>
      </c>
      <c r="C2627" s="51" t="s">
        <v>25</v>
      </c>
      <c r="D2627" s="57">
        <v>45466.151306597225</v>
      </c>
    </row>
    <row r="2628">
      <c r="A2628" s="51" t="s">
        <v>11384</v>
      </c>
      <c r="B2628" s="51"/>
      <c r="C2628" s="51"/>
      <c r="D2628" s="57">
        <v>45466.38259017361</v>
      </c>
    </row>
    <row r="2629">
      <c r="A2629" s="51" t="s">
        <v>11413</v>
      </c>
      <c r="B2629" s="51" t="s">
        <v>8480</v>
      </c>
      <c r="C2629" s="51" t="s">
        <v>84</v>
      </c>
      <c r="D2629" s="57">
        <v>45466.44115221065</v>
      </c>
    </row>
    <row r="2630">
      <c r="A2630" s="51" t="s">
        <v>11415</v>
      </c>
      <c r="B2630" s="51" t="s">
        <v>10033</v>
      </c>
      <c r="C2630" s="51" t="s">
        <v>84</v>
      </c>
      <c r="D2630" s="57">
        <v>45466.84902890046</v>
      </c>
    </row>
    <row r="2631">
      <c r="A2631" s="51" t="s">
        <v>11415</v>
      </c>
      <c r="B2631" s="51" t="s">
        <v>10033</v>
      </c>
      <c r="C2631" s="51" t="s">
        <v>84</v>
      </c>
      <c r="D2631" s="57">
        <v>45466.84950493056</v>
      </c>
    </row>
    <row r="2632">
      <c r="A2632" s="51" t="s">
        <v>11415</v>
      </c>
      <c r="B2632" s="51" t="s">
        <v>8755</v>
      </c>
      <c r="C2632" s="51" t="s">
        <v>84</v>
      </c>
      <c r="D2632" s="57">
        <v>45466.85276260416</v>
      </c>
    </row>
    <row r="2633">
      <c r="A2633" s="51" t="s">
        <v>11414</v>
      </c>
      <c r="B2633" s="51" t="s">
        <v>10874</v>
      </c>
      <c r="C2633" s="51" t="s">
        <v>110</v>
      </c>
      <c r="D2633" s="57">
        <v>45467.10882778935</v>
      </c>
    </row>
    <row r="2634">
      <c r="A2634" s="51" t="s">
        <v>11414</v>
      </c>
      <c r="B2634" s="51" t="s">
        <v>10456</v>
      </c>
      <c r="C2634" s="51" t="s">
        <v>110</v>
      </c>
      <c r="D2634" s="57">
        <v>45467.11086262732</v>
      </c>
    </row>
    <row r="2635">
      <c r="A2635" s="51" t="s">
        <v>11410</v>
      </c>
      <c r="B2635" s="51" t="s">
        <v>10894</v>
      </c>
      <c r="C2635" s="51" t="s">
        <v>25</v>
      </c>
      <c r="D2635" s="57">
        <v>45467.21612268519</v>
      </c>
    </row>
    <row r="2636">
      <c r="A2636" s="51" t="s">
        <v>11409</v>
      </c>
      <c r="B2636" s="51"/>
      <c r="C2636" s="51"/>
      <c r="D2636" s="57">
        <v>45467.392172708336</v>
      </c>
    </row>
    <row r="2637">
      <c r="A2637" s="51" t="s">
        <v>11409</v>
      </c>
      <c r="B2637" s="51" t="s">
        <v>2832</v>
      </c>
      <c r="C2637" s="51" t="s">
        <v>25</v>
      </c>
      <c r="D2637" s="57">
        <v>45467.39238385417</v>
      </c>
    </row>
    <row r="2638">
      <c r="A2638" s="51" t="s">
        <v>11409</v>
      </c>
      <c r="B2638" s="51" t="s">
        <v>10662</v>
      </c>
      <c r="C2638" s="51" t="s">
        <v>25</v>
      </c>
      <c r="D2638" s="57">
        <v>45467.39374509259</v>
      </c>
    </row>
    <row r="2639">
      <c r="A2639" s="51" t="s">
        <v>11410</v>
      </c>
      <c r="B2639" s="51" t="s">
        <v>10495</v>
      </c>
      <c r="C2639" s="51" t="s">
        <v>25</v>
      </c>
      <c r="D2639" s="57">
        <v>45467.40158288194</v>
      </c>
    </row>
    <row r="2640">
      <c r="A2640" s="51" t="s">
        <v>11410</v>
      </c>
      <c r="B2640" s="51" t="s">
        <v>9238</v>
      </c>
      <c r="C2640" s="51" t="s">
        <v>25</v>
      </c>
      <c r="D2640" s="57">
        <v>45467.407042280094</v>
      </c>
    </row>
    <row r="2641">
      <c r="A2641" s="51" t="s">
        <v>11410</v>
      </c>
      <c r="B2641" s="51" t="s">
        <v>9238</v>
      </c>
      <c r="C2641" s="51" t="s">
        <v>25</v>
      </c>
      <c r="D2641" s="57">
        <v>45467.40707773148</v>
      </c>
    </row>
    <row r="2642">
      <c r="A2642" s="51" t="s">
        <v>11410</v>
      </c>
      <c r="B2642" s="51" t="s">
        <v>10944</v>
      </c>
      <c r="C2642" s="51" t="s">
        <v>84</v>
      </c>
      <c r="D2642" s="57">
        <v>45469.1688853588</v>
      </c>
    </row>
    <row r="2643">
      <c r="A2643" s="51" t="s">
        <v>11410</v>
      </c>
      <c r="B2643" s="51" t="s">
        <v>11001</v>
      </c>
      <c r="C2643" s="51" t="s">
        <v>84</v>
      </c>
      <c r="D2643" s="57">
        <v>45469.17543174769</v>
      </c>
    </row>
    <row r="2644">
      <c r="A2644" s="51" t="s">
        <v>11385</v>
      </c>
      <c r="B2644" s="51" t="s">
        <v>470</v>
      </c>
      <c r="C2644" s="51" t="s">
        <v>84</v>
      </c>
      <c r="D2644" s="57">
        <v>45469.25584939815</v>
      </c>
    </row>
    <row r="2645">
      <c r="A2645" s="51" t="s">
        <v>11301</v>
      </c>
      <c r="B2645" s="51" t="s">
        <v>8695</v>
      </c>
      <c r="C2645" s="51" t="s">
        <v>25</v>
      </c>
      <c r="D2645" s="57">
        <v>45469.8545284375</v>
      </c>
    </row>
    <row r="2646">
      <c r="A2646" s="51" t="s">
        <v>11301</v>
      </c>
      <c r="B2646" s="51" t="s">
        <v>10346</v>
      </c>
      <c r="C2646" s="51" t="s">
        <v>25</v>
      </c>
      <c r="D2646" s="57">
        <v>45469.856347685185</v>
      </c>
    </row>
    <row r="2647">
      <c r="A2647" s="51" t="s">
        <v>11282</v>
      </c>
      <c r="B2647" s="51" t="s">
        <v>8695</v>
      </c>
      <c r="C2647" s="51" t="s">
        <v>25</v>
      </c>
      <c r="D2647" s="57">
        <v>45469.856713182875</v>
      </c>
    </row>
    <row r="2648">
      <c r="A2648" s="51" t="s">
        <v>11416</v>
      </c>
      <c r="B2648" s="51" t="s">
        <v>10393</v>
      </c>
      <c r="C2648" s="51" t="s">
        <v>84</v>
      </c>
      <c r="D2648" s="57">
        <v>45474.19433978009</v>
      </c>
    </row>
    <row r="2649">
      <c r="A2649" s="51" t="s">
        <v>11416</v>
      </c>
      <c r="B2649" s="51" t="s">
        <v>5741</v>
      </c>
      <c r="C2649" s="51" t="s">
        <v>165</v>
      </c>
      <c r="D2649" s="57">
        <v>45474.19648658565</v>
      </c>
    </row>
    <row r="2650">
      <c r="A2650" s="51" t="s">
        <v>11416</v>
      </c>
      <c r="B2650" s="51" t="s">
        <v>8293</v>
      </c>
      <c r="C2650" s="51" t="s">
        <v>316</v>
      </c>
      <c r="D2650" s="57">
        <v>45474.19823984954</v>
      </c>
    </row>
    <row r="2651">
      <c r="A2651" s="51" t="s">
        <v>11416</v>
      </c>
      <c r="B2651" s="51" t="s">
        <v>8442</v>
      </c>
      <c r="C2651" s="51" t="s">
        <v>517</v>
      </c>
      <c r="D2651" s="57">
        <v>45474.23793070602</v>
      </c>
    </row>
    <row r="2652">
      <c r="A2652" s="51" t="s">
        <v>11282</v>
      </c>
      <c r="B2652" s="51" t="s">
        <v>10934</v>
      </c>
      <c r="C2652" s="51" t="s">
        <v>25</v>
      </c>
      <c r="D2652" s="57">
        <v>45476.89473571759</v>
      </c>
    </row>
    <row r="2653">
      <c r="A2653" s="51" t="s">
        <v>11313</v>
      </c>
      <c r="B2653" s="51" t="s">
        <v>8561</v>
      </c>
      <c r="C2653" s="51" t="s">
        <v>25</v>
      </c>
      <c r="D2653" s="57">
        <v>45478.38579122685</v>
      </c>
    </row>
    <row r="2654">
      <c r="A2654" s="51" t="s">
        <v>11313</v>
      </c>
      <c r="B2654" s="51" t="s">
        <v>8561</v>
      </c>
      <c r="C2654" s="51" t="s">
        <v>25</v>
      </c>
      <c r="D2654" s="57">
        <v>45478.38746402778</v>
      </c>
    </row>
    <row r="2655">
      <c r="A2655" s="51" t="s">
        <v>11313</v>
      </c>
      <c r="B2655" s="51" t="s">
        <v>8177</v>
      </c>
      <c r="C2655" s="51" t="s">
        <v>25</v>
      </c>
      <c r="D2655" s="57">
        <v>45478.38886415509</v>
      </c>
    </row>
    <row r="2656">
      <c r="A2656" s="51" t="s">
        <v>11417</v>
      </c>
      <c r="B2656" s="51" t="s">
        <v>1261</v>
      </c>
      <c r="C2656" s="51" t="s">
        <v>165</v>
      </c>
      <c r="D2656" s="57">
        <v>45478.8138341088</v>
      </c>
    </row>
    <row r="2657">
      <c r="A2657" s="51" t="s">
        <v>11417</v>
      </c>
      <c r="B2657" s="51" t="s">
        <v>1773</v>
      </c>
      <c r="C2657" s="51" t="s">
        <v>284</v>
      </c>
      <c r="D2657" s="57">
        <v>45478.81694457176</v>
      </c>
    </row>
    <row r="2658">
      <c r="A2658" s="51" t="s">
        <v>11301</v>
      </c>
      <c r="B2658" s="51" t="s">
        <v>7095</v>
      </c>
      <c r="C2658" s="51" t="s">
        <v>25</v>
      </c>
      <c r="D2658" s="57">
        <v>45481.898208136576</v>
      </c>
    </row>
    <row r="2659">
      <c r="A2659" s="51" t="s">
        <v>11411</v>
      </c>
      <c r="B2659" s="51" t="s">
        <v>1763</v>
      </c>
      <c r="C2659" s="51" t="s">
        <v>25</v>
      </c>
      <c r="D2659" s="57">
        <v>45483.884325520834</v>
      </c>
    </row>
    <row r="2660">
      <c r="A2660" s="51" t="s">
        <v>11301</v>
      </c>
      <c r="B2660" s="51" t="s">
        <v>10844</v>
      </c>
      <c r="C2660" s="51" t="s">
        <v>25</v>
      </c>
      <c r="D2660" s="57">
        <v>45484.18588185185</v>
      </c>
    </row>
    <row r="2661">
      <c r="A2661" s="51" t="s">
        <v>11282</v>
      </c>
      <c r="B2661" s="51" t="s">
        <v>10346</v>
      </c>
      <c r="C2661" s="51" t="s">
        <v>25</v>
      </c>
      <c r="D2661" s="57">
        <v>45485.166384421296</v>
      </c>
    </row>
    <row r="2662">
      <c r="A2662" s="51" t="s">
        <v>11329</v>
      </c>
      <c r="B2662" s="51" t="s">
        <v>10198</v>
      </c>
      <c r="C2662" s="51" t="s">
        <v>84</v>
      </c>
      <c r="D2662" s="57">
        <v>45485.29400685185</v>
      </c>
    </row>
    <row r="2663">
      <c r="A2663" s="51" t="s">
        <v>11330</v>
      </c>
      <c r="B2663" s="51" t="s">
        <v>9995</v>
      </c>
      <c r="C2663" s="51" t="s">
        <v>25</v>
      </c>
      <c r="D2663" s="57">
        <v>45485.311692048606</v>
      </c>
    </row>
    <row r="2664">
      <c r="A2664" s="51" t="s">
        <v>11329</v>
      </c>
      <c r="B2664" s="51" t="s">
        <v>10793</v>
      </c>
      <c r="C2664" s="51" t="s">
        <v>84</v>
      </c>
      <c r="D2664" s="57">
        <v>45486.026996851855</v>
      </c>
    </row>
    <row r="2665">
      <c r="A2665" s="51" t="s">
        <v>11329</v>
      </c>
      <c r="B2665" s="51" t="s">
        <v>11001</v>
      </c>
      <c r="C2665" s="51" t="s">
        <v>84</v>
      </c>
      <c r="D2665" s="57">
        <v>45486.03675033565</v>
      </c>
    </row>
    <row r="2666">
      <c r="A2666" s="51" t="s">
        <v>11329</v>
      </c>
      <c r="B2666" s="51" t="s">
        <v>4577</v>
      </c>
      <c r="C2666" s="51" t="s">
        <v>84</v>
      </c>
      <c r="D2666" s="57">
        <v>45488.96955091435</v>
      </c>
    </row>
    <row r="2667">
      <c r="A2667" s="51" t="s">
        <v>11329</v>
      </c>
      <c r="B2667" s="51" t="s">
        <v>4577</v>
      </c>
      <c r="C2667" s="51" t="s">
        <v>84</v>
      </c>
      <c r="D2667" s="57">
        <v>45488.97022908565</v>
      </c>
    </row>
    <row r="2668">
      <c r="A2668" s="51" t="s">
        <v>11329</v>
      </c>
      <c r="B2668" s="51" t="s">
        <v>4577</v>
      </c>
      <c r="C2668" s="51" t="s">
        <v>84</v>
      </c>
      <c r="D2668" s="57">
        <v>45488.97059144676</v>
      </c>
    </row>
    <row r="2669">
      <c r="A2669" s="51" t="s">
        <v>11329</v>
      </c>
      <c r="B2669" s="51" t="s">
        <v>4705</v>
      </c>
      <c r="C2669" s="51" t="s">
        <v>84</v>
      </c>
      <c r="D2669" s="57">
        <v>45488.971692673615</v>
      </c>
    </row>
    <row r="2670">
      <c r="A2670" s="51" t="s">
        <v>11330</v>
      </c>
      <c r="B2670" s="51" t="s">
        <v>8649</v>
      </c>
      <c r="C2670" s="51" t="s">
        <v>316</v>
      </c>
      <c r="D2670" s="57">
        <v>45489.082232534725</v>
      </c>
    </row>
    <row r="2671">
      <c r="A2671" s="51" t="s">
        <v>11392</v>
      </c>
      <c r="B2671" s="51" t="s">
        <v>9524</v>
      </c>
      <c r="C2671" s="51" t="s">
        <v>165</v>
      </c>
      <c r="D2671" s="57">
        <v>45490.84388274305</v>
      </c>
    </row>
    <row r="2672">
      <c r="A2672" s="51" t="s">
        <v>11392</v>
      </c>
      <c r="B2672" s="51" t="s">
        <v>9399</v>
      </c>
      <c r="C2672" s="51" t="s">
        <v>165</v>
      </c>
      <c r="D2672" s="57">
        <v>45490.84618518519</v>
      </c>
    </row>
    <row r="2673">
      <c r="A2673" s="51" t="s">
        <v>11312</v>
      </c>
      <c r="B2673" s="51" t="s">
        <v>8755</v>
      </c>
      <c r="C2673" s="51" t="s">
        <v>84</v>
      </c>
      <c r="D2673" s="57">
        <v>45490.970827384255</v>
      </c>
    </row>
    <row r="2674">
      <c r="A2674" s="51" t="s">
        <v>11313</v>
      </c>
      <c r="B2674" s="51" t="s">
        <v>10833</v>
      </c>
      <c r="C2674" s="51" t="s">
        <v>517</v>
      </c>
      <c r="D2674" s="57">
        <v>45492.87788747685</v>
      </c>
    </row>
    <row r="2675">
      <c r="A2675" s="51" t="s">
        <v>11313</v>
      </c>
      <c r="B2675" s="51" t="s">
        <v>10774</v>
      </c>
      <c r="C2675" s="51" t="s">
        <v>216</v>
      </c>
      <c r="D2675" s="57">
        <v>45492.880680381946</v>
      </c>
    </row>
    <row r="2676">
      <c r="A2676" s="51" t="s">
        <v>11313</v>
      </c>
      <c r="B2676" s="51" t="s">
        <v>8244</v>
      </c>
      <c r="C2676" s="51" t="s">
        <v>216</v>
      </c>
      <c r="D2676" s="57">
        <v>45492.89279758102</v>
      </c>
    </row>
    <row r="2677">
      <c r="A2677" s="51" t="s">
        <v>11313</v>
      </c>
      <c r="B2677" s="51" t="s">
        <v>8969</v>
      </c>
      <c r="C2677" s="51" t="s">
        <v>216</v>
      </c>
      <c r="D2677" s="57">
        <v>45492.912766608795</v>
      </c>
    </row>
    <row r="2678">
      <c r="A2678" s="51" t="s">
        <v>11313</v>
      </c>
      <c r="B2678" s="51" t="s">
        <v>8969</v>
      </c>
      <c r="C2678" s="51" t="s">
        <v>216</v>
      </c>
      <c r="D2678" s="57">
        <v>45492.91309174769</v>
      </c>
    </row>
    <row r="2679">
      <c r="A2679" s="51" t="s">
        <v>11313</v>
      </c>
      <c r="B2679" s="51" t="s">
        <v>8969</v>
      </c>
      <c r="C2679" s="51" t="s">
        <v>216</v>
      </c>
      <c r="D2679" s="57">
        <v>45492.913727962965</v>
      </c>
    </row>
    <row r="2680">
      <c r="A2680" s="51" t="s">
        <v>11313</v>
      </c>
      <c r="B2680" s="51" t="s">
        <v>4885</v>
      </c>
      <c r="C2680" s="51" t="s">
        <v>517</v>
      </c>
      <c r="D2680" s="57">
        <v>45495.3374542824</v>
      </c>
    </row>
    <row r="2681">
      <c r="A2681" s="51" t="s">
        <v>11313</v>
      </c>
      <c r="B2681" s="51" t="s">
        <v>4885</v>
      </c>
      <c r="C2681" s="51" t="s">
        <v>517</v>
      </c>
      <c r="D2681" s="57">
        <v>45495.33780783565</v>
      </c>
    </row>
    <row r="2682">
      <c r="A2682" s="51" t="s">
        <v>11313</v>
      </c>
      <c r="B2682" s="51" t="s">
        <v>4885</v>
      </c>
      <c r="C2682" s="51" t="s">
        <v>517</v>
      </c>
      <c r="D2682" s="57">
        <v>45495.33848893519</v>
      </c>
    </row>
    <row r="2683">
      <c r="A2683" s="51" t="s">
        <v>11313</v>
      </c>
      <c r="B2683" s="51" t="s">
        <v>4885</v>
      </c>
      <c r="C2683" s="51" t="s">
        <v>517</v>
      </c>
      <c r="D2683" s="57">
        <v>45495.339689976856</v>
      </c>
    </row>
    <row r="2684">
      <c r="A2684" s="51" t="s">
        <v>11313</v>
      </c>
      <c r="B2684" s="51" t="s">
        <v>4885</v>
      </c>
      <c r="C2684" s="51" t="s">
        <v>517</v>
      </c>
      <c r="D2684" s="57">
        <v>45495.341210914354</v>
      </c>
    </row>
    <row r="2685">
      <c r="A2685" s="51" t="s">
        <v>11313</v>
      </c>
      <c r="B2685" s="51" t="s">
        <v>4885</v>
      </c>
      <c r="C2685" s="51" t="s">
        <v>517</v>
      </c>
      <c r="D2685" s="57">
        <v>45495.34131199074</v>
      </c>
    </row>
    <row r="2686">
      <c r="A2686" s="51" t="s">
        <v>11313</v>
      </c>
      <c r="B2686" s="51" t="s">
        <v>4885</v>
      </c>
      <c r="C2686" s="51" t="s">
        <v>517</v>
      </c>
      <c r="D2686" s="57">
        <v>45495.34169572916</v>
      </c>
    </row>
    <row r="2687">
      <c r="A2687" s="51" t="s">
        <v>11313</v>
      </c>
      <c r="B2687" s="51" t="s">
        <v>4885</v>
      </c>
      <c r="C2687" s="51" t="s">
        <v>517</v>
      </c>
      <c r="D2687" s="57">
        <v>45495.342299710646</v>
      </c>
    </row>
    <row r="2688">
      <c r="A2688" s="51" t="s">
        <v>11313</v>
      </c>
      <c r="B2688" s="51" t="s">
        <v>4885</v>
      </c>
      <c r="C2688" s="51" t="s">
        <v>517</v>
      </c>
      <c r="D2688" s="57">
        <v>45495.34600839121</v>
      </c>
    </row>
    <row r="2689">
      <c r="A2689" s="51" t="s">
        <v>11313</v>
      </c>
      <c r="B2689" s="51" t="s">
        <v>4885</v>
      </c>
      <c r="C2689" s="51" t="s">
        <v>517</v>
      </c>
      <c r="D2689" s="57">
        <v>45495.34623380787</v>
      </c>
    </row>
    <row r="2690">
      <c r="A2690" s="51" t="s">
        <v>11313</v>
      </c>
      <c r="B2690" s="51" t="s">
        <v>4885</v>
      </c>
      <c r="C2690" s="51" t="s">
        <v>517</v>
      </c>
      <c r="D2690" s="57">
        <v>45495.34730690972</v>
      </c>
    </row>
    <row r="2691">
      <c r="A2691" s="51" t="s">
        <v>11313</v>
      </c>
      <c r="B2691" s="51" t="s">
        <v>4885</v>
      </c>
      <c r="C2691" s="51" t="s">
        <v>517</v>
      </c>
      <c r="D2691" s="57">
        <v>45495.348616759264</v>
      </c>
    </row>
    <row r="2692">
      <c r="A2692" s="51" t="s">
        <v>11313</v>
      </c>
      <c r="B2692" s="51" t="s">
        <v>4885</v>
      </c>
      <c r="C2692" s="51" t="s">
        <v>517</v>
      </c>
      <c r="D2692" s="57">
        <v>45495.34931253472</v>
      </c>
    </row>
    <row r="2693">
      <c r="A2693" s="51" t="s">
        <v>11313</v>
      </c>
      <c r="B2693" s="51" t="s">
        <v>4885</v>
      </c>
      <c r="C2693" s="51" t="s">
        <v>517</v>
      </c>
      <c r="D2693" s="57">
        <v>45495.34939766204</v>
      </c>
    </row>
    <row r="2694">
      <c r="A2694" s="51" t="s">
        <v>11313</v>
      </c>
      <c r="B2694" s="51" t="s">
        <v>4885</v>
      </c>
      <c r="C2694" s="51" t="s">
        <v>517</v>
      </c>
      <c r="D2694" s="57">
        <v>45495.34945952546</v>
      </c>
    </row>
    <row r="2695">
      <c r="A2695" s="51" t="s">
        <v>11313</v>
      </c>
      <c r="B2695" s="51" t="s">
        <v>4885</v>
      </c>
      <c r="C2695" s="51" t="s">
        <v>517</v>
      </c>
      <c r="D2695" s="57">
        <v>45495.349542916665</v>
      </c>
    </row>
    <row r="2696">
      <c r="A2696" s="51" t="s">
        <v>11313</v>
      </c>
      <c r="B2696" s="51" t="s">
        <v>7844</v>
      </c>
      <c r="C2696" s="51" t="s">
        <v>110</v>
      </c>
      <c r="D2696" s="57">
        <v>45495.37069412037</v>
      </c>
    </row>
    <row r="2697">
      <c r="A2697" s="51" t="s">
        <v>11313</v>
      </c>
      <c r="B2697" s="51" t="s">
        <v>10774</v>
      </c>
      <c r="C2697" s="51" t="s">
        <v>216</v>
      </c>
      <c r="D2697" s="57">
        <v>45495.38665596065</v>
      </c>
    </row>
    <row r="2698">
      <c r="A2698" s="51" t="s">
        <v>11313</v>
      </c>
      <c r="B2698" s="51" t="s">
        <v>10774</v>
      </c>
      <c r="C2698" s="51" t="s">
        <v>216</v>
      </c>
      <c r="D2698" s="57">
        <v>45495.386935925926</v>
      </c>
    </row>
    <row r="2699">
      <c r="A2699" s="51" t="s">
        <v>11329</v>
      </c>
      <c r="B2699" s="51" t="s">
        <v>6274</v>
      </c>
      <c r="C2699" s="51" t="s">
        <v>84</v>
      </c>
      <c r="D2699" s="57">
        <v>45500.79758591435</v>
      </c>
    </row>
    <row r="2700">
      <c r="A2700" s="51" t="s">
        <v>11413</v>
      </c>
      <c r="B2700" s="51" t="s">
        <v>2728</v>
      </c>
      <c r="C2700" s="51" t="s">
        <v>84</v>
      </c>
      <c r="D2700" s="57">
        <v>45503.4126134838</v>
      </c>
    </row>
    <row r="2701">
      <c r="A2701" s="51" t="s">
        <v>11336</v>
      </c>
      <c r="B2701" s="51" t="s">
        <v>7844</v>
      </c>
      <c r="C2701" s="51" t="s">
        <v>110</v>
      </c>
      <c r="D2701" s="57">
        <v>45503.88440494213</v>
      </c>
    </row>
    <row r="2702">
      <c r="A2702" s="51" t="s">
        <v>11336</v>
      </c>
      <c r="B2702" s="51" t="s">
        <v>7873</v>
      </c>
      <c r="C2702" s="51" t="s">
        <v>216</v>
      </c>
      <c r="D2702" s="57">
        <v>45503.890759305556</v>
      </c>
    </row>
    <row r="2703">
      <c r="A2703" s="51" t="s">
        <v>11313</v>
      </c>
      <c r="B2703" s="51" t="s">
        <v>8177</v>
      </c>
      <c r="C2703" s="51" t="s">
        <v>25</v>
      </c>
      <c r="D2703" s="57">
        <v>45505.06316643518</v>
      </c>
    </row>
    <row r="2704">
      <c r="A2704" s="51" t="s">
        <v>11336</v>
      </c>
      <c r="B2704" s="51" t="s">
        <v>540</v>
      </c>
      <c r="C2704" s="51" t="s">
        <v>216</v>
      </c>
      <c r="D2704" s="57">
        <v>45505.15034910879</v>
      </c>
    </row>
    <row r="2705">
      <c r="A2705" s="51" t="s">
        <v>11336</v>
      </c>
      <c r="B2705" s="51" t="s">
        <v>3418</v>
      </c>
      <c r="C2705" s="51" t="s">
        <v>216</v>
      </c>
      <c r="D2705" s="57">
        <v>45505.1547674537</v>
      </c>
    </row>
    <row r="2706">
      <c r="A2706" s="51" t="s">
        <v>11266</v>
      </c>
      <c r="B2706" s="51" t="s">
        <v>3331</v>
      </c>
      <c r="C2706" s="51" t="s">
        <v>84</v>
      </c>
      <c r="D2706" s="57">
        <v>45505.20237106481</v>
      </c>
    </row>
    <row r="2707">
      <c r="A2707" s="51" t="s">
        <v>11266</v>
      </c>
      <c r="B2707" s="51" t="s">
        <v>3331</v>
      </c>
      <c r="C2707" s="51" t="s">
        <v>84</v>
      </c>
      <c r="D2707" s="57">
        <v>45505.204028506945</v>
      </c>
    </row>
    <row r="2708">
      <c r="A2708" s="51" t="s">
        <v>11266</v>
      </c>
      <c r="B2708" s="51" t="s">
        <v>10217</v>
      </c>
      <c r="C2708" s="51" t="s">
        <v>84</v>
      </c>
      <c r="D2708" s="57">
        <v>45505.210421932876</v>
      </c>
    </row>
    <row r="2709">
      <c r="A2709" s="51" t="s">
        <v>11266</v>
      </c>
      <c r="B2709" s="51" t="s">
        <v>3331</v>
      </c>
      <c r="C2709" s="51" t="s">
        <v>84</v>
      </c>
      <c r="D2709" s="57">
        <v>45505.2110866088</v>
      </c>
    </row>
    <row r="2710">
      <c r="A2710" s="51" t="s">
        <v>11266</v>
      </c>
      <c r="B2710" s="51" t="s">
        <v>3331</v>
      </c>
      <c r="C2710" s="51" t="s">
        <v>84</v>
      </c>
      <c r="D2710" s="57">
        <v>45505.2146568287</v>
      </c>
    </row>
    <row r="2711">
      <c r="A2711" s="51" t="s">
        <v>11336</v>
      </c>
      <c r="B2711" s="51" t="s">
        <v>6997</v>
      </c>
      <c r="C2711" s="51" t="s">
        <v>517</v>
      </c>
      <c r="D2711" s="57">
        <v>45506.09001247685</v>
      </c>
    </row>
    <row r="2712">
      <c r="A2712" s="51" t="s">
        <v>11336</v>
      </c>
      <c r="B2712" s="51" t="s">
        <v>1644</v>
      </c>
      <c r="C2712" s="51" t="s">
        <v>316</v>
      </c>
      <c r="D2712" s="57">
        <v>45506.090880497686</v>
      </c>
    </row>
    <row r="2713">
      <c r="A2713" s="51" t="s">
        <v>11336</v>
      </c>
      <c r="B2713" s="51" t="s">
        <v>1644</v>
      </c>
      <c r="C2713" s="51" t="s">
        <v>316</v>
      </c>
      <c r="D2713" s="57">
        <v>45506.12292228009</v>
      </c>
    </row>
    <row r="2714">
      <c r="A2714" s="51" t="s">
        <v>11336</v>
      </c>
      <c r="B2714" s="51" t="s">
        <v>9829</v>
      </c>
      <c r="C2714" s="51" t="s">
        <v>216</v>
      </c>
      <c r="D2714" s="57">
        <v>45506.1693890625</v>
      </c>
    </row>
    <row r="2715">
      <c r="A2715" s="51" t="s">
        <v>11336</v>
      </c>
      <c r="B2715" s="51" t="s">
        <v>9829</v>
      </c>
      <c r="C2715" s="51" t="s">
        <v>216</v>
      </c>
      <c r="D2715" s="57">
        <v>45506.170224270834</v>
      </c>
    </row>
    <row r="2716">
      <c r="A2716" s="51" t="s">
        <v>11277</v>
      </c>
      <c r="B2716" s="51" t="s">
        <v>1004</v>
      </c>
      <c r="C2716" s="51" t="s">
        <v>52</v>
      </c>
      <c r="D2716" s="57">
        <v>45506.311410462964</v>
      </c>
    </row>
    <row r="2717">
      <c r="A2717" s="51" t="s">
        <v>11277</v>
      </c>
      <c r="B2717" s="51" t="s">
        <v>1004</v>
      </c>
      <c r="C2717" s="51" t="s">
        <v>52</v>
      </c>
      <c r="D2717" s="57">
        <v>45506.31186918981</v>
      </c>
    </row>
    <row r="2718">
      <c r="A2718" s="51" t="s">
        <v>11414</v>
      </c>
      <c r="B2718" s="51" t="s">
        <v>7776</v>
      </c>
      <c r="C2718" s="51" t="s">
        <v>110</v>
      </c>
      <c r="D2718" s="57">
        <v>45508.32503226852</v>
      </c>
    </row>
    <row r="2719">
      <c r="A2719" s="51" t="s">
        <v>11234</v>
      </c>
      <c r="B2719" s="51" t="s">
        <v>8520</v>
      </c>
      <c r="C2719" s="51" t="s">
        <v>316</v>
      </c>
      <c r="D2719" s="57">
        <v>45511.29321671296</v>
      </c>
    </row>
    <row r="2720">
      <c r="A2720" s="51" t="s">
        <v>11413</v>
      </c>
      <c r="B2720" s="51" t="s">
        <v>10365</v>
      </c>
      <c r="C2720" s="51" t="s">
        <v>84</v>
      </c>
      <c r="D2720" s="57">
        <v>45512.156662615744</v>
      </c>
    </row>
    <row r="2721">
      <c r="A2721" s="51" t="s">
        <v>11403</v>
      </c>
      <c r="B2721" s="51" t="s">
        <v>9790</v>
      </c>
      <c r="C2721" s="51" t="s">
        <v>25</v>
      </c>
      <c r="D2721" s="57">
        <v>45512.85498056713</v>
      </c>
    </row>
    <row r="2722">
      <c r="A2722" s="51" t="s">
        <v>11413</v>
      </c>
      <c r="B2722" s="51" t="s">
        <v>2728</v>
      </c>
      <c r="C2722" s="51" t="s">
        <v>84</v>
      </c>
      <c r="D2722" s="57">
        <v>45512.873245891205</v>
      </c>
    </row>
    <row r="2723">
      <c r="A2723" s="51" t="s">
        <v>11413</v>
      </c>
      <c r="B2723" s="51" t="s">
        <v>8561</v>
      </c>
      <c r="C2723" s="51" t="s">
        <v>25</v>
      </c>
      <c r="D2723" s="57">
        <v>45512.902975185185</v>
      </c>
    </row>
    <row r="2724">
      <c r="A2724" s="51" t="s">
        <v>11413</v>
      </c>
      <c r="B2724" s="51" t="s">
        <v>8561</v>
      </c>
      <c r="C2724" s="51" t="s">
        <v>25</v>
      </c>
      <c r="D2724" s="57">
        <v>45512.90497055555</v>
      </c>
    </row>
    <row r="2725">
      <c r="A2725" s="51" t="s">
        <v>11413</v>
      </c>
      <c r="B2725" s="51" t="s">
        <v>2728</v>
      </c>
      <c r="C2725" s="51" t="s">
        <v>84</v>
      </c>
      <c r="D2725" s="57">
        <v>45512.90750335648</v>
      </c>
    </row>
    <row r="2726">
      <c r="A2726" s="51" t="s">
        <v>11400</v>
      </c>
      <c r="B2726" s="51" t="s">
        <v>11012</v>
      </c>
      <c r="C2726" s="51" t="s">
        <v>25</v>
      </c>
      <c r="D2726" s="57">
        <v>45514.18228350695</v>
      </c>
    </row>
    <row r="2727">
      <c r="A2727" s="51" t="s">
        <v>11307</v>
      </c>
      <c r="B2727" s="51" t="s">
        <v>10486</v>
      </c>
      <c r="C2727" s="51" t="s">
        <v>84</v>
      </c>
      <c r="D2727" s="57">
        <v>45517.87401516204</v>
      </c>
    </row>
    <row r="2728">
      <c r="A2728" s="51" t="s">
        <v>11220</v>
      </c>
      <c r="B2728" s="51" t="s">
        <v>1600</v>
      </c>
      <c r="C2728" s="51" t="s">
        <v>316</v>
      </c>
      <c r="D2728" s="57">
        <v>45517.881073819444</v>
      </c>
    </row>
    <row r="2729">
      <c r="A2729" s="51" t="s">
        <v>11220</v>
      </c>
      <c r="B2729" s="51" t="s">
        <v>1600</v>
      </c>
      <c r="C2729" s="51" t="s">
        <v>316</v>
      </c>
      <c r="D2729" s="57">
        <v>45517.88229875</v>
      </c>
    </row>
    <row r="2730">
      <c r="A2730" s="51" t="s">
        <v>11220</v>
      </c>
      <c r="B2730" s="51" t="s">
        <v>8520</v>
      </c>
      <c r="C2730" s="51" t="s">
        <v>316</v>
      </c>
      <c r="D2730" s="57">
        <v>45517.88393946759</v>
      </c>
    </row>
    <row r="2731">
      <c r="A2731" s="51" t="s">
        <v>11378</v>
      </c>
      <c r="B2731" s="51" t="s">
        <v>9829</v>
      </c>
      <c r="C2731" s="51" t="s">
        <v>216</v>
      </c>
      <c r="D2731" s="57">
        <v>45517.884766840274</v>
      </c>
    </row>
    <row r="2732">
      <c r="A2732" s="51" t="s">
        <v>11220</v>
      </c>
      <c r="B2732" s="51" t="s">
        <v>10874</v>
      </c>
      <c r="C2732" s="51" t="s">
        <v>110</v>
      </c>
      <c r="D2732" s="57">
        <v>45517.88793642361</v>
      </c>
    </row>
    <row r="2733">
      <c r="A2733" s="51" t="s">
        <v>11415</v>
      </c>
      <c r="B2733" s="51" t="s">
        <v>778</v>
      </c>
      <c r="C2733" s="51" t="s">
        <v>110</v>
      </c>
      <c r="D2733" s="57">
        <v>45518.71644587963</v>
      </c>
    </row>
    <row r="2734">
      <c r="A2734" s="51" t="s">
        <v>11354</v>
      </c>
      <c r="B2734" s="51" t="s">
        <v>632</v>
      </c>
      <c r="C2734" s="51" t="s">
        <v>110</v>
      </c>
      <c r="D2734" s="57">
        <v>45520.27711895833</v>
      </c>
    </row>
    <row r="2735">
      <c r="A2735" s="51" t="s">
        <v>11354</v>
      </c>
      <c r="B2735" s="51" t="s">
        <v>610</v>
      </c>
      <c r="C2735" s="51" t="s">
        <v>165</v>
      </c>
      <c r="D2735" s="57">
        <v>45520.2791255787</v>
      </c>
    </row>
    <row r="2736">
      <c r="A2736" s="51" t="s">
        <v>11313</v>
      </c>
      <c r="B2736" s="51" t="s">
        <v>10721</v>
      </c>
      <c r="C2736" s="51" t="s">
        <v>216</v>
      </c>
      <c r="D2736" s="57">
        <v>45520.95908826389</v>
      </c>
    </row>
    <row r="2737">
      <c r="A2737" s="51" t="s">
        <v>11313</v>
      </c>
      <c r="B2737" s="51" t="s">
        <v>10721</v>
      </c>
      <c r="C2737" s="51" t="s">
        <v>216</v>
      </c>
      <c r="D2737" s="57">
        <v>45520.95956128472</v>
      </c>
    </row>
    <row r="2738">
      <c r="A2738" s="51" t="s">
        <v>11313</v>
      </c>
      <c r="B2738" s="51" t="s">
        <v>9829</v>
      </c>
      <c r="C2738" s="51" t="s">
        <v>216</v>
      </c>
      <c r="D2738" s="57">
        <v>45520.96401033565</v>
      </c>
    </row>
    <row r="2739">
      <c r="A2739" s="51" t="s">
        <v>11418</v>
      </c>
      <c r="B2739" s="51" t="s">
        <v>9524</v>
      </c>
      <c r="C2739" s="51" t="s">
        <v>165</v>
      </c>
      <c r="D2739" s="57">
        <v>45522.266429537034</v>
      </c>
    </row>
    <row r="2740">
      <c r="A2740" s="51" t="s">
        <v>11418</v>
      </c>
      <c r="B2740" s="51" t="s">
        <v>162</v>
      </c>
      <c r="C2740" s="51" t="s">
        <v>165</v>
      </c>
      <c r="D2740" s="57">
        <v>45522.272086909725</v>
      </c>
    </row>
    <row r="2741">
      <c r="A2741" s="51" t="s">
        <v>11418</v>
      </c>
      <c r="B2741" s="51" t="s">
        <v>9075</v>
      </c>
      <c r="C2741" s="51" t="s">
        <v>284</v>
      </c>
      <c r="D2741" s="57">
        <v>45524.789350011575</v>
      </c>
    </row>
    <row r="2742">
      <c r="A2742" s="51" t="s">
        <v>11396</v>
      </c>
      <c r="B2742" s="51" t="s">
        <v>146</v>
      </c>
      <c r="C2742" s="51" t="s">
        <v>84</v>
      </c>
      <c r="D2742" s="57">
        <v>45525.03408125</v>
      </c>
    </row>
    <row r="2743">
      <c r="A2743" s="51" t="s">
        <v>11396</v>
      </c>
      <c r="B2743" s="51" t="s">
        <v>6214</v>
      </c>
      <c r="C2743" s="51" t="s">
        <v>284</v>
      </c>
      <c r="D2743" s="57">
        <v>45525.05106109954</v>
      </c>
    </row>
    <row r="2744">
      <c r="A2744" s="51" t="s">
        <v>11396</v>
      </c>
      <c r="B2744" s="51" t="s">
        <v>9075</v>
      </c>
      <c r="C2744" s="51" t="s">
        <v>284</v>
      </c>
      <c r="D2744" s="57">
        <v>45525.09832396991</v>
      </c>
    </row>
    <row r="2745">
      <c r="A2745" s="51" t="s">
        <v>11313</v>
      </c>
      <c r="B2745" s="51" t="s">
        <v>2269</v>
      </c>
      <c r="C2745" s="51" t="s">
        <v>517</v>
      </c>
      <c r="D2745" s="57">
        <v>45525.90551388889</v>
      </c>
    </row>
    <row r="2746">
      <c r="A2746" s="51" t="s">
        <v>11313</v>
      </c>
      <c r="B2746" s="51" t="s">
        <v>4885</v>
      </c>
      <c r="C2746" s="51" t="s">
        <v>517</v>
      </c>
      <c r="D2746" s="57">
        <v>45526.88019631944</v>
      </c>
    </row>
    <row r="2747">
      <c r="A2747" s="51" t="s">
        <v>11313</v>
      </c>
      <c r="B2747" s="51" t="s">
        <v>5780</v>
      </c>
      <c r="C2747" s="51" t="s">
        <v>316</v>
      </c>
      <c r="D2747" s="57">
        <v>45526.90346224537</v>
      </c>
    </row>
    <row r="2748">
      <c r="A2748" s="51" t="s">
        <v>11354</v>
      </c>
      <c r="B2748" s="51" t="s">
        <v>2146</v>
      </c>
      <c r="C2748" s="51" t="s">
        <v>110</v>
      </c>
      <c r="D2748" s="57">
        <v>45527.05825579861</v>
      </c>
    </row>
    <row r="2749">
      <c r="A2749" s="51" t="s">
        <v>11354</v>
      </c>
      <c r="B2749" s="51" t="s">
        <v>6436</v>
      </c>
      <c r="C2749" s="51" t="s">
        <v>517</v>
      </c>
      <c r="D2749" s="57">
        <v>45527.05903834491</v>
      </c>
    </row>
    <row r="2750">
      <c r="A2750" s="51" t="s">
        <v>11354</v>
      </c>
      <c r="B2750" s="51" t="s">
        <v>7524</v>
      </c>
      <c r="C2750" s="51" t="s">
        <v>110</v>
      </c>
      <c r="D2750" s="57">
        <v>45527.05947040509</v>
      </c>
    </row>
    <row r="2751">
      <c r="A2751" s="51" t="s">
        <v>11354</v>
      </c>
      <c r="B2751" s="51" t="s">
        <v>3313</v>
      </c>
      <c r="C2751" s="51" t="s">
        <v>52</v>
      </c>
      <c r="D2751" s="57">
        <v>45527.060105937504</v>
      </c>
    </row>
    <row r="2752">
      <c r="A2752" s="51" t="s">
        <v>11354</v>
      </c>
      <c r="B2752" s="51" t="s">
        <v>1591</v>
      </c>
      <c r="C2752" s="51" t="s">
        <v>292</v>
      </c>
      <c r="D2752" s="57">
        <v>45527.06124775463</v>
      </c>
    </row>
    <row r="2753">
      <c r="A2753" s="51" t="s">
        <v>11354</v>
      </c>
      <c r="B2753" s="51" t="s">
        <v>2146</v>
      </c>
      <c r="C2753" s="51" t="s">
        <v>110</v>
      </c>
      <c r="D2753" s="57">
        <v>45527.0617755787</v>
      </c>
    </row>
    <row r="2754">
      <c r="A2754" s="51" t="s">
        <v>11354</v>
      </c>
      <c r="B2754" s="51" t="s">
        <v>610</v>
      </c>
      <c r="C2754" s="51" t="s">
        <v>165</v>
      </c>
      <c r="D2754" s="57">
        <v>45527.06249585648</v>
      </c>
    </row>
    <row r="2755">
      <c r="A2755" s="51" t="s">
        <v>11313</v>
      </c>
      <c r="B2755" s="51" t="s">
        <v>9563</v>
      </c>
      <c r="C2755" s="51" t="s">
        <v>84</v>
      </c>
      <c r="D2755" s="57">
        <v>45527.088353865736</v>
      </c>
    </row>
    <row r="2756">
      <c r="A2756" s="51" t="s">
        <v>11313</v>
      </c>
      <c r="B2756" s="51" t="s">
        <v>8442</v>
      </c>
      <c r="C2756" s="51" t="s">
        <v>517</v>
      </c>
      <c r="D2756" s="57">
        <v>45527.17838931713</v>
      </c>
    </row>
    <row r="2757">
      <c r="A2757" s="51" t="s">
        <v>11313</v>
      </c>
      <c r="B2757" s="51" t="s">
        <v>8442</v>
      </c>
      <c r="C2757" s="51" t="s">
        <v>517</v>
      </c>
      <c r="D2757" s="57">
        <v>45527.17868442129</v>
      </c>
    </row>
    <row r="2758">
      <c r="A2758" s="51" t="s">
        <v>11313</v>
      </c>
      <c r="B2758" s="51" t="s">
        <v>9229</v>
      </c>
      <c r="C2758" s="51" t="s">
        <v>517</v>
      </c>
      <c r="D2758" s="57">
        <v>45527.19114171296</v>
      </c>
    </row>
    <row r="2759">
      <c r="A2759" s="51" t="s">
        <v>11313</v>
      </c>
      <c r="B2759" s="51" t="s">
        <v>5937</v>
      </c>
      <c r="C2759" s="51" t="s">
        <v>216</v>
      </c>
      <c r="D2759" s="57">
        <v>45527.194337685185</v>
      </c>
    </row>
    <row r="2760">
      <c r="A2760" s="51" t="s">
        <v>11269</v>
      </c>
      <c r="B2760" s="51" t="s">
        <v>4847</v>
      </c>
      <c r="C2760" s="51" t="s">
        <v>110</v>
      </c>
      <c r="D2760" s="57">
        <v>45529.87482280092</v>
      </c>
    </row>
    <row r="2761">
      <c r="A2761" s="51" t="s">
        <v>11389</v>
      </c>
      <c r="B2761" s="51" t="s">
        <v>5433</v>
      </c>
      <c r="C2761" s="51" t="s">
        <v>110</v>
      </c>
      <c r="D2761" s="57">
        <v>45531.406521446756</v>
      </c>
    </row>
    <row r="2762">
      <c r="A2762" s="51" t="s">
        <v>11294</v>
      </c>
      <c r="B2762" s="51" t="s">
        <v>7055</v>
      </c>
      <c r="C2762" s="51" t="s">
        <v>25</v>
      </c>
      <c r="D2762" s="57">
        <v>45531.87805179398</v>
      </c>
    </row>
    <row r="2763">
      <c r="A2763" s="51" t="s">
        <v>11294</v>
      </c>
      <c r="B2763" s="51" t="s">
        <v>7055</v>
      </c>
      <c r="C2763" s="51" t="s">
        <v>25</v>
      </c>
      <c r="D2763" s="57">
        <v>45531.87849047454</v>
      </c>
    </row>
    <row r="2764">
      <c r="A2764" s="51" t="s">
        <v>11294</v>
      </c>
      <c r="B2764" s="51" t="s">
        <v>8226</v>
      </c>
      <c r="C2764" s="51" t="s">
        <v>25</v>
      </c>
      <c r="D2764" s="57">
        <v>45531.879118136574</v>
      </c>
    </row>
    <row r="2765">
      <c r="A2765" s="51" t="s">
        <v>11395</v>
      </c>
      <c r="B2765" s="51" t="s">
        <v>2414</v>
      </c>
      <c r="C2765" s="51" t="s">
        <v>52</v>
      </c>
      <c r="D2765" s="57">
        <v>45532.42878715278</v>
      </c>
    </row>
    <row r="2766">
      <c r="A2766" s="51" t="s">
        <v>11395</v>
      </c>
      <c r="B2766" s="51" t="s">
        <v>4847</v>
      </c>
      <c r="C2766" s="51" t="s">
        <v>110</v>
      </c>
      <c r="D2766" s="57">
        <v>45532.4298606713</v>
      </c>
    </row>
    <row r="2767">
      <c r="A2767" s="51" t="s">
        <v>11329</v>
      </c>
      <c r="B2767" s="51" t="s">
        <v>4926</v>
      </c>
      <c r="C2767" s="51" t="s">
        <v>557</v>
      </c>
      <c r="D2767" s="57">
        <v>45533.19604030093</v>
      </c>
    </row>
    <row r="2768">
      <c r="A2768" s="51" t="s">
        <v>11286</v>
      </c>
      <c r="B2768" s="51" t="s">
        <v>20</v>
      </c>
      <c r="C2768" s="51" t="s">
        <v>25</v>
      </c>
      <c r="D2768" s="57">
        <v>45533.21325076389</v>
      </c>
    </row>
    <row r="2769">
      <c r="A2769" s="51" t="s">
        <v>11286</v>
      </c>
      <c r="B2769" s="51" t="s">
        <v>11012</v>
      </c>
      <c r="C2769" s="51" t="s">
        <v>25</v>
      </c>
      <c r="D2769" s="57">
        <v>45533.21666828704</v>
      </c>
    </row>
    <row r="2770">
      <c r="A2770" s="51" t="s">
        <v>11286</v>
      </c>
      <c r="B2770" s="51" t="s">
        <v>10914</v>
      </c>
      <c r="C2770" s="51" t="s">
        <v>25</v>
      </c>
      <c r="D2770" s="57">
        <v>45533.22006773148</v>
      </c>
    </row>
    <row r="2771">
      <c r="A2771" s="51" t="s">
        <v>11269</v>
      </c>
      <c r="B2771" s="51" t="s">
        <v>4847</v>
      </c>
      <c r="C2771" s="51" t="s">
        <v>110</v>
      </c>
      <c r="D2771" s="57">
        <v>45533.29933782408</v>
      </c>
    </row>
    <row r="2772">
      <c r="A2772" s="51" t="s">
        <v>11419</v>
      </c>
      <c r="B2772" s="51" t="s">
        <v>107</v>
      </c>
      <c r="C2772" s="51" t="s">
        <v>110</v>
      </c>
      <c r="D2772" s="57">
        <v>45534.65520581018</v>
      </c>
    </row>
    <row r="2773">
      <c r="A2773" s="51" t="s">
        <v>11313</v>
      </c>
      <c r="B2773" s="51" t="s">
        <v>3622</v>
      </c>
      <c r="C2773" s="51" t="s">
        <v>216</v>
      </c>
      <c r="D2773" s="57">
        <v>45535.38199005787</v>
      </c>
    </row>
    <row r="2774">
      <c r="A2774" s="51" t="s">
        <v>11411</v>
      </c>
      <c r="B2774" s="51" t="s">
        <v>7931</v>
      </c>
      <c r="C2774" s="51" t="s">
        <v>141</v>
      </c>
      <c r="D2774" s="57">
        <v>45537.363056608796</v>
      </c>
    </row>
    <row r="2775">
      <c r="A2775" s="51" t="s">
        <v>11411</v>
      </c>
      <c r="B2775" s="51" t="s">
        <v>8804</v>
      </c>
      <c r="C2775" s="51" t="s">
        <v>216</v>
      </c>
      <c r="D2775" s="57">
        <v>45537.36508513889</v>
      </c>
    </row>
    <row r="2776">
      <c r="A2776" s="51" t="s">
        <v>11411</v>
      </c>
      <c r="B2776" s="51" t="s">
        <v>9595</v>
      </c>
      <c r="C2776" s="51" t="s">
        <v>216</v>
      </c>
      <c r="D2776" s="57">
        <v>45537.366007627315</v>
      </c>
    </row>
    <row r="2777">
      <c r="A2777" s="51" t="s">
        <v>11411</v>
      </c>
      <c r="B2777" s="51" t="s">
        <v>10023</v>
      </c>
      <c r="C2777" s="51" t="s">
        <v>216</v>
      </c>
      <c r="D2777" s="57">
        <v>45537.36706780092</v>
      </c>
    </row>
    <row r="2778">
      <c r="A2778" s="51" t="s">
        <v>11269</v>
      </c>
      <c r="B2778" s="51" t="s">
        <v>2442</v>
      </c>
      <c r="C2778" s="51" t="s">
        <v>25</v>
      </c>
      <c r="D2778" s="57">
        <v>45537.393572800924</v>
      </c>
    </row>
    <row r="2779">
      <c r="A2779" s="51" t="s">
        <v>11396</v>
      </c>
      <c r="B2779" s="51" t="s">
        <v>9524</v>
      </c>
      <c r="C2779" s="51" t="s">
        <v>165</v>
      </c>
      <c r="D2779" s="57">
        <v>45537.77221921296</v>
      </c>
    </row>
    <row r="2780">
      <c r="A2780" s="51" t="s">
        <v>11396</v>
      </c>
      <c r="B2780" s="51" t="s">
        <v>9399</v>
      </c>
      <c r="C2780" s="51" t="s">
        <v>165</v>
      </c>
      <c r="D2780" s="57">
        <v>45537.776231041666</v>
      </c>
    </row>
    <row r="2781">
      <c r="A2781" s="51" t="s">
        <v>11282</v>
      </c>
      <c r="B2781" s="51" t="s">
        <v>9585</v>
      </c>
      <c r="C2781" s="51" t="s">
        <v>25</v>
      </c>
      <c r="D2781" s="57">
        <v>45538.19592283564</v>
      </c>
    </row>
    <row r="2782">
      <c r="A2782" s="51" t="s">
        <v>11384</v>
      </c>
      <c r="B2782" s="51" t="s">
        <v>297</v>
      </c>
      <c r="C2782" s="51" t="s">
        <v>141</v>
      </c>
      <c r="D2782" s="57">
        <v>45538.33160009259</v>
      </c>
    </row>
    <row r="2783">
      <c r="A2783" s="51" t="s">
        <v>11336</v>
      </c>
      <c r="B2783" s="51" t="s">
        <v>10964</v>
      </c>
      <c r="C2783" s="51" t="s">
        <v>157</v>
      </c>
      <c r="D2783" s="57">
        <v>45539.055279004635</v>
      </c>
    </row>
    <row r="2784">
      <c r="A2784" s="51" t="s">
        <v>11336</v>
      </c>
      <c r="B2784" s="51" t="s">
        <v>10533</v>
      </c>
      <c r="C2784" s="51" t="s">
        <v>25</v>
      </c>
      <c r="D2784" s="57">
        <v>45539.05647997685</v>
      </c>
    </row>
    <row r="2785">
      <c r="A2785" s="51" t="s">
        <v>11336</v>
      </c>
      <c r="B2785" s="51" t="s">
        <v>10466</v>
      </c>
      <c r="C2785" s="51" t="s">
        <v>25</v>
      </c>
      <c r="D2785" s="57">
        <v>45539.058090266204</v>
      </c>
    </row>
    <row r="2786">
      <c r="A2786" s="51" t="s">
        <v>11420</v>
      </c>
      <c r="B2786" s="51" t="s">
        <v>265</v>
      </c>
      <c r="C2786" s="51" t="s">
        <v>25</v>
      </c>
      <c r="D2786" s="57">
        <v>45543.845026979165</v>
      </c>
    </row>
    <row r="2787">
      <c r="A2787" s="51" t="s">
        <v>11420</v>
      </c>
      <c r="B2787" s="51" t="s">
        <v>6371</v>
      </c>
      <c r="C2787" s="51" t="s">
        <v>25</v>
      </c>
      <c r="D2787" s="57">
        <v>45543.86960027777</v>
      </c>
    </row>
    <row r="2788">
      <c r="A2788" s="51" t="s">
        <v>11420</v>
      </c>
      <c r="B2788" s="51" t="s">
        <v>6416</v>
      </c>
      <c r="C2788" s="51" t="s">
        <v>25</v>
      </c>
      <c r="D2788" s="57">
        <v>45543.871026759254</v>
      </c>
    </row>
    <row r="2789">
      <c r="A2789" s="51" t="s">
        <v>11420</v>
      </c>
      <c r="B2789" s="51" t="s">
        <v>10121</v>
      </c>
      <c r="C2789" s="51" t="s">
        <v>25</v>
      </c>
      <c r="D2789" s="57">
        <v>45543.87197391204</v>
      </c>
    </row>
    <row r="2790">
      <c r="A2790" s="51" t="s">
        <v>11420</v>
      </c>
      <c r="B2790" s="51" t="s">
        <v>2269</v>
      </c>
      <c r="C2790" s="51" t="s">
        <v>517</v>
      </c>
      <c r="D2790" s="57">
        <v>45543.87243192129</v>
      </c>
    </row>
    <row r="2791">
      <c r="A2791" s="51" t="s">
        <v>11420</v>
      </c>
      <c r="B2791" s="51" t="s">
        <v>6919</v>
      </c>
      <c r="C2791" s="51" t="s">
        <v>517</v>
      </c>
      <c r="D2791" s="57">
        <v>45543.87287493056</v>
      </c>
    </row>
    <row r="2792">
      <c r="A2792" s="51" t="s">
        <v>11421</v>
      </c>
      <c r="B2792" s="51" t="s">
        <v>10783</v>
      </c>
      <c r="C2792" s="51" t="s">
        <v>68</v>
      </c>
      <c r="D2792" s="57">
        <v>45544.84391859954</v>
      </c>
    </row>
    <row r="2793">
      <c r="A2793" s="51" t="s">
        <v>11420</v>
      </c>
      <c r="B2793" s="51" t="s">
        <v>4559</v>
      </c>
      <c r="C2793" s="51" t="s">
        <v>84</v>
      </c>
      <c r="D2793" s="57">
        <v>45544.876822499995</v>
      </c>
    </row>
    <row r="2794">
      <c r="A2794" s="51" t="s">
        <v>11420</v>
      </c>
      <c r="B2794" s="51" t="s">
        <v>4810</v>
      </c>
      <c r="C2794" s="51" t="s">
        <v>84</v>
      </c>
      <c r="D2794" s="57">
        <v>45544.88317494213</v>
      </c>
    </row>
    <row r="2795">
      <c r="A2795" s="51" t="s">
        <v>11421</v>
      </c>
      <c r="B2795" s="51" t="s">
        <v>7162</v>
      </c>
      <c r="C2795" s="51" t="s">
        <v>110</v>
      </c>
      <c r="D2795" s="57">
        <v>45544.88791327547</v>
      </c>
    </row>
    <row r="2796">
      <c r="A2796" s="51" t="s">
        <v>11421</v>
      </c>
      <c r="B2796" s="51" t="s">
        <v>6987</v>
      </c>
      <c r="C2796" s="51" t="s">
        <v>84</v>
      </c>
      <c r="D2796" s="57">
        <v>45544.889505740735</v>
      </c>
    </row>
    <row r="2797">
      <c r="A2797" s="51" t="s">
        <v>11421</v>
      </c>
      <c r="B2797" s="51" t="s">
        <v>2195</v>
      </c>
      <c r="C2797" s="51" t="s">
        <v>110</v>
      </c>
      <c r="D2797" s="57">
        <v>45544.8925372338</v>
      </c>
    </row>
    <row r="2798">
      <c r="A2798" s="51" t="s">
        <v>11301</v>
      </c>
      <c r="B2798" s="51" t="s">
        <v>9976</v>
      </c>
      <c r="C2798" s="51" t="s">
        <v>25</v>
      </c>
      <c r="D2798" s="57">
        <v>45544.968545138894</v>
      </c>
    </row>
    <row r="2799">
      <c r="A2799" s="51" t="s">
        <v>11301</v>
      </c>
      <c r="B2799" s="51" t="s">
        <v>9585</v>
      </c>
      <c r="C2799" s="51" t="s">
        <v>25</v>
      </c>
      <c r="D2799" s="57">
        <v>45544.970534837965</v>
      </c>
    </row>
    <row r="2800">
      <c r="A2800" s="51" t="s">
        <v>11301</v>
      </c>
      <c r="B2800" s="51" t="s">
        <v>9585</v>
      </c>
      <c r="C2800" s="51" t="s">
        <v>25</v>
      </c>
      <c r="D2800" s="57">
        <v>45544.970975034725</v>
      </c>
    </row>
    <row r="2801">
      <c r="A2801" s="51" t="s">
        <v>11301</v>
      </c>
      <c r="B2801" s="51" t="s">
        <v>9585</v>
      </c>
      <c r="C2801" s="51" t="s">
        <v>25</v>
      </c>
      <c r="D2801" s="57">
        <v>45544.980970289354</v>
      </c>
    </row>
    <row r="2802">
      <c r="A2802" s="51" t="s">
        <v>11301</v>
      </c>
      <c r="B2802" s="51" t="s">
        <v>9585</v>
      </c>
      <c r="C2802" s="51" t="s">
        <v>25</v>
      </c>
      <c r="D2802" s="57">
        <v>45544.981128750005</v>
      </c>
    </row>
    <row r="2803">
      <c r="A2803" s="51" t="s">
        <v>11422</v>
      </c>
      <c r="B2803" s="51" t="s">
        <v>10874</v>
      </c>
      <c r="C2803" s="51" t="s">
        <v>110</v>
      </c>
      <c r="D2803" s="57">
        <v>45545.41946489584</v>
      </c>
    </row>
    <row r="2804">
      <c r="A2804" s="51" t="s">
        <v>11422</v>
      </c>
      <c r="B2804" s="51" t="s">
        <v>10523</v>
      </c>
      <c r="C2804" s="51" t="s">
        <v>84</v>
      </c>
      <c r="D2804" s="57">
        <v>45545.426976689814</v>
      </c>
    </row>
    <row r="2805">
      <c r="A2805" s="51" t="s">
        <v>11422</v>
      </c>
      <c r="B2805" s="51" t="s">
        <v>8959</v>
      </c>
      <c r="C2805" s="51" t="s">
        <v>316</v>
      </c>
      <c r="D2805" s="57">
        <v>45545.430264236114</v>
      </c>
    </row>
    <row r="2806">
      <c r="A2806" s="51" t="s">
        <v>11419</v>
      </c>
      <c r="B2806" s="51" t="s">
        <v>115</v>
      </c>
      <c r="C2806" s="51" t="s">
        <v>84</v>
      </c>
      <c r="D2806" s="57">
        <v>45545.95194712963</v>
      </c>
    </row>
    <row r="2807">
      <c r="A2807" s="51" t="s">
        <v>11419</v>
      </c>
      <c r="B2807" s="51" t="s">
        <v>5031</v>
      </c>
      <c r="C2807" s="51" t="s">
        <v>84</v>
      </c>
      <c r="D2807" s="57">
        <v>45545.95272945602</v>
      </c>
    </row>
    <row r="2808">
      <c r="A2808" s="51" t="s">
        <v>11423</v>
      </c>
      <c r="B2808" s="51" t="s">
        <v>123</v>
      </c>
      <c r="C2808" s="51" t="s">
        <v>25</v>
      </c>
      <c r="D2808" s="57">
        <v>45546.03202619213</v>
      </c>
    </row>
    <row r="2809">
      <c r="A2809" s="51" t="s">
        <v>11423</v>
      </c>
      <c r="B2809" s="51" t="s">
        <v>6467</v>
      </c>
      <c r="C2809" s="51" t="s">
        <v>68</v>
      </c>
      <c r="D2809" s="57">
        <v>45546.040881249995</v>
      </c>
    </row>
    <row r="2810">
      <c r="A2810" s="51" t="s">
        <v>11423</v>
      </c>
      <c r="B2810" s="51" t="s">
        <v>2663</v>
      </c>
      <c r="C2810" s="51" t="s">
        <v>292</v>
      </c>
      <c r="D2810" s="57">
        <v>45546.042935439815</v>
      </c>
    </row>
    <row r="2811">
      <c r="A2811" s="51" t="s">
        <v>11423</v>
      </c>
      <c r="B2811" s="51" t="s">
        <v>6874</v>
      </c>
      <c r="C2811" s="51" t="s">
        <v>275</v>
      </c>
      <c r="D2811" s="57">
        <v>45546.045486620365</v>
      </c>
    </row>
    <row r="2812">
      <c r="A2812" s="51" t="s">
        <v>11423</v>
      </c>
      <c r="B2812" s="51" t="s">
        <v>7824</v>
      </c>
      <c r="C2812" s="51" t="s">
        <v>165</v>
      </c>
      <c r="D2812" s="57">
        <v>45546.049366458334</v>
      </c>
    </row>
    <row r="2813">
      <c r="A2813" s="51" t="s">
        <v>11423</v>
      </c>
      <c r="B2813" s="51" t="s">
        <v>2002</v>
      </c>
      <c r="C2813" s="51" t="s">
        <v>25</v>
      </c>
      <c r="D2813" s="57">
        <v>45546.05587600694</v>
      </c>
    </row>
    <row r="2814">
      <c r="A2814" s="51" t="s">
        <v>11423</v>
      </c>
      <c r="B2814" s="51" t="s">
        <v>4348</v>
      </c>
      <c r="C2814" s="51" t="s">
        <v>25</v>
      </c>
      <c r="D2814" s="57">
        <v>45546.06364652778</v>
      </c>
    </row>
    <row r="2815">
      <c r="A2815" s="51" t="s">
        <v>11423</v>
      </c>
      <c r="B2815" s="51" t="s">
        <v>5161</v>
      </c>
      <c r="C2815" s="51" t="s">
        <v>25</v>
      </c>
      <c r="D2815" s="57">
        <v>45546.06654880787</v>
      </c>
    </row>
    <row r="2816">
      <c r="A2816" s="51" t="s">
        <v>11423</v>
      </c>
      <c r="B2816" s="51" t="s">
        <v>5858</v>
      </c>
      <c r="C2816" s="51" t="s">
        <v>25</v>
      </c>
      <c r="D2816" s="57">
        <v>45546.0668053588</v>
      </c>
    </row>
    <row r="2817">
      <c r="A2817" s="51" t="s">
        <v>11423</v>
      </c>
      <c r="B2817" s="51" t="s">
        <v>6806</v>
      </c>
      <c r="C2817" s="51" t="s">
        <v>25</v>
      </c>
      <c r="D2817" s="57">
        <v>45546.07207896991</v>
      </c>
    </row>
    <row r="2818">
      <c r="A2818" s="51" t="s">
        <v>11423</v>
      </c>
      <c r="B2818" s="51" t="s">
        <v>7365</v>
      </c>
      <c r="C2818" s="51" t="s">
        <v>25</v>
      </c>
      <c r="D2818" s="57">
        <v>45546.07509248843</v>
      </c>
    </row>
    <row r="2819">
      <c r="A2819" s="51" t="s">
        <v>11423</v>
      </c>
      <c r="B2819" s="51" t="s">
        <v>7365</v>
      </c>
      <c r="C2819" s="51" t="s">
        <v>25</v>
      </c>
      <c r="D2819" s="57">
        <v>45546.10075539352</v>
      </c>
    </row>
    <row r="2820">
      <c r="A2820" s="51" t="s">
        <v>11423</v>
      </c>
      <c r="B2820" s="51" t="s">
        <v>9152</v>
      </c>
      <c r="C2820" s="51" t="s">
        <v>25</v>
      </c>
      <c r="D2820" s="57">
        <v>45546.10150388889</v>
      </c>
    </row>
    <row r="2821">
      <c r="A2821" s="51" t="s">
        <v>11423</v>
      </c>
      <c r="B2821" s="51" t="s">
        <v>9238</v>
      </c>
      <c r="C2821" s="51" t="s">
        <v>25</v>
      </c>
      <c r="D2821" s="57">
        <v>45546.10226728009</v>
      </c>
    </row>
    <row r="2822">
      <c r="A2822" s="51" t="s">
        <v>11423</v>
      </c>
      <c r="B2822" s="51" t="s">
        <v>9848</v>
      </c>
      <c r="C2822" s="51" t="s">
        <v>25</v>
      </c>
      <c r="D2822" s="57">
        <v>45546.106823055554</v>
      </c>
    </row>
    <row r="2823">
      <c r="A2823" s="51" t="s">
        <v>11423</v>
      </c>
      <c r="B2823" s="51" t="s">
        <v>6874</v>
      </c>
      <c r="C2823" s="51" t="s">
        <v>275</v>
      </c>
      <c r="D2823" s="57">
        <v>45546.11560590278</v>
      </c>
    </row>
    <row r="2824">
      <c r="A2824" s="51" t="s">
        <v>11421</v>
      </c>
      <c r="B2824" s="51" t="s">
        <v>6776</v>
      </c>
      <c r="C2824" s="51" t="s">
        <v>284</v>
      </c>
      <c r="D2824" s="57">
        <v>45547.02560767361</v>
      </c>
    </row>
    <row r="2825">
      <c r="A2825" s="51" t="s">
        <v>11421</v>
      </c>
      <c r="B2825" s="51" t="s">
        <v>778</v>
      </c>
      <c r="C2825" s="51" t="s">
        <v>110</v>
      </c>
      <c r="D2825" s="57">
        <v>45547.02659061343</v>
      </c>
    </row>
    <row r="2826">
      <c r="A2826" s="51" t="s">
        <v>11380</v>
      </c>
      <c r="B2826" s="51" t="s">
        <v>4885</v>
      </c>
      <c r="C2826" s="51" t="s">
        <v>517</v>
      </c>
      <c r="D2826" s="57">
        <v>45547.43224685185</v>
      </c>
    </row>
    <row r="2827">
      <c r="A2827" s="51" t="s">
        <v>11282</v>
      </c>
      <c r="B2827" s="51" t="s">
        <v>10592</v>
      </c>
      <c r="C2827" s="51" t="s">
        <v>25</v>
      </c>
      <c r="D2827" s="57">
        <v>45547.99813748842</v>
      </c>
    </row>
    <row r="2828">
      <c r="A2828" s="51" t="s">
        <v>11424</v>
      </c>
      <c r="B2828" s="51" t="s">
        <v>1269</v>
      </c>
      <c r="C2828" s="51" t="s">
        <v>84</v>
      </c>
      <c r="D2828" s="57">
        <v>45551.191656932875</v>
      </c>
    </row>
    <row r="2829">
      <c r="A2829" s="51" t="s">
        <v>11424</v>
      </c>
      <c r="B2829" s="51" t="s">
        <v>10621</v>
      </c>
      <c r="C2829" s="51" t="s">
        <v>84</v>
      </c>
      <c r="D2829" s="57">
        <v>45551.19599099537</v>
      </c>
    </row>
    <row r="2830">
      <c r="A2830" s="51" t="s">
        <v>11425</v>
      </c>
      <c r="B2830" s="51"/>
      <c r="C2830" s="51"/>
      <c r="D2830" s="57">
        <v>45551.280188125005</v>
      </c>
    </row>
    <row r="2831">
      <c r="A2831" s="51" t="s">
        <v>11425</v>
      </c>
      <c r="B2831" s="51" t="s">
        <v>3933</v>
      </c>
      <c r="C2831" s="51" t="s">
        <v>517</v>
      </c>
      <c r="D2831" s="57">
        <v>45551.285768125</v>
      </c>
    </row>
    <row r="2832">
      <c r="A2832" s="51" t="s">
        <v>11425</v>
      </c>
      <c r="B2832" s="51" t="s">
        <v>4057</v>
      </c>
      <c r="C2832" s="51" t="s">
        <v>216</v>
      </c>
      <c r="D2832" s="57">
        <v>45551.28747456019</v>
      </c>
    </row>
    <row r="2833">
      <c r="A2833" s="51" t="s">
        <v>11425</v>
      </c>
      <c r="B2833" s="51" t="s">
        <v>5667</v>
      </c>
      <c r="C2833" s="51" t="s">
        <v>216</v>
      </c>
      <c r="D2833" s="57">
        <v>45551.29603550926</v>
      </c>
    </row>
    <row r="2834">
      <c r="A2834" s="51" t="s">
        <v>11425</v>
      </c>
      <c r="B2834" s="51" t="s">
        <v>5667</v>
      </c>
      <c r="C2834" s="51" t="s">
        <v>216</v>
      </c>
      <c r="D2834" s="57">
        <v>45551.3023902662</v>
      </c>
    </row>
    <row r="2835">
      <c r="A2835" s="51" t="s">
        <v>11425</v>
      </c>
      <c r="B2835" s="51" t="s">
        <v>9829</v>
      </c>
      <c r="C2835" s="51" t="s">
        <v>216</v>
      </c>
      <c r="D2835" s="57">
        <v>45551.30282269676</v>
      </c>
    </row>
    <row r="2836">
      <c r="A2836" s="51" t="s">
        <v>11425</v>
      </c>
      <c r="B2836" s="51" t="s">
        <v>2166</v>
      </c>
      <c r="C2836" s="51" t="s">
        <v>110</v>
      </c>
      <c r="D2836" s="57">
        <v>45551.321474675926</v>
      </c>
    </row>
    <row r="2837">
      <c r="A2837" s="51" t="s">
        <v>11368</v>
      </c>
      <c r="B2837" s="51" t="s">
        <v>9258</v>
      </c>
      <c r="C2837" s="51" t="s">
        <v>25</v>
      </c>
      <c r="D2837" s="57">
        <v>45552.86190427083</v>
      </c>
    </row>
    <row r="2838">
      <c r="A2838" s="51" t="s">
        <v>11368</v>
      </c>
      <c r="B2838" s="51" t="s">
        <v>9258</v>
      </c>
      <c r="C2838" s="51" t="s">
        <v>25</v>
      </c>
      <c r="D2838" s="57">
        <v>45552.86389922454</v>
      </c>
    </row>
    <row r="2839">
      <c r="A2839" s="51" t="s">
        <v>11368</v>
      </c>
      <c r="B2839" s="51" t="s">
        <v>10542</v>
      </c>
      <c r="C2839" s="51" t="s">
        <v>25</v>
      </c>
      <c r="D2839" s="57">
        <v>45552.86547792824</v>
      </c>
    </row>
    <row r="2840">
      <c r="A2840" s="51" t="s">
        <v>11368</v>
      </c>
      <c r="B2840" s="51" t="s">
        <v>8892</v>
      </c>
      <c r="C2840" s="51" t="s">
        <v>25</v>
      </c>
      <c r="D2840" s="57">
        <v>45553.83289409722</v>
      </c>
    </row>
    <row r="2841">
      <c r="A2841" s="51" t="s">
        <v>11368</v>
      </c>
      <c r="B2841" s="51" t="s">
        <v>8892</v>
      </c>
      <c r="C2841" s="51" t="s">
        <v>25</v>
      </c>
      <c r="D2841" s="57">
        <v>45553.83419596065</v>
      </c>
    </row>
    <row r="2842">
      <c r="A2842" s="51" t="s">
        <v>11281</v>
      </c>
      <c r="B2842" s="51" t="s">
        <v>1085</v>
      </c>
      <c r="C2842" s="51" t="s">
        <v>25</v>
      </c>
      <c r="D2842" s="57">
        <v>45554.328479675925</v>
      </c>
    </row>
    <row r="2843">
      <c r="A2843" s="51" t="s">
        <v>11281</v>
      </c>
      <c r="B2843" s="51" t="s">
        <v>1085</v>
      </c>
      <c r="C2843" s="51" t="s">
        <v>25</v>
      </c>
      <c r="D2843" s="57">
        <v>45554.32848677083</v>
      </c>
    </row>
    <row r="2844">
      <c r="A2844" s="51" t="s">
        <v>11240</v>
      </c>
      <c r="B2844" s="51" t="s">
        <v>10964</v>
      </c>
      <c r="C2844" s="51" t="s">
        <v>157</v>
      </c>
      <c r="D2844" s="57">
        <v>45555.766929375</v>
      </c>
    </row>
    <row r="2845">
      <c r="A2845" s="51" t="s">
        <v>11240</v>
      </c>
      <c r="B2845" s="51" t="s">
        <v>10894</v>
      </c>
      <c r="C2845" s="51" t="s">
        <v>25</v>
      </c>
      <c r="D2845" s="57">
        <v>45555.77436509259</v>
      </c>
    </row>
    <row r="2846">
      <c r="A2846" s="51" t="s">
        <v>11424</v>
      </c>
      <c r="B2846" s="51" t="s">
        <v>5968</v>
      </c>
      <c r="C2846" s="51" t="s">
        <v>84</v>
      </c>
      <c r="D2846" s="57">
        <v>45558.30463233797</v>
      </c>
    </row>
    <row r="2847">
      <c r="A2847" s="51" t="s">
        <v>11307</v>
      </c>
      <c r="B2847" s="51" t="s">
        <v>10486</v>
      </c>
      <c r="C2847" s="51" t="s">
        <v>84</v>
      </c>
      <c r="D2847" s="57">
        <v>45559.20620114583</v>
      </c>
    </row>
    <row r="2848">
      <c r="A2848" s="51" t="s">
        <v>11384</v>
      </c>
      <c r="B2848" s="51" t="s">
        <v>9534</v>
      </c>
      <c r="C2848" s="51" t="s">
        <v>517</v>
      </c>
      <c r="D2848" s="57">
        <v>45559.38413884259</v>
      </c>
    </row>
    <row r="2849">
      <c r="A2849" s="51" t="s">
        <v>11384</v>
      </c>
      <c r="B2849" s="51" t="s">
        <v>81</v>
      </c>
      <c r="C2849" s="51" t="s">
        <v>84</v>
      </c>
      <c r="D2849" s="57">
        <v>45560.24765994213</v>
      </c>
    </row>
    <row r="2850">
      <c r="A2850" s="51" t="s">
        <v>11426</v>
      </c>
      <c r="B2850" s="51" t="s">
        <v>4885</v>
      </c>
      <c r="C2850" s="51" t="s">
        <v>517</v>
      </c>
      <c r="D2850" s="57">
        <v>45561.12337769676</v>
      </c>
    </row>
    <row r="2851">
      <c r="A2851" s="51" t="s">
        <v>11426</v>
      </c>
      <c r="B2851" s="51" t="s">
        <v>4885</v>
      </c>
      <c r="C2851" s="51" t="s">
        <v>517</v>
      </c>
      <c r="D2851" s="57">
        <v>45561.12401858796</v>
      </c>
    </row>
    <row r="2852">
      <c r="A2852" s="51" t="s">
        <v>11427</v>
      </c>
      <c r="B2852" s="51" t="s">
        <v>3006</v>
      </c>
      <c r="C2852" s="51" t="s">
        <v>84</v>
      </c>
      <c r="D2852" s="57">
        <v>45561.21715984953</v>
      </c>
    </row>
    <row r="2853">
      <c r="A2853" s="51" t="s">
        <v>11427</v>
      </c>
      <c r="B2853" s="51" t="s">
        <v>9104</v>
      </c>
      <c r="C2853" s="51" t="s">
        <v>84</v>
      </c>
      <c r="D2853" s="57">
        <v>45561.22042185185</v>
      </c>
    </row>
    <row r="2854">
      <c r="A2854" s="51" t="s">
        <v>11427</v>
      </c>
      <c r="B2854" s="51" t="s">
        <v>9907</v>
      </c>
      <c r="C2854" s="51" t="s">
        <v>84</v>
      </c>
      <c r="D2854" s="57">
        <v>45561.30787425926</v>
      </c>
    </row>
    <row r="2855">
      <c r="A2855" s="51" t="s">
        <v>11427</v>
      </c>
      <c r="B2855" s="51" t="s">
        <v>10793</v>
      </c>
      <c r="C2855" s="51" t="s">
        <v>84</v>
      </c>
      <c r="D2855" s="57">
        <v>45561.338503148145</v>
      </c>
    </row>
    <row r="2856">
      <c r="A2856" s="51" t="s">
        <v>11428</v>
      </c>
      <c r="B2856" s="51" t="s">
        <v>9056</v>
      </c>
      <c r="C2856" s="51" t="s">
        <v>216</v>
      </c>
      <c r="D2856" s="57">
        <v>45563.96895684028</v>
      </c>
    </row>
    <row r="2857">
      <c r="A2857" s="51" t="s">
        <v>11428</v>
      </c>
      <c r="B2857" s="51" t="s">
        <v>9056</v>
      </c>
      <c r="C2857" s="51" t="s">
        <v>216</v>
      </c>
      <c r="D2857" s="57">
        <v>45564.19210332176</v>
      </c>
    </row>
    <row r="2858">
      <c r="A2858" s="51" t="s">
        <v>11261</v>
      </c>
      <c r="B2858" s="51" t="s">
        <v>4209</v>
      </c>
      <c r="C2858" s="51" t="s">
        <v>292</v>
      </c>
      <c r="D2858" s="57">
        <v>45565.293387025464</v>
      </c>
    </row>
    <row r="2859">
      <c r="A2859" s="51" t="s">
        <v>11261</v>
      </c>
      <c r="B2859" s="51" t="s">
        <v>10944</v>
      </c>
      <c r="C2859" s="51" t="s">
        <v>84</v>
      </c>
      <c r="D2859" s="57">
        <v>45565.29546868056</v>
      </c>
    </row>
    <row r="2860">
      <c r="A2860" s="51" t="s">
        <v>11261</v>
      </c>
      <c r="B2860" s="51" t="s">
        <v>10504</v>
      </c>
      <c r="C2860" s="51" t="s">
        <v>84</v>
      </c>
      <c r="D2860" s="57">
        <v>45565.29909377315</v>
      </c>
    </row>
    <row r="2861">
      <c r="A2861" s="51" t="s">
        <v>11269</v>
      </c>
      <c r="B2861" s="51" t="s">
        <v>7615</v>
      </c>
      <c r="C2861" s="51" t="s">
        <v>216</v>
      </c>
      <c r="D2861" s="57">
        <v>45566.229903784726</v>
      </c>
    </row>
    <row r="2862">
      <c r="A2862" s="51" t="s">
        <v>11424</v>
      </c>
      <c r="B2862" s="51" t="s">
        <v>5511</v>
      </c>
      <c r="C2862" s="51" t="s">
        <v>84</v>
      </c>
      <c r="D2862" s="57">
        <v>45566.897571863425</v>
      </c>
    </row>
    <row r="2863">
      <c r="A2863" s="51" t="s">
        <v>11424</v>
      </c>
      <c r="B2863" s="51" t="s">
        <v>3595</v>
      </c>
      <c r="C2863" s="51" t="s">
        <v>292</v>
      </c>
      <c r="D2863" s="57">
        <v>45567.841431168985</v>
      </c>
    </row>
    <row r="2864">
      <c r="A2864" s="51" t="s">
        <v>11424</v>
      </c>
      <c r="B2864" s="51" t="s">
        <v>11001</v>
      </c>
      <c r="C2864" s="51" t="s">
        <v>84</v>
      </c>
      <c r="D2864" s="57">
        <v>45567.846661041665</v>
      </c>
    </row>
    <row r="2865">
      <c r="A2865" s="51" t="s">
        <v>11378</v>
      </c>
      <c r="B2865" s="51" t="s">
        <v>9027</v>
      </c>
      <c r="C2865" s="51" t="s">
        <v>25</v>
      </c>
      <c r="D2865" s="57">
        <v>45568.0587609838</v>
      </c>
    </row>
    <row r="2866">
      <c r="A2866" s="51" t="s">
        <v>11425</v>
      </c>
      <c r="B2866" s="51" t="s">
        <v>617</v>
      </c>
      <c r="C2866" s="51" t="s">
        <v>292</v>
      </c>
      <c r="D2866" s="57">
        <v>45568.56358944444</v>
      </c>
    </row>
    <row r="2867">
      <c r="A2867" s="51" t="s">
        <v>11425</v>
      </c>
      <c r="B2867" s="51" t="s">
        <v>8079</v>
      </c>
      <c r="C2867" s="51" t="s">
        <v>110</v>
      </c>
      <c r="D2867" s="57">
        <v>45568.589121122684</v>
      </c>
    </row>
    <row r="2868">
      <c r="A2868" s="51" t="s">
        <v>11281</v>
      </c>
      <c r="B2868" s="51" t="s">
        <v>9476</v>
      </c>
      <c r="C2868" s="51" t="s">
        <v>84</v>
      </c>
      <c r="D2868" s="57">
        <v>45571.81794626157</v>
      </c>
    </row>
    <row r="2869">
      <c r="A2869" s="51" t="s">
        <v>11281</v>
      </c>
      <c r="B2869" s="51" t="s">
        <v>9476</v>
      </c>
      <c r="C2869" s="51" t="s">
        <v>84</v>
      </c>
      <c r="D2869" s="57">
        <v>45571.81859609953</v>
      </c>
    </row>
    <row r="2870">
      <c r="A2870" s="51" t="s">
        <v>11429</v>
      </c>
      <c r="B2870" s="51" t="s">
        <v>9938</v>
      </c>
      <c r="C2870" s="51" t="s">
        <v>25</v>
      </c>
      <c r="D2870" s="57">
        <v>45572.821228483794</v>
      </c>
    </row>
    <row r="2871">
      <c r="A2871" s="51" t="s">
        <v>11322</v>
      </c>
      <c r="B2871" s="51" t="s">
        <v>10632</v>
      </c>
      <c r="C2871" s="51" t="s">
        <v>1070</v>
      </c>
      <c r="D2871" s="57">
        <v>45572.86473165509</v>
      </c>
    </row>
    <row r="2872">
      <c r="A2872" s="51" t="s">
        <v>11261</v>
      </c>
      <c r="B2872" s="51" t="s">
        <v>11001</v>
      </c>
      <c r="C2872" s="51" t="s">
        <v>84</v>
      </c>
      <c r="D2872" s="57">
        <v>45573.16181200232</v>
      </c>
    </row>
    <row r="2873">
      <c r="A2873" s="51" t="s">
        <v>11416</v>
      </c>
      <c r="B2873" s="51" t="s">
        <v>7524</v>
      </c>
      <c r="C2873" s="51" t="s">
        <v>110</v>
      </c>
      <c r="D2873" s="57">
        <v>45574.11770649305</v>
      </c>
    </row>
    <row r="2874">
      <c r="A2874" s="51" t="s">
        <v>11416</v>
      </c>
      <c r="B2874" s="51" t="s">
        <v>4022</v>
      </c>
      <c r="C2874" s="51" t="s">
        <v>292</v>
      </c>
      <c r="D2874" s="57">
        <v>45574.1258827662</v>
      </c>
    </row>
    <row r="2875">
      <c r="A2875" s="51" t="s">
        <v>11416</v>
      </c>
      <c r="B2875" s="51" t="s">
        <v>4209</v>
      </c>
      <c r="C2875" s="51" t="s">
        <v>292</v>
      </c>
      <c r="D2875" s="57">
        <v>45574.150139861114</v>
      </c>
    </row>
    <row r="2876">
      <c r="A2876" s="51" t="s">
        <v>11416</v>
      </c>
      <c r="B2876" s="51" t="s">
        <v>10486</v>
      </c>
      <c r="C2876" s="51" t="s">
        <v>84</v>
      </c>
      <c r="D2876" s="57">
        <v>45574.15651060185</v>
      </c>
    </row>
    <row r="2877">
      <c r="A2877" s="51" t="s">
        <v>11240</v>
      </c>
      <c r="B2877" s="51" t="s">
        <v>10542</v>
      </c>
      <c r="C2877" s="51" t="s">
        <v>25</v>
      </c>
      <c r="D2877" s="57">
        <v>45575.90920180555</v>
      </c>
    </row>
    <row r="2878">
      <c r="A2878" s="51" t="s">
        <v>11394</v>
      </c>
      <c r="B2878" s="51" t="s">
        <v>5819</v>
      </c>
      <c r="C2878" s="51" t="s">
        <v>216</v>
      </c>
      <c r="D2878" s="57">
        <v>45575.99886584491</v>
      </c>
    </row>
    <row r="2879">
      <c r="A2879" s="51" t="s">
        <v>11394</v>
      </c>
      <c r="B2879" s="51" t="s">
        <v>9428</v>
      </c>
      <c r="C2879" s="51" t="s">
        <v>216</v>
      </c>
      <c r="D2879" s="57">
        <v>45576.00368998843</v>
      </c>
    </row>
    <row r="2880">
      <c r="A2880" s="51" t="s">
        <v>11281</v>
      </c>
      <c r="B2880" s="51" t="s">
        <v>4587</v>
      </c>
      <c r="C2880" s="51" t="s">
        <v>84</v>
      </c>
      <c r="D2880" s="57">
        <v>45576.353004398145</v>
      </c>
    </row>
    <row r="2881">
      <c r="A2881" s="51" t="s">
        <v>11281</v>
      </c>
      <c r="B2881" s="51" t="s">
        <v>193</v>
      </c>
      <c r="C2881" s="51" t="s">
        <v>84</v>
      </c>
      <c r="D2881" s="57">
        <v>45576.35751827546</v>
      </c>
    </row>
    <row r="2882">
      <c r="A2882" s="51" t="s">
        <v>11429</v>
      </c>
      <c r="B2882" s="51" t="s">
        <v>5219</v>
      </c>
      <c r="C2882" s="51" t="s">
        <v>25</v>
      </c>
      <c r="D2882" s="57">
        <v>45578.740190324075</v>
      </c>
    </row>
    <row r="2883">
      <c r="A2883" s="51" t="s">
        <v>11429</v>
      </c>
      <c r="B2883" s="51" t="s">
        <v>322</v>
      </c>
      <c r="C2883" s="51" t="s">
        <v>216</v>
      </c>
      <c r="D2883" s="57">
        <v>45578.78074872685</v>
      </c>
    </row>
    <row r="2884">
      <c r="A2884" s="51" t="s">
        <v>11429</v>
      </c>
      <c r="B2884" s="51" t="s">
        <v>10783</v>
      </c>
      <c r="C2884" s="51" t="s">
        <v>68</v>
      </c>
      <c r="D2884" s="57">
        <v>45578.781781956015</v>
      </c>
    </row>
    <row r="2885">
      <c r="A2885" s="51" t="s">
        <v>11429</v>
      </c>
      <c r="B2885" s="51" t="s">
        <v>10542</v>
      </c>
      <c r="C2885" s="51" t="s">
        <v>25</v>
      </c>
      <c r="D2885" s="57">
        <v>45578.79070347222</v>
      </c>
    </row>
    <row r="2886">
      <c r="A2886" s="51" t="s">
        <v>11429</v>
      </c>
      <c r="B2886" s="51" t="s">
        <v>10082</v>
      </c>
      <c r="C2886" s="51" t="s">
        <v>25</v>
      </c>
      <c r="D2886" s="57">
        <v>45578.79272400463</v>
      </c>
    </row>
    <row r="2887">
      <c r="A2887" s="51" t="s">
        <v>11429</v>
      </c>
      <c r="B2887" s="51" t="s">
        <v>9810</v>
      </c>
      <c r="C2887" s="51" t="s">
        <v>25</v>
      </c>
      <c r="D2887" s="57">
        <v>45578.79434057871</v>
      </c>
    </row>
    <row r="2888">
      <c r="A2888" s="51" t="s">
        <v>11313</v>
      </c>
      <c r="B2888" s="51" t="s">
        <v>10356</v>
      </c>
      <c r="C2888" s="51" t="s">
        <v>25</v>
      </c>
      <c r="D2888" s="57">
        <v>45578.89267390047</v>
      </c>
    </row>
    <row r="2889">
      <c r="A2889" s="51" t="s">
        <v>11313</v>
      </c>
      <c r="B2889" s="51" t="s">
        <v>10356</v>
      </c>
      <c r="C2889" s="51" t="s">
        <v>25</v>
      </c>
      <c r="D2889" s="57">
        <v>45578.894063750005</v>
      </c>
    </row>
    <row r="2890">
      <c r="A2890" s="51" t="s">
        <v>11313</v>
      </c>
      <c r="B2890" s="51" t="s">
        <v>10356</v>
      </c>
      <c r="C2890" s="51" t="s">
        <v>25</v>
      </c>
      <c r="D2890" s="57">
        <v>45578.89458341435</v>
      </c>
    </row>
    <row r="2891">
      <c r="A2891" s="51" t="s">
        <v>11313</v>
      </c>
      <c r="B2891" s="51" t="s">
        <v>10289</v>
      </c>
      <c r="C2891" s="51" t="s">
        <v>165</v>
      </c>
      <c r="D2891" s="57">
        <v>45578.8980337963</v>
      </c>
    </row>
    <row r="2892">
      <c r="A2892" s="51" t="s">
        <v>11313</v>
      </c>
      <c r="B2892" s="51" t="s">
        <v>1085</v>
      </c>
      <c r="C2892" s="51" t="s">
        <v>25</v>
      </c>
      <c r="D2892" s="57">
        <v>45578.90404125</v>
      </c>
    </row>
    <row r="2893">
      <c r="A2893" s="51" t="s">
        <v>11313</v>
      </c>
      <c r="B2893" s="51" t="s">
        <v>10247</v>
      </c>
      <c r="C2893" s="51" t="s">
        <v>25</v>
      </c>
      <c r="D2893" s="57">
        <v>45578.90655515046</v>
      </c>
    </row>
    <row r="2894">
      <c r="A2894" s="51" t="s">
        <v>11301</v>
      </c>
      <c r="B2894" s="51" t="s">
        <v>10495</v>
      </c>
      <c r="C2894" s="51" t="s">
        <v>25</v>
      </c>
      <c r="D2894" s="57">
        <v>45581.68853746528</v>
      </c>
    </row>
    <row r="2895">
      <c r="A2895" s="51" t="s">
        <v>11301</v>
      </c>
      <c r="B2895" s="51" t="s">
        <v>10495</v>
      </c>
      <c r="C2895" s="51" t="s">
        <v>25</v>
      </c>
      <c r="D2895" s="57">
        <v>45581.68872813658</v>
      </c>
    </row>
    <row r="2896">
      <c r="A2896" s="51" t="s">
        <v>11380</v>
      </c>
      <c r="B2896" s="51" t="s">
        <v>9563</v>
      </c>
      <c r="C2896" s="51" t="s">
        <v>84</v>
      </c>
      <c r="D2896" s="57">
        <v>45582.25437170139</v>
      </c>
    </row>
    <row r="2897">
      <c r="A2897" s="51" t="s">
        <v>11380</v>
      </c>
      <c r="B2897" s="51" t="s">
        <v>4885</v>
      </c>
      <c r="C2897" s="51" t="s">
        <v>517</v>
      </c>
      <c r="D2897" s="57">
        <v>45582.277035011575</v>
      </c>
    </row>
    <row r="2898">
      <c r="A2898" s="51" t="s">
        <v>11380</v>
      </c>
      <c r="B2898" s="51" t="s">
        <v>8550</v>
      </c>
      <c r="C2898" s="51" t="s">
        <v>165</v>
      </c>
      <c r="D2898" s="57">
        <v>45582.284815694446</v>
      </c>
    </row>
    <row r="2899">
      <c r="A2899" s="51" t="s">
        <v>11424</v>
      </c>
      <c r="B2899" s="51" t="s">
        <v>10793</v>
      </c>
      <c r="C2899" s="51" t="s">
        <v>84</v>
      </c>
      <c r="D2899" s="57">
        <v>45582.38308118055</v>
      </c>
    </row>
    <row r="2900">
      <c r="A2900" s="51" t="s">
        <v>11388</v>
      </c>
      <c r="B2900" s="51"/>
      <c r="C2900" s="51"/>
      <c r="D2900" s="57">
        <v>45582.83952902778</v>
      </c>
    </row>
    <row r="2901">
      <c r="A2901" s="51" t="s">
        <v>11388</v>
      </c>
      <c r="B2901" s="51" t="s">
        <v>5839</v>
      </c>
      <c r="C2901" s="51" t="s">
        <v>25</v>
      </c>
      <c r="D2901" s="57">
        <v>45582.84101137731</v>
      </c>
    </row>
    <row r="2902">
      <c r="A2902" s="51" t="s">
        <v>11388</v>
      </c>
      <c r="B2902" s="51" t="s">
        <v>5839</v>
      </c>
      <c r="C2902" s="51" t="s">
        <v>25</v>
      </c>
      <c r="D2902" s="57">
        <v>45582.841012164354</v>
      </c>
    </row>
    <row r="2903">
      <c r="A2903" s="51" t="s">
        <v>11388</v>
      </c>
      <c r="B2903" s="51" t="s">
        <v>5839</v>
      </c>
      <c r="C2903" s="51" t="s">
        <v>25</v>
      </c>
      <c r="D2903" s="57">
        <v>45582.84101846065</v>
      </c>
    </row>
    <row r="2904">
      <c r="A2904" s="51" t="s">
        <v>11388</v>
      </c>
      <c r="B2904" s="51" t="s">
        <v>5839</v>
      </c>
      <c r="C2904" s="51" t="s">
        <v>25</v>
      </c>
      <c r="D2904" s="57">
        <v>45582.84103768518</v>
      </c>
    </row>
    <row r="2905">
      <c r="A2905" s="51" t="s">
        <v>11388</v>
      </c>
      <c r="B2905" s="51" t="s">
        <v>5839</v>
      </c>
      <c r="C2905" s="51" t="s">
        <v>25</v>
      </c>
      <c r="D2905" s="57">
        <v>45582.8410380787</v>
      </c>
    </row>
    <row r="2906">
      <c r="A2906" s="51" t="s">
        <v>11388</v>
      </c>
      <c r="B2906" s="51" t="s">
        <v>5839</v>
      </c>
      <c r="C2906" s="51" t="s">
        <v>25</v>
      </c>
      <c r="D2906" s="57">
        <v>45582.84103846065</v>
      </c>
    </row>
    <row r="2907">
      <c r="A2907" s="51" t="s">
        <v>11388</v>
      </c>
      <c r="B2907" s="51" t="s">
        <v>5839</v>
      </c>
      <c r="C2907" s="51" t="s">
        <v>25</v>
      </c>
      <c r="D2907" s="57">
        <v>45582.841122962964</v>
      </c>
    </row>
    <row r="2908">
      <c r="A2908" s="51" t="s">
        <v>11388</v>
      </c>
      <c r="B2908" s="51" t="s">
        <v>5839</v>
      </c>
      <c r="C2908" s="51" t="s">
        <v>25</v>
      </c>
      <c r="D2908" s="57">
        <v>45582.84112390046</v>
      </c>
    </row>
    <row r="2909">
      <c r="A2909" s="51" t="s">
        <v>11388</v>
      </c>
      <c r="B2909" s="51" t="s">
        <v>5839</v>
      </c>
      <c r="C2909" s="51" t="s">
        <v>25</v>
      </c>
      <c r="D2909" s="57">
        <v>45582.84112402778</v>
      </c>
    </row>
    <row r="2910">
      <c r="A2910" s="51" t="s">
        <v>11388</v>
      </c>
      <c r="B2910" s="51" t="s">
        <v>5839</v>
      </c>
      <c r="C2910" s="51" t="s">
        <v>25</v>
      </c>
      <c r="D2910" s="57">
        <v>45582.84114210648</v>
      </c>
    </row>
    <row r="2911">
      <c r="A2911" s="51" t="s">
        <v>11388</v>
      </c>
      <c r="B2911" s="51" t="s">
        <v>5839</v>
      </c>
      <c r="C2911" s="51" t="s">
        <v>25</v>
      </c>
      <c r="D2911" s="57">
        <v>45582.84115246528</v>
      </c>
    </row>
    <row r="2912">
      <c r="A2912" s="51" t="s">
        <v>11388</v>
      </c>
      <c r="B2912" s="51" t="s">
        <v>5839</v>
      </c>
      <c r="C2912" s="51" t="s">
        <v>25</v>
      </c>
      <c r="D2912" s="57">
        <v>45582.8411593287</v>
      </c>
    </row>
    <row r="2913">
      <c r="A2913" s="51" t="s">
        <v>11388</v>
      </c>
      <c r="B2913" s="51" t="s">
        <v>5839</v>
      </c>
      <c r="C2913" s="51" t="s">
        <v>25</v>
      </c>
      <c r="D2913" s="57">
        <v>45582.84117581019</v>
      </c>
    </row>
    <row r="2914">
      <c r="A2914" s="51" t="s">
        <v>11388</v>
      </c>
      <c r="B2914" s="51" t="s">
        <v>5839</v>
      </c>
      <c r="C2914" s="51" t="s">
        <v>25</v>
      </c>
      <c r="D2914" s="57">
        <v>45582.84124268519</v>
      </c>
    </row>
    <row r="2915">
      <c r="A2915" s="51" t="s">
        <v>11388</v>
      </c>
      <c r="B2915" s="51" t="s">
        <v>5839</v>
      </c>
      <c r="C2915" s="51" t="s">
        <v>25</v>
      </c>
      <c r="D2915" s="57">
        <v>45582.841277175925</v>
      </c>
    </row>
    <row r="2916">
      <c r="A2916" s="51" t="s">
        <v>11388</v>
      </c>
      <c r="B2916" s="51" t="s">
        <v>5839</v>
      </c>
      <c r="C2916" s="51" t="s">
        <v>25</v>
      </c>
      <c r="D2916" s="57">
        <v>45582.84140774306</v>
      </c>
    </row>
    <row r="2917">
      <c r="A2917" s="51" t="s">
        <v>11388</v>
      </c>
      <c r="B2917" s="51" t="s">
        <v>5839</v>
      </c>
      <c r="C2917" s="51" t="s">
        <v>25</v>
      </c>
      <c r="D2917" s="57">
        <v>45582.841409375</v>
      </c>
    </row>
    <row r="2918">
      <c r="A2918" s="51" t="s">
        <v>11388</v>
      </c>
      <c r="B2918" s="51" t="s">
        <v>5839</v>
      </c>
      <c r="C2918" s="51" t="s">
        <v>25</v>
      </c>
      <c r="D2918" s="57">
        <v>45582.841413159724</v>
      </c>
    </row>
    <row r="2919">
      <c r="A2919" s="51" t="s">
        <v>11425</v>
      </c>
      <c r="B2919" s="51" t="s">
        <v>936</v>
      </c>
      <c r="C2919" s="51" t="s">
        <v>110</v>
      </c>
      <c r="D2919" s="57">
        <v>45583.07731126157</v>
      </c>
    </row>
    <row r="2920">
      <c r="A2920" s="51" t="s">
        <v>11430</v>
      </c>
      <c r="B2920" s="51" t="s">
        <v>6710</v>
      </c>
      <c r="C2920" s="51" t="s">
        <v>25</v>
      </c>
      <c r="D2920" s="57">
        <v>45584.02640357639</v>
      </c>
    </row>
    <row r="2921">
      <c r="A2921" s="51" t="s">
        <v>11281</v>
      </c>
      <c r="B2921" s="51" t="s">
        <v>257</v>
      </c>
      <c r="C2921" s="51" t="s">
        <v>84</v>
      </c>
      <c r="D2921" s="57">
        <v>45584.05288189815</v>
      </c>
    </row>
    <row r="2922">
      <c r="A2922" s="51" t="s">
        <v>11281</v>
      </c>
      <c r="B2922" s="51" t="s">
        <v>1683</v>
      </c>
      <c r="C2922" s="51" t="s">
        <v>84</v>
      </c>
      <c r="D2922" s="57">
        <v>45584.05635503472</v>
      </c>
    </row>
    <row r="2923">
      <c r="A2923" s="51" t="s">
        <v>11281</v>
      </c>
      <c r="B2923" s="51" t="s">
        <v>10944</v>
      </c>
      <c r="C2923" s="51" t="s">
        <v>84</v>
      </c>
      <c r="D2923" s="57">
        <v>45584.05870292824</v>
      </c>
    </row>
    <row r="2924">
      <c r="A2924" s="51" t="s">
        <v>11384</v>
      </c>
      <c r="B2924" s="51" t="s">
        <v>9066</v>
      </c>
      <c r="C2924" s="51" t="s">
        <v>165</v>
      </c>
      <c r="D2924" s="57">
        <v>45591.08960839121</v>
      </c>
    </row>
    <row r="2925">
      <c r="A2925" s="51" t="s">
        <v>11291</v>
      </c>
      <c r="B2925" s="51" t="s">
        <v>10914</v>
      </c>
      <c r="C2925" s="51" t="s">
        <v>25</v>
      </c>
      <c r="D2925" s="57">
        <v>45594.25871792824</v>
      </c>
    </row>
    <row r="2926">
      <c r="A2926" s="51" t="s">
        <v>11291</v>
      </c>
      <c r="B2926" s="51" t="s">
        <v>10914</v>
      </c>
      <c r="C2926" s="51" t="s">
        <v>25</v>
      </c>
      <c r="D2926" s="57">
        <v>45594.25896320602</v>
      </c>
    </row>
    <row r="2927">
      <c r="A2927" s="51" t="s">
        <v>11428</v>
      </c>
      <c r="B2927" s="51" t="s">
        <v>808</v>
      </c>
      <c r="C2927" s="51" t="s">
        <v>110</v>
      </c>
      <c r="D2927" s="57">
        <v>45594.75126829861</v>
      </c>
    </row>
    <row r="2928">
      <c r="A2928" s="51" t="s">
        <v>11368</v>
      </c>
      <c r="B2928" s="51" t="s">
        <v>10894</v>
      </c>
      <c r="C2928" s="51" t="s">
        <v>25</v>
      </c>
      <c r="D2928" s="57">
        <v>45594.80094796296</v>
      </c>
    </row>
    <row r="2929">
      <c r="A2929" s="51" t="s">
        <v>11368</v>
      </c>
      <c r="B2929" s="51" t="s">
        <v>10894</v>
      </c>
      <c r="C2929" s="51" t="s">
        <v>25</v>
      </c>
      <c r="D2929" s="57">
        <v>45594.80164460649</v>
      </c>
    </row>
    <row r="2930">
      <c r="A2930" s="51" t="s">
        <v>11313</v>
      </c>
      <c r="B2930" s="51" t="s">
        <v>5589</v>
      </c>
      <c r="C2930" s="51" t="s">
        <v>110</v>
      </c>
      <c r="D2930" s="57">
        <v>45595.95531222222</v>
      </c>
    </row>
    <row r="2931">
      <c r="A2931" s="51" t="s">
        <v>11313</v>
      </c>
      <c r="B2931" s="51" t="s">
        <v>5589</v>
      </c>
      <c r="C2931" s="51" t="s">
        <v>110</v>
      </c>
      <c r="D2931" s="57">
        <v>45595.955598252316</v>
      </c>
    </row>
    <row r="2932">
      <c r="A2932" s="51" t="s">
        <v>11313</v>
      </c>
      <c r="B2932" s="51" t="s">
        <v>242</v>
      </c>
      <c r="C2932" s="51" t="s">
        <v>216</v>
      </c>
      <c r="D2932" s="57">
        <v>45595.95776572917</v>
      </c>
    </row>
    <row r="2933">
      <c r="A2933" s="51" t="s">
        <v>11375</v>
      </c>
      <c r="B2933" s="51" t="s">
        <v>10833</v>
      </c>
      <c r="C2933" s="51" t="s">
        <v>517</v>
      </c>
      <c r="D2933" s="57">
        <v>45596.0806516088</v>
      </c>
    </row>
    <row r="2934">
      <c r="A2934" s="51" t="s">
        <v>11375</v>
      </c>
      <c r="B2934" s="51" t="s">
        <v>10711</v>
      </c>
      <c r="C2934" s="51" t="s">
        <v>275</v>
      </c>
      <c r="D2934" s="57">
        <v>45596.08450670139</v>
      </c>
    </row>
    <row r="2935">
      <c r="A2935" s="51" t="s">
        <v>11375</v>
      </c>
      <c r="B2935" s="51" t="s">
        <v>10711</v>
      </c>
      <c r="C2935" s="51" t="s">
        <v>275</v>
      </c>
      <c r="D2935" s="57">
        <v>45596.084914652776</v>
      </c>
    </row>
    <row r="2936">
      <c r="A2936" s="51" t="s">
        <v>11375</v>
      </c>
      <c r="B2936" s="51" t="s">
        <v>5957</v>
      </c>
      <c r="C2936" s="51" t="s">
        <v>292</v>
      </c>
      <c r="D2936" s="57">
        <v>45596.090377430555</v>
      </c>
    </row>
    <row r="2937">
      <c r="A2937" s="51" t="s">
        <v>11375</v>
      </c>
      <c r="B2937" s="51" t="s">
        <v>8649</v>
      </c>
      <c r="C2937" s="51" t="s">
        <v>316</v>
      </c>
      <c r="D2937" s="57">
        <v>45596.09562853009</v>
      </c>
    </row>
    <row r="2938">
      <c r="A2938" s="51" t="s">
        <v>11375</v>
      </c>
      <c r="B2938" s="51" t="s">
        <v>4057</v>
      </c>
      <c r="C2938" s="51" t="s">
        <v>216</v>
      </c>
      <c r="D2938" s="57">
        <v>45596.099165590276</v>
      </c>
    </row>
    <row r="2939">
      <c r="A2939" s="51" t="s">
        <v>11354</v>
      </c>
      <c r="B2939" s="51" t="s">
        <v>8244</v>
      </c>
      <c r="C2939" s="51" t="s">
        <v>216</v>
      </c>
      <c r="D2939" s="57">
        <v>45596.23957821759</v>
      </c>
    </row>
    <row r="2940">
      <c r="A2940" s="51" t="s">
        <v>11354</v>
      </c>
      <c r="B2940" s="51" t="s">
        <v>4772</v>
      </c>
      <c r="C2940" s="51" t="s">
        <v>517</v>
      </c>
      <c r="D2940" s="57">
        <v>45596.24369594907</v>
      </c>
    </row>
    <row r="2941">
      <c r="A2941" s="51" t="s">
        <v>11354</v>
      </c>
      <c r="B2941" s="51" t="s">
        <v>1321</v>
      </c>
      <c r="C2941" s="51" t="s">
        <v>517</v>
      </c>
      <c r="D2941" s="57">
        <v>45596.244431875</v>
      </c>
    </row>
    <row r="2942">
      <c r="A2942" s="51" t="s">
        <v>11313</v>
      </c>
      <c r="B2942" s="51" t="s">
        <v>602</v>
      </c>
      <c r="C2942" s="51" t="s">
        <v>68</v>
      </c>
      <c r="D2942" s="57">
        <v>45596.74376106482</v>
      </c>
    </row>
    <row r="2943">
      <c r="A2943" s="51" t="s">
        <v>11313</v>
      </c>
      <c r="B2943" s="51" t="s">
        <v>602</v>
      </c>
      <c r="C2943" s="51" t="s">
        <v>68</v>
      </c>
      <c r="D2943" s="57">
        <v>45596.74390678241</v>
      </c>
    </row>
    <row r="2944">
      <c r="A2944" s="51" t="s">
        <v>11313</v>
      </c>
      <c r="B2944" s="51" t="s">
        <v>1644</v>
      </c>
      <c r="C2944" s="51" t="s">
        <v>316</v>
      </c>
      <c r="D2944" s="57">
        <v>45596.74754802084</v>
      </c>
    </row>
    <row r="2945">
      <c r="A2945" s="51" t="s">
        <v>11313</v>
      </c>
      <c r="B2945" s="51" t="s">
        <v>1545</v>
      </c>
      <c r="C2945" s="51" t="s">
        <v>68</v>
      </c>
      <c r="D2945" s="57">
        <v>45596.76238975694</v>
      </c>
    </row>
    <row r="2946">
      <c r="A2946" s="51" t="s">
        <v>11313</v>
      </c>
      <c r="B2946" s="51" t="s">
        <v>1545</v>
      </c>
      <c r="C2946" s="51" t="s">
        <v>68</v>
      </c>
      <c r="D2946" s="57">
        <v>45596.7624674074</v>
      </c>
    </row>
    <row r="2947">
      <c r="A2947" s="51" t="s">
        <v>11375</v>
      </c>
      <c r="B2947" s="51" t="s">
        <v>9298</v>
      </c>
      <c r="C2947" s="51" t="s">
        <v>557</v>
      </c>
      <c r="D2947" s="57">
        <v>45598.26373564814</v>
      </c>
    </row>
    <row r="2948">
      <c r="A2948" s="51" t="s">
        <v>11375</v>
      </c>
      <c r="B2948" s="51" t="s">
        <v>4329</v>
      </c>
      <c r="C2948" s="51" t="s">
        <v>1410</v>
      </c>
      <c r="D2948" s="57">
        <v>45598.30906605324</v>
      </c>
    </row>
    <row r="2949">
      <c r="A2949" s="51" t="s">
        <v>11375</v>
      </c>
      <c r="B2949" s="51" t="s">
        <v>2739</v>
      </c>
      <c r="C2949" s="51" t="s">
        <v>216</v>
      </c>
      <c r="D2949" s="57">
        <v>45598.31656921296</v>
      </c>
    </row>
    <row r="2950">
      <c r="A2950" s="51" t="s">
        <v>11384</v>
      </c>
      <c r="B2950" s="51"/>
      <c r="C2950" s="51"/>
      <c r="D2950" s="57">
        <v>45600.79500439815</v>
      </c>
    </row>
    <row r="2951">
      <c r="A2951" s="51" t="s">
        <v>11384</v>
      </c>
      <c r="B2951" s="51" t="s">
        <v>213</v>
      </c>
      <c r="C2951" s="51" t="s">
        <v>216</v>
      </c>
      <c r="D2951" s="57">
        <v>45600.79524842593</v>
      </c>
    </row>
    <row r="2952">
      <c r="A2952" s="51" t="s">
        <v>11384</v>
      </c>
      <c r="B2952" s="51" t="s">
        <v>8520</v>
      </c>
      <c r="C2952" s="51" t="s">
        <v>316</v>
      </c>
      <c r="D2952" s="57">
        <v>45600.80660686342</v>
      </c>
    </row>
    <row r="2953">
      <c r="A2953" s="51" t="s">
        <v>11375</v>
      </c>
      <c r="B2953" s="51" t="s">
        <v>9229</v>
      </c>
      <c r="C2953" s="51" t="s">
        <v>517</v>
      </c>
      <c r="D2953" s="57">
        <v>45602.98221048611</v>
      </c>
    </row>
    <row r="2954">
      <c r="A2954" s="51" t="s">
        <v>11375</v>
      </c>
      <c r="B2954" s="51" t="s">
        <v>4885</v>
      </c>
      <c r="C2954" s="51" t="s">
        <v>517</v>
      </c>
      <c r="D2954" s="57">
        <v>45602.98573861111</v>
      </c>
    </row>
    <row r="2955">
      <c r="A2955" s="51" t="s">
        <v>11428</v>
      </c>
      <c r="B2955" s="51" t="s">
        <v>9467</v>
      </c>
      <c r="C2955" s="51" t="s">
        <v>84</v>
      </c>
      <c r="D2955" s="57">
        <v>45604.14097902778</v>
      </c>
    </row>
    <row r="2956">
      <c r="A2956" s="51" t="s">
        <v>11390</v>
      </c>
      <c r="B2956" s="51" t="s">
        <v>6949</v>
      </c>
      <c r="C2956" s="51" t="s">
        <v>110</v>
      </c>
      <c r="D2956" s="57">
        <v>45604.37759935185</v>
      </c>
    </row>
    <row r="2957">
      <c r="A2957" s="51" t="s">
        <v>11390</v>
      </c>
      <c r="B2957" s="51" t="s">
        <v>1093</v>
      </c>
      <c r="C2957" s="51" t="s">
        <v>110</v>
      </c>
      <c r="D2957" s="57">
        <v>45604.38581703704</v>
      </c>
    </row>
    <row r="2958">
      <c r="A2958" s="51" t="s">
        <v>11390</v>
      </c>
      <c r="B2958" s="51" t="s">
        <v>2480</v>
      </c>
      <c r="C2958" s="51" t="s">
        <v>110</v>
      </c>
      <c r="D2958" s="57">
        <v>45604.747822916666</v>
      </c>
    </row>
    <row r="2959">
      <c r="A2959" s="51" t="s">
        <v>11423</v>
      </c>
      <c r="B2959" s="51" t="s">
        <v>9210</v>
      </c>
      <c r="C2959" s="51" t="s">
        <v>517</v>
      </c>
      <c r="D2959" s="57">
        <v>45606.54762131945</v>
      </c>
    </row>
    <row r="2960">
      <c r="A2960" s="51" t="s">
        <v>11423</v>
      </c>
      <c r="B2960" s="51" t="s">
        <v>9210</v>
      </c>
      <c r="C2960" s="51" t="s">
        <v>517</v>
      </c>
      <c r="D2960" s="57">
        <v>45606.547651851855</v>
      </c>
    </row>
    <row r="2961">
      <c r="A2961" s="51" t="s">
        <v>11423</v>
      </c>
      <c r="B2961" s="51" t="s">
        <v>4551</v>
      </c>
      <c r="C2961" s="51" t="s">
        <v>1410</v>
      </c>
      <c r="D2961" s="57">
        <v>45606.55773976852</v>
      </c>
    </row>
    <row r="2962">
      <c r="A2962" s="51" t="s">
        <v>11423</v>
      </c>
      <c r="B2962" s="51" t="s">
        <v>4048</v>
      </c>
      <c r="C2962" s="51" t="s">
        <v>52</v>
      </c>
      <c r="D2962" s="57">
        <v>45606.55900789352</v>
      </c>
    </row>
    <row r="2963">
      <c r="A2963" s="51" t="s">
        <v>11382</v>
      </c>
      <c r="B2963" s="51" t="s">
        <v>9524</v>
      </c>
      <c r="C2963" s="51" t="s">
        <v>165</v>
      </c>
      <c r="D2963" s="57">
        <v>45608.25811925926</v>
      </c>
    </row>
    <row r="2964">
      <c r="A2964" s="51" t="s">
        <v>11428</v>
      </c>
      <c r="B2964" s="51" t="s">
        <v>7844</v>
      </c>
      <c r="C2964" s="51" t="s">
        <v>110</v>
      </c>
      <c r="D2964" s="57">
        <v>45608.33696696759</v>
      </c>
    </row>
    <row r="2965">
      <c r="A2965" s="51" t="s">
        <v>11428</v>
      </c>
      <c r="B2965" s="51" t="s">
        <v>7844</v>
      </c>
      <c r="C2965" s="51" t="s">
        <v>110</v>
      </c>
      <c r="D2965" s="57">
        <v>45608.33953679398</v>
      </c>
    </row>
    <row r="2966">
      <c r="A2966" s="51" t="s">
        <v>11428</v>
      </c>
      <c r="B2966" s="51" t="s">
        <v>7844</v>
      </c>
      <c r="C2966" s="51" t="s">
        <v>110</v>
      </c>
      <c r="D2966" s="57">
        <v>45608.340504907406</v>
      </c>
    </row>
    <row r="2967">
      <c r="A2967" s="51" t="s">
        <v>11428</v>
      </c>
      <c r="B2967" s="51" t="s">
        <v>272</v>
      </c>
      <c r="C2967" s="51" t="s">
        <v>275</v>
      </c>
      <c r="D2967" s="57">
        <v>45610.9973509375</v>
      </c>
    </row>
    <row r="2968">
      <c r="A2968" s="51" t="s">
        <v>11428</v>
      </c>
      <c r="B2968" s="51" t="s">
        <v>7256</v>
      </c>
      <c r="C2968" s="51" t="s">
        <v>25</v>
      </c>
      <c r="D2968" s="57">
        <v>45611.034698194446</v>
      </c>
    </row>
    <row r="2969">
      <c r="A2969" s="51" t="s">
        <v>11428</v>
      </c>
      <c r="B2969" s="51" t="s">
        <v>7256</v>
      </c>
      <c r="C2969" s="51" t="s">
        <v>25</v>
      </c>
      <c r="D2969" s="57">
        <v>45611.036120150464</v>
      </c>
    </row>
    <row r="2970">
      <c r="A2970" s="51" t="s">
        <v>11277</v>
      </c>
      <c r="B2970" s="51" t="s">
        <v>2166</v>
      </c>
      <c r="C2970" s="51" t="s">
        <v>110</v>
      </c>
      <c r="D2970" s="57">
        <v>45611.046186631946</v>
      </c>
    </row>
    <row r="2971">
      <c r="A2971" s="51" t="s">
        <v>11277</v>
      </c>
      <c r="B2971" s="51" t="s">
        <v>9277</v>
      </c>
      <c r="C2971" s="51" t="s">
        <v>110</v>
      </c>
      <c r="D2971" s="57">
        <v>45611.04776923612</v>
      </c>
    </row>
    <row r="2972">
      <c r="A2972" s="51" t="s">
        <v>11277</v>
      </c>
      <c r="B2972" s="51" t="s">
        <v>4039</v>
      </c>
      <c r="C2972" s="51" t="s">
        <v>110</v>
      </c>
      <c r="D2972" s="57">
        <v>45611.051637743054</v>
      </c>
    </row>
    <row r="2973">
      <c r="A2973" s="51" t="s">
        <v>11368</v>
      </c>
      <c r="B2973" s="51" t="s">
        <v>138</v>
      </c>
      <c r="C2973" s="51" t="s">
        <v>141</v>
      </c>
      <c r="D2973" s="57">
        <v>45612.1864565625</v>
      </c>
    </row>
    <row r="2974">
      <c r="A2974" s="51" t="s">
        <v>11368</v>
      </c>
      <c r="B2974" s="51" t="s">
        <v>1261</v>
      </c>
      <c r="C2974" s="51" t="s">
        <v>165</v>
      </c>
      <c r="D2974" s="57">
        <v>45612.192866400466</v>
      </c>
    </row>
    <row r="2975">
      <c r="A2975" s="51" t="s">
        <v>11378</v>
      </c>
      <c r="B2975" s="51" t="s">
        <v>10884</v>
      </c>
      <c r="C2975" s="51" t="s">
        <v>216</v>
      </c>
      <c r="D2975" s="57">
        <v>45612.35575378472</v>
      </c>
    </row>
    <row r="2976">
      <c r="A2976" s="51" t="s">
        <v>11378</v>
      </c>
      <c r="B2976" s="51" t="s">
        <v>8244</v>
      </c>
      <c r="C2976" s="51" t="s">
        <v>216</v>
      </c>
      <c r="D2976" s="57">
        <v>45612.38551392361</v>
      </c>
    </row>
    <row r="2977">
      <c r="A2977" s="51" t="s">
        <v>11187</v>
      </c>
      <c r="B2977" s="51" t="s">
        <v>6243</v>
      </c>
      <c r="C2977" s="51" t="s">
        <v>6246</v>
      </c>
      <c r="D2977" s="57">
        <v>45612.82942763889</v>
      </c>
    </row>
    <row r="2978">
      <c r="A2978" s="51" t="s">
        <v>11428</v>
      </c>
      <c r="B2978" s="51" t="s">
        <v>8939</v>
      </c>
      <c r="C2978" s="51" t="s">
        <v>141</v>
      </c>
      <c r="D2978" s="57">
        <v>45613.14331407407</v>
      </c>
    </row>
    <row r="2979">
      <c r="A2979" s="51" t="s">
        <v>11428</v>
      </c>
      <c r="B2979" s="51" t="s">
        <v>9486</v>
      </c>
      <c r="C2979" s="51" t="s">
        <v>141</v>
      </c>
      <c r="D2979" s="57">
        <v>45613.14421396991</v>
      </c>
    </row>
    <row r="2980">
      <c r="A2980" s="51" t="s">
        <v>11284</v>
      </c>
      <c r="B2980" s="51" t="s">
        <v>5500</v>
      </c>
      <c r="C2980" s="51" t="s">
        <v>110</v>
      </c>
      <c r="D2980" s="57">
        <v>45614.85804530093</v>
      </c>
    </row>
    <row r="2981">
      <c r="A2981" s="51" t="s">
        <v>11284</v>
      </c>
      <c r="B2981" s="51" t="s">
        <v>5500</v>
      </c>
      <c r="C2981" s="51" t="s">
        <v>110</v>
      </c>
      <c r="D2981" s="57">
        <v>45614.86010090278</v>
      </c>
    </row>
    <row r="2982">
      <c r="A2982" s="51" t="s">
        <v>11431</v>
      </c>
      <c r="B2982" s="51" t="s">
        <v>6883</v>
      </c>
      <c r="C2982" s="51" t="s">
        <v>141</v>
      </c>
      <c r="D2982" s="57">
        <v>45614.89490310186</v>
      </c>
    </row>
    <row r="2983">
      <c r="A2983" s="51" t="s">
        <v>11431</v>
      </c>
      <c r="B2983" s="51" t="s">
        <v>265</v>
      </c>
      <c r="C2983" s="51" t="s">
        <v>25</v>
      </c>
      <c r="D2983" s="57">
        <v>45614.897417071756</v>
      </c>
    </row>
    <row r="2984">
      <c r="A2984" s="51" t="s">
        <v>11384</v>
      </c>
      <c r="B2984" s="51" t="s">
        <v>4885</v>
      </c>
      <c r="C2984" s="51" t="s">
        <v>517</v>
      </c>
      <c r="D2984" s="57">
        <v>45614.93334236111</v>
      </c>
    </row>
    <row r="2985">
      <c r="A2985" s="51" t="s">
        <v>11384</v>
      </c>
      <c r="B2985" s="51" t="s">
        <v>4885</v>
      </c>
      <c r="C2985" s="51" t="s">
        <v>517</v>
      </c>
      <c r="D2985" s="57">
        <v>45614.933812627314</v>
      </c>
    </row>
    <row r="2986">
      <c r="A2986" s="51" t="s">
        <v>11432</v>
      </c>
      <c r="B2986" s="51" t="s">
        <v>200</v>
      </c>
      <c r="C2986" s="51" t="s">
        <v>25</v>
      </c>
      <c r="D2986" s="57">
        <v>45615.086432638884</v>
      </c>
    </row>
    <row r="2987">
      <c r="A2987" s="51" t="s">
        <v>11432</v>
      </c>
      <c r="B2987" s="51" t="s">
        <v>4282</v>
      </c>
      <c r="C2987" s="51" t="s">
        <v>25</v>
      </c>
      <c r="D2987" s="57">
        <v>45615.08903434028</v>
      </c>
    </row>
    <row r="2988">
      <c r="A2988" s="51" t="s">
        <v>11432</v>
      </c>
      <c r="B2988" s="51" t="s">
        <v>4896</v>
      </c>
      <c r="C2988" s="51" t="s">
        <v>25</v>
      </c>
      <c r="D2988" s="57">
        <v>45615.0942765625</v>
      </c>
    </row>
    <row r="2989">
      <c r="A2989" s="51" t="s">
        <v>11432</v>
      </c>
      <c r="B2989" s="51" t="s">
        <v>5151</v>
      </c>
      <c r="C2989" s="51" t="s">
        <v>25</v>
      </c>
      <c r="D2989" s="57">
        <v>45615.098616041665</v>
      </c>
    </row>
    <row r="2990">
      <c r="A2990" s="51" t="s">
        <v>11432</v>
      </c>
      <c r="B2990" s="51" t="s">
        <v>5848</v>
      </c>
      <c r="C2990" s="51" t="s">
        <v>25</v>
      </c>
      <c r="D2990" s="57">
        <v>45615.10307399306</v>
      </c>
    </row>
    <row r="2991">
      <c r="A2991" s="51" t="s">
        <v>11433</v>
      </c>
      <c r="B2991" s="51" t="s">
        <v>10833</v>
      </c>
      <c r="C2991" s="51" t="s">
        <v>517</v>
      </c>
      <c r="D2991" s="57">
        <v>45615.1032527662</v>
      </c>
    </row>
    <row r="2992">
      <c r="A2992" s="51" t="s">
        <v>11433</v>
      </c>
      <c r="B2992" s="51" t="s">
        <v>10833</v>
      </c>
      <c r="C2992" s="51" t="s">
        <v>517</v>
      </c>
      <c r="D2992" s="57">
        <v>45615.106176608795</v>
      </c>
    </row>
    <row r="2993">
      <c r="A2993" s="51" t="s">
        <v>11433</v>
      </c>
      <c r="B2993" s="51" t="s">
        <v>10833</v>
      </c>
      <c r="C2993" s="51" t="s">
        <v>517</v>
      </c>
      <c r="D2993" s="57">
        <v>45615.10617667824</v>
      </c>
    </row>
    <row r="2994">
      <c r="A2994" s="51" t="s">
        <v>11433</v>
      </c>
      <c r="B2994" s="51" t="s">
        <v>10833</v>
      </c>
      <c r="C2994" s="51" t="s">
        <v>517</v>
      </c>
      <c r="D2994" s="57">
        <v>45615.10789726852</v>
      </c>
    </row>
    <row r="2995">
      <c r="A2995" s="51" t="s">
        <v>11433</v>
      </c>
      <c r="B2995" s="51" t="s">
        <v>10833</v>
      </c>
      <c r="C2995" s="51" t="s">
        <v>517</v>
      </c>
      <c r="D2995" s="57">
        <v>45615.10791472222</v>
      </c>
    </row>
    <row r="2996">
      <c r="A2996" s="51" t="s">
        <v>11428</v>
      </c>
      <c r="B2996" s="51" t="s">
        <v>6883</v>
      </c>
      <c r="C2996" s="51" t="s">
        <v>141</v>
      </c>
      <c r="D2996" s="57">
        <v>45615.10925847222</v>
      </c>
    </row>
    <row r="2997">
      <c r="A2997" s="51" t="s">
        <v>11428</v>
      </c>
      <c r="B2997" s="51" t="s">
        <v>9113</v>
      </c>
      <c r="C2997" s="51" t="s">
        <v>141</v>
      </c>
      <c r="D2997" s="57">
        <v>45615.13113712963</v>
      </c>
    </row>
    <row r="2998">
      <c r="A2998" s="51" t="s">
        <v>11428</v>
      </c>
      <c r="B2998" s="51" t="s">
        <v>9113</v>
      </c>
      <c r="C2998" s="51" t="s">
        <v>141</v>
      </c>
      <c r="D2998" s="57">
        <v>45615.13143763889</v>
      </c>
    </row>
    <row r="2999">
      <c r="A2999" s="51" t="s">
        <v>11433</v>
      </c>
      <c r="B2999" s="51" t="s">
        <v>10833</v>
      </c>
      <c r="C2999" s="51" t="s">
        <v>517</v>
      </c>
      <c r="D2999" s="57">
        <v>45615.87619026621</v>
      </c>
    </row>
    <row r="3000">
      <c r="A3000" s="51" t="s">
        <v>11284</v>
      </c>
      <c r="B3000" s="51" t="s">
        <v>10401</v>
      </c>
      <c r="C3000" s="51" t="s">
        <v>1410</v>
      </c>
      <c r="D3000" s="57">
        <v>45615.879186273145</v>
      </c>
    </row>
    <row r="3001">
      <c r="A3001" s="51" t="s">
        <v>11434</v>
      </c>
      <c r="B3001" s="51" t="s">
        <v>10401</v>
      </c>
      <c r="C3001" s="51" t="s">
        <v>1410</v>
      </c>
      <c r="D3001" s="57">
        <v>45615.88048771991</v>
      </c>
    </row>
    <row r="3002">
      <c r="A3002" s="51" t="s">
        <v>11433</v>
      </c>
      <c r="B3002" s="51" t="s">
        <v>4004</v>
      </c>
      <c r="C3002" s="51" t="s">
        <v>1410</v>
      </c>
      <c r="D3002" s="57">
        <v>45616.96821770833</v>
      </c>
    </row>
    <row r="3003">
      <c r="A3003" s="51" t="s">
        <v>11378</v>
      </c>
      <c r="B3003" s="51" t="s">
        <v>8244</v>
      </c>
      <c r="C3003" s="51" t="s">
        <v>216</v>
      </c>
      <c r="D3003" s="57">
        <v>45618.26435766203</v>
      </c>
    </row>
    <row r="3004">
      <c r="A3004" s="51" t="s">
        <v>11420</v>
      </c>
      <c r="B3004" s="51" t="s">
        <v>5848</v>
      </c>
      <c r="C3004" s="51" t="s">
        <v>25</v>
      </c>
      <c r="D3004" s="57">
        <v>45618.772230567134</v>
      </c>
    </row>
    <row r="3005">
      <c r="A3005" s="51" t="s">
        <v>11428</v>
      </c>
      <c r="B3005" s="51" t="s">
        <v>9486</v>
      </c>
      <c r="C3005" s="51" t="s">
        <v>141</v>
      </c>
      <c r="D3005" s="57">
        <v>45618.905732245374</v>
      </c>
    </row>
    <row r="3006">
      <c r="A3006" s="51" t="s">
        <v>11428</v>
      </c>
      <c r="B3006" s="51" t="s">
        <v>9486</v>
      </c>
      <c r="C3006" s="51" t="s">
        <v>141</v>
      </c>
      <c r="D3006" s="57">
        <v>45618.90596079861</v>
      </c>
    </row>
    <row r="3007">
      <c r="A3007" s="51" t="s">
        <v>11368</v>
      </c>
      <c r="B3007" s="51" t="s">
        <v>1372</v>
      </c>
      <c r="C3007" s="51" t="s">
        <v>165</v>
      </c>
      <c r="D3007" s="57">
        <v>45620.19201491898</v>
      </c>
    </row>
    <row r="3008">
      <c r="A3008" s="51" t="s">
        <v>11368</v>
      </c>
      <c r="B3008" s="51" t="s">
        <v>3547</v>
      </c>
      <c r="C3008" s="51" t="s">
        <v>165</v>
      </c>
      <c r="D3008" s="57">
        <v>45620.193882164356</v>
      </c>
    </row>
    <row r="3009">
      <c r="A3009" s="51" t="s">
        <v>11368</v>
      </c>
      <c r="B3009" s="51" t="s">
        <v>3497</v>
      </c>
      <c r="C3009" s="51" t="s">
        <v>25</v>
      </c>
      <c r="D3009" s="57">
        <v>45620.195971284724</v>
      </c>
    </row>
    <row r="3010">
      <c r="A3010" s="51" t="s">
        <v>11431</v>
      </c>
      <c r="B3010" s="51" t="s">
        <v>5848</v>
      </c>
      <c r="C3010" s="51" t="s">
        <v>25</v>
      </c>
      <c r="D3010" s="57">
        <v>45620.31698846065</v>
      </c>
    </row>
    <row r="3011">
      <c r="A3011" s="51" t="s">
        <v>11435</v>
      </c>
      <c r="B3011" s="51" t="s">
        <v>5848</v>
      </c>
      <c r="C3011" s="51" t="s">
        <v>25</v>
      </c>
      <c r="D3011" s="57">
        <v>45622.67230240741</v>
      </c>
    </row>
    <row r="3012">
      <c r="A3012" s="51" t="s">
        <v>11428</v>
      </c>
      <c r="B3012" s="51" t="s">
        <v>9720</v>
      </c>
      <c r="C3012" s="51" t="s">
        <v>517</v>
      </c>
      <c r="D3012" s="57">
        <v>45622.87410266204</v>
      </c>
    </row>
    <row r="3013">
      <c r="A3013" s="51" t="s">
        <v>11428</v>
      </c>
      <c r="B3013" s="51" t="s">
        <v>9720</v>
      </c>
      <c r="C3013" s="51" t="s">
        <v>517</v>
      </c>
      <c r="D3013" s="57">
        <v>45622.874186747686</v>
      </c>
    </row>
    <row r="3014">
      <c r="A3014" s="51" t="s">
        <v>11277</v>
      </c>
      <c r="B3014" s="51" t="s">
        <v>8371</v>
      </c>
      <c r="C3014" s="51" t="s">
        <v>316</v>
      </c>
      <c r="D3014" s="57">
        <v>45624.42246256945</v>
      </c>
    </row>
    <row r="3015">
      <c r="A3015" s="51" t="s">
        <v>11277</v>
      </c>
      <c r="B3015" s="51" t="s">
        <v>5731</v>
      </c>
      <c r="C3015" s="51" t="s">
        <v>316</v>
      </c>
      <c r="D3015" s="57">
        <v>45624.42320427083</v>
      </c>
    </row>
    <row r="3016">
      <c r="A3016" s="51" t="s">
        <v>11424</v>
      </c>
      <c r="B3016" s="51" t="s">
        <v>1487</v>
      </c>
      <c r="C3016" s="51" t="s">
        <v>84</v>
      </c>
      <c r="D3016" s="57">
        <v>45629.18794002315</v>
      </c>
    </row>
    <row r="3017">
      <c r="A3017" s="51" t="s">
        <v>11424</v>
      </c>
      <c r="B3017" s="51" t="s">
        <v>10523</v>
      </c>
      <c r="C3017" s="51" t="s">
        <v>84</v>
      </c>
      <c r="D3017" s="57">
        <v>45629.19099351852</v>
      </c>
    </row>
    <row r="3018">
      <c r="A3018" s="51" t="s">
        <v>11424</v>
      </c>
      <c r="B3018" s="51" t="s">
        <v>10523</v>
      </c>
      <c r="C3018" s="51" t="s">
        <v>84</v>
      </c>
      <c r="D3018" s="57">
        <v>45629.191130300926</v>
      </c>
    </row>
    <row r="3019">
      <c r="A3019" s="51" t="s">
        <v>11424</v>
      </c>
      <c r="B3019" s="51" t="s">
        <v>1955</v>
      </c>
      <c r="C3019" s="51" t="s">
        <v>84</v>
      </c>
      <c r="D3019" s="57">
        <v>45629.19340365741</v>
      </c>
    </row>
    <row r="3020">
      <c r="A3020" s="51" t="s">
        <v>11424</v>
      </c>
      <c r="B3020" s="51" t="s">
        <v>9368</v>
      </c>
      <c r="C3020" s="51" t="s">
        <v>84</v>
      </c>
      <c r="D3020" s="57">
        <v>45629.195215381944</v>
      </c>
    </row>
    <row r="3021">
      <c r="A3021" s="51" t="s">
        <v>11424</v>
      </c>
      <c r="B3021" s="51" t="s">
        <v>9368</v>
      </c>
      <c r="C3021" s="51" t="s">
        <v>84</v>
      </c>
      <c r="D3021" s="57">
        <v>45629.196448946765</v>
      </c>
    </row>
    <row r="3022">
      <c r="A3022" s="51" t="s">
        <v>11354</v>
      </c>
      <c r="B3022" s="51" t="s">
        <v>1591</v>
      </c>
      <c r="C3022" s="51" t="s">
        <v>292</v>
      </c>
      <c r="D3022" s="57">
        <v>45629.30112672454</v>
      </c>
    </row>
    <row r="3023">
      <c r="A3023" s="51" t="s">
        <v>11354</v>
      </c>
      <c r="B3023" s="51" t="s">
        <v>1983</v>
      </c>
      <c r="C3023" s="51" t="s">
        <v>386</v>
      </c>
      <c r="D3023" s="57">
        <v>45629.3019790625</v>
      </c>
    </row>
    <row r="3024">
      <c r="A3024" s="51" t="s">
        <v>11354</v>
      </c>
      <c r="B3024" s="51" t="s">
        <v>5247</v>
      </c>
      <c r="C3024" s="51" t="s">
        <v>110</v>
      </c>
      <c r="D3024" s="57">
        <v>45629.30466515046</v>
      </c>
    </row>
    <row r="3025">
      <c r="A3025" s="51" t="s">
        <v>11354</v>
      </c>
      <c r="B3025" s="51" t="s">
        <v>6389</v>
      </c>
      <c r="C3025" s="51" t="s">
        <v>517</v>
      </c>
      <c r="D3025" s="57">
        <v>45629.30562262732</v>
      </c>
    </row>
    <row r="3026">
      <c r="A3026" s="51" t="s">
        <v>11354</v>
      </c>
      <c r="B3026" s="51" t="s">
        <v>6436</v>
      </c>
      <c r="C3026" s="51" t="s">
        <v>517</v>
      </c>
      <c r="D3026" s="57">
        <v>45629.306080277776</v>
      </c>
    </row>
    <row r="3027">
      <c r="A3027" s="51" t="s">
        <v>11434</v>
      </c>
      <c r="B3027" s="51" t="s">
        <v>5500</v>
      </c>
      <c r="C3027" s="51" t="s">
        <v>110</v>
      </c>
      <c r="D3027" s="57">
        <v>45629.71036331019</v>
      </c>
    </row>
    <row r="3028">
      <c r="A3028" s="51" t="s">
        <v>11434</v>
      </c>
      <c r="B3028" s="51" t="s">
        <v>10131</v>
      </c>
      <c r="C3028" s="51" t="s">
        <v>25</v>
      </c>
      <c r="D3028" s="57">
        <v>45629.96776526621</v>
      </c>
    </row>
    <row r="3029">
      <c r="A3029" s="51" t="s">
        <v>11434</v>
      </c>
      <c r="B3029" s="51" t="s">
        <v>10401</v>
      </c>
      <c r="C3029" s="51" t="s">
        <v>1410</v>
      </c>
      <c r="D3029" s="57">
        <v>45629.96860521991</v>
      </c>
    </row>
    <row r="3030">
      <c r="A3030" s="51" t="s">
        <v>11436</v>
      </c>
      <c r="B3030" s="51" t="s">
        <v>162</v>
      </c>
      <c r="C3030" s="51" t="s">
        <v>165</v>
      </c>
      <c r="D3030" s="57">
        <v>45630.01520284722</v>
      </c>
    </row>
    <row r="3031">
      <c r="A3031" s="51" t="s">
        <v>11436</v>
      </c>
      <c r="B3031" s="51" t="s">
        <v>162</v>
      </c>
      <c r="C3031" s="51" t="s">
        <v>165</v>
      </c>
      <c r="D3031" s="57">
        <v>45630.016937754626</v>
      </c>
    </row>
    <row r="3032">
      <c r="A3032" s="51" t="s">
        <v>11437</v>
      </c>
      <c r="B3032" s="51" t="s">
        <v>9524</v>
      </c>
      <c r="C3032" s="51" t="s">
        <v>165</v>
      </c>
      <c r="D3032" s="57">
        <v>45630.02279011574</v>
      </c>
    </row>
    <row r="3033">
      <c r="A3033" s="51" t="s">
        <v>11277</v>
      </c>
      <c r="B3033" s="51"/>
      <c r="C3033" s="51"/>
      <c r="D3033" s="57">
        <v>45630.309675682875</v>
      </c>
    </row>
    <row r="3034">
      <c r="A3034" s="51" t="s">
        <v>11277</v>
      </c>
      <c r="B3034" s="51" t="s">
        <v>8371</v>
      </c>
      <c r="C3034" s="51" t="s">
        <v>316</v>
      </c>
      <c r="D3034" s="57">
        <v>45630.334595381944</v>
      </c>
    </row>
    <row r="3035">
      <c r="A3035" s="51" t="s">
        <v>11367</v>
      </c>
      <c r="B3035" s="51" t="s">
        <v>5999</v>
      </c>
      <c r="C3035" s="51" t="s">
        <v>68</v>
      </c>
      <c r="D3035" s="57">
        <v>45632.09840577546</v>
      </c>
    </row>
    <row r="3036">
      <c r="A3036" s="51" t="s">
        <v>11367</v>
      </c>
      <c r="B3036" s="51" t="s">
        <v>5999</v>
      </c>
      <c r="C3036" s="51" t="s">
        <v>68</v>
      </c>
      <c r="D3036" s="57">
        <v>45632.09851935186</v>
      </c>
    </row>
    <row r="3037">
      <c r="A3037" s="51" t="s">
        <v>11398</v>
      </c>
      <c r="B3037" s="51" t="s">
        <v>5999</v>
      </c>
      <c r="C3037" s="51" t="s">
        <v>68</v>
      </c>
      <c r="D3037" s="57">
        <v>45632.09952118056</v>
      </c>
    </row>
    <row r="3038">
      <c r="A3038" s="51" t="s">
        <v>11398</v>
      </c>
      <c r="B3038" s="51" t="s">
        <v>5999</v>
      </c>
      <c r="C3038" s="51" t="s">
        <v>68</v>
      </c>
      <c r="D3038" s="57">
        <v>45632.09995318287</v>
      </c>
    </row>
    <row r="3039">
      <c r="A3039" s="51" t="s">
        <v>11398</v>
      </c>
      <c r="B3039" s="51" t="s">
        <v>5999</v>
      </c>
      <c r="C3039" s="51" t="s">
        <v>68</v>
      </c>
      <c r="D3039" s="57">
        <v>45632.09996274306</v>
      </c>
    </row>
    <row r="3040">
      <c r="A3040" s="51" t="s">
        <v>11398</v>
      </c>
      <c r="B3040" s="51" t="s">
        <v>5999</v>
      </c>
      <c r="C3040" s="51" t="s">
        <v>68</v>
      </c>
      <c r="D3040" s="57">
        <v>45632.10105090278</v>
      </c>
    </row>
    <row r="3041">
      <c r="A3041" s="51" t="s">
        <v>11390</v>
      </c>
      <c r="B3041" s="51" t="s">
        <v>6949</v>
      </c>
      <c r="C3041" s="51" t="s">
        <v>110</v>
      </c>
      <c r="D3041" s="57">
        <v>45633.001683842595</v>
      </c>
    </row>
    <row r="3042">
      <c r="A3042" s="51" t="s">
        <v>11392</v>
      </c>
      <c r="B3042" s="51" t="s">
        <v>4926</v>
      </c>
      <c r="C3042" s="51" t="s">
        <v>557</v>
      </c>
      <c r="D3042" s="57">
        <v>45633.16214862269</v>
      </c>
    </row>
    <row r="3043">
      <c r="A3043" s="51" t="s">
        <v>11392</v>
      </c>
      <c r="B3043" s="51" t="s">
        <v>7295</v>
      </c>
      <c r="C3043" s="51" t="s">
        <v>557</v>
      </c>
      <c r="D3043" s="57">
        <v>45635.77353505787</v>
      </c>
    </row>
    <row r="3044">
      <c r="A3044" s="51" t="s">
        <v>11390</v>
      </c>
      <c r="B3044" s="51" t="s">
        <v>5531</v>
      </c>
      <c r="C3044" s="51" t="s">
        <v>110</v>
      </c>
      <c r="D3044" s="57">
        <v>45636.749700949076</v>
      </c>
    </row>
    <row r="3045">
      <c r="A3045" s="51" t="s">
        <v>11301</v>
      </c>
      <c r="B3045" s="51" t="s">
        <v>10914</v>
      </c>
      <c r="C3045" s="51" t="s">
        <v>25</v>
      </c>
      <c r="D3045" s="57">
        <v>45636.95091601852</v>
      </c>
    </row>
    <row r="3046">
      <c r="A3046" s="51" t="s">
        <v>11277</v>
      </c>
      <c r="B3046" s="51" t="s">
        <v>1600</v>
      </c>
      <c r="C3046" s="51" t="s">
        <v>316</v>
      </c>
      <c r="D3046" s="57">
        <v>45638.31852903935</v>
      </c>
    </row>
    <row r="3047">
      <c r="A3047" s="51" t="s">
        <v>11277</v>
      </c>
      <c r="B3047" s="51" t="s">
        <v>7940</v>
      </c>
      <c r="C3047" s="51" t="s">
        <v>316</v>
      </c>
      <c r="D3047" s="57">
        <v>45638.32540476852</v>
      </c>
    </row>
    <row r="3048">
      <c r="A3048" s="51" t="s">
        <v>11277</v>
      </c>
      <c r="B3048" s="51" t="s">
        <v>2433</v>
      </c>
      <c r="C3048" s="51" t="s">
        <v>316</v>
      </c>
      <c r="D3048" s="57">
        <v>45638.91562650463</v>
      </c>
    </row>
    <row r="3049">
      <c r="A3049" s="51" t="s">
        <v>11277</v>
      </c>
      <c r="B3049" s="51" t="s">
        <v>5101</v>
      </c>
      <c r="C3049" s="51" t="s">
        <v>284</v>
      </c>
      <c r="D3049" s="57">
        <v>45639.08460365741</v>
      </c>
    </row>
    <row r="3050">
      <c r="A3050" s="51" t="s">
        <v>11354</v>
      </c>
      <c r="B3050" s="51" t="s">
        <v>1839</v>
      </c>
      <c r="C3050" s="51" t="s">
        <v>517</v>
      </c>
      <c r="D3050" s="57">
        <v>45639.41990876157</v>
      </c>
    </row>
    <row r="3051">
      <c r="A3051" s="51" t="s">
        <v>11354</v>
      </c>
      <c r="B3051" s="51" t="s">
        <v>3933</v>
      </c>
      <c r="C3051" s="51" t="s">
        <v>517</v>
      </c>
      <c r="D3051" s="57">
        <v>45639.42149458334</v>
      </c>
    </row>
    <row r="3052">
      <c r="A3052" s="51" t="s">
        <v>11301</v>
      </c>
      <c r="B3052" s="51" t="s">
        <v>10346</v>
      </c>
      <c r="C3052" s="51" t="s">
        <v>25</v>
      </c>
      <c r="D3052" s="57">
        <v>45643.05542928241</v>
      </c>
    </row>
    <row r="3053">
      <c r="A3053" s="51" t="s">
        <v>11384</v>
      </c>
      <c r="B3053" s="51" t="s">
        <v>1857</v>
      </c>
      <c r="C3053" s="51" t="s">
        <v>25</v>
      </c>
      <c r="D3053" s="57">
        <v>45644.90076700231</v>
      </c>
    </row>
    <row r="3054">
      <c r="A3054" s="51" t="s">
        <v>11438</v>
      </c>
      <c r="B3054" s="51" t="s">
        <v>107</v>
      </c>
      <c r="C3054" s="51" t="s">
        <v>110</v>
      </c>
      <c r="D3054" s="57">
        <v>45647.881388090274</v>
      </c>
    </row>
    <row r="3055">
      <c r="A3055" s="51" t="s">
        <v>11276</v>
      </c>
      <c r="B3055" s="51" t="s">
        <v>2166</v>
      </c>
      <c r="C3055" s="51" t="s">
        <v>110</v>
      </c>
      <c r="D3055" s="57">
        <v>45664.85563210648</v>
      </c>
    </row>
    <row r="3056">
      <c r="A3056" s="51" t="s">
        <v>11276</v>
      </c>
      <c r="B3056" s="51" t="s">
        <v>2166</v>
      </c>
      <c r="C3056" s="51" t="s">
        <v>110</v>
      </c>
      <c r="D3056" s="57">
        <v>45664.8558018287</v>
      </c>
    </row>
    <row r="3057">
      <c r="A3057" s="51" t="s">
        <v>11317</v>
      </c>
      <c r="B3057" s="51" t="s">
        <v>10476</v>
      </c>
      <c r="C3057" s="51" t="s">
        <v>84</v>
      </c>
      <c r="D3057" s="57">
        <v>45667.05466616898</v>
      </c>
    </row>
    <row r="3058">
      <c r="A3058" s="51" t="s">
        <v>11317</v>
      </c>
      <c r="B3058" s="51" t="s">
        <v>10504</v>
      </c>
      <c r="C3058" s="51" t="s">
        <v>84</v>
      </c>
      <c r="D3058" s="57">
        <v>45669.183138148146</v>
      </c>
    </row>
    <row r="3059">
      <c r="A3059" s="51" t="s">
        <v>11333</v>
      </c>
      <c r="B3059" s="51" t="s">
        <v>762</v>
      </c>
      <c r="C3059" s="51" t="s">
        <v>110</v>
      </c>
      <c r="D3059" s="57">
        <v>45670.179386874996</v>
      </c>
    </row>
    <row r="3060">
      <c r="A3060" s="51" t="s">
        <v>11333</v>
      </c>
      <c r="B3060" s="51" t="s">
        <v>3340</v>
      </c>
      <c r="C3060" s="51" t="s">
        <v>110</v>
      </c>
      <c r="D3060" s="57">
        <v>45670.181105185184</v>
      </c>
    </row>
    <row r="3061">
      <c r="A3061" s="51" t="s">
        <v>11333</v>
      </c>
      <c r="B3061" s="51" t="s">
        <v>4191</v>
      </c>
      <c r="C3061" s="51" t="s">
        <v>84</v>
      </c>
      <c r="D3061" s="57">
        <v>45670.181719687505</v>
      </c>
    </row>
    <row r="3062">
      <c r="A3062" s="51" t="s">
        <v>11333</v>
      </c>
      <c r="B3062" s="51" t="s">
        <v>7393</v>
      </c>
      <c r="C3062" s="51" t="s">
        <v>84</v>
      </c>
      <c r="D3062" s="57">
        <v>45670.18279293981</v>
      </c>
    </row>
    <row r="3063">
      <c r="A3063" s="51" t="s">
        <v>11394</v>
      </c>
      <c r="B3063" s="51" t="s">
        <v>1113</v>
      </c>
      <c r="C3063" s="51" t="s">
        <v>216</v>
      </c>
      <c r="D3063" s="57">
        <v>45671.85773640046</v>
      </c>
    </row>
    <row r="3064">
      <c r="A3064" s="51" t="s">
        <v>11394</v>
      </c>
      <c r="B3064" s="51" t="s">
        <v>1847</v>
      </c>
      <c r="C3064" s="51" t="s">
        <v>216</v>
      </c>
      <c r="D3064" s="57">
        <v>45671.85847501157</v>
      </c>
    </row>
    <row r="3065">
      <c r="A3065" s="51" t="s">
        <v>11317</v>
      </c>
      <c r="B3065" s="51" t="s">
        <v>10504</v>
      </c>
      <c r="C3065" s="51" t="s">
        <v>84</v>
      </c>
      <c r="D3065" s="57">
        <v>45671.89699591435</v>
      </c>
    </row>
    <row r="3066">
      <c r="A3066" s="51" t="s">
        <v>11439</v>
      </c>
      <c r="B3066" s="51" t="s">
        <v>207</v>
      </c>
      <c r="C3066" s="51" t="s">
        <v>110</v>
      </c>
      <c r="D3066" s="57">
        <v>45671.97717322917</v>
      </c>
    </row>
    <row r="3067">
      <c r="A3067" s="51" t="s">
        <v>11439</v>
      </c>
      <c r="B3067" s="51" t="s">
        <v>10874</v>
      </c>
      <c r="C3067" s="51" t="s">
        <v>110</v>
      </c>
      <c r="D3067" s="57">
        <v>45671.9823537037</v>
      </c>
    </row>
    <row r="3068">
      <c r="A3068" s="51" t="s">
        <v>11317</v>
      </c>
      <c r="B3068" s="51" t="s">
        <v>10486</v>
      </c>
      <c r="C3068" s="51" t="s">
        <v>84</v>
      </c>
      <c r="D3068" s="57">
        <v>45672.85979524306</v>
      </c>
    </row>
    <row r="3069">
      <c r="A3069" s="51" t="s">
        <v>11392</v>
      </c>
      <c r="B3069" s="51" t="s">
        <v>4885</v>
      </c>
      <c r="C3069" s="51" t="s">
        <v>517</v>
      </c>
      <c r="D3069" s="57">
        <v>45687.092169675925</v>
      </c>
    </row>
    <row r="3070">
      <c r="A3070" s="51" t="s">
        <v>11392</v>
      </c>
      <c r="B3070" s="51" t="s">
        <v>4885</v>
      </c>
      <c r="C3070" s="51" t="s">
        <v>517</v>
      </c>
      <c r="D3070" s="57">
        <v>45687.09218896991</v>
      </c>
    </row>
    <row r="3071">
      <c r="A3071" s="51" t="s">
        <v>11390</v>
      </c>
      <c r="B3071" s="51" t="s">
        <v>10874</v>
      </c>
      <c r="C3071" s="51" t="s">
        <v>110</v>
      </c>
      <c r="D3071" s="57">
        <v>45688.66960096065</v>
      </c>
    </row>
    <row r="3072">
      <c r="A3072" s="51" t="s">
        <v>11388</v>
      </c>
      <c r="B3072" s="51" t="s">
        <v>2022</v>
      </c>
      <c r="C3072" s="51" t="s">
        <v>157</v>
      </c>
      <c r="D3072" s="57">
        <v>45695.78197386574</v>
      </c>
    </row>
    <row r="3073">
      <c r="A3073" s="51" t="s">
        <v>11273</v>
      </c>
      <c r="B3073" s="51" t="s">
        <v>9916</v>
      </c>
      <c r="C3073" s="51" t="s">
        <v>216</v>
      </c>
      <c r="D3073" s="57">
        <v>45698.21860125</v>
      </c>
    </row>
    <row r="3074">
      <c r="A3074" s="51" t="s">
        <v>11440</v>
      </c>
      <c r="B3074" s="51" t="s">
        <v>778</v>
      </c>
      <c r="C3074" s="51" t="s">
        <v>110</v>
      </c>
      <c r="D3074" s="57">
        <v>45698.61865872685</v>
      </c>
    </row>
    <row r="3075">
      <c r="A3075" s="51" t="s">
        <v>11409</v>
      </c>
      <c r="B3075" s="51" t="s">
        <v>1616</v>
      </c>
      <c r="C3075" s="51" t="s">
        <v>316</v>
      </c>
      <c r="D3075" s="57">
        <v>45700.079489780095</v>
      </c>
    </row>
    <row r="3076">
      <c r="A3076" s="51" t="s">
        <v>11409</v>
      </c>
      <c r="B3076" s="51" t="s">
        <v>1616</v>
      </c>
      <c r="C3076" s="51" t="s">
        <v>316</v>
      </c>
      <c r="D3076" s="57">
        <v>45700.07960297454</v>
      </c>
    </row>
    <row r="3077">
      <c r="A3077" s="51" t="s">
        <v>11409</v>
      </c>
      <c r="B3077" s="51" t="s">
        <v>5678</v>
      </c>
      <c r="C3077" s="51" t="s">
        <v>110</v>
      </c>
      <c r="D3077" s="57">
        <v>45700.08187546296</v>
      </c>
    </row>
    <row r="3078">
      <c r="A3078" s="51" t="s">
        <v>11409</v>
      </c>
      <c r="B3078" s="51" t="s">
        <v>5678</v>
      </c>
      <c r="C3078" s="51" t="s">
        <v>110</v>
      </c>
      <c r="D3078" s="57">
        <v>45700.095474999995</v>
      </c>
    </row>
    <row r="3079">
      <c r="A3079" s="51" t="s">
        <v>11409</v>
      </c>
      <c r="B3079" s="51" t="s">
        <v>9210</v>
      </c>
      <c r="C3079" s="51" t="s">
        <v>517</v>
      </c>
      <c r="D3079" s="57">
        <v>45700.09564452546</v>
      </c>
    </row>
    <row r="3080">
      <c r="A3080" s="51" t="s">
        <v>11409</v>
      </c>
      <c r="B3080" s="51" t="s">
        <v>9210</v>
      </c>
      <c r="C3080" s="51" t="s">
        <v>517</v>
      </c>
      <c r="D3080" s="57">
        <v>45700.09762847223</v>
      </c>
    </row>
    <row r="3081">
      <c r="A3081" s="51" t="s">
        <v>11409</v>
      </c>
      <c r="B3081" s="51" t="s">
        <v>313</v>
      </c>
      <c r="C3081" s="51" t="s">
        <v>316</v>
      </c>
      <c r="D3081" s="57">
        <v>45700.09763615741</v>
      </c>
    </row>
    <row r="3082">
      <c r="A3082" s="51" t="s">
        <v>11409</v>
      </c>
      <c r="B3082" s="51" t="s">
        <v>4896</v>
      </c>
      <c r="C3082" s="51" t="s">
        <v>25</v>
      </c>
      <c r="D3082" s="57">
        <v>45700.10013412037</v>
      </c>
    </row>
    <row r="3083">
      <c r="A3083" s="51" t="s">
        <v>11409</v>
      </c>
      <c r="B3083" s="51" t="s">
        <v>4896</v>
      </c>
      <c r="C3083" s="51" t="s">
        <v>25</v>
      </c>
      <c r="D3083" s="57">
        <v>45700.100159594906</v>
      </c>
    </row>
    <row r="3084">
      <c r="A3084" s="51" t="s">
        <v>11441</v>
      </c>
      <c r="B3084" s="51" t="s">
        <v>1234</v>
      </c>
      <c r="C3084" s="51" t="s">
        <v>25</v>
      </c>
      <c r="D3084" s="57">
        <v>45705.346862210645</v>
      </c>
    </row>
    <row r="3085">
      <c r="A3085" s="51" t="s">
        <v>11441</v>
      </c>
      <c r="B3085" s="51" t="s">
        <v>10863</v>
      </c>
      <c r="C3085" s="51" t="s">
        <v>25</v>
      </c>
      <c r="D3085" s="57">
        <v>45706.131721134254</v>
      </c>
    </row>
    <row r="3086">
      <c r="A3086" s="51" t="s">
        <v>11441</v>
      </c>
      <c r="B3086" s="51" t="s">
        <v>11012</v>
      </c>
      <c r="C3086" s="51" t="s">
        <v>25</v>
      </c>
      <c r="D3086" s="57">
        <v>45706.14158429398</v>
      </c>
    </row>
    <row r="3087">
      <c r="A3087" s="51" t="s">
        <v>11409</v>
      </c>
      <c r="B3087" s="51" t="s">
        <v>1093</v>
      </c>
      <c r="C3087" s="51" t="s">
        <v>110</v>
      </c>
      <c r="D3087" s="57">
        <v>45706.318107430554</v>
      </c>
    </row>
    <row r="3088">
      <c r="A3088" s="51" t="s">
        <v>11409</v>
      </c>
      <c r="B3088" s="51" t="s">
        <v>1093</v>
      </c>
      <c r="C3088" s="51" t="s">
        <v>110</v>
      </c>
      <c r="D3088" s="57">
        <v>45706.31813842592</v>
      </c>
    </row>
    <row r="3089">
      <c r="A3089" s="51" t="s">
        <v>11409</v>
      </c>
      <c r="B3089" s="51" t="s">
        <v>2433</v>
      </c>
      <c r="C3089" s="51" t="s">
        <v>316</v>
      </c>
      <c r="D3089" s="57">
        <v>45706.31885236111</v>
      </c>
    </row>
    <row r="3090">
      <c r="A3090" s="51" t="s">
        <v>11409</v>
      </c>
      <c r="B3090" s="51" t="s">
        <v>2433</v>
      </c>
      <c r="C3090" s="51" t="s">
        <v>316</v>
      </c>
      <c r="D3090" s="57">
        <v>45706.323070439816</v>
      </c>
    </row>
    <row r="3091">
      <c r="A3091" s="51" t="s">
        <v>11409</v>
      </c>
      <c r="B3091" s="51" t="s">
        <v>640</v>
      </c>
      <c r="C3091" s="51" t="s">
        <v>316</v>
      </c>
      <c r="D3091" s="57">
        <v>45706.32337421297</v>
      </c>
    </row>
    <row r="3092">
      <c r="A3092" s="51" t="s">
        <v>11409</v>
      </c>
      <c r="B3092" s="51" t="s">
        <v>3035</v>
      </c>
      <c r="C3092" s="51" t="s">
        <v>165</v>
      </c>
      <c r="D3092" s="57">
        <v>45706.323943599535</v>
      </c>
    </row>
    <row r="3093">
      <c r="A3093" s="51" t="s">
        <v>11409</v>
      </c>
      <c r="B3093" s="51" t="s">
        <v>762</v>
      </c>
      <c r="C3093" s="51" t="s">
        <v>110</v>
      </c>
      <c r="D3093" s="57">
        <v>45706.32649020833</v>
      </c>
    </row>
    <row r="3094">
      <c r="A3094" s="51" t="s">
        <v>11409</v>
      </c>
      <c r="B3094" s="51" t="s">
        <v>762</v>
      </c>
      <c r="C3094" s="51" t="s">
        <v>110</v>
      </c>
      <c r="D3094" s="57">
        <v>45706.326705150466</v>
      </c>
    </row>
    <row r="3095">
      <c r="A3095" s="51" t="s">
        <v>11409</v>
      </c>
      <c r="B3095" s="51" t="s">
        <v>762</v>
      </c>
      <c r="C3095" s="51" t="s">
        <v>110</v>
      </c>
      <c r="D3095" s="57">
        <v>45706.326720902776</v>
      </c>
    </row>
    <row r="3096">
      <c r="A3096" s="51" t="s">
        <v>11409</v>
      </c>
      <c r="B3096" s="51" t="s">
        <v>1113</v>
      </c>
      <c r="C3096" s="51" t="s">
        <v>216</v>
      </c>
      <c r="D3096" s="57">
        <v>45706.328431030095</v>
      </c>
    </row>
    <row r="3097">
      <c r="A3097" s="51" t="s">
        <v>11409</v>
      </c>
      <c r="B3097" s="51" t="s">
        <v>1113</v>
      </c>
      <c r="C3097" s="51" t="s">
        <v>216</v>
      </c>
      <c r="D3097" s="57">
        <v>45706.32874439815</v>
      </c>
    </row>
    <row r="3098">
      <c r="A3098" s="51" t="s">
        <v>11409</v>
      </c>
      <c r="B3098" s="51" t="s">
        <v>4532</v>
      </c>
      <c r="C3098" s="51" t="s">
        <v>517</v>
      </c>
      <c r="D3098" s="57">
        <v>45706.34079137731</v>
      </c>
    </row>
    <row r="3099">
      <c r="A3099" s="51" t="s">
        <v>11409</v>
      </c>
      <c r="B3099" s="51" t="s">
        <v>4532</v>
      </c>
      <c r="C3099" s="51" t="s">
        <v>517</v>
      </c>
      <c r="D3099" s="57">
        <v>45706.34092002315</v>
      </c>
    </row>
    <row r="3100">
      <c r="A3100" s="51" t="s">
        <v>11409</v>
      </c>
      <c r="B3100" s="51" t="s">
        <v>10711</v>
      </c>
      <c r="C3100" s="51" t="s">
        <v>275</v>
      </c>
      <c r="D3100" s="57">
        <v>45706.34199555556</v>
      </c>
    </row>
    <row r="3101">
      <c r="A3101" s="51" t="s">
        <v>11409</v>
      </c>
      <c r="B3101" s="51" t="s">
        <v>10711</v>
      </c>
      <c r="C3101" s="51" t="s">
        <v>275</v>
      </c>
      <c r="D3101" s="57">
        <v>45706.3420125</v>
      </c>
    </row>
    <row r="3102">
      <c r="A3102" s="51" t="s">
        <v>11441</v>
      </c>
      <c r="B3102" s="51" t="s">
        <v>10914</v>
      </c>
      <c r="C3102" s="51" t="s">
        <v>25</v>
      </c>
      <c r="D3102" s="57">
        <v>45706.38593068287</v>
      </c>
    </row>
    <row r="3103">
      <c r="A3103" s="51" t="s">
        <v>11392</v>
      </c>
      <c r="B3103" s="51" t="s">
        <v>10023</v>
      </c>
      <c r="C3103" s="51" t="s">
        <v>216</v>
      </c>
      <c r="D3103" s="57">
        <v>45713.35878618056</v>
      </c>
    </row>
    <row r="3104">
      <c r="A3104" s="51" t="s">
        <v>11392</v>
      </c>
      <c r="B3104" s="51" t="s">
        <v>10023</v>
      </c>
      <c r="C3104" s="51" t="s">
        <v>216</v>
      </c>
      <c r="D3104" s="57">
        <v>45713.35880787037</v>
      </c>
    </row>
    <row r="3105">
      <c r="A3105" s="51" t="s">
        <v>11392</v>
      </c>
      <c r="B3105" s="51" t="s">
        <v>10023</v>
      </c>
      <c r="C3105" s="51" t="s">
        <v>216</v>
      </c>
      <c r="D3105" s="57">
        <v>45713.35881784723</v>
      </c>
    </row>
    <row r="3106">
      <c r="A3106" s="51" t="s">
        <v>11354</v>
      </c>
      <c r="B3106" s="51" t="s">
        <v>5413</v>
      </c>
      <c r="C3106" s="51" t="s">
        <v>165</v>
      </c>
      <c r="D3106" s="57">
        <v>45714.31611475695</v>
      </c>
    </row>
    <row r="3107">
      <c r="A3107" s="51" t="s">
        <v>11388</v>
      </c>
      <c r="B3107" s="51" t="s">
        <v>1122</v>
      </c>
      <c r="C3107" s="51" t="s">
        <v>517</v>
      </c>
      <c r="D3107" s="57">
        <v>45714.99061390046</v>
      </c>
    </row>
    <row r="3108">
      <c r="A3108" s="51" t="s">
        <v>11354</v>
      </c>
      <c r="B3108" s="51" t="s">
        <v>4772</v>
      </c>
      <c r="C3108" s="51" t="s">
        <v>517</v>
      </c>
      <c r="D3108" s="57">
        <v>45722.39299094907</v>
      </c>
    </row>
    <row r="3109">
      <c r="A3109" s="51" t="s">
        <v>11432</v>
      </c>
      <c r="B3109" s="51" t="s">
        <v>1878</v>
      </c>
      <c r="C3109" s="51" t="s">
        <v>157</v>
      </c>
      <c r="D3109" s="57">
        <v>45722.77753559028</v>
      </c>
    </row>
    <row r="3110">
      <c r="A3110" s="51" t="s">
        <v>11378</v>
      </c>
      <c r="B3110" s="51" t="s">
        <v>9027</v>
      </c>
      <c r="C3110" s="51" t="s">
        <v>25</v>
      </c>
      <c r="D3110" s="57">
        <v>45723.094052361106</v>
      </c>
    </row>
    <row r="3111">
      <c r="A3111" s="51" t="s">
        <v>11409</v>
      </c>
      <c r="B3111" s="51" t="s">
        <v>4885</v>
      </c>
      <c r="C3111" s="51" t="s">
        <v>517</v>
      </c>
      <c r="D3111" s="57">
        <v>45727.39034960648</v>
      </c>
    </row>
    <row r="3112">
      <c r="A3112" s="51" t="s">
        <v>11409</v>
      </c>
      <c r="B3112" s="51" t="s">
        <v>4885</v>
      </c>
      <c r="C3112" s="51" t="s">
        <v>517</v>
      </c>
      <c r="D3112" s="57">
        <v>45727.39036053241</v>
      </c>
    </row>
    <row r="3113">
      <c r="A3113" s="51" t="s">
        <v>11388</v>
      </c>
      <c r="B3113" s="51" t="s">
        <v>10062</v>
      </c>
      <c r="C3113" s="51" t="s">
        <v>517</v>
      </c>
      <c r="D3113" s="57">
        <v>45733.87695532407</v>
      </c>
    </row>
    <row r="3114">
      <c r="A3114" s="51" t="s">
        <v>11442</v>
      </c>
      <c r="B3114" s="51" t="s">
        <v>4485</v>
      </c>
      <c r="C3114" s="51" t="s">
        <v>1410</v>
      </c>
      <c r="D3114" s="57">
        <v>45734.346239907405</v>
      </c>
    </row>
    <row r="3115">
      <c r="A3115" s="51" t="s">
        <v>11443</v>
      </c>
      <c r="B3115" s="51" t="s">
        <v>709</v>
      </c>
      <c r="C3115" s="51" t="s">
        <v>84</v>
      </c>
      <c r="D3115" s="57">
        <v>45734.38981607639</v>
      </c>
    </row>
    <row r="3116">
      <c r="A3116" s="51" t="s">
        <v>11443</v>
      </c>
      <c r="B3116" s="51" t="s">
        <v>10813</v>
      </c>
      <c r="C3116" s="51" t="s">
        <v>84</v>
      </c>
      <c r="D3116" s="57">
        <v>45734.39236064815</v>
      </c>
    </row>
    <row r="3117">
      <c r="A3117" s="51" t="s">
        <v>11441</v>
      </c>
      <c r="B3117" s="51" t="s">
        <v>10863</v>
      </c>
      <c r="C3117" s="51" t="s">
        <v>25</v>
      </c>
      <c r="D3117" s="57">
        <v>45740.03375902778</v>
      </c>
    </row>
    <row r="3118">
      <c r="A3118" s="51" t="s">
        <v>11441</v>
      </c>
      <c r="B3118" s="51" t="s">
        <v>11012</v>
      </c>
      <c r="C3118" s="51" t="s">
        <v>25</v>
      </c>
      <c r="D3118" s="57">
        <v>45740.05035976852</v>
      </c>
    </row>
    <row r="3119">
      <c r="A3119" s="51" t="s">
        <v>11424</v>
      </c>
      <c r="B3119" s="51" t="s">
        <v>4057</v>
      </c>
      <c r="C3119" s="51" t="s">
        <v>216</v>
      </c>
      <c r="D3119" s="57">
        <v>45742.196355231485</v>
      </c>
    </row>
    <row r="3120">
      <c r="A3120" s="51" t="s">
        <v>11392</v>
      </c>
      <c r="B3120" s="51" t="s">
        <v>4551</v>
      </c>
      <c r="C3120" s="51" t="s">
        <v>1410</v>
      </c>
      <c r="D3120" s="57">
        <v>45749.1084309375</v>
      </c>
    </row>
    <row r="3121">
      <c r="A3121" s="51" t="s">
        <v>11392</v>
      </c>
      <c r="B3121" s="51" t="s">
        <v>10884</v>
      </c>
      <c r="C3121" s="51" t="s">
        <v>216</v>
      </c>
      <c r="D3121" s="57">
        <v>45749.10900777778</v>
      </c>
    </row>
    <row r="3122">
      <c r="A3122" s="51" t="s">
        <v>11392</v>
      </c>
      <c r="B3122" s="51" t="s">
        <v>1654</v>
      </c>
      <c r="C3122" s="51" t="s">
        <v>216</v>
      </c>
      <c r="D3122" s="57">
        <v>45749.109924097225</v>
      </c>
    </row>
    <row r="3123">
      <c r="A3123" s="51" t="s">
        <v>11307</v>
      </c>
      <c r="B3123" s="51" t="s">
        <v>10793</v>
      </c>
      <c r="C3123" s="51" t="s">
        <v>84</v>
      </c>
      <c r="D3123" s="57">
        <v>45749.150417048615</v>
      </c>
    </row>
    <row r="3124">
      <c r="A3124" s="51" t="s">
        <v>11307</v>
      </c>
      <c r="B3124" s="51" t="s">
        <v>5561</v>
      </c>
      <c r="C3124" s="51" t="s">
        <v>84</v>
      </c>
      <c r="D3124" s="57">
        <v>45749.15933538195</v>
      </c>
    </row>
    <row r="3125">
      <c r="A3125" s="51" t="s">
        <v>11384</v>
      </c>
      <c r="B3125" s="51" t="s">
        <v>9066</v>
      </c>
      <c r="C3125" s="51" t="s">
        <v>165</v>
      </c>
      <c r="D3125" s="57">
        <v>45751.79216563657</v>
      </c>
    </row>
    <row r="3126">
      <c r="A3126" s="51" t="s">
        <v>11444</v>
      </c>
      <c r="B3126" s="51" t="s">
        <v>1085</v>
      </c>
      <c r="C3126" s="51" t="s">
        <v>25</v>
      </c>
      <c r="D3126" s="57">
        <v>45754.343934606484</v>
      </c>
    </row>
    <row r="3127">
      <c r="A3127" s="51" t="s">
        <v>11444</v>
      </c>
      <c r="B3127" s="51" t="s">
        <v>10268</v>
      </c>
      <c r="C3127" s="51" t="s">
        <v>25</v>
      </c>
      <c r="D3127" s="57">
        <v>45754.34763417824</v>
      </c>
    </row>
    <row r="3128">
      <c r="A3128" s="51" t="s">
        <v>11444</v>
      </c>
      <c r="B3128" s="51" t="s">
        <v>10523</v>
      </c>
      <c r="C3128" s="51" t="s">
        <v>84</v>
      </c>
      <c r="D3128" s="57">
        <v>45754.3537677662</v>
      </c>
    </row>
    <row r="3129">
      <c r="A3129" s="51" t="s">
        <v>11269</v>
      </c>
      <c r="B3129" s="51"/>
      <c r="C3129" s="51"/>
      <c r="D3129" s="57">
        <v>45756.88775340278</v>
      </c>
    </row>
    <row r="3130">
      <c r="A3130" s="51" t="s">
        <v>11269</v>
      </c>
      <c r="B3130" s="51"/>
      <c r="C3130" s="51"/>
      <c r="D3130" s="57">
        <v>45756.88776121528</v>
      </c>
    </row>
    <row r="3131">
      <c r="A3131" s="51" t="s">
        <v>11269</v>
      </c>
      <c r="B3131" s="51" t="s">
        <v>8550</v>
      </c>
      <c r="C3131" s="51" t="s">
        <v>165</v>
      </c>
      <c r="D3131" s="57">
        <v>45756.89139493056</v>
      </c>
    </row>
    <row r="3132">
      <c r="A3132" s="51" t="s">
        <v>11269</v>
      </c>
      <c r="B3132" s="51" t="s">
        <v>4885</v>
      </c>
      <c r="C3132" s="51" t="s">
        <v>517</v>
      </c>
      <c r="D3132" s="57">
        <v>45756.89604490741</v>
      </c>
    </row>
    <row r="3133">
      <c r="A3133" s="51" t="s">
        <v>11269</v>
      </c>
      <c r="B3133" s="51" t="s">
        <v>2298</v>
      </c>
      <c r="C3133" s="51" t="s">
        <v>93</v>
      </c>
      <c r="D3133" s="57">
        <v>45756.90543679398</v>
      </c>
    </row>
    <row r="3134">
      <c r="A3134" s="51" t="s">
        <v>11269</v>
      </c>
      <c r="B3134" s="51" t="s">
        <v>3322</v>
      </c>
      <c r="C3134" s="51" t="s">
        <v>1070</v>
      </c>
      <c r="D3134" s="57">
        <v>45756.985636666665</v>
      </c>
    </row>
    <row r="3135">
      <c r="A3135" s="51" t="s">
        <v>11269</v>
      </c>
      <c r="B3135" s="51" t="s">
        <v>2812</v>
      </c>
      <c r="C3135" s="51" t="s">
        <v>316</v>
      </c>
      <c r="D3135" s="57">
        <v>45756.98820740741</v>
      </c>
    </row>
    <row r="3136">
      <c r="A3136" s="51" t="s">
        <v>11269</v>
      </c>
      <c r="B3136" s="51" t="s">
        <v>5285</v>
      </c>
      <c r="C3136" s="51" t="s">
        <v>165</v>
      </c>
      <c r="D3136" s="57">
        <v>45756.9931241088</v>
      </c>
    </row>
    <row r="3137">
      <c r="A3137" s="51" t="s">
        <v>11444</v>
      </c>
      <c r="B3137" s="51" t="s">
        <v>57</v>
      </c>
      <c r="C3137" s="51" t="s">
        <v>25</v>
      </c>
      <c r="D3137" s="57">
        <v>45757.07130802084</v>
      </c>
    </row>
    <row r="3138">
      <c r="A3138" s="51" t="s">
        <v>11444</v>
      </c>
      <c r="B3138" s="51" t="s">
        <v>57</v>
      </c>
      <c r="C3138" s="51" t="s">
        <v>25</v>
      </c>
      <c r="D3138" s="57">
        <v>45757.071330810184</v>
      </c>
    </row>
    <row r="3139">
      <c r="A3139" s="51" t="s">
        <v>11424</v>
      </c>
      <c r="B3139" s="51" t="s">
        <v>10884</v>
      </c>
      <c r="C3139" s="51" t="s">
        <v>216</v>
      </c>
      <c r="D3139" s="57">
        <v>45757.196148958334</v>
      </c>
    </row>
    <row r="3140">
      <c r="A3140" s="51" t="s">
        <v>11424</v>
      </c>
      <c r="B3140" s="51" t="s">
        <v>10774</v>
      </c>
      <c r="C3140" s="51" t="s">
        <v>216</v>
      </c>
      <c r="D3140" s="57">
        <v>45757.203259988426</v>
      </c>
    </row>
    <row r="3141">
      <c r="A3141" s="51" t="s">
        <v>11424</v>
      </c>
      <c r="B3141" s="51" t="s">
        <v>10721</v>
      </c>
      <c r="C3141" s="51" t="s">
        <v>216</v>
      </c>
      <c r="D3141" s="57">
        <v>45757.20372513889</v>
      </c>
    </row>
    <row r="3142">
      <c r="A3142" s="51" t="s">
        <v>11442</v>
      </c>
      <c r="B3142" s="51" t="s">
        <v>1693</v>
      </c>
      <c r="C3142" s="51" t="s">
        <v>25</v>
      </c>
      <c r="D3142" s="57">
        <v>45765.272460844906</v>
      </c>
    </row>
    <row r="3143">
      <c r="A3143" s="51" t="s">
        <v>11442</v>
      </c>
      <c r="B3143" s="51" t="s">
        <v>20</v>
      </c>
      <c r="C3143" s="51" t="s">
        <v>25</v>
      </c>
      <c r="D3143" s="57">
        <v>45765.275976516205</v>
      </c>
    </row>
    <row r="3144">
      <c r="A3144" s="51" t="s">
        <v>11410</v>
      </c>
      <c r="B3144" s="51" t="s">
        <v>7884</v>
      </c>
      <c r="C3144" s="51" t="s">
        <v>165</v>
      </c>
      <c r="D3144" s="57">
        <v>45765.694864942125</v>
      </c>
    </row>
    <row r="3145">
      <c r="A3145" s="51" t="s">
        <v>11410</v>
      </c>
      <c r="B3145" s="51" t="s">
        <v>9606</v>
      </c>
      <c r="C3145" s="51" t="s">
        <v>25</v>
      </c>
      <c r="D3145" s="57">
        <v>45765.699518124995</v>
      </c>
    </row>
    <row r="3146">
      <c r="A3146" s="51" t="s">
        <v>11410</v>
      </c>
      <c r="B3146" s="51" t="s">
        <v>10504</v>
      </c>
      <c r="C3146" s="51" t="s">
        <v>84</v>
      </c>
      <c r="D3146" s="57">
        <v>45766.02164511574</v>
      </c>
    </row>
    <row r="3147">
      <c r="A3147" s="51" t="s">
        <v>11410</v>
      </c>
      <c r="B3147" s="51" t="s">
        <v>10504</v>
      </c>
      <c r="C3147" s="51" t="s">
        <v>84</v>
      </c>
      <c r="D3147" s="57">
        <v>45766.02167269676</v>
      </c>
    </row>
    <row r="3148">
      <c r="A3148" s="51" t="s">
        <v>11410</v>
      </c>
      <c r="B3148" s="51" t="s">
        <v>9524</v>
      </c>
      <c r="C3148" s="51" t="s">
        <v>165</v>
      </c>
      <c r="D3148" s="57">
        <v>45767.7965940162</v>
      </c>
    </row>
    <row r="3149">
      <c r="A3149" s="51" t="s">
        <v>11410</v>
      </c>
      <c r="B3149" s="51" t="s">
        <v>10632</v>
      </c>
      <c r="C3149" s="51" t="s">
        <v>1070</v>
      </c>
      <c r="D3149" s="57">
        <v>45767.79680804398</v>
      </c>
    </row>
    <row r="3150">
      <c r="A3150" s="51" t="s">
        <v>11410</v>
      </c>
      <c r="B3150" s="51" t="s">
        <v>9524</v>
      </c>
      <c r="C3150" s="51" t="s">
        <v>165</v>
      </c>
      <c r="D3150" s="57">
        <v>45767.79717775463</v>
      </c>
    </row>
    <row r="3151">
      <c r="A3151" s="51" t="s">
        <v>11385</v>
      </c>
      <c r="B3151" s="51" t="s">
        <v>4057</v>
      </c>
      <c r="C3151" s="51" t="s">
        <v>216</v>
      </c>
      <c r="D3151" s="57">
        <v>45774.86034385416</v>
      </c>
    </row>
    <row r="3152">
      <c r="A3152" s="51" t="s">
        <v>11398</v>
      </c>
      <c r="B3152" s="51" t="s">
        <v>8825</v>
      </c>
      <c r="C3152" s="51" t="s">
        <v>25</v>
      </c>
      <c r="D3152" s="57">
        <v>45776.79937417824</v>
      </c>
    </row>
    <row r="3153">
      <c r="A3153" s="51" t="s">
        <v>11445</v>
      </c>
      <c r="B3153" s="51" t="s">
        <v>7873</v>
      </c>
      <c r="C3153" s="51" t="s">
        <v>216</v>
      </c>
      <c r="D3153" s="57">
        <v>45779.14294387732</v>
      </c>
    </row>
    <row r="3154">
      <c r="A3154" s="51" t="s">
        <v>11354</v>
      </c>
      <c r="B3154" s="51" t="s">
        <v>1839</v>
      </c>
      <c r="C3154" s="51" t="s">
        <v>517</v>
      </c>
      <c r="D3154" s="57">
        <v>45780.444499097226</v>
      </c>
    </row>
    <row r="3155">
      <c r="A3155" s="51" t="s">
        <v>11354</v>
      </c>
      <c r="B3155" s="51" t="s">
        <v>4885</v>
      </c>
      <c r="C3155" s="51" t="s">
        <v>517</v>
      </c>
      <c r="D3155" s="57">
        <v>45780.44504873843</v>
      </c>
    </row>
    <row r="3156">
      <c r="A3156" s="51" t="s">
        <v>11425</v>
      </c>
      <c r="B3156" s="51" t="s">
        <v>485</v>
      </c>
      <c r="C3156" s="51" t="s">
        <v>93</v>
      </c>
      <c r="D3156" s="57">
        <v>45780.94954648148</v>
      </c>
    </row>
    <row r="3157">
      <c r="A3157" s="51" t="s">
        <v>11425</v>
      </c>
      <c r="B3157" s="51" t="s">
        <v>90</v>
      </c>
      <c r="C3157" s="51" t="s">
        <v>93</v>
      </c>
      <c r="D3157" s="57">
        <v>45780.97415988426</v>
      </c>
    </row>
    <row r="3158">
      <c r="A3158" s="51" t="s">
        <v>11394</v>
      </c>
      <c r="B3158" s="51" t="s">
        <v>4885</v>
      </c>
      <c r="C3158" s="51" t="s">
        <v>517</v>
      </c>
      <c r="D3158" s="57">
        <v>45782.2110596412</v>
      </c>
    </row>
    <row r="3159">
      <c r="A3159" s="51" t="s">
        <v>11443</v>
      </c>
      <c r="B3159" s="51" t="s">
        <v>115</v>
      </c>
      <c r="C3159" s="51" t="s">
        <v>84</v>
      </c>
      <c r="D3159" s="57">
        <v>45782.876726828705</v>
      </c>
    </row>
    <row r="3160">
      <c r="A3160" s="51" t="s">
        <v>11443</v>
      </c>
      <c r="B3160" s="51" t="s">
        <v>2728</v>
      </c>
      <c r="C3160" s="51" t="s">
        <v>84</v>
      </c>
      <c r="D3160" s="57">
        <v>45782.88254939815</v>
      </c>
    </row>
    <row r="3161">
      <c r="A3161" s="51" t="s">
        <v>11443</v>
      </c>
      <c r="B3161" s="51" t="s">
        <v>2728</v>
      </c>
      <c r="C3161" s="51" t="s">
        <v>84</v>
      </c>
      <c r="D3161" s="57">
        <v>45782.88288736111</v>
      </c>
    </row>
    <row r="3162">
      <c r="A3162" s="51" t="s">
        <v>11443</v>
      </c>
      <c r="B3162" s="51" t="s">
        <v>11001</v>
      </c>
      <c r="C3162" s="51" t="s">
        <v>84</v>
      </c>
      <c r="D3162" s="57">
        <v>45782.884673831024</v>
      </c>
    </row>
    <row r="3163">
      <c r="A3163" s="51" t="s">
        <v>11443</v>
      </c>
      <c r="B3163" s="51" t="s">
        <v>10813</v>
      </c>
      <c r="C3163" s="51" t="s">
        <v>84</v>
      </c>
      <c r="D3163" s="57">
        <v>45782.88500023149</v>
      </c>
    </row>
    <row r="3164">
      <c r="A3164" s="51" t="s">
        <v>11443</v>
      </c>
      <c r="B3164" s="51" t="s">
        <v>10393</v>
      </c>
      <c r="C3164" s="51" t="s">
        <v>84</v>
      </c>
      <c r="D3164" s="57">
        <v>45782.8858467824</v>
      </c>
    </row>
    <row r="3165">
      <c r="A3165" s="51" t="s">
        <v>11385</v>
      </c>
      <c r="B3165" s="51" t="s">
        <v>4885</v>
      </c>
      <c r="C3165" s="51" t="s">
        <v>517</v>
      </c>
      <c r="D3165" s="57">
        <v>45786.11531650463</v>
      </c>
    </row>
    <row r="3166">
      <c r="A3166" s="51" t="s">
        <v>11385</v>
      </c>
      <c r="B3166" s="51" t="s">
        <v>8902</v>
      </c>
      <c r="C3166" s="51" t="s">
        <v>517</v>
      </c>
      <c r="D3166" s="57">
        <v>45786.11646392361</v>
      </c>
    </row>
    <row r="3167">
      <c r="A3167" s="51" t="s">
        <v>11446</v>
      </c>
      <c r="B3167" s="51" t="s">
        <v>3399</v>
      </c>
      <c r="C3167" s="51" t="s">
        <v>316</v>
      </c>
      <c r="D3167" s="57">
        <v>45789.319145416666</v>
      </c>
    </row>
    <row r="3168">
      <c r="A3168" s="51" t="s">
        <v>11446</v>
      </c>
      <c r="B3168" s="51" t="s">
        <v>1160</v>
      </c>
      <c r="C3168" s="51" t="s">
        <v>165</v>
      </c>
      <c r="D3168" s="57">
        <v>45789.323221203704</v>
      </c>
    </row>
    <row r="3169">
      <c r="A3169" s="51" t="s">
        <v>11446</v>
      </c>
      <c r="B3169" s="51" t="s">
        <v>9545</v>
      </c>
      <c r="C3169" s="51" t="s">
        <v>165</v>
      </c>
      <c r="D3169" s="57">
        <v>45789.329972164356</v>
      </c>
    </row>
    <row r="3170">
      <c r="A3170" s="51" t="s">
        <v>11446</v>
      </c>
      <c r="B3170" s="51" t="s">
        <v>9545</v>
      </c>
      <c r="C3170" s="51" t="s">
        <v>165</v>
      </c>
      <c r="D3170" s="57">
        <v>45789.33256296296</v>
      </c>
    </row>
    <row r="3171">
      <c r="A3171" s="51" t="s">
        <v>11446</v>
      </c>
      <c r="B3171" s="51" t="s">
        <v>7884</v>
      </c>
      <c r="C3171" s="51" t="s">
        <v>165</v>
      </c>
      <c r="D3171" s="57">
        <v>45789.33565685185</v>
      </c>
    </row>
    <row r="3172">
      <c r="A3172" s="51" t="s">
        <v>11403</v>
      </c>
      <c r="B3172" s="51" t="s">
        <v>9790</v>
      </c>
      <c r="C3172" s="51" t="s">
        <v>25</v>
      </c>
      <c r="D3172" s="57">
        <v>45798.87419407407</v>
      </c>
    </row>
    <row r="3173">
      <c r="A3173" s="51" t="s">
        <v>11443</v>
      </c>
      <c r="B3173" s="51" t="s">
        <v>5101</v>
      </c>
      <c r="C3173" s="51" t="s">
        <v>284</v>
      </c>
      <c r="D3173" s="57">
        <v>45799.091499155096</v>
      </c>
    </row>
    <row r="3174">
      <c r="A3174" s="51" t="s">
        <v>11385</v>
      </c>
      <c r="B3174" s="51" t="s">
        <v>4551</v>
      </c>
      <c r="C3174" s="51" t="s">
        <v>1410</v>
      </c>
      <c r="D3174" s="57">
        <v>45857.26346290509</v>
      </c>
    </row>
    <row r="3175">
      <c r="A3175" s="51" t="s">
        <v>11385</v>
      </c>
      <c r="B3175" s="51" t="s">
        <v>7844</v>
      </c>
      <c r="C3175" s="51" t="s">
        <v>110</v>
      </c>
      <c r="D3175" s="57">
        <v>45857.26764910879</v>
      </c>
    </row>
    <row r="3176">
      <c r="A3176" s="51" t="s">
        <v>11385</v>
      </c>
      <c r="B3176" s="51" t="s">
        <v>1847</v>
      </c>
      <c r="C3176" s="51" t="s">
        <v>216</v>
      </c>
      <c r="D3176" s="57">
        <v>45857.26877896991</v>
      </c>
    </row>
    <row r="3177">
      <c r="A3177" s="51" t="s">
        <v>11385</v>
      </c>
      <c r="B3177" s="51" t="s">
        <v>3418</v>
      </c>
      <c r="C3177" s="51" t="s">
        <v>216</v>
      </c>
      <c r="D3177" s="57">
        <v>45857.26973422454</v>
      </c>
    </row>
    <row r="3178">
      <c r="A3178" s="51" t="s">
        <v>11385</v>
      </c>
      <c r="B3178" s="51" t="s">
        <v>3418</v>
      </c>
      <c r="C3178" s="51" t="s">
        <v>216</v>
      </c>
      <c r="D3178" s="57">
        <v>45857.27052172454</v>
      </c>
    </row>
    <row r="3179">
      <c r="A3179" s="51" t="s">
        <v>11385</v>
      </c>
      <c r="B3179" s="51" t="s">
        <v>10884</v>
      </c>
      <c r="C3179" s="51" t="s">
        <v>216</v>
      </c>
      <c r="D3179" s="57">
        <v>45857.271437013886</v>
      </c>
    </row>
    <row r="3180">
      <c r="A3180" s="51" t="s">
        <v>11385</v>
      </c>
      <c r="B3180" s="51" t="s">
        <v>8159</v>
      </c>
      <c r="C3180" s="51" t="s">
        <v>517</v>
      </c>
      <c r="D3180" s="57">
        <v>45857.27183578703</v>
      </c>
    </row>
    <row r="3181">
      <c r="A3181" s="51" t="s">
        <v>11385</v>
      </c>
      <c r="B3181" s="51" t="s">
        <v>8442</v>
      </c>
      <c r="C3181" s="51" t="s">
        <v>517</v>
      </c>
      <c r="D3181" s="57">
        <v>45857.27327287037</v>
      </c>
    </row>
    <row r="3182">
      <c r="A3182" s="51" t="s">
        <v>11385</v>
      </c>
      <c r="B3182" s="51" t="s">
        <v>5780</v>
      </c>
      <c r="C3182" s="51" t="s">
        <v>316</v>
      </c>
      <c r="D3182" s="57">
        <v>45857.27402152777</v>
      </c>
    </row>
    <row r="3183">
      <c r="A3183" s="51" t="s">
        <v>11385</v>
      </c>
      <c r="B3183" s="51" t="s">
        <v>5780</v>
      </c>
      <c r="C3183" s="51" t="s">
        <v>316</v>
      </c>
      <c r="D3183" s="57">
        <v>45857.28430216435</v>
      </c>
    </row>
    <row r="3184">
      <c r="A3184" s="51" t="s">
        <v>11385</v>
      </c>
      <c r="B3184" s="51" t="s">
        <v>4885</v>
      </c>
      <c r="C3184" s="51" t="s">
        <v>517</v>
      </c>
      <c r="D3184" s="57">
        <v>45857.28434945602</v>
      </c>
    </row>
    <row r="3185">
      <c r="A3185" s="51" t="s">
        <v>11385</v>
      </c>
      <c r="B3185" s="51" t="s">
        <v>4885</v>
      </c>
      <c r="C3185" s="51" t="s">
        <v>517</v>
      </c>
      <c r="D3185" s="57">
        <v>45857.28477033565</v>
      </c>
    </row>
    <row r="3186">
      <c r="A3186" s="51" t="s">
        <v>11385</v>
      </c>
      <c r="B3186" s="51" t="s">
        <v>4885</v>
      </c>
      <c r="C3186" s="51" t="s">
        <v>517</v>
      </c>
      <c r="D3186" s="57">
        <v>45857.28480188658</v>
      </c>
    </row>
    <row r="3187">
      <c r="A3187" s="51" t="s">
        <v>11385</v>
      </c>
      <c r="B3187" s="51" t="s">
        <v>4885</v>
      </c>
      <c r="C3187" s="51" t="s">
        <v>517</v>
      </c>
      <c r="D3187" s="57">
        <v>45857.28530884259</v>
      </c>
    </row>
    <row r="3188">
      <c r="A3188" s="51" t="s">
        <v>11385</v>
      </c>
      <c r="B3188" s="51" t="s">
        <v>4885</v>
      </c>
      <c r="C3188" s="51" t="s">
        <v>517</v>
      </c>
      <c r="D3188" s="57">
        <v>45857.28591002314</v>
      </c>
    </row>
    <row r="3189">
      <c r="A3189" s="51" t="s">
        <v>11385</v>
      </c>
      <c r="B3189" s="51" t="s">
        <v>4885</v>
      </c>
      <c r="C3189" s="51" t="s">
        <v>517</v>
      </c>
      <c r="D3189" s="57">
        <v>45857.302152916665</v>
      </c>
    </row>
    <row r="3190">
      <c r="A3190" s="51" t="s">
        <v>11385</v>
      </c>
      <c r="B3190" s="51"/>
      <c r="C3190" s="51"/>
      <c r="D3190" s="57">
        <v>45857.30312298611</v>
      </c>
    </row>
    <row r="3191">
      <c r="A3191" s="51" t="s">
        <v>11385</v>
      </c>
      <c r="B3191" s="51" t="s">
        <v>4885</v>
      </c>
      <c r="C3191" s="51" t="s">
        <v>517</v>
      </c>
      <c r="D3191" s="57">
        <v>45857.30333097222</v>
      </c>
    </row>
    <row r="3192">
      <c r="A3192" s="51" t="s">
        <v>11385</v>
      </c>
      <c r="B3192" s="51" t="s">
        <v>4885</v>
      </c>
      <c r="C3192" s="51" t="s">
        <v>517</v>
      </c>
      <c r="D3192" s="57">
        <v>45857.30372358796</v>
      </c>
    </row>
    <row r="3193">
      <c r="A3193" s="51" t="s">
        <v>11385</v>
      </c>
      <c r="B3193" s="51" t="s">
        <v>4885</v>
      </c>
      <c r="C3193" s="51" t="s">
        <v>517</v>
      </c>
      <c r="D3193" s="57">
        <v>45857.303975393515</v>
      </c>
    </row>
    <row r="3194">
      <c r="A3194" s="51" t="s">
        <v>11385</v>
      </c>
      <c r="B3194" s="51" t="s">
        <v>4885</v>
      </c>
      <c r="C3194" s="51" t="s">
        <v>517</v>
      </c>
      <c r="D3194" s="57">
        <v>45857.304220590275</v>
      </c>
    </row>
    <row r="3195">
      <c r="A3195" s="51" t="s">
        <v>11385</v>
      </c>
      <c r="B3195" s="51" t="s">
        <v>4885</v>
      </c>
      <c r="C3195" s="51" t="s">
        <v>517</v>
      </c>
      <c r="D3195" s="57">
        <v>45857.77195041667</v>
      </c>
    </row>
    <row r="3196">
      <c r="A3196" s="51" t="s">
        <v>11385</v>
      </c>
      <c r="B3196" s="51" t="s">
        <v>4885</v>
      </c>
      <c r="C3196" s="51" t="s">
        <v>517</v>
      </c>
      <c r="D3196" s="57">
        <v>45857.77224314815</v>
      </c>
    </row>
    <row r="3197">
      <c r="A3197" s="51" t="s">
        <v>11385</v>
      </c>
      <c r="B3197" s="51" t="s">
        <v>289</v>
      </c>
      <c r="C3197" s="51" t="s">
        <v>292</v>
      </c>
      <c r="D3197" s="57">
        <v>45885.760085428235</v>
      </c>
    </row>
    <row r="3198">
      <c r="A3198" s="51" t="s">
        <v>11200</v>
      </c>
      <c r="B3198" s="51" t="s">
        <v>747</v>
      </c>
      <c r="C3198" s="51" t="s">
        <v>110</v>
      </c>
      <c r="D3198" s="57">
        <v>45899.24249899306</v>
      </c>
    </row>
    <row r="3199">
      <c r="A3199" s="51" t="s">
        <v>11200</v>
      </c>
      <c r="B3199" s="51" t="s">
        <v>747</v>
      </c>
      <c r="C3199" s="51" t="s">
        <v>110</v>
      </c>
      <c r="D3199" s="57">
        <v>45899.242573842595</v>
      </c>
    </row>
    <row r="3200">
      <c r="A3200" s="51" t="s">
        <v>11200</v>
      </c>
      <c r="B3200" s="51" t="s">
        <v>747</v>
      </c>
      <c r="C3200" s="51" t="s">
        <v>110</v>
      </c>
      <c r="D3200" s="57">
        <v>45899.24448715278</v>
      </c>
    </row>
    <row r="3201">
      <c r="A3201" s="51" t="s">
        <v>11357</v>
      </c>
      <c r="B3201" s="51" t="s">
        <v>747</v>
      </c>
      <c r="C3201" s="51" t="s">
        <v>110</v>
      </c>
      <c r="D3201" s="57">
        <v>45899.26433255787</v>
      </c>
    </row>
    <row r="3202">
      <c r="A3202" s="51" t="s">
        <v>11357</v>
      </c>
      <c r="B3202" s="51" t="s">
        <v>10874</v>
      </c>
      <c r="C3202" s="51" t="s">
        <v>110</v>
      </c>
      <c r="D3202" s="57">
        <v>45901.02083841435</v>
      </c>
    </row>
    <row r="3203">
      <c r="A3203" s="51" t="s">
        <v>11357</v>
      </c>
      <c r="B3203" s="51" t="s">
        <v>10456</v>
      </c>
      <c r="C3203" s="51" t="s">
        <v>110</v>
      </c>
      <c r="D3203" s="57">
        <v>45933.11597825232</v>
      </c>
    </row>
    <row r="3204">
      <c r="A3204" s="51" t="s">
        <v>11357</v>
      </c>
      <c r="B3204" s="51" t="s">
        <v>9505</v>
      </c>
      <c r="C3204" s="51" t="s">
        <v>110</v>
      </c>
      <c r="D3204" s="57">
        <v>45933.11836354167</v>
      </c>
    </row>
    <row r="3205">
      <c r="A3205" s="51" t="s">
        <v>11444</v>
      </c>
      <c r="B3205" s="51" t="s">
        <v>5433</v>
      </c>
      <c r="C3205" s="51" t="s">
        <v>110</v>
      </c>
      <c r="D3205" s="57">
        <v>45934.692123506946</v>
      </c>
    </row>
    <row r="3206">
      <c r="A3206" s="51" t="s">
        <v>11357</v>
      </c>
      <c r="B3206" s="51" t="s">
        <v>9888</v>
      </c>
      <c r="C3206" s="51" t="s">
        <v>110</v>
      </c>
      <c r="D3206" s="57">
        <v>45957.026805243055</v>
      </c>
    </row>
    <row r="3207">
      <c r="A3207" s="51" t="s">
        <v>11447</v>
      </c>
      <c r="B3207" s="51" t="s">
        <v>81</v>
      </c>
      <c r="C3207" s="51" t="s">
        <v>84</v>
      </c>
      <c r="D3207" s="57">
        <v>45966.30560951389</v>
      </c>
    </row>
    <row r="3208">
      <c r="A3208" s="51" t="s">
        <v>11444</v>
      </c>
      <c r="B3208" s="51" t="s">
        <v>3169</v>
      </c>
      <c r="C3208" s="51" t="s">
        <v>517</v>
      </c>
      <c r="D3208" s="57">
        <v>45971.27317368056</v>
      </c>
    </row>
    <row r="3209">
      <c r="A3209" s="51" t="s">
        <v>11444</v>
      </c>
      <c r="B3209" s="51" t="s">
        <v>8902</v>
      </c>
      <c r="C3209" s="51" t="s">
        <v>517</v>
      </c>
      <c r="D3209" s="57">
        <v>45971.274146446754</v>
      </c>
    </row>
    <row r="3210">
      <c r="A3210" s="51" t="s">
        <v>11448</v>
      </c>
      <c r="B3210" s="51" t="s">
        <v>9585</v>
      </c>
      <c r="C3210" s="51" t="s">
        <v>25</v>
      </c>
      <c r="D3210" s="57">
        <v>45972.86507730324</v>
      </c>
    </row>
    <row r="3211">
      <c r="A3211" s="51" t="s">
        <v>11425</v>
      </c>
      <c r="B3211" s="51" t="s">
        <v>1504</v>
      </c>
      <c r="C3211" s="51" t="s">
        <v>216</v>
      </c>
      <c r="D3211" s="57">
        <v>46062.07856199074</v>
      </c>
    </row>
    <row r="3212">
      <c r="A3212" s="51" t="s">
        <v>11425</v>
      </c>
      <c r="B3212" s="51"/>
      <c r="C3212" s="51"/>
      <c r="D3212" s="57">
        <v>46062.09086134259</v>
      </c>
    </row>
    <row r="3213">
      <c r="A3213" s="51" t="s">
        <v>11425</v>
      </c>
      <c r="B3213" s="51" t="s">
        <v>1847</v>
      </c>
      <c r="C3213" s="51" t="s">
        <v>216</v>
      </c>
      <c r="D3213" s="57">
        <v>46062.091342581014</v>
      </c>
    </row>
    <row r="3214">
      <c r="A3214" s="51" t="s">
        <v>11425</v>
      </c>
      <c r="B3214" s="51" t="s">
        <v>1847</v>
      </c>
      <c r="C3214" s="51" t="s">
        <v>216</v>
      </c>
      <c r="D3214" s="57">
        <v>46062.0913546875</v>
      </c>
    </row>
    <row r="3215">
      <c r="A3215" s="51" t="s">
        <v>11449</v>
      </c>
      <c r="B3215" s="51" t="s">
        <v>10015</v>
      </c>
      <c r="C3215" s="51" t="s">
        <v>165</v>
      </c>
      <c r="D3215" s="57">
        <v>46093.18731328704</v>
      </c>
    </row>
    <row r="3216">
      <c r="A3216" s="51" t="s">
        <v>11449</v>
      </c>
      <c r="B3216" s="51" t="s">
        <v>7594</v>
      </c>
      <c r="C3216" s="51" t="s">
        <v>25</v>
      </c>
      <c r="D3216" s="57">
        <v>46093.19235709491</v>
      </c>
    </row>
    <row r="3217">
      <c r="A3217" s="51" t="s">
        <v>11449</v>
      </c>
      <c r="B3217" s="51" t="s">
        <v>1261</v>
      </c>
      <c r="C3217" s="51" t="s">
        <v>165</v>
      </c>
      <c r="D3217" s="57">
        <v>46093.291908761574</v>
      </c>
    </row>
    <row r="3218">
      <c r="A3218" s="51" t="s">
        <v>11449</v>
      </c>
      <c r="B3218" s="51" t="s">
        <v>10955</v>
      </c>
      <c r="C3218" s="51" t="s">
        <v>165</v>
      </c>
      <c r="D3218" s="57">
        <v>46093.2957515625</v>
      </c>
    </row>
    <row r="3219">
      <c r="A3219" s="51" t="s">
        <v>11441</v>
      </c>
      <c r="B3219" s="51" t="s">
        <v>11012</v>
      </c>
      <c r="C3219" s="51" t="s">
        <v>25</v>
      </c>
      <c r="D3219" s="57">
        <v>46101.93485428241</v>
      </c>
    </row>
    <row r="3220">
      <c r="A3220" s="51" t="s">
        <v>11441</v>
      </c>
      <c r="B3220" s="51" t="s">
        <v>10914</v>
      </c>
      <c r="C3220" s="51" t="s">
        <v>25</v>
      </c>
      <c r="D3220" s="57">
        <v>46101.94771310185</v>
      </c>
    </row>
    <row r="3221">
      <c r="A3221" s="51" t="s">
        <v>11441</v>
      </c>
      <c r="B3221" s="51" t="s">
        <v>10863</v>
      </c>
      <c r="C3221" s="51" t="s">
        <v>25</v>
      </c>
      <c r="D3221" s="57">
        <v>46101.94897510417</v>
      </c>
    </row>
    <row r="3222">
      <c r="A3222" s="51" t="s">
        <v>11441</v>
      </c>
      <c r="B3222" s="51" t="s">
        <v>6398</v>
      </c>
      <c r="C3222" s="51" t="s">
        <v>25</v>
      </c>
      <c r="D3222" s="57">
        <v>46109.31398994213</v>
      </c>
    </row>
    <row r="3223">
      <c r="A3223" s="51" t="s">
        <v>11441</v>
      </c>
      <c r="B3223" s="51" t="s">
        <v>6398</v>
      </c>
      <c r="C3223" s="51" t="s">
        <v>25</v>
      </c>
      <c r="D3223" s="57">
        <v>46109.31571697917</v>
      </c>
    </row>
    <row r="3224">
      <c r="A3224" s="51" t="s">
        <v>11441</v>
      </c>
      <c r="B3224" s="51" t="s">
        <v>1857</v>
      </c>
      <c r="C3224" s="51" t="s">
        <v>25</v>
      </c>
      <c r="D3224" s="57">
        <v>46109.31653077547</v>
      </c>
    </row>
    <row r="3225">
      <c r="A3225" s="51" t="s">
        <v>11441</v>
      </c>
      <c r="B3225" s="51" t="s">
        <v>1857</v>
      </c>
      <c r="C3225" s="51" t="s">
        <v>25</v>
      </c>
      <c r="D3225" s="57">
        <v>46109.31689450231</v>
      </c>
    </row>
    <row r="3226">
      <c r="A3226" s="51" t="s">
        <v>11441</v>
      </c>
      <c r="B3226" s="51" t="s">
        <v>1857</v>
      </c>
      <c r="C3226" s="51" t="s">
        <v>25</v>
      </c>
      <c r="D3226" s="57">
        <v>46109.31893013889</v>
      </c>
    </row>
    <row r="3227">
      <c r="A3227" s="51" t="s">
        <v>11441</v>
      </c>
      <c r="B3227" s="51" t="s">
        <v>9967</v>
      </c>
      <c r="C3227" s="51" t="s">
        <v>25</v>
      </c>
      <c r="D3227" s="57">
        <v>46109.32036804398</v>
      </c>
    </row>
    <row r="3228">
      <c r="A3228" s="51" t="s">
        <v>11441</v>
      </c>
      <c r="B3228" s="51" t="s">
        <v>7665</v>
      </c>
      <c r="C3228" s="51" t="s">
        <v>25</v>
      </c>
      <c r="D3228" s="57">
        <v>46109.33593972222</v>
      </c>
    </row>
    <row r="3229">
      <c r="A3229" s="51" t="s">
        <v>11441</v>
      </c>
      <c r="B3229" s="51" t="s">
        <v>10466</v>
      </c>
      <c r="C3229" s="51" t="s">
        <v>25</v>
      </c>
      <c r="D3229" s="57">
        <v>46109.339978958335</v>
      </c>
    </row>
    <row r="3230">
      <c r="A3230" s="51" t="s">
        <v>11441</v>
      </c>
      <c r="B3230" s="51" t="s">
        <v>9790</v>
      </c>
      <c r="C3230" s="51" t="s">
        <v>25</v>
      </c>
      <c r="D3230" s="57">
        <v>46109.34729068287</v>
      </c>
    </row>
    <row r="3231">
      <c r="A3231" s="51" t="s">
        <v>11441</v>
      </c>
      <c r="B3231" s="51" t="s">
        <v>8602</v>
      </c>
      <c r="C3231" s="51" t="s">
        <v>25</v>
      </c>
      <c r="D3231" s="57">
        <v>46109.35584128472</v>
      </c>
    </row>
    <row r="3232">
      <c r="A3232" s="51" t="s">
        <v>11441</v>
      </c>
      <c r="B3232" s="51" t="s">
        <v>8602</v>
      </c>
      <c r="C3232" s="51" t="s">
        <v>25</v>
      </c>
      <c r="D3232" s="57">
        <v>46109.35586173611</v>
      </c>
    </row>
    <row r="3233">
      <c r="A3233" s="51" t="s">
        <v>11441</v>
      </c>
      <c r="B3233" s="51" t="s">
        <v>11012</v>
      </c>
      <c r="C3233" s="51" t="s">
        <v>25</v>
      </c>
      <c r="D3233" s="57">
        <v>46112.12233435185</v>
      </c>
    </row>
    <row r="3234">
      <c r="A3234" s="51" t="s">
        <v>11441</v>
      </c>
      <c r="B3234" s="51" t="s">
        <v>11012</v>
      </c>
      <c r="C3234" s="51" t="s">
        <v>25</v>
      </c>
      <c r="D3234" s="57">
        <v>46112.12444998843</v>
      </c>
    </row>
    <row r="3235">
      <c r="A3235" s="51" t="s">
        <v>11441</v>
      </c>
      <c r="B3235" s="51" t="s">
        <v>10904</v>
      </c>
      <c r="C3235" s="51" t="s">
        <v>25</v>
      </c>
      <c r="D3235" s="57">
        <v>46112.12448761574</v>
      </c>
    </row>
    <row r="3236">
      <c r="A3236" s="51" t="s">
        <v>11441</v>
      </c>
      <c r="B3236" s="51" t="s">
        <v>10854</v>
      </c>
      <c r="C3236" s="51" t="s">
        <v>25</v>
      </c>
      <c r="D3236" s="57">
        <v>46112.126341944444</v>
      </c>
    </row>
    <row r="3237">
      <c r="A3237" s="51" t="s">
        <v>11441</v>
      </c>
      <c r="B3237" s="51" t="s">
        <v>11012</v>
      </c>
      <c r="C3237" s="51" t="s">
        <v>25</v>
      </c>
      <c r="D3237" s="57">
        <v>46112.12663342593</v>
      </c>
    </row>
    <row r="3238">
      <c r="A3238" s="51" t="s">
        <v>11441</v>
      </c>
      <c r="B3238" s="51" t="s">
        <v>10854</v>
      </c>
      <c r="C3238" s="51" t="s">
        <v>25</v>
      </c>
      <c r="D3238" s="57">
        <v>46112.13432174768</v>
      </c>
    </row>
    <row r="3239">
      <c r="A3239" s="51" t="s">
        <v>11441</v>
      </c>
      <c r="B3239" s="51" t="s">
        <v>10863</v>
      </c>
      <c r="C3239" s="51" t="s">
        <v>25</v>
      </c>
      <c r="D3239" s="57">
        <v>46112.138487199074</v>
      </c>
    </row>
    <row r="3240">
      <c r="A3240" s="51" t="s">
        <v>11449</v>
      </c>
      <c r="B3240" s="51" t="s">
        <v>7980</v>
      </c>
      <c r="C3240" s="51" t="s">
        <v>84</v>
      </c>
      <c r="D3240" s="57">
        <v>46114.08876478009</v>
      </c>
    </row>
    <row r="3241">
      <c r="A3241" s="51" t="s">
        <v>11449</v>
      </c>
      <c r="B3241" s="51" t="s">
        <v>10632</v>
      </c>
      <c r="C3241" s="51" t="s">
        <v>1070</v>
      </c>
      <c r="D3241" s="57">
        <v>46118.81772140047</v>
      </c>
    </row>
    <row r="3242">
      <c r="A3242" s="51" t="s">
        <v>11449</v>
      </c>
      <c r="B3242" s="51" t="s">
        <v>8883</v>
      </c>
      <c r="C3242" s="51" t="s">
        <v>165</v>
      </c>
      <c r="D3242" s="57">
        <v>46118.8210284375</v>
      </c>
    </row>
    <row r="3243">
      <c r="A3243" s="51" t="s">
        <v>11449</v>
      </c>
      <c r="B3243" s="51"/>
      <c r="C3243" s="51"/>
      <c r="D3243" s="57">
        <v>46121.13968486111</v>
      </c>
    </row>
    <row r="3244">
      <c r="A3244" s="51" t="s">
        <v>11449</v>
      </c>
      <c r="B3244" s="51" t="s">
        <v>7035</v>
      </c>
      <c r="C3244" s="51" t="s">
        <v>284</v>
      </c>
      <c r="D3244" s="57">
        <v>46121.14061549769</v>
      </c>
    </row>
  </sheetData>
  <autoFilter ref="$A$1:$D$324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58" t="str">
        <f>IFERROR(__xludf.DUMMYFUNCTION("QUERY(Analytics!A:D, ""select B, count (B) group by B"",1)"),"Nombre de tesis")</f>
        <v>Nombre de tesis</v>
      </c>
      <c r="B1" s="58" t="str">
        <f>IFERROR(__xludf.DUMMYFUNCTION("""COMPUTED_VALUE"""),"count Nombre de tesis")</f>
        <v>count Nombre de tesis</v>
      </c>
    </row>
    <row r="2">
      <c r="A2" s="58"/>
      <c r="B2" s="58">
        <f>IFERROR(__xludf.DUMMYFUNCTION("""COMPUTED_VALUE"""),0.0)</f>
        <v>0</v>
      </c>
    </row>
    <row r="3">
      <c r="A3" s="58" t="str">
        <f>IFERROR(__xludf.DUMMYFUNCTION("""COMPUTED_VALUE""")," DISEÑO PARA LA IMPLEMENTACIÓN DE UN SISTEMA DE GESTIÓN DE RIESGOS DE 
CALIDAD ENFOCADO A LA CADENA DE VALOR DE LA EMPRESA SIGMA CORP.")</f>
        <v> DISEÑO PARA LA IMPLEMENTACIÓN DE UN SISTEMA DE GESTIÓN DE RIESGOS DE 
CALIDAD ENFOCADO A LA CADENA DE VALOR DE LA EMPRESA SIGMA CORP.</v>
      </c>
      <c r="B3" s="58">
        <f>IFERROR(__xludf.DUMMYFUNCTION("""COMPUTED_VALUE"""),5.0)</f>
        <v>5</v>
      </c>
    </row>
    <row r="4">
      <c r="A4" s="58" t="str">
        <f>IFERROR(__xludf.DUMMYFUNCTION("""COMPUTED_VALUE"""),"201603794@est.umss.edu")</f>
        <v>201603794@est.umss.edu</v>
      </c>
      <c r="B4" s="58">
        <f>IFERROR(__xludf.DUMMYFUNCTION("""COMPUTED_VALUE"""),1.0)</f>
        <v>1</v>
      </c>
    </row>
    <row r="5">
      <c r="A5" s="58" t="str">
        <f>IFERROR(__xludf.DUMMYFUNCTION("""COMPUTED_VALUE"""),"201800226@est.umss.edu")</f>
        <v>201800226@est.umss.edu</v>
      </c>
      <c r="B5" s="58">
        <f>IFERROR(__xludf.DUMMYFUNCTION("""COMPUTED_VALUE"""),1.0)</f>
        <v>1</v>
      </c>
    </row>
    <row r="6">
      <c r="A6" s="58" t="str">
        <f>IFERROR(__xludf.DUMMYFUNCTION("""COMPUTED_VALUE"""),"ACTUALIZACIÓN DE LA AUTOEVALUACIÓN Y DESARROLLO DE UN PLAN ESTRATÉGICO PARA LA CARRERA DE INGENIERÍA ELÉCTRICA")</f>
        <v>ACTUALIZACIÓN DE LA AUTOEVALUACIÓN Y DESARROLLO DE UN PLAN ESTRATÉGICO PARA LA CARRERA DE INGENIERÍA ELÉCTRICA</v>
      </c>
      <c r="B6" s="58">
        <f>IFERROR(__xludf.DUMMYFUNCTION("""COMPUTED_VALUE"""),1.0)</f>
        <v>1</v>
      </c>
    </row>
    <row r="7">
      <c r="A7" s="58" t="str">
        <f>IFERROR(__xludf.DUMMYFUNCTION("""COMPUTED_VALUE"""),"ACTUALIZACIÓN DEL SISTEMA
DE GESTIÓN DE LA CALIDAD DE LA EMPRESA
INCERCO LTDA. BAJO LOS REQUISITOS
DE LA NB/ISO 9001:2008 A LA NB/ISO 9001:2015")</f>
        <v>ACTUALIZACIÓN DEL SISTEMA
DE GESTIÓN DE LA CALIDAD DE LA EMPRESA
INCERCO LTDA. BAJO LOS REQUISITOS
DE LA NB/ISO 9001:2008 A LA NB/ISO 9001:2015</v>
      </c>
      <c r="B7" s="58">
        <f>IFERROR(__xludf.DUMMYFUNCTION("""COMPUTED_VALUE"""),2.0)</f>
        <v>2</v>
      </c>
    </row>
    <row r="8">
      <c r="A8" s="58" t="str">
        <f>IFERROR(__xludf.DUMMYFUNCTION("""COMPUTED_VALUE"""),"ACTUALIZACIÓN DEL SISTEMA DE GESTIÓN DE LA CALIDAD DE LA EMPRESA INCERCO LTDA. BAJO LOS REQUISITOS DE LA NB/ISO 9001:2008 A LA NB/ISO 9001:2015")</f>
        <v>ACTUALIZACIÓN DEL SISTEMA DE GESTIÓN DE LA CALIDAD DE LA EMPRESA INCERCO LTDA. BAJO LOS REQUISITOS DE LA NB/ISO 9001:2008 A LA NB/ISO 9001:2015</v>
      </c>
      <c r="B8" s="58">
        <f>IFERROR(__xludf.DUMMYFUNCTION("""COMPUTED_VALUE"""),6.0)</f>
        <v>6</v>
      </c>
    </row>
    <row r="9">
      <c r="A9" s="58" t="str">
        <f>IFERROR(__xludf.DUMMYFUNCTION("""COMPUTED_VALUE"""),"ANÁLISIS DE LA CULTURA Y EL CLIMA ORGANIZACIONAL EN EL CENTRO DE TECNOLOGÍA AGROINDUSTRIAL")</f>
        <v>ANÁLISIS DE LA CULTURA Y EL CLIMA ORGANIZACIONAL EN EL CENTRO DE TECNOLOGÍA AGROINDUSTRIAL</v>
      </c>
      <c r="B9" s="58">
        <f>IFERROR(__xludf.DUMMYFUNCTION("""COMPUTED_VALUE"""),1.0)</f>
        <v>1</v>
      </c>
    </row>
    <row r="10">
      <c r="A10" s="58" t="str">
        <f>IFERROR(__xludf.DUMMYFUNCTION("""COMPUTED_VALUE"""),"ANÁLISIS DE LA INVERSIÓN EN EL ESTUDIO DE FACTIBILIDAD PARA LA FABRICACIÓN DE MERMELADA Y DULCE DE DURAZNO")</f>
        <v>ANÁLISIS DE LA INVERSIÓN EN EL ESTUDIO DE FACTIBILIDAD PARA LA FABRICACIÓN DE MERMELADA Y DULCE DE DURAZNO</v>
      </c>
      <c r="B10" s="58">
        <f>IFERROR(__xludf.DUMMYFUNCTION("""COMPUTED_VALUE"""),3.0)</f>
        <v>3</v>
      </c>
    </row>
    <row r="11">
      <c r="A11" s="58" t="str">
        <f>IFERROR(__xludf.DUMMYFUNCTION("""COMPUTED_VALUE"""),"ANÁLISIS DE PREVENCIÓN Y PROTECCIÓN DE RIESGOS DE EXPLOSIÓN EN ESTACIONES DE SERVICIO DE GAS NATURAL Y COMBUSTIBLES LÍQUIDOS A TRAVÉS DE LA ARMONIZACIÓN Y APLICACIÓN DE LOS ESTÁNDARES IEC, API RP 500, API RP 505 Y NFPA70")</f>
        <v>ANÁLISIS DE PREVENCIÓN Y PROTECCIÓN DE RIESGOS DE EXPLOSIÓN EN ESTACIONES DE SERVICIO DE GAS NATURAL Y COMBUSTIBLES LÍQUIDOS A TRAVÉS DE LA ARMONIZACIÓN Y APLICACIÓN DE LOS ESTÁNDARES IEC, API RP 500, API RP 505 Y NFPA70</v>
      </c>
      <c r="B11" s="58">
        <f>IFERROR(__xludf.DUMMYFUNCTION("""COMPUTED_VALUE"""),1.0)</f>
        <v>1</v>
      </c>
    </row>
    <row r="12">
      <c r="A12" s="58" t="str">
        <f>IFERROR(__xludf.DUMMYFUNCTION("""COMPUTED_VALUE"""),"ANÁLISIS DEL CICLO DE VIDA AMBIENTAL DE LA AGROINDUSTRIA LÁCTEA DE COCHABAMBA")</f>
        <v>ANÁLISIS DEL CICLO DE VIDA AMBIENTAL DE LA AGROINDUSTRIA LÁCTEA DE COCHABAMBA</v>
      </c>
      <c r="B12" s="58">
        <f>IFERROR(__xludf.DUMMYFUNCTION("""COMPUTED_VALUE"""),3.0)</f>
        <v>3</v>
      </c>
    </row>
    <row r="13">
      <c r="A13" s="58" t="str">
        <f>IFERROR(__xludf.DUMMYFUNCTION("""COMPUTED_VALUE"""),"ANÁLISIS PROSPECTIVO Y DEFINICIÓN DE ESTRATEGIAS PARA EL DESARROLLO DE LA INDUSTRIA MANUFACTURERA DE COCHABAMBA 2021-2025")</f>
        <v>ANÁLISIS PROSPECTIVO Y DEFINICIÓN DE ESTRATEGIAS PARA EL DESARROLLO DE LA INDUSTRIA MANUFACTURERA DE COCHABAMBA 2021-2025</v>
      </c>
      <c r="B13" s="58">
        <f>IFERROR(__xludf.DUMMYFUNCTION("""COMPUTED_VALUE"""),6.0)</f>
        <v>6</v>
      </c>
    </row>
    <row r="14">
      <c r="A14" s="58" t="str">
        <f>IFERROR(__xludf.DUMMYFUNCTION("""COMPUTED_VALUE"""),"ANÁLISIS TÉCNICO E IMPLEMENTACIÓN PARA LA OPTIMIZACIÓN Y MEJORA EN LE RECUPERACIÓN DE DIÓXIDO DE CARBONO EN PLANTA TAQUIÑA S.A.")</f>
        <v>ANÁLISIS TÉCNICO E IMPLEMENTACIÓN PARA LA OPTIMIZACIÓN Y MEJORA EN LE RECUPERACIÓN DE DIÓXIDO DE CARBONO EN PLANTA TAQUIÑA S.A.</v>
      </c>
      <c r="B14" s="58">
        <f>IFERROR(__xludf.DUMMYFUNCTION("""COMPUTED_VALUE"""),1.0)</f>
        <v>1</v>
      </c>
    </row>
    <row r="15">
      <c r="A15" s="58" t="str">
        <f>IFERROR(__xludf.DUMMYFUNCTION("""COMPUTED_VALUE"""),"ANÁLISIS TÉCNICO Y ECONÓMICA DE LA MICROCENTRAL HIDROELÉCTRICA QUEWIÑAPAMPA POR LA VENTA DE ELECTRICIDAD A ELFEC.")</f>
        <v>ANÁLISIS TÉCNICO Y ECONÓMICA DE LA MICROCENTRAL HIDROELÉCTRICA QUEWIÑAPAMPA POR LA VENTA DE ELECTRICIDAD A ELFEC.</v>
      </c>
      <c r="B15" s="58">
        <f>IFERROR(__xludf.DUMMYFUNCTION("""COMPUTED_VALUE"""),1.0)</f>
        <v>1</v>
      </c>
    </row>
    <row r="16">
      <c r="A16" s="58" t="str">
        <f>IFERROR(__xludf.DUMMYFUNCTION("""COMPUTED_VALUE"""),"ANÁLISIS Y MEJORAMIENTO DEL ÁREA DE PRODUCCIÓN, EN LA INDUSTRIA MADERERA FAMALIT LTDA.; UNIDAD PRODUCTIVA ASERRADERO.")</f>
        <v>ANÁLISIS Y MEJORAMIENTO DEL ÁREA DE PRODUCCIÓN, EN LA INDUSTRIA MADERERA FAMALIT LTDA.; UNIDAD PRODUCTIVA ASERRADERO.</v>
      </c>
      <c r="B16" s="58">
        <f>IFERROR(__xludf.DUMMYFUNCTION("""COMPUTED_VALUE"""),1.0)</f>
        <v>1</v>
      </c>
    </row>
    <row r="17">
      <c r="A17" s="58" t="str">
        <f>IFERROR(__xludf.DUMMYFUNCTION("""COMPUTED_VALUE"""),"ANÁLISIS, DISEÑO Y AUTOMATIZACIÓN DEL SISTEMA DE INFORMACIÓN DEL PROGRAMA DE CONTROL DE CALIDAD DE ALIMENTOS Y BEBIDAS DE LA UNIDAD DE SALUD AMBIENTAL DEL DEPARTAMENTO DE COCHABAMBA.")</f>
        <v>ANÁLISIS, DISEÑO Y AUTOMATIZACIÓN DEL SISTEMA DE INFORMACIÓN DEL PROGRAMA DE CONTROL DE CALIDAD DE ALIMENTOS Y BEBIDAS DE LA UNIDAD DE SALUD AMBIENTAL DEL DEPARTAMENTO DE COCHABAMBA.</v>
      </c>
      <c r="B17" s="58">
        <f>IFERROR(__xludf.DUMMYFUNCTION("""COMPUTED_VALUE"""),5.0)</f>
        <v>5</v>
      </c>
    </row>
    <row r="18">
      <c r="A18" s="58" t="str">
        <f>IFERROR(__xludf.DUMMYFUNCTION("""COMPUTED_VALUE"""),"ANÁLISIS, OPTIMIZACIÓN Y CONTROL DEL SISTEMA DE PREPARACIÓN DE CARGAS PARA EMBOL S.A.")</f>
        <v>ANÁLISIS, OPTIMIZACIÓN Y CONTROL DEL SISTEMA DE PREPARACIÓN DE CARGAS PARA EMBOL S.A.</v>
      </c>
      <c r="B18" s="58">
        <f>IFERROR(__xludf.DUMMYFUNCTION("""COMPUTED_VALUE"""),2.0)</f>
        <v>2</v>
      </c>
    </row>
    <row r="19">
      <c r="A19" s="58" t="str">
        <f>IFERROR(__xludf.DUMMYFUNCTION("""COMPUTED_VALUE"""),"APLICACION DEL METODO DE ANALISIS DE RIESGOS,IDENTIFICACION Y CONTROL DE PUNTOS CRITICOS (HACCP) EN EL PROCESO DE TRANSFORMACION DE PRODUCTOS LACTEOS EN LA PLANTA PILOTO DE LA FACULTAD DE CIENCIAS AGRICOLAS Y PECUARIAS")</f>
        <v>APLICACION DEL METODO DE ANALISIS DE RIESGOS,IDENTIFICACION Y CONTROL DE PUNTOS CRITICOS (HACCP) EN EL PROCESO DE TRANSFORMACION DE PRODUCTOS LACTEOS EN LA PLANTA PILOTO DE LA FACULTAD DE CIENCIAS AGRICOLAS Y PECUARIAS</v>
      </c>
      <c r="B19" s="58">
        <f>IFERROR(__xludf.DUMMYFUNCTION("""COMPUTED_VALUE"""),1.0)</f>
        <v>1</v>
      </c>
    </row>
    <row r="20">
      <c r="A20" s="58" t="str">
        <f>IFERROR(__xludf.DUMMYFUNCTION("""COMPUTED_VALUE"""),"APLICACIÓN DE LA METODOLOGÍA SMED AL CAMBIO DE FORMATO EN LA LÍNEA DE ENVASADO JABONERÍA DE UNILEVER ANDINA BOLIVIA S.A.")</f>
        <v>APLICACIÓN DE LA METODOLOGÍA SMED AL CAMBIO DE FORMATO EN LA LÍNEA DE ENVASADO JABONERÍA DE UNILEVER ANDINA BOLIVIA S.A.</v>
      </c>
      <c r="B20" s="58">
        <f>IFERROR(__xludf.DUMMYFUNCTION("""COMPUTED_VALUE"""),11.0)</f>
        <v>11</v>
      </c>
    </row>
    <row r="21">
      <c r="A21" s="58" t="str">
        <f>IFERROR(__xludf.DUMMYFUNCTION("""COMPUTED_VALUE"""),"APLICACIÓN DE LA TÉCNICA OVERALL EQUIPMENT EFFECTIVENESS AL ÁREA DE METAL EN LA EMPRESA INDUSTRIAS RAVI S.A.")</f>
        <v>APLICACIÓN DE LA TÉCNICA OVERALL EQUIPMENT EFFECTIVENESS AL ÁREA DE METAL EN LA EMPRESA INDUSTRIAS RAVI S.A.</v>
      </c>
      <c r="B21" s="58">
        <f>IFERROR(__xludf.DUMMYFUNCTION("""COMPUTED_VALUE"""),1.0)</f>
        <v>1</v>
      </c>
    </row>
    <row r="22">
      <c r="A22" s="58" t="str">
        <f>IFERROR(__xludf.DUMMYFUNCTION("""COMPUTED_VALUE"""),"APLICACIÓN DE LAS HERRAMIENTAS DEL JUSTO A TIEMPO PARA INCREMENTAR LA PRODUCTIVIDAD DE MXM CONFECCIONES EN EL ÁREA DE PRODUCCIÓN DE POLERAS TIPO POLO Y T-SHIRT")</f>
        <v>APLICACIÓN DE LAS HERRAMIENTAS DEL JUSTO A TIEMPO PARA INCREMENTAR LA PRODUCTIVIDAD DE MXM CONFECCIONES EN EL ÁREA DE PRODUCCIÓN DE POLERAS TIPO POLO Y T-SHIRT</v>
      </c>
      <c r="B22" s="58">
        <f>IFERROR(__xludf.DUMMYFUNCTION("""COMPUTED_VALUE"""),3.0)</f>
        <v>3</v>
      </c>
    </row>
    <row r="23">
      <c r="A23" s="58" t="str">
        <f>IFERROR(__xludf.DUMMYFUNCTION("""COMPUTED_VALUE"""),"APLICACIÓN DE UN MÉTODO DE REDUCCIÓN DE TIEMPOS PARA OPTIMIZAR LAS OPERACIONES DE CAMBIOS DE CALIBRE EN EL SECTOR DE ENVASADO DE LA CERVECERÍA BOLIVIANA NACIONAL S.A. - PLANTA TAQUIÑA.")</f>
        <v>APLICACIÓN DE UN MÉTODO DE REDUCCIÓN DE TIEMPOS PARA OPTIMIZAR LAS OPERACIONES DE CAMBIOS DE CALIBRE EN EL SECTOR DE ENVASADO DE LA CERVECERÍA BOLIVIANA NACIONAL S.A. - PLANTA TAQUIÑA.</v>
      </c>
      <c r="B23" s="58">
        <f>IFERROR(__xludf.DUMMYFUNCTION("""COMPUTED_VALUE"""),1.0)</f>
        <v>1</v>
      </c>
    </row>
    <row r="24">
      <c r="A24" s="58" t="str">
        <f>IFERROR(__xludf.DUMMYFUNCTION("""COMPUTED_VALUE"""),"APLICACIÓN DEL MÉTODO DE ANÁLISIS, IDENTIFICACIÓN Y CONTROL DE PUNTOS CRÍTICOS EN EL PROCESO DE TRANSFORMACIÓN DE PRODUCTOS LÁCTEOS EN LA PLANTA PILOTO DE LA FACULTAD DE CIENCIAS AGRÍCOLAS Y PECUARIAS")</f>
        <v>APLICACIÓN DEL MÉTODO DE ANÁLISIS, IDENTIFICACIÓN Y CONTROL DE PUNTOS CRÍTICOS EN EL PROCESO DE TRANSFORMACIÓN DE PRODUCTOS LÁCTEOS EN LA PLANTA PILOTO DE LA FACULTAD DE CIENCIAS AGRÍCOLAS Y PECUARIAS</v>
      </c>
      <c r="B24" s="58">
        <f>IFERROR(__xludf.DUMMYFUNCTION("""COMPUTED_VALUE"""),1.0)</f>
        <v>1</v>
      </c>
    </row>
    <row r="25">
      <c r="A25" s="58" t="str">
        <f>IFERROR(__xludf.DUMMYFUNCTION("""COMPUTED_VALUE"""),"AUTOMATIZACIÓN DE CARGA DE LADRILLOS EN EL MÓDULO DE LA EMPRESA")</f>
        <v>AUTOMATIZACIÓN DE CARGA DE LADRILLOS EN EL MÓDULO DE LA EMPRESA</v>
      </c>
      <c r="B25" s="58">
        <f>IFERROR(__xludf.DUMMYFUNCTION("""COMPUTED_VALUE"""),2.0)</f>
        <v>2</v>
      </c>
    </row>
    <row r="26">
      <c r="A26" s="58" t="str">
        <f>IFERROR(__xludf.DUMMYFUNCTION("""COMPUTED_VALUE"""),"CADENAS DE MARKOV PARA LA CONSTRUCCIÓN DE UN GRAFO SOCIAL COMERCIAL")</f>
        <v>CADENAS DE MARKOV PARA LA CONSTRUCCIÓN DE UN GRAFO SOCIAL COMERCIAL</v>
      </c>
      <c r="B26" s="58">
        <f>IFERROR(__xludf.DUMMYFUNCTION("""COMPUTED_VALUE"""),2.0)</f>
        <v>2</v>
      </c>
    </row>
    <row r="27">
      <c r="A27" s="58" t="str">
        <f>IFERROR(__xludf.DUMMYFUNCTION("""COMPUTED_VALUE"""),"CONTROL ESTADÍSTICO DE CALIDAD EN LA EMPRESA PLABOL")</f>
        <v>CONTROL ESTADÍSTICO DE CALIDAD EN LA EMPRESA PLABOL</v>
      </c>
      <c r="B27" s="58">
        <f>IFERROR(__xludf.DUMMYFUNCTION("""COMPUTED_VALUE"""),1.0)</f>
        <v>1</v>
      </c>
    </row>
    <row r="28">
      <c r="A28" s="58" t="str">
        <f>IFERROR(__xludf.DUMMYFUNCTION("""COMPUTED_VALUE"""),"CONTROL ESTADÍSTICO DE CALIDAD EN LA EMPRESA “PLABOL”.")</f>
        <v>CONTROL ESTADÍSTICO DE CALIDAD EN LA EMPRESA “PLABOL”.</v>
      </c>
      <c r="B28" s="58">
        <f>IFERROR(__xludf.DUMMYFUNCTION("""COMPUTED_VALUE"""),6.0)</f>
        <v>6</v>
      </c>
    </row>
    <row r="29">
      <c r="A29" s="58" t="str">
        <f>IFERROR(__xludf.DUMMYFUNCTION("""COMPUTED_VALUE"""),"CUANTIFICACIÓN Y TRATAMIENTO DE DESECHOS DEL SACRIFICIO DE GANADO BOVINO Y PORCINO EN EL MATADERO DE SACABA")</f>
        <v>CUANTIFICACIÓN Y TRATAMIENTO DE DESECHOS DEL SACRIFICIO DE GANADO BOVINO Y PORCINO EN EL MATADERO DE SACABA</v>
      </c>
      <c r="B29" s="58">
        <f>IFERROR(__xludf.DUMMYFUNCTION("""COMPUTED_VALUE"""),1.0)</f>
        <v>1</v>
      </c>
    </row>
    <row r="30">
      <c r="A30" s="58" t="str">
        <f>IFERROR(__xludf.DUMMYFUNCTION("""COMPUTED_VALUE"""),"DESARROLLO DE BUENAS PRÁCTICA DE MANUFACTURA Y PLAN DE SANEAMIENTO BÁSICO PARA LA FÁBRICA DE  CRISTAL.")</f>
        <v>DESARROLLO DE BUENAS PRÁCTICA DE MANUFACTURA Y PLAN DE SANEAMIENTO BÁSICO PARA LA FÁBRICA DE  CRISTAL.</v>
      </c>
      <c r="B30" s="58">
        <f>IFERROR(__xludf.DUMMYFUNCTION("""COMPUTED_VALUE"""),2.0)</f>
        <v>2</v>
      </c>
    </row>
    <row r="31">
      <c r="A31" s="58" t="str">
        <f>IFERROR(__xludf.DUMMYFUNCTION("""COMPUTED_VALUE"""),"DESARROLLO DE BUENAS PRÁCTICAS DE MANUFACTURA Y PROCEDIMIENTOS DE HIGIENE ESTANDAR OPERACIONAL EN EL INGENIO AZUCARERO GUABIRA S.A.")</f>
        <v>DESARROLLO DE BUENAS PRÁCTICAS DE MANUFACTURA Y PROCEDIMIENTOS DE HIGIENE ESTANDAR OPERACIONAL EN EL INGENIO AZUCARERO GUABIRA S.A.</v>
      </c>
      <c r="B31" s="58">
        <f>IFERROR(__xludf.DUMMYFUNCTION("""COMPUTED_VALUE"""),7.0)</f>
        <v>7</v>
      </c>
    </row>
    <row r="32">
      <c r="A32" s="58" t="str">
        <f>IFERROR(__xludf.DUMMYFUNCTION("""COMPUTED_VALUE"""),"DESARROLLO DE ESTRATEGIAS DE COMPETITIVIDAD BASADAS EN LA GESTIÓN DEL CONOCIMIENTO PARA MYPES TEXTILERAS")</f>
        <v>DESARROLLO DE ESTRATEGIAS DE COMPETITIVIDAD BASADAS EN LA GESTIÓN DEL CONOCIMIENTO PARA MYPES TEXTILERAS</v>
      </c>
      <c r="B32" s="58">
        <f>IFERROR(__xludf.DUMMYFUNCTION("""COMPUTED_VALUE"""),2.0)</f>
        <v>2</v>
      </c>
    </row>
    <row r="33">
      <c r="A33" s="58" t="str">
        <f>IFERROR(__xludf.DUMMYFUNCTION("""COMPUTED_VALUE"""),"DESARROLLO DE ESTRATEGIAS DE COMPETITIVIDAD BASADOS EN LA GESTIÓN DEL CONOCIMIENTO PARA MYPES TEXTILERAS")</f>
        <v>DESARROLLO DE ESTRATEGIAS DE COMPETITIVIDAD BASADOS EN LA GESTIÓN DEL CONOCIMIENTO PARA MYPES TEXTILERAS</v>
      </c>
      <c r="B33" s="58">
        <f>IFERROR(__xludf.DUMMYFUNCTION("""COMPUTED_VALUE"""),3.0)</f>
        <v>3</v>
      </c>
    </row>
    <row r="34">
      <c r="A34" s="58" t="str">
        <f>IFERROR(__xludf.DUMMYFUNCTION("""COMPUTED_VALUE"""),"DESARROLLO DE LAS BASES PARA UN SISTEMA DE GESTIÓN DE CALIDAD DEL DEPARTAMENTO DE PRODUCCIÓN DE GOMA Y PLÁSTICO DE LA EMPRESA MANUFACTURA BOLIVIANA S.A.")</f>
        <v>DESARROLLO DE LAS BASES PARA UN SISTEMA DE GESTIÓN DE CALIDAD DEL DEPARTAMENTO DE PRODUCCIÓN DE GOMA Y PLÁSTICO DE LA EMPRESA MANUFACTURA BOLIVIANA S.A.</v>
      </c>
      <c r="B34" s="58">
        <f>IFERROR(__xludf.DUMMYFUNCTION("""COMPUTED_VALUE"""),5.0)</f>
        <v>5</v>
      </c>
    </row>
    <row r="35">
      <c r="A35" s="58" t="str">
        <f>IFERROR(__xludf.DUMMYFUNCTION("""COMPUTED_VALUE"""),"DESARROLLO DE UN MODELO DE ADMINISTRACIÓN ESTRATÉGICA Y CUADRO DE MANDO INTEGRAL PARA LA EMPRESA CONSULCAD INGENIERÍA SRL.")</f>
        <v>DESARROLLO DE UN MODELO DE ADMINISTRACIÓN ESTRATÉGICA Y CUADRO DE MANDO INTEGRAL PARA LA EMPRESA CONSULCAD INGENIERÍA SRL.</v>
      </c>
      <c r="B35" s="58">
        <f>IFERROR(__xludf.DUMMYFUNCTION("""COMPUTED_VALUE"""),2.0)</f>
        <v>2</v>
      </c>
    </row>
    <row r="36">
      <c r="A36" s="58" t="str">
        <f>IFERROR(__xludf.DUMMYFUNCTION("""COMPUTED_VALUE"""),"DESARROLLO DE UN MODELO DE PLANEAMIENTO Y CONTROL DE LA PRODUCCIÓN EN LA EMPRESA MARMOLERA MACONAL S.R.L.")</f>
        <v>DESARROLLO DE UN MODELO DE PLANEAMIENTO Y CONTROL DE LA PRODUCCIÓN EN LA EMPRESA MARMOLERA MACONAL S.R.L.</v>
      </c>
      <c r="B36" s="58">
        <f>IFERROR(__xludf.DUMMYFUNCTION("""COMPUTED_VALUE"""),3.0)</f>
        <v>3</v>
      </c>
    </row>
    <row r="37">
      <c r="A37" s="58" t="str">
        <f>IFERROR(__xludf.DUMMYFUNCTION("""COMPUTED_VALUE"""),"DESARROLLO DE UN MODELO DE PLANIFICACION Y CONTROL DE LA PRODUCCION PARA LA INDUSTRAI INPROMAT")</f>
        <v>DESARROLLO DE UN MODELO DE PLANIFICACION Y CONTROL DE LA PRODUCCION PARA LA INDUSTRAI INPROMAT</v>
      </c>
      <c r="B37" s="58">
        <f>IFERROR(__xludf.DUMMYFUNCTION("""COMPUTED_VALUE"""),18.0)</f>
        <v>18</v>
      </c>
    </row>
    <row r="38">
      <c r="A38" s="58" t="str">
        <f>IFERROR(__xludf.DUMMYFUNCTION("""COMPUTED_VALUE"""),"DESARROLLO DE UN MODELO DE PLANIFICACIÓN Y CONTROL DE LA PRODUCCIÓN PARA LA EMPRESA CIENSA LTDA. CALZADOS TOMY")</f>
        <v>DESARROLLO DE UN MODELO DE PLANIFICACIÓN Y CONTROL DE LA PRODUCCIÓN PARA LA EMPRESA CIENSA LTDA. CALZADOS TOMY</v>
      </c>
      <c r="B38" s="58">
        <f>IFERROR(__xludf.DUMMYFUNCTION("""COMPUTED_VALUE"""),2.0)</f>
        <v>2</v>
      </c>
    </row>
    <row r="39">
      <c r="A39" s="58" t="str">
        <f>IFERROR(__xludf.DUMMYFUNCTION("""COMPUTED_VALUE"""),"DESARROLLO DE UN MODELO DE SISTEMA DE GESTIÓN AMBIENTAL BASADO EN LA NORMA ISO 14001 PARA LA EMPRESA ""ENABOLCO LTDA.""")</f>
        <v>DESARROLLO DE UN MODELO DE SISTEMA DE GESTIÓN AMBIENTAL BASADO EN LA NORMA ISO 14001 PARA LA EMPRESA "ENABOLCO LTDA."</v>
      </c>
      <c r="B39" s="58">
        <f>IFERROR(__xludf.DUMMYFUNCTION("""COMPUTED_VALUE"""),2.0)</f>
        <v>2</v>
      </c>
    </row>
    <row r="40">
      <c r="A40" s="58" t="str">
        <f>IFERROR(__xludf.DUMMYFUNCTION("""COMPUTED_VALUE"""),"DESARROLLO DE UN MODELO DE TRABAJO PARA LA ADMINISTRACIÓN DE RECURSOS HUMANOS DE COMTECO")</f>
        <v>DESARROLLO DE UN MODELO DE TRABAJO PARA LA ADMINISTRACIÓN DE RECURSOS HUMANOS DE COMTECO</v>
      </c>
      <c r="B40" s="58">
        <f>IFERROR(__xludf.DUMMYFUNCTION("""COMPUTED_VALUE"""),1.0)</f>
        <v>1</v>
      </c>
    </row>
    <row r="41">
      <c r="A41" s="58" t="str">
        <f>IFERROR(__xludf.DUMMYFUNCTION("""COMPUTED_VALUE"""),"DESARROLLO DE UN MODELO PARA EL MANEJO DE RESÍDUOS EN LA INDUSTRIA METALMECÁNICA (HIERRO Y ACERO) DE COCHABAMBA")</f>
        <v>DESARROLLO DE UN MODELO PARA EL MANEJO DE RESÍDUOS EN LA INDUSTRIA METALMECÁNICA (HIERRO Y ACERO) DE COCHABAMBA</v>
      </c>
      <c r="B41" s="58">
        <f>IFERROR(__xludf.DUMMYFUNCTION("""COMPUTED_VALUE"""),2.0)</f>
        <v>2</v>
      </c>
    </row>
    <row r="42">
      <c r="A42" s="58" t="str">
        <f>IFERROR(__xludf.DUMMYFUNCTION("""COMPUTED_VALUE"""),"DESARROLLO DE UN PLAN COMERCIAL PARA INTRODUCIR AL MERCADO CARTERAS FEMENINAS ELABORADAS EN CUERO DE PESCADO POR ARTESANAS DEL TRÓPICO, EN LA CIUDAD DE COCHABAMBA")</f>
        <v>DESARROLLO DE UN PLAN COMERCIAL PARA INTRODUCIR AL MERCADO CARTERAS FEMENINAS ELABORADAS EN CUERO DE PESCADO POR ARTESANAS DEL TRÓPICO, EN LA CIUDAD DE COCHABAMBA</v>
      </c>
      <c r="B42" s="58">
        <f>IFERROR(__xludf.DUMMYFUNCTION("""COMPUTED_VALUE"""),1.0)</f>
        <v>1</v>
      </c>
    </row>
    <row r="43">
      <c r="A43" s="58" t="str">
        <f>IFERROR(__xludf.DUMMYFUNCTION("""COMPUTED_VALUE"""),"DESARROLLO DE UN PLAN DE ANÁLISIS DE PELIGROS Y PUNTOS DE CONTROL CRÍTICOS (APPCC) PARA LA LÍNEA DE REFRESCOS DE PIL ANDINA S.A.")</f>
        <v>DESARROLLO DE UN PLAN DE ANÁLISIS DE PELIGROS Y PUNTOS DE CONTROL CRÍTICOS (APPCC) PARA LA LÍNEA DE REFRESCOS DE PIL ANDINA S.A.</v>
      </c>
      <c r="B43" s="58">
        <f>IFERROR(__xludf.DUMMYFUNCTION("""COMPUTED_VALUE"""),2.0)</f>
        <v>2</v>
      </c>
    </row>
    <row r="44">
      <c r="A44" s="58" t="str">
        <f>IFERROR(__xludf.DUMMYFUNCTION("""COMPUTED_VALUE"""),"DESARROLLO DE UN PLAN DE EMERGENCIAS PARA ELFEC S.A. E INTEGRA S.A.")</f>
        <v>DESARROLLO DE UN PLAN DE EMERGENCIAS PARA ELFEC S.A. E INTEGRA S.A.</v>
      </c>
      <c r="B44" s="58">
        <f>IFERROR(__xludf.DUMMYFUNCTION("""COMPUTED_VALUE"""),9.0)</f>
        <v>9</v>
      </c>
    </row>
    <row r="45">
      <c r="A45" s="58" t="str">
        <f>IFERROR(__xludf.DUMMYFUNCTION("""COMPUTED_VALUE"""),"DESARROLLO DE UN PLAN DE SEGURIDAD E HIGIENE INDUSTRIAL EN LA EMPRESA DE METALMECÁNICA CAMESBA S.R.L.")</f>
        <v>DESARROLLO DE UN PLAN DE SEGURIDAD E HIGIENE INDUSTRIAL EN LA EMPRESA DE METALMECÁNICA CAMESBA S.R.L.</v>
      </c>
      <c r="B45" s="58">
        <f>IFERROR(__xludf.DUMMYFUNCTION("""COMPUTED_VALUE"""),3.0)</f>
        <v>3</v>
      </c>
    </row>
    <row r="46">
      <c r="A46" s="58" t="str">
        <f>IFERROR(__xludf.DUMMYFUNCTION("""COMPUTED_VALUE"""),"DESARROLLO DE UN PLAN DE SEGURIDAD INDUSTRIAL E
HIGIENE OCUPACIONAL PARA LA EMPRESA DE
CONFECCIONES “BRENNER JEANS”")</f>
        <v>DESARROLLO DE UN PLAN DE SEGURIDAD INDUSTRIAL E
HIGIENE OCUPACIONAL PARA LA EMPRESA DE
CONFECCIONES “BRENNER JEANS”</v>
      </c>
      <c r="B46" s="58">
        <f>IFERROR(__xludf.DUMMYFUNCTION("""COMPUTED_VALUE"""),1.0)</f>
        <v>1</v>
      </c>
    </row>
    <row r="47">
      <c r="A47" s="58" t="str">
        <f>IFERROR(__xludf.DUMMYFUNCTION("""COMPUTED_VALUE"""),"DESARROLLO DE UN PLAN DE SEGURIDAD INDUSTRIAL E HIGIENE OCUPACIONAL PARA LA EMPRESA DE CONFECCIONES BRENNER JEAN")</f>
        <v>DESARROLLO DE UN PLAN DE SEGURIDAD INDUSTRIAL E HIGIENE OCUPACIONAL PARA LA EMPRESA DE CONFECCIONES BRENNER JEAN</v>
      </c>
      <c r="B47" s="58">
        <f>IFERROR(__xludf.DUMMYFUNCTION("""COMPUTED_VALUE"""),2.0)</f>
        <v>2</v>
      </c>
    </row>
    <row r="48">
      <c r="A48" s="58" t="str">
        <f>IFERROR(__xludf.DUMMYFUNCTION("""COMPUTED_VALUE"""),"DESARROLLO DE UN PLAN DE SEGURIDAD INDUSTRIAL E HIGIENE OCUPACIONAL PARA LA FÁBRICA DE PLANTILLAS DE ZAPATOS Y ARTÍCULOS DE POLIETILENO PAFEGAR")</f>
        <v>DESARROLLO DE UN PLAN DE SEGURIDAD INDUSTRIAL E HIGIENE OCUPACIONAL PARA LA FÁBRICA DE PLANTILLAS DE ZAPATOS Y ARTÍCULOS DE POLIETILENO PAFEGAR</v>
      </c>
      <c r="B48" s="58">
        <f>IFERROR(__xludf.DUMMYFUNCTION("""COMPUTED_VALUE"""),2.0)</f>
        <v>2</v>
      </c>
    </row>
    <row r="49">
      <c r="A49" s="58" t="str">
        <f>IFERROR(__xludf.DUMMYFUNCTION("""COMPUTED_VALUE"""),"DESARROLLO DE UN PLAN ESTRATÉGICO DE COMERCIALIZACIÓN PARA LA EMPRESA FLORÍCOLA EROS.")</f>
        <v>DESARROLLO DE UN PLAN ESTRATÉGICO DE COMERCIALIZACIÓN PARA LA EMPRESA FLORÍCOLA EROS.</v>
      </c>
      <c r="B49" s="58">
        <f>IFERROR(__xludf.DUMMYFUNCTION("""COMPUTED_VALUE"""),3.0)</f>
        <v>3</v>
      </c>
    </row>
    <row r="50">
      <c r="A50" s="58" t="str">
        <f>IFERROR(__xludf.DUMMYFUNCTION("""COMPUTED_VALUE"""),"DESARROLLO DE UN PLAN ESTRATÉGICO DE COMERCIALIZACIÓN PARA LA NUEVA LÍNEA DE MATERIALES ELÉCTRICOS EN INDUSTRIAS SANKYO S.R.L.")</f>
        <v>DESARROLLO DE UN PLAN ESTRATÉGICO DE COMERCIALIZACIÓN PARA LA NUEVA LÍNEA DE MATERIALES ELÉCTRICOS EN INDUSTRIAS SANKYO S.R.L.</v>
      </c>
      <c r="B50" s="58">
        <f>IFERROR(__xludf.DUMMYFUNCTION("""COMPUTED_VALUE"""),1.0)</f>
        <v>1</v>
      </c>
    </row>
    <row r="51">
      <c r="A51" s="58" t="str">
        <f>IFERROR(__xludf.DUMMYFUNCTION("""COMPUTED_VALUE"""),"DESARROLLO DE UN PLAN ESTRATÉGICO DE MARKETING PARA LA EMPRESA MUEBLES SEÑOR DE SANTIAGO.")</f>
        <v>DESARROLLO DE UN PLAN ESTRATÉGICO DE MARKETING PARA LA EMPRESA MUEBLES SEÑOR DE SANTIAGO.</v>
      </c>
      <c r="B51" s="58">
        <f>IFERROR(__xludf.DUMMYFUNCTION("""COMPUTED_VALUE"""),3.0)</f>
        <v>3</v>
      </c>
    </row>
    <row r="52">
      <c r="A52" s="58" t="str">
        <f>IFERROR(__xludf.DUMMYFUNCTION("""COMPUTED_VALUE"""),"DESARROLLO DE UN PLAN ESTRATÉGICO DE MARKETING PARA LA NUEVA LÍNEA DE ACEITE SAE 10W30 API SN DE LA MARCA YPFB LUBRICANTES")</f>
        <v>DESARROLLO DE UN PLAN ESTRATÉGICO DE MARKETING PARA LA NUEVA LÍNEA DE ACEITE SAE 10W30 API SN DE LA MARCA YPFB LUBRICANTES</v>
      </c>
      <c r="B52" s="58">
        <f>IFERROR(__xludf.DUMMYFUNCTION("""COMPUTED_VALUE"""),1.0)</f>
        <v>1</v>
      </c>
    </row>
    <row r="53">
      <c r="A53" s="58" t="str">
        <f>IFERROR(__xludf.DUMMYFUNCTION("""COMPUTED_VALUE"""),"DESARROLLO DE UN PLAN ESTRATÉGICO DE MARKETING PARA SU IMPLEMENTACIÓN EN C &amp; A CONSULTORES ASOCIADOS")</f>
        <v>DESARROLLO DE UN PLAN ESTRATÉGICO DE MARKETING PARA SU IMPLEMENTACIÓN EN C &amp; A CONSULTORES ASOCIADOS</v>
      </c>
      <c r="B53" s="58">
        <f>IFERROR(__xludf.DUMMYFUNCTION("""COMPUTED_VALUE"""),1.0)</f>
        <v>1</v>
      </c>
    </row>
    <row r="54">
      <c r="A54" s="58" t="str">
        <f>IFERROR(__xludf.DUMMYFUNCTION("""COMPUTED_VALUE"""),"DESARROLLO DE UN PLAN INTEGRAL DE SEGURIDAD INDUSTRIAL, SALUD E HIGIENE OCUPACIONAL Y MEDIO AMBIENTAL PARA LA PAPELERA S.A. REGIONAL COCHABAMBA.")</f>
        <v>DESARROLLO DE UN PLAN INTEGRAL DE SEGURIDAD INDUSTRIAL, SALUD E HIGIENE OCUPACIONAL Y MEDIO AMBIENTAL PARA LA PAPELERA S.A. REGIONAL COCHABAMBA.</v>
      </c>
      <c r="B54" s="58">
        <f>IFERROR(__xludf.DUMMYFUNCTION("""COMPUTED_VALUE"""),2.0)</f>
        <v>2</v>
      </c>
    </row>
    <row r="55">
      <c r="A55" s="58" t="str">
        <f>IFERROR(__xludf.DUMMYFUNCTION("""COMPUTED_VALUE"""),"DESARROLLO DE UN PROCESO DE AUTOEVALUACIÓN Y LA PROPUESTA DE UN PLAN ESTRATÉGICO PARA LA CARRERA DE INGENIERÍA DE SISTEMAS")</f>
        <v>DESARROLLO DE UN PROCESO DE AUTOEVALUACIÓN Y LA PROPUESTA DE UN PLAN ESTRATÉGICO PARA LA CARRERA DE INGENIERÍA DE SISTEMAS</v>
      </c>
      <c r="B55" s="58">
        <f>IFERROR(__xludf.DUMMYFUNCTION("""COMPUTED_VALUE"""),2.0)</f>
        <v>2</v>
      </c>
    </row>
    <row r="56">
      <c r="A56" s="58" t="str">
        <f>IFERROR(__xludf.DUMMYFUNCTION("""COMPUTED_VALUE"""),"DESARROLLO DE UN PROGRAMA DE PRODUCCIÓN MÁS LIMPIA PARA LAS LADRILLERAS ARTESANALES DE SACABA.")</f>
        <v>DESARROLLO DE UN PROGRAMA DE PRODUCCIÓN MÁS LIMPIA PARA LAS LADRILLERAS ARTESANALES DE SACABA.</v>
      </c>
      <c r="B56" s="58">
        <f>IFERROR(__xludf.DUMMYFUNCTION("""COMPUTED_VALUE"""),1.0)</f>
        <v>1</v>
      </c>
    </row>
    <row r="57">
      <c r="A57" s="58" t="str">
        <f>IFERROR(__xludf.DUMMYFUNCTION("""COMPUTED_VALUE"""),"DESARROLLO DE UN SISTEMA COMPLEMENTARIO DE PLANIFICACIÓN DE LA PRODUCCIÓN EN EL PROCESO DE FABRICACIÓN POR VÍA HÚMEDA DE CERÁMICA COBOCE")</f>
        <v>DESARROLLO DE UN SISTEMA COMPLEMENTARIO DE PLANIFICACIÓN DE LA PRODUCCIÓN EN EL PROCESO DE FABRICACIÓN POR VÍA HÚMEDA DE CERÁMICA COBOCE</v>
      </c>
      <c r="B57" s="58">
        <f>IFERROR(__xludf.DUMMYFUNCTION("""COMPUTED_VALUE"""),1.0)</f>
        <v>1</v>
      </c>
    </row>
    <row r="58">
      <c r="A58" s="58" t="str">
        <f>IFERROR(__xludf.DUMMYFUNCTION("""COMPUTED_VALUE"""),"DESARROLLO DE UN SISTEMA DE CONTROL DE CALIDAD
BASADO EN LAS NORMAS NB–1211001 (LADRILLOS
CERÁMICOS– CLASIFICACIÓN Y REQUISITOS) Y NB–1211002
(LADRILLOS CERÁMICOS-MÉTODOS DE ENSAYO) PARA LA
EMPRESA “COBOCE CERAMIL”")</f>
        <v>DESARROLLO DE UN SISTEMA DE CONTROL DE CALIDAD
BASADO EN LAS NORMAS NB–1211001 (LADRILLOS
CERÁMICOS– CLASIFICACIÓN Y REQUISITOS) Y NB–1211002
(LADRILLOS CERÁMICOS-MÉTODOS DE ENSAYO) PARA LA
EMPRESA “COBOCE CERAMIL”</v>
      </c>
      <c r="B58" s="58">
        <f>IFERROR(__xludf.DUMMYFUNCTION("""COMPUTED_VALUE"""),3.0)</f>
        <v>3</v>
      </c>
    </row>
    <row r="59">
      <c r="A59" s="58" t="str">
        <f>IFERROR(__xludf.DUMMYFUNCTION("""COMPUTED_VALUE"""),"DESARROLLO DE UN SISTEMA DE CONTROL DE CALIDAD BASADO EN LAS NORMAS NB–1211001 (LADRILLOS CERÁMICOS–CLASIFICACIÓN Y REQUISITOS) Y NB–1211002 (LADRILLOS CERÁMICOS-MÉTODOS DE ENSAYO) PARA LA EMPRESA “COBOCE CERAMIL”")</f>
        <v>DESARROLLO DE UN SISTEMA DE CONTROL DE CALIDAD BASADO EN LAS NORMAS NB–1211001 (LADRILLOS CERÁMICOS–CLASIFICACIÓN Y REQUISITOS) Y NB–1211002 (LADRILLOS CERÁMICOS-MÉTODOS DE ENSAYO) PARA LA EMPRESA “COBOCE CERAMIL”</v>
      </c>
      <c r="B59" s="58">
        <f>IFERROR(__xludf.DUMMYFUNCTION("""COMPUTED_VALUE"""),1.0)</f>
        <v>1</v>
      </c>
    </row>
    <row r="60">
      <c r="A60" s="58" t="str">
        <f>IFERROR(__xludf.DUMMYFUNCTION("""COMPUTED_VALUE"""),"DESARROLLO DE UN SISTEMA DE COSTEO ESTÁNDAR DE LA PRODUCCIÓN EN LA EMPRESA COBOCE – CERAMIL")</f>
        <v>DESARROLLO DE UN SISTEMA DE COSTEO ESTÁNDAR DE LA PRODUCCIÓN EN LA EMPRESA COBOCE – CERAMIL</v>
      </c>
      <c r="B60" s="58">
        <f>IFERROR(__xludf.DUMMYFUNCTION("""COMPUTED_VALUE"""),2.0)</f>
        <v>2</v>
      </c>
    </row>
    <row r="61">
      <c r="A61" s="58" t="str">
        <f>IFERROR(__xludf.DUMMYFUNCTION("""COMPUTED_VALUE"""),"DESARROLLO DE UN SISTEMA DE GESTION DE CALIDAD BASADO
EN LA NORMA ISO 9001:2008 EN EL PROCESO DE PRODUCCIÓN
PARA LA EMPRESA “CERÁMICA RÍO GRANDE S.A.”")</f>
        <v>DESARROLLO DE UN SISTEMA DE GESTION DE CALIDAD BASADO
EN LA NORMA ISO 9001:2008 EN EL PROCESO DE PRODUCCIÓN
PARA LA EMPRESA “CERÁMICA RÍO GRANDE S.A.”</v>
      </c>
      <c r="B61" s="58">
        <f>IFERROR(__xludf.DUMMYFUNCTION("""COMPUTED_VALUE"""),2.0)</f>
        <v>2</v>
      </c>
    </row>
    <row r="62">
      <c r="A62" s="58" t="str">
        <f>IFERROR(__xludf.DUMMYFUNCTION("""COMPUTED_VALUE"""),"DESARROLLO DE UN SISTEMA DE GESTION DE CALIDAD BASADO EN LA NORMA ISO 9001:2000 PARA LA LINEA DE PAN MOLDE DE LA EMPRESA “LA FRANCESA”")</f>
        <v>DESARROLLO DE UN SISTEMA DE GESTION DE CALIDAD BASADO EN LA NORMA ISO 9001:2000 PARA LA LINEA DE PAN MOLDE DE LA EMPRESA “LA FRANCESA”</v>
      </c>
      <c r="B62" s="58">
        <f>IFERROR(__xludf.DUMMYFUNCTION("""COMPUTED_VALUE"""),6.0)</f>
        <v>6</v>
      </c>
    </row>
    <row r="63">
      <c r="A63" s="58" t="str">
        <f>IFERROR(__xludf.DUMMYFUNCTION("""COMPUTED_VALUE"""),"DESARROLLO DE UN SISTEMA DE GESTIÓN DE ALMACENES DE PRODUCTOS TERMINADOS Y PRODUCTOS  IMPORTADOS   PARA LA EMPRESA ALMANZA CORP. S.R.L.")</f>
        <v>DESARROLLO DE UN SISTEMA DE GESTIÓN DE ALMACENES DE PRODUCTOS TERMINADOS Y PRODUCTOS  IMPORTADOS   PARA LA EMPRESA ALMANZA CORP. S.R.L.</v>
      </c>
      <c r="B63" s="58">
        <f>IFERROR(__xludf.DUMMYFUNCTION("""COMPUTED_VALUE"""),3.0)</f>
        <v>3</v>
      </c>
    </row>
    <row r="64">
      <c r="A64" s="58" t="str">
        <f>IFERROR(__xludf.DUMMYFUNCTION("""COMPUTED_VALUE"""),"DESARROLLO DE UN SISTEMA DE GESTIÓN DE CALIDAD BASADO EN LA NORMA ISO 9001:2000 PARA LA LÍNEA DE PAN MOLDE DE LA EMPRESA “LA FRANCESA”")</f>
        <v>DESARROLLO DE UN SISTEMA DE GESTIÓN DE CALIDAD BASADO EN LA NORMA ISO 9001:2000 PARA LA LÍNEA DE PAN MOLDE DE LA EMPRESA “LA FRANCESA”</v>
      </c>
      <c r="B64" s="58">
        <f>IFERROR(__xludf.DUMMYFUNCTION("""COMPUTED_VALUE"""),7.0)</f>
        <v>7</v>
      </c>
    </row>
    <row r="65">
      <c r="A65" s="58" t="str">
        <f>IFERROR(__xludf.DUMMYFUNCTION("""COMPUTED_VALUE"""),"DESARROLLO DE UN SISTEMA DE GESTIÓN DE CALIDAD BASADO EN LA NORMA ISO 9001:2008 EN EL PROCESO DE PRODUCCIÓN PARA LA EMPRESA “CERÁMICA RÍO GRANDE S.A.”")</f>
        <v>DESARROLLO DE UN SISTEMA DE GESTIÓN DE CALIDAD BASADO EN LA NORMA ISO 9001:2008 EN EL PROCESO DE PRODUCCIÓN PARA LA EMPRESA “CERÁMICA RÍO GRANDE S.A.”</v>
      </c>
      <c r="B65" s="58">
        <f>IFERROR(__xludf.DUMMYFUNCTION("""COMPUTED_VALUE"""),3.0)</f>
        <v>3</v>
      </c>
    </row>
    <row r="66">
      <c r="A66" s="58" t="str">
        <f>IFERROR(__xludf.DUMMYFUNCTION("""COMPUTED_VALUE"""),"DESARROLLO DE UN SISTEMA DE GESTIÓN DE CALIDAD PARA LA ATENCIÓN DE INSTALACIONES Y MANTENIMIENTOS DOMICILIARIOS DE LA EMPRESA ENTEL S.A. REGIONAL COCHABAMBA BASADO EN LA NORMA ISO 9001 VERSION 2000")</f>
        <v>DESARROLLO DE UN SISTEMA DE GESTIÓN DE CALIDAD PARA LA ATENCIÓN DE INSTALACIONES Y MANTENIMIENTOS DOMICILIARIOS DE LA EMPRESA ENTEL S.A. REGIONAL COCHABAMBA BASADO EN LA NORMA ISO 9001 VERSION 2000</v>
      </c>
      <c r="B66" s="58">
        <f>IFERROR(__xludf.DUMMYFUNCTION("""COMPUTED_VALUE"""),2.0)</f>
        <v>2</v>
      </c>
    </row>
    <row r="67">
      <c r="A67" s="58" t="str">
        <f>IFERROR(__xludf.DUMMYFUNCTION("""COMPUTED_VALUE"""),"DESARROLLO DE UN SISTEMA DE GESTIÓN DE LA CALIDAD  BASADO EN LA NORMA  NB-ISO 9001: 2000  EN EL PROCESO DE PRODUCCIÓN DEL DETERGENTE LÍQUIDO OLA LAVAVAJILLA EN LA EMPRESA ASTRIX S.A.")</f>
        <v>DESARROLLO DE UN SISTEMA DE GESTIÓN DE LA CALIDAD  BASADO EN LA NORMA  NB-ISO 9001: 2000  EN EL PROCESO DE PRODUCCIÓN DEL DETERGENTE LÍQUIDO OLA LAVAVAJILLA EN LA EMPRESA ASTRIX S.A.</v>
      </c>
      <c r="B67" s="58">
        <f>IFERROR(__xludf.DUMMYFUNCTION("""COMPUTED_VALUE"""),2.0)</f>
        <v>2</v>
      </c>
    </row>
    <row r="68">
      <c r="A68" s="58" t="str">
        <f>IFERROR(__xludf.DUMMYFUNCTION("""COMPUTED_VALUE"""),"DESARROLLO DE UN SISTEMA DE GESTIÓN DE LA CALIDAD BASADO EN LA NORMA ISO 9001 VERSIÓN 2000 PARA LA EMPRESA D.R. SERVICIOS TÉCNICOS Y VERIFICACIÓN.")</f>
        <v>DESARROLLO DE UN SISTEMA DE GESTIÓN DE LA CALIDAD BASADO EN LA NORMA ISO 9001 VERSIÓN 2000 PARA LA EMPRESA D.R. SERVICIOS TÉCNICOS Y VERIFICACIÓN.</v>
      </c>
      <c r="B68" s="58">
        <f>IFERROR(__xludf.DUMMYFUNCTION("""COMPUTED_VALUE"""),3.0)</f>
        <v>3</v>
      </c>
    </row>
    <row r="69">
      <c r="A69" s="58" t="str">
        <f>IFERROR(__xludf.DUMMYFUNCTION("""COMPUTED_VALUE"""),"DESARROLLO DE UN SISTEMA DE GESTIÓN DE LA CALIDAD BASADO EN LA NORMA ISO 9001:2000 PARA LA EMPRESA POTA EQUIP - AGUA VERTIENTE")</f>
        <v>DESARROLLO DE UN SISTEMA DE GESTIÓN DE LA CALIDAD BASADO EN LA NORMA ISO 9001:2000 PARA LA EMPRESA POTA EQUIP - AGUA VERTIENTE</v>
      </c>
      <c r="B69" s="58">
        <f>IFERROR(__xludf.DUMMYFUNCTION("""COMPUTED_VALUE"""),6.0)</f>
        <v>6</v>
      </c>
    </row>
    <row r="70">
      <c r="A70" s="58" t="str">
        <f>IFERROR(__xludf.DUMMYFUNCTION("""COMPUTED_VALUE"""),"DESARROLLO DE UN SISTEMA DE GESTIÓN DE RECURSOS HUMANOS PARA INDUSTRIAS LUJAN S.R.L., BASADO EN UN MODELO DE GESTIÓN POR PROCESOS")</f>
        <v>DESARROLLO DE UN SISTEMA DE GESTIÓN DE RECURSOS HUMANOS PARA INDUSTRIAS LUJAN S.R.L., BASADO EN UN MODELO DE GESTIÓN POR PROCESOS</v>
      </c>
      <c r="B70" s="58">
        <f>IFERROR(__xludf.DUMMYFUNCTION("""COMPUTED_VALUE"""),1.0)</f>
        <v>1</v>
      </c>
    </row>
    <row r="71">
      <c r="A71" s="58" t="str">
        <f>IFERROR(__xludf.DUMMYFUNCTION("""COMPUTED_VALUE"""),"DESARROLLO DE UN SISTEMA DE GESTIÓN DE SEGURIDAD Y SALUD OCUPACIONAL BASADO EN LA NORMA BOLIVIANA NB/OHSAS 18001, PARA LA EMPRESA COBOCE HORMIGON")</f>
        <v>DESARROLLO DE UN SISTEMA DE GESTIÓN DE SEGURIDAD Y SALUD OCUPACIONAL BASADO EN LA NORMA BOLIVIANA NB/OHSAS 18001, PARA LA EMPRESA COBOCE HORMIGON</v>
      </c>
      <c r="B71" s="58">
        <f>IFERROR(__xludf.DUMMYFUNCTION("""COMPUTED_VALUE"""),2.0)</f>
        <v>2</v>
      </c>
    </row>
    <row r="72">
      <c r="A72" s="58" t="str">
        <f>IFERROR(__xludf.DUMMYFUNCTION("""COMPUTED_VALUE"""),"DESARROLLO DE UNA BIBLIOTECA DIGITAL EN LA CARRERA DE INGENIERÍA INDUSTRIAL")</f>
        <v>DESARROLLO DE UNA BIBLIOTECA DIGITAL EN LA CARRERA DE INGENIERÍA INDUSTRIAL</v>
      </c>
      <c r="B72" s="58">
        <f>IFERROR(__xludf.DUMMYFUNCTION("""COMPUTED_VALUE"""),3.0)</f>
        <v>3</v>
      </c>
    </row>
    <row r="73">
      <c r="A73" s="58" t="str">
        <f>IFERROR(__xludf.DUMMYFUNCTION("""COMPUTED_VALUE"""),"DESARROLLO DE UNA PLANIFICACIÓN ESTRATÉGICA DE MARKETING Y UNA PLANIFICACIÓN DE LA PRODUCCIÓN PARA LA EMPRESA DE MUEBLES METÁLICOS “RACAO”")</f>
        <v>DESARROLLO DE UNA PLANIFICACIÓN ESTRATÉGICA DE MARKETING Y UNA PLANIFICACIÓN DE LA PRODUCCIÓN PARA LA EMPRESA DE MUEBLES METÁLICOS “RACAO”</v>
      </c>
      <c r="B73" s="58">
        <f>IFERROR(__xludf.DUMMYFUNCTION("""COMPUTED_VALUE"""),2.0)</f>
        <v>2</v>
      </c>
    </row>
    <row r="74">
      <c r="A74" s="58" t="str">
        <f>IFERROR(__xludf.DUMMYFUNCTION("""COMPUTED_VALUE"""),"DESARROLLO DE UNA PROPUESTA PARA LA IMPLEMENTACIÓN DEL CICLO DE MEJORA CONTINUA (PDCA) PARA DISMINUIR LOS COMPORTAMIENTOS INSEGUROS EN LA MINI PLANTA DE OPERACIONES PLANTA – TAQUIÑA")</f>
        <v>DESARROLLO DE UNA PROPUESTA PARA LA IMPLEMENTACIÓN DEL CICLO DE MEJORA CONTINUA (PDCA) PARA DISMINUIR LOS COMPORTAMIENTOS INSEGUROS EN LA MINI PLANTA DE OPERACIONES PLANTA – TAQUIÑA</v>
      </c>
      <c r="B74" s="58">
        <f>IFERROR(__xludf.DUMMYFUNCTION("""COMPUTED_VALUE"""),3.0)</f>
        <v>3</v>
      </c>
    </row>
    <row r="75">
      <c r="A75" s="58" t="str">
        <f>IFERROR(__xludf.DUMMYFUNCTION("""COMPUTED_VALUE"""),"DESARROLLO DEL PLAN DE GESTIÓN DE ALMACENES E INVENTARIOS EN LOS ALMACENES DEL DEPARTAMENTO DE ABASTECIMIENTOS Y LOGÍSTICAS DE LA EMPRESA BOLIVIANA DE AVIACIÓN BOA")</f>
        <v>DESARROLLO DEL PLAN DE GESTIÓN DE ALMACENES E INVENTARIOS EN LOS ALMACENES DEL DEPARTAMENTO DE ABASTECIMIENTOS Y LOGÍSTICAS DE LA EMPRESA BOLIVIANA DE AVIACIÓN BOA</v>
      </c>
      <c r="B75" s="58">
        <f>IFERROR(__xludf.DUMMYFUNCTION("""COMPUTED_VALUE"""),10.0)</f>
        <v>10</v>
      </c>
    </row>
    <row r="76">
      <c r="A76" s="58" t="str">
        <f>IFERROR(__xludf.DUMMYFUNCTION("""COMPUTED_VALUE"""),"DESARROLLO DEL PORTAFOLIO Y PLAN DE MARKETING DE LOS SERVICIOS DE AGRONEGOCIOS PARA EL PROGRAMA SDA DE FUNDACIÓN VALLES")</f>
        <v>DESARROLLO DEL PORTAFOLIO Y PLAN DE MARKETING DE LOS SERVICIOS DE AGRONEGOCIOS PARA EL PROGRAMA SDA DE FUNDACIÓN VALLES</v>
      </c>
      <c r="B76" s="58">
        <f>IFERROR(__xludf.DUMMYFUNCTION("""COMPUTED_VALUE"""),1.0)</f>
        <v>1</v>
      </c>
    </row>
    <row r="77">
      <c r="A77" s="58" t="str">
        <f>IFERROR(__xludf.DUMMYFUNCTION("""COMPUTED_VALUE"""),"DESARROLLO E IMPLEMENTACIÓN DE UN SISTEMA DE INFORMACIÓN ADMINISTRATIVO PARA EL ÁREA DE INOCUIDAD ALIMENTARIA EN LA JEFATURA DISTRITAL SENASAG - COCHABAMBA.")</f>
        <v>DESARROLLO E IMPLEMENTACIÓN DE UN SISTEMA DE INFORMACIÓN ADMINISTRATIVO PARA EL ÁREA DE INOCUIDAD ALIMENTARIA EN LA JEFATURA DISTRITAL SENASAG - COCHABAMBA.</v>
      </c>
      <c r="B77" s="58">
        <f>IFERROR(__xludf.DUMMYFUNCTION("""COMPUTED_VALUE"""),3.0)</f>
        <v>3</v>
      </c>
    </row>
    <row r="78">
      <c r="A78" s="58" t="str">
        <f>IFERROR(__xludf.DUMMYFUNCTION("""COMPUTED_VALUE"""),"DESARROLLO E IMPLEMENTACIÓN DE UNA METODOLOGÍA DE  MEJORA DE EFICIENCIA EN PLANTA DE EMBOL S.A. - COCHABAMBA")</f>
        <v>DESARROLLO E IMPLEMENTACIÓN DE UNA METODOLOGÍA DE  MEJORA DE EFICIENCIA EN PLANTA DE EMBOL S.A. - COCHABAMBA</v>
      </c>
      <c r="B78" s="58">
        <f>IFERROR(__xludf.DUMMYFUNCTION("""COMPUTED_VALUE"""),4.0)</f>
        <v>4</v>
      </c>
    </row>
    <row r="79">
      <c r="A79" s="58" t="str">
        <f>IFERROR(__xludf.DUMMYFUNCTION("""COMPUTED_VALUE"""),"DESARROLLO Y APLICACIÓN DE UN MODELO PARA MEDIR EL DESEMPEÑO Y CAPACIDAD DE UN CENTRO DE INVESTIGACIÓN EN LA VINCULACIÓN CON EL SECTOR PRODUCTIVO")</f>
        <v>DESARROLLO Y APLICACIÓN DE UN MODELO PARA MEDIR EL DESEMPEÑO Y CAPACIDAD DE UN CENTRO DE INVESTIGACIÓN EN LA VINCULACIÓN CON EL SECTOR PRODUCTIVO</v>
      </c>
      <c r="B79" s="58">
        <f>IFERROR(__xludf.DUMMYFUNCTION("""COMPUTED_VALUE"""),1.0)</f>
        <v>1</v>
      </c>
    </row>
    <row r="80">
      <c r="A80" s="58" t="str">
        <f>IFERROR(__xludf.DUMMYFUNCTION("""COMPUTED_VALUE"""),"DIAGNOSTICO DEL SISTEMA DE COBRANZA INTERNO DE LA UNIDAD DE SERVICIOS FINANCIERO DE LA EMPRESA VIVA-GSM")</f>
        <v>DIAGNOSTICO DEL SISTEMA DE COBRANZA INTERNO DE LA UNIDAD DE SERVICIOS FINANCIERO DE LA EMPRESA VIVA-GSM</v>
      </c>
      <c r="B80" s="58">
        <f>IFERROR(__xludf.DUMMYFUNCTION("""COMPUTED_VALUE"""),1.0)</f>
        <v>1</v>
      </c>
    </row>
    <row r="81">
      <c r="A81" s="58" t="str">
        <f>IFERROR(__xludf.DUMMYFUNCTION("""COMPUTED_VALUE"""),"DIAGNOSTICO DEL SISTEMA DE COBRANZA INTERNO DE LA UNIDAD DE SERVICIOS FINANCIERO DE LA EMPRESA VIVA-GSM
")</f>
        <v>DIAGNOSTICO DEL SISTEMA DE COBRANZA INTERNO DE LA UNIDAD DE SERVICIOS FINANCIERO DE LA EMPRESA VIVA-GSM
</v>
      </c>
      <c r="B81" s="58">
        <f>IFERROR(__xludf.DUMMYFUNCTION("""COMPUTED_VALUE"""),4.0)</f>
        <v>4</v>
      </c>
    </row>
    <row r="82">
      <c r="A82" s="58" t="str">
        <f>IFERROR(__xludf.DUMMYFUNCTION("""COMPUTED_VALUE"""),"DIAGNOSTICO Y ESTUDIO DE FACTIBILIDAD PARA LA AMPLIACION DE LA PLANTA AGROINDUSTRIAL “HIDROVIDA” EN EL MUNICIPIO DE COCHABAMBA.")</f>
        <v>DIAGNOSTICO Y ESTUDIO DE FACTIBILIDAD PARA LA AMPLIACION DE LA PLANTA AGROINDUSTRIAL “HIDROVIDA” EN EL MUNICIPIO DE COCHABAMBA.</v>
      </c>
      <c r="B82" s="58">
        <f>IFERROR(__xludf.DUMMYFUNCTION("""COMPUTED_VALUE"""),3.0)</f>
        <v>3</v>
      </c>
    </row>
    <row r="83">
      <c r="A83" s="58" t="str">
        <f>IFERROR(__xludf.DUMMYFUNCTION("""COMPUTED_VALUE"""),"DISENO DE UN PLAN ESTRATEGICO DE COMERCIALIZACION PARA LA NUEVA LÍNEA DE PRODUCCION DE LA EMPRESA INPASA")</f>
        <v>DISENO DE UN PLAN ESTRATEGICO DE COMERCIALIZACION PARA LA NUEVA LÍNEA DE PRODUCCION DE LA EMPRESA INPASA</v>
      </c>
      <c r="B83" s="58">
        <f>IFERROR(__xludf.DUMMYFUNCTION("""COMPUTED_VALUE"""),4.0)</f>
        <v>4</v>
      </c>
    </row>
    <row r="84">
      <c r="A84" s="58" t="str">
        <f>IFERROR(__xludf.DUMMYFUNCTION("""COMPUTED_VALUE"""),"DISENO DE UN PLAN ESTRATEGICO DE MARKETING PARA LA LINEA DE PRODUCCION YOGURT EN LA PLANTA DE PROCESOS INDUSTRIALES")</f>
        <v>DISENO DE UN PLAN ESTRATEGICO DE MARKETING PARA LA LINEA DE PRODUCCION YOGURT EN LA PLANTA DE PROCESOS INDUSTRIALES</v>
      </c>
      <c r="B84" s="58">
        <f>IFERROR(__xludf.DUMMYFUNCTION("""COMPUTED_VALUE"""),3.0)</f>
        <v>3</v>
      </c>
    </row>
    <row r="85">
      <c r="A85" s="58" t="str">
        <f>IFERROR(__xludf.DUMMYFUNCTION("""COMPUTED_VALUE"""),"DISEÑO  DE  UN  SISTEMA  DE  GESTIÓN  DE  CALIDAD  DEL PROCESO DE  FACTURACIÓN  DE   LA  COOPERATIVA DE TELECOMUNICACIONES  COCHABAMBA – COMTECO  BASADO EN  LA  NORMA ISO 9001:2000.
")</f>
        <v>DISEÑO  DE  UN  SISTEMA  DE  GESTIÓN  DE  CALIDAD  DEL PROCESO DE  FACTURACIÓN  DE   LA  COOPERATIVA DE TELECOMUNICACIONES  COCHABAMBA – COMTECO  BASADO EN  LA  NORMA ISO 9001:2000.
</v>
      </c>
      <c r="B85" s="58">
        <f>IFERROR(__xludf.DUMMYFUNCTION("""COMPUTED_VALUE"""),2.0)</f>
        <v>2</v>
      </c>
    </row>
    <row r="86">
      <c r="A86" s="58" t="str">
        <f>IFERROR(__xludf.DUMMYFUNCTION("""COMPUTED_VALUE"""),"DISEÑO  DE  UN SISTEMA  DE  GESTIÓN  DE  LA CALIDAD BASADO EN LA NORMA ISO 9001 VERSIÓN 2008 PARA INDUSTRIAS LÁCTEAS DEL VALLE ALTO “ILVA S.R.L.”")</f>
        <v>DISEÑO  DE  UN SISTEMA  DE  GESTIÓN  DE  LA CALIDAD BASADO EN LA NORMA ISO 9001 VERSIÓN 2008 PARA INDUSTRIAS LÁCTEAS DEL VALLE ALTO “ILVA S.R.L.”</v>
      </c>
      <c r="B86" s="58">
        <f>IFERROR(__xludf.DUMMYFUNCTION("""COMPUTED_VALUE"""),6.0)</f>
        <v>6</v>
      </c>
    </row>
    <row r="87">
      <c r="A87" s="58" t="str">
        <f>IFERROR(__xludf.DUMMYFUNCTION("""COMPUTED_VALUE"""),"DISEÑO CONCEPTUAL DE UNA BATERÍA DE LITIO PARA VEHÍCULOS SOLARES")</f>
        <v>DISEÑO CONCEPTUAL DE UNA BATERÍA DE LITIO PARA VEHÍCULOS SOLARES</v>
      </c>
      <c r="B87" s="58">
        <f>IFERROR(__xludf.DUMMYFUNCTION("""COMPUTED_VALUE"""),8.0)</f>
        <v>8</v>
      </c>
    </row>
    <row r="88">
      <c r="A88" s="58" t="str">
        <f>IFERROR(__xludf.DUMMYFUNCTION("""COMPUTED_VALUE"""),"DISEÑO DE LA ESTRUCTURA ORGANIZATIVA BAJO EL ENFOQUE BASADO EN PROCESOS PARA LA INCUBADORA DE EMPRESAS DE BASE TECNOLÓGICA”EMBATE” DE LA FACULTAD DE CIENCIAS Y TECNOLOGÍA.")</f>
        <v>DISEÑO DE LA ESTRUCTURA ORGANIZATIVA BAJO EL ENFOQUE BASADO EN PROCESOS PARA LA INCUBADORA DE EMPRESAS DE BASE TECNOLÓGICA”EMBATE” DE LA FACULTAD DE CIENCIAS Y TECNOLOGÍA.</v>
      </c>
      <c r="B88" s="58">
        <f>IFERROR(__xludf.DUMMYFUNCTION("""COMPUTED_VALUE"""),2.0)</f>
        <v>2</v>
      </c>
    </row>
    <row r="89">
      <c r="A89" s="58" t="str">
        <f>IFERROR(__xludf.DUMMYFUNCTION("""COMPUTED_VALUE"""),"DISEÑO DE MAQUINA DE TRANSPORTE DE AFRECHO PARA LA INDUSTRIA MOLINERA CONCORDIA.")</f>
        <v>DISEÑO DE MAQUINA DE TRANSPORTE DE AFRECHO PARA LA INDUSTRIA MOLINERA CONCORDIA.</v>
      </c>
      <c r="B89" s="58">
        <f>IFERROR(__xludf.DUMMYFUNCTION("""COMPUTED_VALUE"""),4.0)</f>
        <v>4</v>
      </c>
    </row>
    <row r="90">
      <c r="A90" s="58" t="str">
        <f>IFERROR(__xludf.DUMMYFUNCTION("""COMPUTED_VALUE"""),"DISEÑO DE MEDIDAS DE PRODUCCIÓN MÁS LIMPIA, PLAN DE  SEGURIDAD E HIGIENE INDUSTRIAL PARA LA CARPINTERÍA EMANUEL")</f>
        <v>DISEÑO DE MEDIDAS DE PRODUCCIÓN MÁS LIMPIA, PLAN DE  SEGURIDAD E HIGIENE INDUSTRIAL PARA LA CARPINTERÍA EMANUEL</v>
      </c>
      <c r="B90" s="58">
        <f>IFERROR(__xludf.DUMMYFUNCTION("""COMPUTED_VALUE"""),1.0)</f>
        <v>1</v>
      </c>
    </row>
    <row r="91">
      <c r="A91" s="58" t="str">
        <f>IFERROR(__xludf.DUMMYFUNCTION("""COMPUTED_VALUE"""),"DISEÑO DE PLANIFICACIÓN ESTRATÉGICA Y CUADRO DE MANDO INTEGRAL PARA CURTIEMBRE AMÉRICA S.A.")</f>
        <v>DISEÑO DE PLANIFICACIÓN ESTRATÉGICA Y CUADRO DE MANDO INTEGRAL PARA CURTIEMBRE AMÉRICA S.A.</v>
      </c>
      <c r="B91" s="58">
        <f>IFERROR(__xludf.DUMMYFUNCTION("""COMPUTED_VALUE"""),2.0)</f>
        <v>2</v>
      </c>
    </row>
    <row r="92">
      <c r="A92" s="58" t="str">
        <f>IFERROR(__xludf.DUMMYFUNCTION("""COMPUTED_VALUE"""),"DISEÑO DE PLANIFICACIÓN ESTRATÉGICA Y CUADRO DE MANDO INTEGRAL PARA EL LABORATORIO INDUSTRIAL FARMACÉUTICO ECHEVERRÍA “LIFE”")</f>
        <v>DISEÑO DE PLANIFICACIÓN ESTRATÉGICA Y CUADRO DE MANDO INTEGRAL PARA EL LABORATORIO INDUSTRIAL FARMACÉUTICO ECHEVERRÍA “LIFE”</v>
      </c>
      <c r="B92" s="58">
        <f>IFERROR(__xludf.DUMMYFUNCTION("""COMPUTED_VALUE"""),1.0)</f>
        <v>1</v>
      </c>
    </row>
    <row r="93">
      <c r="A93" s="58" t="str">
        <f>IFERROR(__xludf.DUMMYFUNCTION("""COMPUTED_VALUE"""),"DISEÑO DE UN  PLAN ESTRATÉGICO DE MARKETING PARA LA EMPRESA DE ALTA COSTURA DE DAMAS  FABELLA MODA")</f>
        <v>DISEÑO DE UN  PLAN ESTRATÉGICO DE MARKETING PARA LA EMPRESA DE ALTA COSTURA DE DAMAS  FABELLA MODA</v>
      </c>
      <c r="B93" s="58">
        <f>IFERROR(__xludf.DUMMYFUNCTION("""COMPUTED_VALUE"""),5.0)</f>
        <v>5</v>
      </c>
    </row>
    <row r="94">
      <c r="A94" s="58" t="str">
        <f>IFERROR(__xludf.DUMMYFUNCTION("""COMPUTED_VALUE"""),"DISEÑO DE UN  SISTEMA DE GESTION DE CALIDAD BASADO EN LA NORMA NB-ISO 9001:2008 PARA LE EMPRESA TRANSPORTES RAMALLO")</f>
        <v>DISEÑO DE UN  SISTEMA DE GESTION DE CALIDAD BASADO EN LA NORMA NB-ISO 9001:2008 PARA LE EMPRESA TRANSPORTES RAMALLO</v>
      </c>
      <c r="B94" s="58">
        <f>IFERROR(__xludf.DUMMYFUNCTION("""COMPUTED_VALUE"""),3.0)</f>
        <v>3</v>
      </c>
    </row>
    <row r="95">
      <c r="A95" s="58" t="str">
        <f>IFERROR(__xludf.DUMMYFUNCTION("""COMPUTED_VALUE"""),"DISEÑO DE UN MODELO ADMINISTRATIVO PARA LA MEJORA DEL FUNCIONAMIENTO DE LA EMPRESA DE SERVICIOS ELÉCTRICOS DEL TRÓPICO")</f>
        <v>DISEÑO DE UN MODELO ADMINISTRATIVO PARA LA MEJORA DEL FUNCIONAMIENTO DE LA EMPRESA DE SERVICIOS ELÉCTRICOS DEL TRÓPICO</v>
      </c>
      <c r="B95" s="58">
        <f>IFERROR(__xludf.DUMMYFUNCTION("""COMPUTED_VALUE"""),2.0)</f>
        <v>2</v>
      </c>
    </row>
    <row r="96">
      <c r="A96" s="58" t="str">
        <f>IFERROR(__xludf.DUMMYFUNCTION("""COMPUTED_VALUE"""),"DISEÑO DE UN MODELO DE BUENAS PRACTICAS DE MANUFACTURA Y PROCEDIMIENTOS DE OPERACIÓN ESTANDAR DE SANIDAD PARA LA EMPRESA “NORDLAND LTDA")</f>
        <v>DISEÑO DE UN MODELO DE BUENAS PRACTICAS DE MANUFACTURA Y PROCEDIMIENTOS DE OPERACIÓN ESTANDAR DE SANIDAD PARA LA EMPRESA “NORDLAND LTDA</v>
      </c>
      <c r="B96" s="58">
        <f>IFERROR(__xludf.DUMMYFUNCTION("""COMPUTED_VALUE"""),4.0)</f>
        <v>4</v>
      </c>
    </row>
    <row r="97">
      <c r="A97" s="58" t="str">
        <f>IFERROR(__xludf.DUMMYFUNCTION("""COMPUTED_VALUE"""),"DISEÑO DE UN MODELO DE CULTURA ORGANIZACIONAL PARA MEJORAR LAS RELACIONES HUMANAS EN LA UNIDAD DE COBOCE CONSTRUCCIONES")</f>
        <v>DISEÑO DE UN MODELO DE CULTURA ORGANIZACIONAL PARA MEJORAR LAS RELACIONES HUMANAS EN LA UNIDAD DE COBOCE CONSTRUCCIONES</v>
      </c>
      <c r="B97" s="58">
        <f>IFERROR(__xludf.DUMMYFUNCTION("""COMPUTED_VALUE"""),1.0)</f>
        <v>1</v>
      </c>
    </row>
    <row r="98">
      <c r="A98" s="58" t="str">
        <f>IFERROR(__xludf.DUMMYFUNCTION("""COMPUTED_VALUE"""),"DISEÑO DE UN MODELO DE GESTIÓN DE INOCUIDAD ALIMENTARIA SEGÚN LA NB/ISO 22000:2005 PARA LA EMPRESA “ALIMENTOS ALFA PRODUCTOS NORDLAND LTDA.”")</f>
        <v>DISEÑO DE UN MODELO DE GESTIÓN DE INOCUIDAD ALIMENTARIA SEGÚN LA NB/ISO 22000:2005 PARA LA EMPRESA “ALIMENTOS ALFA PRODUCTOS NORDLAND LTDA.”</v>
      </c>
      <c r="B98" s="58">
        <f>IFERROR(__xludf.DUMMYFUNCTION("""COMPUTED_VALUE"""),4.0)</f>
        <v>4</v>
      </c>
    </row>
    <row r="99">
      <c r="A99" s="58" t="str">
        <f>IFERROR(__xludf.DUMMYFUNCTION("""COMPUTED_VALUE"""),"DISEÑO DE UN MODELO DE GESTIÓN DE INOCUIDAD ALIMENTARÍA SEGÚN LA NB ISO 22000:2005 PARA LA EMPRESA VIGOR EN SU LÍNEA DE LÁCTEOS.")</f>
        <v>DISEÑO DE UN MODELO DE GESTIÓN DE INOCUIDAD ALIMENTARÍA SEGÚN LA NB ISO 22000:2005 PARA LA EMPRESA VIGOR EN SU LÍNEA DE LÁCTEOS.</v>
      </c>
      <c r="B99" s="58">
        <f>IFERROR(__xludf.DUMMYFUNCTION("""COMPUTED_VALUE"""),2.0)</f>
        <v>2</v>
      </c>
    </row>
    <row r="100">
      <c r="A100" s="58" t="str">
        <f>IFERROR(__xludf.DUMMYFUNCTION("""COMPUTED_VALUE"""),"DISEÑO DE UN MODELO DE GESTIÓN DE INVENTARIOS EN COBOCE CERAMIL")</f>
        <v>DISEÑO DE UN MODELO DE GESTIÓN DE INVENTARIOS EN COBOCE CERAMIL</v>
      </c>
      <c r="B100" s="58">
        <f>IFERROR(__xludf.DUMMYFUNCTION("""COMPUTED_VALUE"""),21.0)</f>
        <v>21</v>
      </c>
    </row>
    <row r="101">
      <c r="A101" s="58" t="str">
        <f>IFERROR(__xludf.DUMMYFUNCTION("""COMPUTED_VALUE"""),"DISEÑO DE UN MODELO DE GESTIÓN DE MANTENIMIENTO CORRECTIVO DE EQUIPO PESADO PARA EL SERVICIO PREFECTURAL DE CAMINOS (SPCAM) COCHABAMBA")</f>
        <v>DISEÑO DE UN MODELO DE GESTIÓN DE MANTENIMIENTO CORRECTIVO DE EQUIPO PESADO PARA EL SERVICIO PREFECTURAL DE CAMINOS (SPCAM) COCHABAMBA</v>
      </c>
      <c r="B101" s="58">
        <f>IFERROR(__xludf.DUMMYFUNCTION("""COMPUTED_VALUE"""),1.0)</f>
        <v>1</v>
      </c>
    </row>
    <row r="102">
      <c r="A102" s="58" t="str">
        <f>IFERROR(__xludf.DUMMYFUNCTION("""COMPUTED_VALUE"""),"DISEÑO DE UN MODELO DE GESTIÓN EMPRESARIAL PARA LA IMPRENTA GRÁFICA VOCAL SRL.")</f>
        <v>DISEÑO DE UN MODELO DE GESTIÓN EMPRESARIAL PARA LA IMPRENTA GRÁFICA VOCAL SRL.</v>
      </c>
      <c r="B102" s="58">
        <f>IFERROR(__xludf.DUMMYFUNCTION("""COMPUTED_VALUE"""),1.0)</f>
        <v>1</v>
      </c>
    </row>
    <row r="103">
      <c r="A103" s="58" t="str">
        <f>IFERROR(__xludf.DUMMYFUNCTION("""COMPUTED_VALUE"""),"DISEÑO DE UN MODELO DE MANEJO DE RESIDUOS SÓLIDOS EN EL CENTRO URBANO DE TIRAQUE")</f>
        <v>DISEÑO DE UN MODELO DE MANEJO DE RESIDUOS SÓLIDOS EN EL CENTRO URBANO DE TIRAQUE</v>
      </c>
      <c r="B103" s="58">
        <f>IFERROR(__xludf.DUMMYFUNCTION("""COMPUTED_VALUE"""),1.0)</f>
        <v>1</v>
      </c>
    </row>
    <row r="104">
      <c r="A104" s="58" t="str">
        <f>IFERROR(__xludf.DUMMYFUNCTION("""COMPUTED_VALUE"""),"DISEÑO DE UN MODELO DE MARKETING ESTRATÉGICO PARA LA EMPRESA MÁQUINAS Y MATRICES ALCÓCER")</f>
        <v>DISEÑO DE UN MODELO DE MARKETING ESTRATÉGICO PARA LA EMPRESA MÁQUINAS Y MATRICES ALCÓCER</v>
      </c>
      <c r="B104" s="58">
        <f>IFERROR(__xludf.DUMMYFUNCTION("""COMPUTED_VALUE"""),1.0)</f>
        <v>1</v>
      </c>
    </row>
    <row r="105">
      <c r="A105" s="58" t="str">
        <f>IFERROR(__xludf.DUMMYFUNCTION("""COMPUTED_VALUE"""),"DISEÑO DE UN MODELO DE PLANIFICACIÓN ESTRATÉGICA PARA EL INTERNADO GERIÁTRICO HOGAR LUZ")</f>
        <v>DISEÑO DE UN MODELO DE PLANIFICACIÓN ESTRATÉGICA PARA EL INTERNADO GERIÁTRICO HOGAR LUZ</v>
      </c>
      <c r="B105" s="58">
        <f>IFERROR(__xludf.DUMMYFUNCTION("""COMPUTED_VALUE"""),1.0)</f>
        <v>1</v>
      </c>
    </row>
    <row r="106">
      <c r="A106" s="58" t="str">
        <f>IFERROR(__xludf.DUMMYFUNCTION("""COMPUTED_VALUE"""),"DISEÑO DE UN MODELO DE REORGANIZACIÓN DE LA SEGURIDAD INDUSTRIAL PARA LA EMPRESA FABE S.A.")</f>
        <v>DISEÑO DE UN MODELO DE REORGANIZACIÓN DE LA SEGURIDAD INDUSTRIAL PARA LA EMPRESA FABE S.A.</v>
      </c>
      <c r="B106" s="58">
        <f>IFERROR(__xludf.DUMMYFUNCTION("""COMPUTED_VALUE"""),1.0)</f>
        <v>1</v>
      </c>
    </row>
    <row r="107">
      <c r="A107" s="58" t="str">
        <f>IFERROR(__xludf.DUMMYFUNCTION("""COMPUTED_VALUE"""),"DISEÑO DE UN MODELO DE SEGURIDAD INDUSTRIAL PARA INDUSTRIAS DE ACEITE S.A.")</f>
        <v>DISEÑO DE UN MODELO DE SEGURIDAD INDUSTRIAL PARA INDUSTRIAS DE ACEITE S.A.</v>
      </c>
      <c r="B107" s="58">
        <f>IFERROR(__xludf.DUMMYFUNCTION("""COMPUTED_VALUE"""),2.0)</f>
        <v>2</v>
      </c>
    </row>
    <row r="108">
      <c r="A108" s="58" t="str">
        <f>IFERROR(__xludf.DUMMYFUNCTION("""COMPUTED_VALUE"""),"DISEÑO DE UN MODELO DE SISTEMA DE SEGURIDAD INDUSTRIAL E HIGIENE OCUPACIONAL PARA LA EMPRESA MATRA")</f>
        <v>DISEÑO DE UN MODELO DE SISTEMA DE SEGURIDAD INDUSTRIAL E HIGIENE OCUPACIONAL PARA LA EMPRESA MATRA</v>
      </c>
      <c r="B108" s="58">
        <f>IFERROR(__xludf.DUMMYFUNCTION("""COMPUTED_VALUE"""),2.0)</f>
        <v>2</v>
      </c>
    </row>
    <row r="109">
      <c r="A109" s="58" t="str">
        <f>IFERROR(__xludf.DUMMYFUNCTION("""COMPUTED_VALUE"""),"DISEÑO DE UN PLAN DE ACCIÓN DE MEJORA DE LA CONFIABILIDAD DEL FLUJO DE INVENTARIOS FÍSICO VS LÓGICO PARA EL WAREHOUSE DEL CENTRO NACIONAL DE DISTRIBUCIÓN UNILEVER ANDINA S.A")</f>
        <v>DISEÑO DE UN PLAN DE ACCIÓN DE MEJORA DE LA CONFIABILIDAD DEL FLUJO DE INVENTARIOS FÍSICO VS LÓGICO PARA EL WAREHOUSE DEL CENTRO NACIONAL DE DISTRIBUCIÓN UNILEVER ANDINA S.A</v>
      </c>
      <c r="B109" s="58">
        <f>IFERROR(__xludf.DUMMYFUNCTION("""COMPUTED_VALUE"""),4.0)</f>
        <v>4</v>
      </c>
    </row>
    <row r="110">
      <c r="A110" s="58" t="str">
        <f>IFERROR(__xludf.DUMMYFUNCTION("""COMPUTED_VALUE"""),"DISEÑO DE UN PLAN DE ANÁLISIS DE PELIGROS Y PUNTOS CRÍTICOS DE CONTROL (HACCP) Y UN PROGRAMA DE SEGURIDAD Y SALUD EN EL TRABAJO (PSST) PARA INDUSTRIAS YACOBS S.R.L")</f>
        <v>DISEÑO DE UN PLAN DE ANÁLISIS DE PELIGROS Y PUNTOS CRÍTICOS DE CONTROL (HACCP) Y UN PROGRAMA DE SEGURIDAD Y SALUD EN EL TRABAJO (PSST) PARA INDUSTRIAS YACOBS S.R.L</v>
      </c>
      <c r="B110" s="58">
        <f>IFERROR(__xludf.DUMMYFUNCTION("""COMPUTED_VALUE"""),2.0)</f>
        <v>2</v>
      </c>
    </row>
    <row r="111">
      <c r="A111" s="58" t="str">
        <f>IFERROR(__xludf.DUMMYFUNCTION("""COMPUTED_VALUE"""),"DISEÑO DE UN PLAN DE ANÁLISIS DE PELIGROS Y PUNTOS CRÍTICOS DE CONTROL HACCP PARA LA INDUSTRIA DE PRODUCTOS ALIMENTICIOS RICO PAN S.R.L")</f>
        <v>DISEÑO DE UN PLAN DE ANÁLISIS DE PELIGROS Y PUNTOS CRÍTICOS DE CONTROL HACCP PARA LA INDUSTRIA DE PRODUCTOS ALIMENTICIOS RICO PAN S.R.L</v>
      </c>
      <c r="B111" s="58">
        <f>IFERROR(__xludf.DUMMYFUNCTION("""COMPUTED_VALUE"""),3.0)</f>
        <v>3</v>
      </c>
    </row>
    <row r="112">
      <c r="A112" s="58" t="str">
        <f>IFERROR(__xludf.DUMMYFUNCTION("""COMPUTED_VALUE"""),"DISEÑO DE UN PLAN DE ANÁLISIS DE PELIGROS Y PUNTOS CRÍTICOS DE CONTROL Y UN PROGRAMA DE SEGURIDAD Y SALUD EN EL TRABAJO (PSST) PARA INDUSTRIAS YACOBS S.R.L")</f>
        <v>DISEÑO DE UN PLAN DE ANÁLISIS DE PELIGROS Y PUNTOS CRÍTICOS DE CONTROL Y UN PROGRAMA DE SEGURIDAD Y SALUD EN EL TRABAJO (PSST) PARA INDUSTRIAS YACOBS S.R.L</v>
      </c>
      <c r="B112" s="58">
        <f>IFERROR(__xludf.DUMMYFUNCTION("""COMPUTED_VALUE"""),2.0)</f>
        <v>2</v>
      </c>
    </row>
    <row r="113">
      <c r="A113" s="58" t="str">
        <f>IFERROR(__xludf.DUMMYFUNCTION("""COMPUTED_VALUE"""),"DISEÑO DE UN PLAN DE HIGIENE, SEGURIDAD OCUPACIONAL Y BIENESTAR SEGÚN DL 16998/RA 038 PARA LA EMPRESA “A&amp;E”")</f>
        <v>DISEÑO DE UN PLAN DE HIGIENE, SEGURIDAD OCUPACIONAL Y BIENESTAR SEGÚN DL 16998/RA 038 PARA LA EMPRESA “A&amp;E”</v>
      </c>
      <c r="B113" s="58">
        <f>IFERROR(__xludf.DUMMYFUNCTION("""COMPUTED_VALUE"""),1.0)</f>
        <v>1</v>
      </c>
    </row>
    <row r="114">
      <c r="A114" s="58" t="str">
        <f>IFERROR(__xludf.DUMMYFUNCTION("""COMPUTED_VALUE"""),"DISEÑO DE UN PLAN DE INOCUIDAD ALIMENTARIA BASADA EN EL HACCP Y UN PLAN DE SEGURIDAD INDUSTRIAL E HIGIENE OCUPACIONAL PARA LA EMPRESA INDUSTRIAS DEL MOLLE S.R.L")</f>
        <v>DISEÑO DE UN PLAN DE INOCUIDAD ALIMENTARIA BASADA EN EL HACCP Y UN PLAN DE SEGURIDAD INDUSTRIAL E HIGIENE OCUPACIONAL PARA LA EMPRESA INDUSTRIAS DEL MOLLE S.R.L</v>
      </c>
      <c r="B114" s="58">
        <f>IFERROR(__xludf.DUMMYFUNCTION("""COMPUTED_VALUE"""),1.0)</f>
        <v>1</v>
      </c>
    </row>
    <row r="115">
      <c r="A115" s="58" t="str">
        <f>IFERROR(__xludf.DUMMYFUNCTION("""COMPUTED_VALUE"""),"DISEÑO DE UN PLAN DE MANTENIMIENTO AUTÓNOMO SEGÚN TPM (TOTAL PRODUCTIVE MAINTENANCE) PARA LA FÁBRICA DE MUEBLES CIMAL")</f>
        <v>DISEÑO DE UN PLAN DE MANTENIMIENTO AUTÓNOMO SEGÚN TPM (TOTAL PRODUCTIVE MAINTENANCE) PARA LA FÁBRICA DE MUEBLES CIMAL</v>
      </c>
      <c r="B115" s="58">
        <f>IFERROR(__xludf.DUMMYFUNCTION("""COMPUTED_VALUE"""),2.0)</f>
        <v>2</v>
      </c>
    </row>
    <row r="116">
      <c r="A116" s="58" t="str">
        <f>IFERROR(__xludf.DUMMYFUNCTION("""COMPUTED_VALUE"""),"DISEÑO DE UN PLAN DE MEJORA CONTINUA PARA EL WAREHOUSE DEL CENTRO NACIONAL DE DISTRIBUCIÓN DE UNILEVER ANDINA BOLIVIA S.A.")</f>
        <v>DISEÑO DE UN PLAN DE MEJORA CONTINUA PARA EL WAREHOUSE DEL CENTRO NACIONAL DE DISTRIBUCIÓN DE UNILEVER ANDINA BOLIVIA S.A.</v>
      </c>
      <c r="B116" s="58">
        <f>IFERROR(__xludf.DUMMYFUNCTION("""COMPUTED_VALUE"""),2.0)</f>
        <v>2</v>
      </c>
    </row>
    <row r="117">
      <c r="A117" s="58" t="str">
        <f>IFERROR(__xludf.DUMMYFUNCTION("""COMPUTED_VALUE"""),"DISEÑO DE UN PLAN DE NEGOCIOS DE FORTALECIMIENTO PARA LA ASOCIACIÓN DE PRODUCCIÓN TEXTIL K’ANCHAY")</f>
        <v>DISEÑO DE UN PLAN DE NEGOCIOS DE FORTALECIMIENTO PARA LA ASOCIACIÓN DE PRODUCCIÓN TEXTIL K’ANCHAY</v>
      </c>
      <c r="B117" s="58">
        <f>IFERROR(__xludf.DUMMYFUNCTION("""COMPUTED_VALUE"""),3.0)</f>
        <v>3</v>
      </c>
    </row>
    <row r="118">
      <c r="A118" s="58" t="str">
        <f>IFERROR(__xludf.DUMMYFUNCTION("""COMPUTED_VALUE"""),"DISEÑO DE UN PLAN DE OPTIMIZACIÓN DEL CONSUMO DE AGUA EN LA MINIPLANTA DE ENVASADO-TAQUIÑA")</f>
        <v>DISEÑO DE UN PLAN DE OPTIMIZACIÓN DEL CONSUMO DE AGUA EN LA MINIPLANTA DE ENVASADO-TAQUIÑA</v>
      </c>
      <c r="B118" s="58">
        <f>IFERROR(__xludf.DUMMYFUNCTION("""COMPUTED_VALUE"""),2.0)</f>
        <v>2</v>
      </c>
    </row>
    <row r="119">
      <c r="A119" s="58" t="str">
        <f>IFERROR(__xludf.DUMMYFUNCTION("""COMPUTED_VALUE"""),"DISEÑO DE UN PLAN DE REINGENIERÍA DEL PROCESO PRODUCTIVO PARA LA EMPRESA CALRO EN LA CIUDAD DE COCHABAMBA")</f>
        <v>DISEÑO DE UN PLAN DE REINGENIERÍA DEL PROCESO PRODUCTIVO PARA LA EMPRESA CALRO EN LA CIUDAD DE COCHABAMBA</v>
      </c>
      <c r="B119" s="58">
        <f>IFERROR(__xludf.DUMMYFUNCTION("""COMPUTED_VALUE"""),1.0)</f>
        <v>1</v>
      </c>
    </row>
    <row r="120">
      <c r="A120" s="58" t="str">
        <f>IFERROR(__xludf.DUMMYFUNCTION("""COMPUTED_VALUE"""),"DISEÑO DE UN PLAN DE SEGURIDAD E HIGIENE INDUSTRIAL
PARA LA EMPRESA METALMECÁNICA INPROCO S.R.L.")</f>
        <v>DISEÑO DE UN PLAN DE SEGURIDAD E HIGIENE INDUSTRIAL
PARA LA EMPRESA METALMECÁNICA INPROCO S.R.L.</v>
      </c>
      <c r="B120" s="58">
        <f>IFERROR(__xludf.DUMMYFUNCTION("""COMPUTED_VALUE"""),1.0)</f>
        <v>1</v>
      </c>
    </row>
    <row r="121">
      <c r="A121" s="58" t="str">
        <f>IFERROR(__xludf.DUMMYFUNCTION("""COMPUTED_VALUE"""),"DISEÑO DE UN PLAN DE SEGURIDAD E HIGIENE INDUSTRIAL PARA LA EMPRESA METALMECÁNICA INPROCO S.R.L.")</f>
        <v>DISEÑO DE UN PLAN DE SEGURIDAD E HIGIENE INDUSTRIAL PARA LA EMPRESA METALMECÁNICA INPROCO S.R.L.</v>
      </c>
      <c r="B121" s="58">
        <f>IFERROR(__xludf.DUMMYFUNCTION("""COMPUTED_VALUE"""),6.0)</f>
        <v>6</v>
      </c>
    </row>
    <row r="122">
      <c r="A122" s="58" t="str">
        <f>IFERROR(__xludf.DUMMYFUNCTION("""COMPUTED_VALUE"""),"DISEÑO DE UN PLAN DE SEGURIDAD E HIGIENE INDUSTRIAL PARA PROCESADORA DE POLLOS VEGA “PROVE”")</f>
        <v>DISEÑO DE UN PLAN DE SEGURIDAD E HIGIENE INDUSTRIAL PARA PROCESADORA DE POLLOS VEGA “PROVE”</v>
      </c>
      <c r="B122" s="58">
        <f>IFERROR(__xludf.DUMMYFUNCTION("""COMPUTED_VALUE"""),4.0)</f>
        <v>4</v>
      </c>
    </row>
    <row r="123">
      <c r="A123" s="58" t="str">
        <f>IFERROR(__xludf.DUMMYFUNCTION("""COMPUTED_VALUE"""),"DISEÑO DE UN PLAN DE SEGURIDAD E HIGIENE OCUPACIONAL")</f>
        <v>DISEÑO DE UN PLAN DE SEGURIDAD E HIGIENE OCUPACIONAL</v>
      </c>
      <c r="B123" s="58">
        <f>IFERROR(__xludf.DUMMYFUNCTION("""COMPUTED_VALUE"""),2.0)</f>
        <v>2</v>
      </c>
    </row>
    <row r="124">
      <c r="A124" s="58" t="str">
        <f>IFERROR(__xludf.DUMMYFUNCTION("""COMPUTED_VALUE"""),"DISEÑO DE UN PLAN DE SEGURIDAD E HIGIENE OCUPACIONAL PARA CONSTRUCCIONES METÁLICAS VALVERDE S.R.L")</f>
        <v>DISEÑO DE UN PLAN DE SEGURIDAD E HIGIENE OCUPACIONAL PARA CONSTRUCCIONES METÁLICAS VALVERDE S.R.L</v>
      </c>
      <c r="B124" s="58">
        <f>IFERROR(__xludf.DUMMYFUNCTION("""COMPUTED_VALUE"""),1.0)</f>
        <v>1</v>
      </c>
    </row>
    <row r="125">
      <c r="A125" s="58" t="str">
        <f>IFERROR(__xludf.DUMMYFUNCTION("""COMPUTED_VALUE"""),"DISEÑO DE UN PLAN DE SEGURIDAD E HIGIENE OCUPACIONAL PARA EL ASERRADERO SAN JOAQUIN")</f>
        <v>DISEÑO DE UN PLAN DE SEGURIDAD E HIGIENE OCUPACIONAL PARA EL ASERRADERO SAN JOAQUIN</v>
      </c>
      <c r="B125" s="58">
        <f>IFERROR(__xludf.DUMMYFUNCTION("""COMPUTED_VALUE"""),2.0)</f>
        <v>2</v>
      </c>
    </row>
    <row r="126">
      <c r="A126" s="58" t="str">
        <f>IFERROR(__xludf.DUMMYFUNCTION("""COMPUTED_VALUE"""),"DISEÑO DE UN PLAN DE SEGURIDAD E HIGIENE OCUPACIONAL PARA LA CONSTRUCTORA METALMECÁNICA CONSVIVAR")</f>
        <v>DISEÑO DE UN PLAN DE SEGURIDAD E HIGIENE OCUPACIONAL PARA LA CONSTRUCTORA METALMECÁNICA CONSVIVAR</v>
      </c>
      <c r="B126" s="58">
        <f>IFERROR(__xludf.DUMMYFUNCTION("""COMPUTED_VALUE"""),2.0)</f>
        <v>2</v>
      </c>
    </row>
    <row r="127">
      <c r="A127" s="58" t="str">
        <f>IFERROR(__xludf.DUMMYFUNCTION("""COMPUTED_VALUE"""),"DISEÑO DE UN PLAN DE SEGURIDAD E HIGIENE OCUPACIONAL PARA LA COOPERATIVA FOTRACAR LTDA.")</f>
        <v>DISEÑO DE UN PLAN DE SEGURIDAD E HIGIENE OCUPACIONAL PARA LA COOPERATIVA FOTRACAR LTDA.</v>
      </c>
      <c r="B127" s="58">
        <f>IFERROR(__xludf.DUMMYFUNCTION("""COMPUTED_VALUE"""),1.0)</f>
        <v>1</v>
      </c>
    </row>
    <row r="128">
      <c r="A128" s="58" t="str">
        <f>IFERROR(__xludf.DUMMYFUNCTION("""COMPUTED_VALUE"""),"DISEÑO DE UN PLAN DE SEGURIDAD E HIGIENE OCUPACIONAL PARA LA “CURTIEMBRE VALENZUELA”")</f>
        <v>DISEÑO DE UN PLAN DE SEGURIDAD E HIGIENE OCUPACIONAL PARA LA “CURTIEMBRE VALENZUELA”</v>
      </c>
      <c r="B128" s="58">
        <f>IFERROR(__xludf.DUMMYFUNCTION("""COMPUTED_VALUE"""),2.0)</f>
        <v>2</v>
      </c>
    </row>
    <row r="129">
      <c r="A129" s="58" t="str">
        <f>IFERROR(__xludf.DUMMYFUNCTION("""COMPUTED_VALUE"""),"DISEÑO DE UN PLAN DE SEGURIDAD INDUSTRIAL E HIGIENE OCUPACIONAL PARA LA PLANTA DE PRODUCCIÓN DE CRISTEMBO S.R.L.")</f>
        <v>DISEÑO DE UN PLAN DE SEGURIDAD INDUSTRIAL E HIGIENE OCUPACIONAL PARA LA PLANTA DE PRODUCCIÓN DE CRISTEMBO S.R.L.</v>
      </c>
      <c r="B129" s="58">
        <f>IFERROR(__xludf.DUMMYFUNCTION("""COMPUTED_VALUE"""),1.0)</f>
        <v>1</v>
      </c>
    </row>
    <row r="130">
      <c r="A130" s="58" t="str">
        <f>IFERROR(__xludf.DUMMYFUNCTION("""COMPUTED_VALUE"""),"DISEÑO DE UN PLAN DE SEGURIDAD INDUSTRIAL PARA LA PREFECTURA DE COCHABAMBA")</f>
        <v>DISEÑO DE UN PLAN DE SEGURIDAD INDUSTRIAL PARA LA PREFECTURA DE COCHABAMBA</v>
      </c>
      <c r="B130" s="58">
        <f>IFERROR(__xludf.DUMMYFUNCTION("""COMPUTED_VALUE"""),1.0)</f>
        <v>1</v>
      </c>
    </row>
    <row r="131">
      <c r="A131" s="58" t="str">
        <f>IFERROR(__xludf.DUMMYFUNCTION("""COMPUTED_VALUE"""),"DISEÑO DE UN PLAN DE SEGURIDAD OCUPACIONAL EN LAS INSTALACIONES DE LA CURTIEMBRE CURVECO")</f>
        <v>DISEÑO DE UN PLAN DE SEGURIDAD OCUPACIONAL EN LAS INSTALACIONES DE LA CURTIEMBRE CURVECO</v>
      </c>
      <c r="B131" s="58">
        <f>IFERROR(__xludf.DUMMYFUNCTION("""COMPUTED_VALUE"""),1.0)</f>
        <v>1</v>
      </c>
    </row>
    <row r="132">
      <c r="A132"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B132" s="58">
        <f>IFERROR(__xludf.DUMMYFUNCTION("""COMPUTED_VALUE"""),1.0)</f>
        <v>1</v>
      </c>
    </row>
    <row r="133">
      <c r="A133" s="58" t="str">
        <f>IFERROR(__xludf.DUMMYFUNCTION("""COMPUTED_VALUE"""),"DISEÑO DE UN PLAN DE SEGURIDAD Y SALUD OCUPACIONAL BASADO EN LA NORMA BOLIVIANA OHSAS 18001-2007 PARA PROYECTOS DE CONSTRUCCIÓN CIVIL EN EL ÁREA DE VIALIDAD (CARRETERAS)")</f>
        <v>DISEÑO DE UN PLAN DE SEGURIDAD Y SALUD OCUPACIONAL BASADO EN LA NORMA BOLIVIANA OHSAS 18001-2007 PARA PROYECTOS DE CONSTRUCCIÓN CIVIL EN EL ÁREA DE VIALIDAD (CARRETERAS)</v>
      </c>
      <c r="B133" s="58">
        <f>IFERROR(__xludf.DUMMYFUNCTION("""COMPUTED_VALUE"""),1.0)</f>
        <v>1</v>
      </c>
    </row>
    <row r="134">
      <c r="A134"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B134" s="58">
        <f>IFERROR(__xludf.DUMMYFUNCTION("""COMPUTED_VALUE"""),6.0)</f>
        <v>6</v>
      </c>
    </row>
    <row r="135">
      <c r="A135"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B135" s="58">
        <f>IFERROR(__xludf.DUMMYFUNCTION("""COMPUTED_VALUE"""),1.0)</f>
        <v>1</v>
      </c>
    </row>
    <row r="136">
      <c r="A136" s="58" t="str">
        <f>IFERROR(__xludf.DUMMYFUNCTION("""COMPUTED_VALUE"""),"DISEÑO DE UN PLAN ESTRATÉGICO DE DESARROLLO PARA LA CARRERA DE LICENCIATURA EN INFORMÁTICA")</f>
        <v>DISEÑO DE UN PLAN ESTRATÉGICO DE DESARROLLO PARA LA CARRERA DE LICENCIATURA EN INFORMÁTICA</v>
      </c>
      <c r="B136" s="58">
        <f>IFERROR(__xludf.DUMMYFUNCTION("""COMPUTED_VALUE"""),5.0)</f>
        <v>5</v>
      </c>
    </row>
    <row r="137">
      <c r="A137" s="58" t="str">
        <f>IFERROR(__xludf.DUMMYFUNCTION("""COMPUTED_VALUE"""),"DISEÑO DE UN PLAN ESTRATÉGICO DE MARKETING PARA LA EMPRESA DE HAMBURGUESAS L A E X Q U I S I T A")</f>
        <v>DISEÑO DE UN PLAN ESTRATÉGICO DE MARKETING PARA LA EMPRESA DE HAMBURGUESAS L A E X Q U I S I T A</v>
      </c>
      <c r="B137" s="58">
        <f>IFERROR(__xludf.DUMMYFUNCTION("""COMPUTED_VALUE"""),1.0)</f>
        <v>1</v>
      </c>
    </row>
    <row r="138">
      <c r="A138" s="58" t="str">
        <f>IFERROR(__xludf.DUMMYFUNCTION("""COMPUTED_VALUE"""),"DISEÑO DE UN PLAN ESTRATÉGICO DE MARKETING PARA LA EMPRESA DE PANIFICACIÓN NOVA PAN")</f>
        <v>DISEÑO DE UN PLAN ESTRATÉGICO DE MARKETING PARA LA EMPRESA DE PANIFICACIÓN NOVA PAN</v>
      </c>
      <c r="B138" s="58">
        <f>IFERROR(__xludf.DUMMYFUNCTION("""COMPUTED_VALUE"""),1.0)</f>
        <v>1</v>
      </c>
    </row>
    <row r="139">
      <c r="A139" s="58" t="str">
        <f>IFERROR(__xludf.DUMMYFUNCTION("""COMPUTED_VALUE"""),"DISEÑO DE UN PLAN ESTRATÉGICO DE MARKETING PARA LA GRANJA MODELO PAIRUMANI")</f>
        <v>DISEÑO DE UN PLAN ESTRATÉGICO DE MARKETING PARA LA GRANJA MODELO PAIRUMANI</v>
      </c>
      <c r="B139" s="58">
        <f>IFERROR(__xludf.DUMMYFUNCTION("""COMPUTED_VALUE"""),1.0)</f>
        <v>1</v>
      </c>
    </row>
    <row r="140">
      <c r="A140" s="58" t="str">
        <f>IFERROR(__xludf.DUMMYFUNCTION("""COMPUTED_VALUE"""),"DISEÑO DE UN PLAN ESTRATÉGICO DE PRODUCCIÓN PARA LA MICROEMPRESA ZAMBRANA")</f>
        <v>DISEÑO DE UN PLAN ESTRATÉGICO DE PRODUCCIÓN PARA LA MICROEMPRESA ZAMBRANA</v>
      </c>
      <c r="B140" s="58">
        <f>IFERROR(__xludf.DUMMYFUNCTION("""COMPUTED_VALUE"""),1.0)</f>
        <v>1</v>
      </c>
    </row>
    <row r="141">
      <c r="A141" s="58" t="str">
        <f>IFERROR(__xludf.DUMMYFUNCTION("""COMPUTED_VALUE"""),"DISEÑO DE UN PLAN ESTRATÉGICO PARA EL CLÚSTER DE ALIMENTOS COCHABAMBA DEL PROYECTO INNOVA-UMSS 2019-2023")</f>
        <v>DISEÑO DE UN PLAN ESTRATÉGICO PARA EL CLÚSTER DE ALIMENTOS COCHABAMBA DEL PROYECTO INNOVA-UMSS 2019-2023</v>
      </c>
      <c r="B141" s="58">
        <f>IFERROR(__xludf.DUMMYFUNCTION("""COMPUTED_VALUE"""),7.0)</f>
        <v>7</v>
      </c>
    </row>
    <row r="142">
      <c r="A142" s="58" t="str">
        <f>IFERROR(__xludf.DUMMYFUNCTION("""COMPUTED_VALUE"""),"DISEÑO DE UN PLAN ESTRATÉGICO PARA LA EMPRESA DE CALZADOS PARA NIÑOS “JEMOS-PIPER”")</f>
        <v>DISEÑO DE UN PLAN ESTRATÉGICO PARA LA EMPRESA DE CALZADOS PARA NIÑOS “JEMOS-PIPER”</v>
      </c>
      <c r="B142" s="58">
        <f>IFERROR(__xludf.DUMMYFUNCTION("""COMPUTED_VALUE"""),1.0)</f>
        <v>1</v>
      </c>
    </row>
    <row r="143">
      <c r="A143" s="58" t="str">
        <f>IFERROR(__xludf.DUMMYFUNCTION("""COMPUTED_VALUE"""),"DISEÑO DE UN PLAN ESTRATÉGICO PARA LA EMPRESA FRUTIJUGO 
EN EL DEPARTAMENTO DE COCHABAMBA PERIODO 2020-2024")</f>
        <v>DISEÑO DE UN PLAN ESTRATÉGICO PARA LA EMPRESA FRUTIJUGO 
EN EL DEPARTAMENTO DE COCHABAMBA PERIODO 2020-2024</v>
      </c>
      <c r="B143" s="58">
        <f>IFERROR(__xludf.DUMMYFUNCTION("""COMPUTED_VALUE"""),10.0)</f>
        <v>10</v>
      </c>
    </row>
    <row r="144">
      <c r="A144" s="58" t="str">
        <f>IFERROR(__xludf.DUMMYFUNCTION("""COMPUTED_VALUE"""),"DISEÑO DE UN PLAN ESTRATÉGICO PARA LA EMPRESA PRODUCTORA DE      CEMENTO COLA ADHE – REMIX EN EL DEPARTAMENTO DE COCHABAMBA")</f>
        <v>DISEÑO DE UN PLAN ESTRATÉGICO PARA LA EMPRESA PRODUCTORA DE      CEMENTO COLA ADHE – REMIX EN EL DEPARTAMENTO DE COCHABAMBA</v>
      </c>
      <c r="B144" s="58">
        <f>IFERROR(__xludf.DUMMYFUNCTION("""COMPUTED_VALUE"""),5.0)</f>
        <v>5</v>
      </c>
    </row>
    <row r="145">
      <c r="A145" s="58" t="str">
        <f>IFERROR(__xludf.DUMMYFUNCTION("""COMPUTED_VALUE"""),"DISEÑO DE UN PLANA SEGURIDAD E HIGIENE OCUPACIONAL PARA LA INDUSTRIA PANIFICADORA INPASA")</f>
        <v>DISEÑO DE UN PLANA SEGURIDAD E HIGIENE OCUPACIONAL PARA LA INDUSTRIA PANIFICADORA INPASA</v>
      </c>
      <c r="B145" s="58">
        <f>IFERROR(__xludf.DUMMYFUNCTION("""COMPUTED_VALUE"""),3.0)</f>
        <v>3</v>
      </c>
    </row>
    <row r="146">
      <c r="A146" s="58" t="str">
        <f>IFERROR(__xludf.DUMMYFUNCTION("""COMPUTED_VALUE"""),"DISEÑO DE UN PROGRAMA DE PRODUCCIÓN MÁS LIMPIA ORIENTADO AL SECTOR  LADRILLERO ARTESANAL DE LA ZONA DE CH’AMPA RANCHO")</f>
        <v>DISEÑO DE UN PROGRAMA DE PRODUCCIÓN MÁS LIMPIA ORIENTADO AL SECTOR  LADRILLERO ARTESANAL DE LA ZONA DE CH’AMPA RANCHO</v>
      </c>
      <c r="B146" s="58">
        <f>IFERROR(__xludf.DUMMYFUNCTION("""COMPUTED_VALUE"""),1.0)</f>
        <v>1</v>
      </c>
    </row>
    <row r="147">
      <c r="A147" s="58" t="str">
        <f>IFERROR(__xludf.DUMMYFUNCTION("""COMPUTED_VALUE"""),"DISEÑO DE UN PROGRAMA DE SEGURIDAD INDUSTRIAL E HIGIÉNE OCUPACIONAL EN EL NUEVO MATADERO DEL GOBIERNO AUTÓNOMO MUNICIPAL DE SACABA”.")</f>
        <v>DISEÑO DE UN PROGRAMA DE SEGURIDAD INDUSTRIAL E HIGIÉNE OCUPACIONAL EN EL NUEVO MATADERO DEL GOBIERNO AUTÓNOMO MUNICIPAL DE SACABA”.</v>
      </c>
      <c r="B147" s="58">
        <f>IFERROR(__xludf.DUMMYFUNCTION("""COMPUTED_VALUE"""),5.0)</f>
        <v>5</v>
      </c>
    </row>
    <row r="148">
      <c r="A148" s="58" t="str">
        <f>IFERROR(__xludf.DUMMYFUNCTION("""COMPUTED_VALUE"""),"DISEÑO DE UN PROGRAMA DE SEGURIDAD Y SALUD EN EL TRABAJO PARA LA EMPRESA “LA MODERNA” S.R.L. – PLANTA DE PRODUCCIÓN DE PARQUE INDUSTRIAL DE SANTIVAÑEZ")</f>
        <v>DISEÑO DE UN PROGRAMA DE SEGURIDAD Y SALUD EN EL TRABAJO PARA LA EMPRESA “LA MODERNA” S.R.L. – PLANTA DE PRODUCCIÓN DE PARQUE INDUSTRIAL DE SANTIVAÑEZ</v>
      </c>
      <c r="B148" s="58">
        <f>IFERROR(__xludf.DUMMYFUNCTION("""COMPUTED_VALUE"""),10.0)</f>
        <v>10</v>
      </c>
    </row>
    <row r="149">
      <c r="A149" s="58" t="str">
        <f>IFERROR(__xludf.DUMMYFUNCTION("""COMPUTED_VALUE"""),"DISEÑO DE UN SG SYSO EN BASE A LA NB/OHSAS 18001:2008 PARA SER IMPLEMENTADO Y OPTAR A UNA CERTIFICACIÓN A INDUSTRIAS LUJAN S.R.L.")</f>
        <v>DISEÑO DE UN SG SYSO EN BASE A LA NB/OHSAS 18001:2008 PARA SER IMPLEMENTADO Y OPTAR A UNA CERTIFICACIÓN A INDUSTRIAS LUJAN S.R.L.</v>
      </c>
      <c r="B149" s="58">
        <f>IFERROR(__xludf.DUMMYFUNCTION("""COMPUTED_VALUE"""),4.0)</f>
        <v>4</v>
      </c>
    </row>
    <row r="150">
      <c r="A150" s="58" t="str">
        <f>IFERROR(__xludf.DUMMYFUNCTION("""COMPUTED_VALUE"""),"DISEÑO DE UN SISTEMA DE ANÁLISIS DE PELIGROS Y DE PUNTOS CRÍTICOS DE CONTROL (HACCP), PARA LA EMPRESA INDUSTRIA PANIFICADORA INPASA.")</f>
        <v>DISEÑO DE UN SISTEMA DE ANÁLISIS DE PELIGROS Y DE PUNTOS CRÍTICOS DE CONTROL (HACCP), PARA LA EMPRESA INDUSTRIA PANIFICADORA INPASA.</v>
      </c>
      <c r="B150" s="58">
        <f>IFERROR(__xludf.DUMMYFUNCTION("""COMPUTED_VALUE"""),4.0)</f>
        <v>4</v>
      </c>
    </row>
    <row r="151">
      <c r="A151" s="58" t="str">
        <f>IFERROR(__xludf.DUMMYFUNCTION("""COMPUTED_VALUE"""),"DISEÑO DE UN SISTEMA DE ANÁLISIS DE PELIGROS Y DE PUNTOS CRÍTICOS DE CONTROL (HACCP), PARA LA EMPRESA “INDUSTRIA PANIFICADORA INPASA”")</f>
        <v>DISEÑO DE UN SISTEMA DE ANÁLISIS DE PELIGROS Y DE PUNTOS CRÍTICOS DE CONTROL (HACCP), PARA LA EMPRESA “INDUSTRIA PANIFICADORA INPASA”</v>
      </c>
      <c r="B151" s="58">
        <f>IFERROR(__xludf.DUMMYFUNCTION("""COMPUTED_VALUE"""),2.0)</f>
        <v>2</v>
      </c>
    </row>
    <row r="152">
      <c r="A152" s="58" t="str">
        <f>IFERROR(__xludf.DUMMYFUNCTION("""COMPUTED_VALUE"""),"DISEÑO DE UN SISTEMA DE CALIDAD BAJO LA  NORMA BOLIVIANA NB-ISO-IEC 17025:2005 PARA EL LABORATORIO DE SERVICIOS CAPN-UMSS")</f>
        <v>DISEÑO DE UN SISTEMA DE CALIDAD BAJO LA  NORMA BOLIVIANA NB-ISO-IEC 17025:2005 PARA EL LABORATORIO DE SERVICIOS CAPN-UMSS</v>
      </c>
      <c r="B152" s="58">
        <f>IFERROR(__xludf.DUMMYFUNCTION("""COMPUTED_VALUE"""),1.0)</f>
        <v>1</v>
      </c>
    </row>
    <row r="153">
      <c r="A153" s="58" t="str">
        <f>IFERROR(__xludf.DUMMYFUNCTION("""COMPUTED_VALUE"""),"DISEÑO DE UN SISTEMA DE CONTROL DE CALIDAD BASADO EN LAS NORMAS NB-1211001(LADRILLOS CERAMICOS-CLASIFICACION Y REQUISITOS) Y NB 1211002 (LADRILLOS CERAMICOS- METODOS DE ENSAYO) PARA LA EMPRESA CIMCO LTDA")</f>
        <v>DISEÑO DE UN SISTEMA DE CONTROL DE CALIDAD BASADO EN LAS NORMAS NB-1211001(LADRILLOS CERAMICOS-CLASIFICACION Y REQUISITOS) Y NB 1211002 (LADRILLOS CERAMICOS- METODOS DE ENSAYO) PARA LA EMPRESA CIMCO LTDA</v>
      </c>
      <c r="B153" s="58">
        <f>IFERROR(__xludf.DUMMYFUNCTION("""COMPUTED_VALUE"""),3.0)</f>
        <v>3</v>
      </c>
    </row>
    <row r="154">
      <c r="A154" s="58" t="str">
        <f>IFERROR(__xludf.DUMMYFUNCTION("""COMPUTED_VALUE"""),"DISEÑO DE UN SISTEMA DE CONTROL DE CALIDAD DE LA MATERIA
PRIMA EN “ILVA”")</f>
        <v>DISEÑO DE UN SISTEMA DE CONTROL DE CALIDAD DE LA MATERIA
PRIMA EN “ILVA”</v>
      </c>
      <c r="B154" s="58">
        <f>IFERROR(__xludf.DUMMYFUNCTION("""COMPUTED_VALUE"""),2.0)</f>
        <v>2</v>
      </c>
    </row>
    <row r="155">
      <c r="A155" s="58" t="str">
        <f>IFERROR(__xludf.DUMMYFUNCTION("""COMPUTED_VALUE"""),"DISEÑO DE UN SISTEMA DE CONTROL DE CALIDAD DE LA MATERIA PRIMA EN I L V A")</f>
        <v>DISEÑO DE UN SISTEMA DE CONTROL DE CALIDAD DE LA MATERIA PRIMA EN I L V A</v>
      </c>
      <c r="B155" s="58">
        <f>IFERROR(__xludf.DUMMYFUNCTION("""COMPUTED_VALUE"""),5.0)</f>
        <v>5</v>
      </c>
    </row>
    <row r="156">
      <c r="A156" s="58" t="str">
        <f>IFERROR(__xludf.DUMMYFUNCTION("""COMPUTED_VALUE"""),"DISEÑO DE UN SISTEMA DE GESTION AMBIENTAL
BASADO EN LA NORMA ISO 14001:2004
PARA IMPABOL S.R.L.")</f>
        <v>DISEÑO DE UN SISTEMA DE GESTION AMBIENTAL
BASADO EN LA NORMA ISO 14001:2004
PARA IMPABOL S.R.L.</v>
      </c>
      <c r="B156" s="58">
        <f>IFERROR(__xludf.DUMMYFUNCTION("""COMPUTED_VALUE"""),1.0)</f>
        <v>1</v>
      </c>
    </row>
    <row r="157">
      <c r="A157" s="58" t="str">
        <f>IFERROR(__xludf.DUMMYFUNCTION("""COMPUTED_VALUE"""),"DISEÑO DE UN SISTEMA DE GESTION DE CALIDAD BASADO EN LA NORMA NB-ISO 9001:2008 PARA LA INDUSTRIA PANIFICADORA SAN ANTONIO INPASA")</f>
        <v>DISEÑO DE UN SISTEMA DE GESTION DE CALIDAD BASADO EN LA NORMA NB-ISO 9001:2008 PARA LA INDUSTRIA PANIFICADORA SAN ANTONIO INPASA</v>
      </c>
      <c r="B157" s="58">
        <f>IFERROR(__xludf.DUMMYFUNCTION("""COMPUTED_VALUE"""),3.0)</f>
        <v>3</v>
      </c>
    </row>
    <row r="158">
      <c r="A158" s="58" t="str">
        <f>IFERROR(__xludf.DUMMYFUNCTION("""COMPUTED_VALUE"""),"DISEÑO DE UN SISTEMA DE GESTION DE CALIDAD ISO 9001:2015 CERTIFICABLE PARA LA EMPRESA PIERINI S.A.")</f>
        <v>DISEÑO DE UN SISTEMA DE GESTION DE CALIDAD ISO 9001:2015 CERTIFICABLE PARA LA EMPRESA PIERINI S.A.</v>
      </c>
      <c r="B158" s="58">
        <f>IFERROR(__xludf.DUMMYFUNCTION("""COMPUTED_VALUE"""),1.0)</f>
        <v>1</v>
      </c>
    </row>
    <row r="159">
      <c r="A159" s="58" t="str">
        <f>IFERROR(__xludf.DUMMYFUNCTION("""COMPUTED_VALUE"""),"DISEÑO DE UN SISTEMA DE GESTION DE HIGIENE Y SALUD OCUPACIONAL EN CERVERCERIA BOLIVIANA NACIONAL S.A.- PLANTA TAQUIÑA")</f>
        <v>DISEÑO DE UN SISTEMA DE GESTION DE HIGIENE Y SALUD OCUPACIONAL EN CERVERCERIA BOLIVIANA NACIONAL S.A.- PLANTA TAQUIÑA</v>
      </c>
      <c r="B159" s="58">
        <f>IFERROR(__xludf.DUMMYFUNCTION("""COMPUTED_VALUE"""),3.0)</f>
        <v>3</v>
      </c>
    </row>
    <row r="160">
      <c r="A160" s="58" t="str">
        <f>IFERROR(__xludf.DUMMYFUNCTION("""COMPUTED_VALUE"""),"DISEÑO DE UN SISTEMA DE GESTION DE LA CALIDAD SEGÚN NORMA NB/ISO 9001:2008 PARA LA LÍNEA FRACCIONAMIENTO DE LA EMPRESA FOODS COMPANY S.R.L.")</f>
        <v>DISEÑO DE UN SISTEMA DE GESTION DE LA CALIDAD SEGÚN NORMA NB/ISO 9001:2008 PARA LA LÍNEA FRACCIONAMIENTO DE LA EMPRESA FOODS COMPANY S.R.L.</v>
      </c>
      <c r="B160" s="58">
        <f>IFERROR(__xludf.DUMMYFUNCTION("""COMPUTED_VALUE"""),1.0)</f>
        <v>1</v>
      </c>
    </row>
    <row r="161">
      <c r="A161" s="58" t="str">
        <f>IFERROR(__xludf.DUMMYFUNCTION("""COMPUTED_VALUE"""),"DISEÑO DE UN SISTEMA DE GESTIÓN AMBIENTAL
PARA EL GRUPO EMPRESARIAL VALENCIA
SEGÚN LA NORMA ISO 14001:2004")</f>
        <v>DISEÑO DE UN SISTEMA DE GESTIÓN AMBIENTAL
PARA EL GRUPO EMPRESARIAL VALENCIA
SEGÚN LA NORMA ISO 14001:2004</v>
      </c>
      <c r="B161" s="58">
        <f>IFERROR(__xludf.DUMMYFUNCTION("""COMPUTED_VALUE"""),2.0)</f>
        <v>2</v>
      </c>
    </row>
    <row r="162">
      <c r="A162" s="58" t="str">
        <f>IFERROR(__xludf.DUMMYFUNCTION("""COMPUTED_VALUE"""),"DISEÑO DE UN SISTEMA DE GESTIÓN AMBIENTAL BASADO EN LA NORMA ISO 14001:2004 PARA COPELME S.A.")</f>
        <v>DISEÑO DE UN SISTEMA DE GESTIÓN AMBIENTAL BASADO EN LA NORMA ISO 14001:2004 PARA COPELME S.A.</v>
      </c>
      <c r="B162" s="58">
        <f>IFERROR(__xludf.DUMMYFUNCTION("""COMPUTED_VALUE"""),1.0)</f>
        <v>1</v>
      </c>
    </row>
    <row r="163">
      <c r="A163" s="58" t="str">
        <f>IFERROR(__xludf.DUMMYFUNCTION("""COMPUTED_VALUE"""),"DISEÑO DE UN SISTEMA DE GESTIÓN AMBIENTAL BASADO EN LA NORMA ISO 14001:2004 PARA IMPABOL S.R.L.")</f>
        <v>DISEÑO DE UN SISTEMA DE GESTIÓN AMBIENTAL BASADO EN LA NORMA ISO 14001:2004 PARA IMPABOL S.R.L.</v>
      </c>
      <c r="B163" s="58">
        <f>IFERROR(__xludf.DUMMYFUNCTION("""COMPUTED_VALUE"""),3.0)</f>
        <v>3</v>
      </c>
    </row>
    <row r="164">
      <c r="A164" s="58" t="str">
        <f>IFERROR(__xludf.DUMMYFUNCTION("""COMPUTED_VALUE"""),"DISEÑO DE UN SISTEMA DE GESTIÓN AMBIENTAL DE ACUERDO A LA NORMA ISO 14001:2015 PARA LA EMPRESA COBOCE HORMIGÓN EN EL DEPARTAMENTO DE COCHABAMBA, PROVINCIA CERCADO")</f>
        <v>DISEÑO DE UN SISTEMA DE GESTIÓN AMBIENTAL DE ACUERDO A LA NORMA ISO 14001:2015 PARA LA EMPRESA COBOCE HORMIGÓN EN EL DEPARTAMENTO DE COCHABAMBA, PROVINCIA CERCADO</v>
      </c>
      <c r="B164" s="58">
        <f>IFERROR(__xludf.DUMMYFUNCTION("""COMPUTED_VALUE"""),13.0)</f>
        <v>13</v>
      </c>
    </row>
    <row r="165">
      <c r="A165" s="58" t="str">
        <f>IFERROR(__xludf.DUMMYFUNCTION("""COMPUTED_VALUE"""),"DISEÑO DE UN SISTEMA DE GESTIÓN AMBIENTAL PARA LA COOPERATIVA INTEGRAL FOTRAMA LTDA. BASADO EN LA NORMA ISO 14001:2004")</f>
        <v>DISEÑO DE UN SISTEMA DE GESTIÓN AMBIENTAL PARA LA COOPERATIVA INTEGRAL FOTRAMA LTDA. BASADO EN LA NORMA ISO 14001:2004</v>
      </c>
      <c r="B165" s="58">
        <f>IFERROR(__xludf.DUMMYFUNCTION("""COMPUTED_VALUE"""),2.0)</f>
        <v>2</v>
      </c>
    </row>
    <row r="166">
      <c r="A166" s="58" t="str">
        <f>IFERROR(__xludf.DUMMYFUNCTION("""COMPUTED_VALUE"""),"DISEÑO DE UN SISTEMA DE GESTIÓN DE CALIDAD
BASADO EN LA NORMA ISO 9001:2008
PARA EL ÁREA DE PRODUCCIÓN DEL PDTF")</f>
        <v>DISEÑO DE UN SISTEMA DE GESTIÓN DE CALIDAD
BASADO EN LA NORMA ISO 9001:2008
PARA EL ÁREA DE PRODUCCIÓN DEL PDTF</v>
      </c>
      <c r="B166" s="58">
        <f>IFERROR(__xludf.DUMMYFUNCTION("""COMPUTED_VALUE"""),1.0)</f>
        <v>1</v>
      </c>
    </row>
    <row r="167">
      <c r="A167"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67" s="58">
        <f>IFERROR(__xludf.DUMMYFUNCTION("""COMPUTED_VALUE"""),1.0)</f>
        <v>1</v>
      </c>
    </row>
    <row r="168">
      <c r="A168" s="58" t="str">
        <f>IFERROR(__xludf.DUMMYFUNCTION("""COMPUTED_VALUE"""),"DISEÑO DE UN SISTEMA DE GESTIÓN DE CALIDAD BASADO EN LA ISO 9001–2008 PARA LA EMPRESA METALMECÁNICA ALANOCA")</f>
        <v>DISEÑO DE UN SISTEMA DE GESTIÓN DE CALIDAD BASADO EN LA ISO 9001–2008 PARA LA EMPRESA METALMECÁNICA ALANOCA</v>
      </c>
      <c r="B168" s="58">
        <f>IFERROR(__xludf.DUMMYFUNCTION("""COMPUTED_VALUE"""),2.0)</f>
        <v>2</v>
      </c>
    </row>
    <row r="169">
      <c r="A169"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69" s="58">
        <f>IFERROR(__xludf.DUMMYFUNCTION("""COMPUTED_VALUE"""),1.0)</f>
        <v>1</v>
      </c>
    </row>
    <row r="170">
      <c r="A170"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70" s="58">
        <f>IFERROR(__xludf.DUMMYFUNCTION("""COMPUTED_VALUE"""),3.0)</f>
        <v>3</v>
      </c>
    </row>
    <row r="171">
      <c r="A171" s="58" t="str">
        <f>IFERROR(__xludf.DUMMYFUNCTION("""COMPUTED_VALUE"""),"DISEÑO DE UN SISTEMA DE GESTIÓN DE CALIDAD BASADO EN LA NORMA BOLIVIANA ISO 9001/2015 PARA LA EMPRESAN ISOFORTE S.R.L.")</f>
        <v>DISEÑO DE UN SISTEMA DE GESTIÓN DE CALIDAD BASADO EN LA NORMA BOLIVIANA ISO 9001/2015 PARA LA EMPRESAN ISOFORTE S.R.L.</v>
      </c>
      <c r="B171" s="58">
        <f>IFERROR(__xludf.DUMMYFUNCTION("""COMPUTED_VALUE"""),1.0)</f>
        <v>1</v>
      </c>
    </row>
    <row r="172">
      <c r="A172"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72" s="58">
        <f>IFERROR(__xludf.DUMMYFUNCTION("""COMPUTED_VALUE"""),22.0)</f>
        <v>22</v>
      </c>
    </row>
    <row r="173">
      <c r="A173" s="58" t="str">
        <f>IFERROR(__xludf.DUMMYFUNCTION("""COMPUTED_VALUE"""),"DISEÑO DE UN SISTEMA DE GESTIÓN DE CALIDAD BASADO EN LA NORMA ISO 9001 EN EL DEPARTAMENTO DE DISEÑO Y DESARROLLO DE LA EMPRESA METALMECÁNICA PROMAQ I+D LTDA.")</f>
        <v>DISEÑO DE UN SISTEMA DE GESTIÓN DE CALIDAD BASADO EN LA NORMA ISO 9001 EN EL DEPARTAMENTO DE DISEÑO Y DESARROLLO DE LA EMPRESA METALMECÁNICA PROMAQ I+D LTDA.</v>
      </c>
      <c r="B173" s="58">
        <f>IFERROR(__xludf.DUMMYFUNCTION("""COMPUTED_VALUE"""),2.0)</f>
        <v>2</v>
      </c>
    </row>
    <row r="174">
      <c r="A174" s="58" t="str">
        <f>IFERROR(__xludf.DUMMYFUNCTION("""COMPUTED_VALUE"""),"DISEÑO DE UN SISTEMA DE GESTIÓN DE CALIDAD BASADO EN LA NORMA ISO 9001 VERSIÓN 2008 PARA LAS PRINCIPALES ÁREAS OPERATIVAS DE LA EMPRESA PÚBLICA SEMAPA")</f>
        <v>DISEÑO DE UN SISTEMA DE GESTIÓN DE CALIDAD BASADO EN LA NORMA ISO 9001 VERSIÓN 2008 PARA LAS PRINCIPALES ÁREAS OPERATIVAS DE LA EMPRESA PÚBLICA SEMAPA</v>
      </c>
      <c r="B174" s="58">
        <f>IFERROR(__xludf.DUMMYFUNCTION("""COMPUTED_VALUE"""),3.0)</f>
        <v>3</v>
      </c>
    </row>
    <row r="175">
      <c r="A175" s="58" t="str">
        <f>IFERROR(__xludf.DUMMYFUNCTION("""COMPUTED_VALUE"""),"DISEÑO DE UN SISTEMA DE GESTIÓN DE CALIDAD BASADO EN LA NORMA ISO 9001:2000 PARA LA EMPRESA IMPRESO S.R.L.")</f>
        <v>DISEÑO DE UN SISTEMA DE GESTIÓN DE CALIDAD BASADO EN LA NORMA ISO 9001:2000 PARA LA EMPRESA IMPRESO S.R.L.</v>
      </c>
      <c r="B175" s="58">
        <f>IFERROR(__xludf.DUMMYFUNCTION("""COMPUTED_VALUE"""),1.0)</f>
        <v>1</v>
      </c>
    </row>
    <row r="176">
      <c r="A176" s="58" t="str">
        <f>IFERROR(__xludf.DUMMYFUNCTION("""COMPUTED_VALUE"""),"DISEÑO DE UN SISTEMA DE GESTIÓN DE CALIDAD BASADO EN LA NORMA ISO 9001:2008 PARA LA EMPRESA DE PLÁSTICOS: “INMAPLAST S.R.L.")</f>
        <v>DISEÑO DE UN SISTEMA DE GESTIÓN DE CALIDAD BASADO EN LA NORMA ISO 9001:2008 PARA LA EMPRESA DE PLÁSTICOS: “INMAPLAST S.R.L.</v>
      </c>
      <c r="B176" s="58">
        <f>IFERROR(__xludf.DUMMYFUNCTION("""COMPUTED_VALUE"""),2.0)</f>
        <v>2</v>
      </c>
    </row>
    <row r="177">
      <c r="A177" s="58" t="str">
        <f>IFERROR(__xludf.DUMMYFUNCTION("""COMPUTED_VALUE"""),"DISEÑO DE UN SISTEMA DE GESTIÓN DE CALIDAD BASADO EN LA NORMA ISO 9001:2008, PARA LA COOPERATIVA DE AHORRO Y CRÉDITO ABIERTA SAN JOSÉ DE PUNATA LTDA")</f>
        <v>DISEÑO DE UN SISTEMA DE GESTIÓN DE CALIDAD BASADO EN LA NORMA ISO 9001:2008, PARA LA COOPERATIVA DE AHORRO Y CRÉDITO ABIERTA SAN JOSÉ DE PUNATA LTDA</v>
      </c>
      <c r="B177" s="58">
        <f>IFERROR(__xludf.DUMMYFUNCTION("""COMPUTED_VALUE"""),1.0)</f>
        <v>1</v>
      </c>
    </row>
    <row r="178">
      <c r="A178" s="58" t="str">
        <f>IFERROR(__xludf.DUMMYFUNCTION("""COMPUTED_VALUE"""),"DISEÑO DE UN SISTEMA DE GESTIÓN DE CALIDAD BASADO EN LA NORMA NB-ISO 9001:2008 PARA LA INDUSTRIA PANIFICADORA SAN ANTONIO INPASA.")</f>
        <v>DISEÑO DE UN SISTEMA DE GESTIÓN DE CALIDAD BASADO EN LA NORMA NB-ISO 9001:2008 PARA LA INDUSTRIA PANIFICADORA SAN ANTONIO INPASA.</v>
      </c>
      <c r="B178" s="58">
        <f>IFERROR(__xludf.DUMMYFUNCTION("""COMPUTED_VALUE"""),5.0)</f>
        <v>5</v>
      </c>
    </row>
    <row r="179">
      <c r="A179"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B179" s="58">
        <f>IFERROR(__xludf.DUMMYFUNCTION("""COMPUTED_VALUE"""),1.0)</f>
        <v>1</v>
      </c>
    </row>
    <row r="180">
      <c r="A180"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B180" s="58">
        <f>IFERROR(__xludf.DUMMYFUNCTION("""COMPUTED_VALUE"""),13.0)</f>
        <v>13</v>
      </c>
    </row>
    <row r="181">
      <c r="A181" s="58" t="str">
        <f>IFERROR(__xludf.DUMMYFUNCTION("""COMPUTED_VALUE"""),"DISEÑO DE UN SISTEMA DE GESTIÓN DE CALIDAD DEL PROCESO DE LAMINACIÓN PARA LA EMPRESA COPELME S.A.")</f>
        <v>DISEÑO DE UN SISTEMA DE GESTIÓN DE CALIDAD DEL PROCESO DE LAMINACIÓN PARA LA EMPRESA COPELME S.A.</v>
      </c>
      <c r="B181" s="58">
        <f>IFERROR(__xludf.DUMMYFUNCTION("""COMPUTED_VALUE"""),1.0)</f>
        <v>1</v>
      </c>
    </row>
    <row r="182">
      <c r="A182" s="58" t="str">
        <f>IFERROR(__xludf.DUMMYFUNCTION("""COMPUTED_VALUE"""),"DISEÑO DE UN SISTEMA DE GESTIÓN DE CALIDAD E IMPLENTACION DOCUMENTAL PARCIAL BASADO EN LA NORMA ISO 9001 VERSIÓN 2008 PARA LA DIRECCION DEL POSGRADO DE LA FACULTAD DE CIENCIAS Y TECNOLOGIA")</f>
        <v>DISEÑO DE UN SISTEMA DE GESTIÓN DE CALIDAD E IMPLENTACION DOCUMENTAL PARCIAL BASADO EN LA NORMA ISO 9001 VERSIÓN 2008 PARA LA DIRECCION DEL POSGRADO DE LA FACULTAD DE CIENCIAS Y TECNOLOGIA</v>
      </c>
      <c r="B182" s="58">
        <f>IFERROR(__xludf.DUMMYFUNCTION("""COMPUTED_VALUE"""),2.0)</f>
        <v>2</v>
      </c>
    </row>
    <row r="183">
      <c r="A183" s="58" t="str">
        <f>IFERROR(__xludf.DUMMYFUNCTION("""COMPUTED_VALUE"""),"DISEÑO DE UN SISTEMA DE GESTIÓN DE CALIDAD ISO 9001:2000 PARA LA EMPRESA VIVA-GSM")</f>
        <v>DISEÑO DE UN SISTEMA DE GESTIÓN DE CALIDAD ISO 9001:2000 PARA LA EMPRESA VIVA-GSM</v>
      </c>
      <c r="B183" s="58">
        <f>IFERROR(__xludf.DUMMYFUNCTION("""COMPUTED_VALUE"""),4.0)</f>
        <v>4</v>
      </c>
    </row>
    <row r="184">
      <c r="A184" s="58" t="str">
        <f>IFERROR(__xludf.DUMMYFUNCTION("""COMPUTED_VALUE"""),"DISEÑO DE UN SISTEMA DE GESTIÓN DE CALIDAD ISO 9001:2015 CERTIFICABLE PARA LA EMPRESA PIERINI S.A.")</f>
        <v>DISEÑO DE UN SISTEMA DE GESTIÓN DE CALIDAD ISO 9001:2015 CERTIFICABLE PARA LA EMPRESA PIERINI S.A.</v>
      </c>
      <c r="B184" s="58">
        <f>IFERROR(__xludf.DUMMYFUNCTION("""COMPUTED_VALUE"""),13.0)</f>
        <v>13</v>
      </c>
    </row>
    <row r="185">
      <c r="A185" s="58" t="str">
        <f>IFERROR(__xludf.DUMMYFUNCTION("""COMPUTED_VALUE"""),"DISEÑO DE UN SISTEMA DE GESTIÓN DE CALIDAD ORIENTADO A PROCESOS PARA LA INSTITUCIÓN FINANCIERA DE DESARROLLO CIDRE")</f>
        <v>DISEÑO DE UN SISTEMA DE GESTIÓN DE CALIDAD ORIENTADO A PROCESOS PARA LA INSTITUCIÓN FINANCIERA DE DESARROLLO CIDRE</v>
      </c>
      <c r="B185" s="58">
        <f>IFERROR(__xludf.DUMMYFUNCTION("""COMPUTED_VALUE"""),1.0)</f>
        <v>1</v>
      </c>
    </row>
    <row r="186">
      <c r="A186" s="58" t="str">
        <f>IFERROR(__xludf.DUMMYFUNCTION("""COMPUTED_VALUE"""),"DISEÑO DE UN SISTEMA DE GESTIÓN DE CALIDAD PARA LA EMPRESA DELMONTE S.R.L. EN         BASE A LA NORMA ISO 9001:2015")</f>
        <v>DISEÑO DE UN SISTEMA DE GESTIÓN DE CALIDAD PARA LA EMPRESA DELMONTE S.R.L. EN         BASE A LA NORMA ISO 9001:2015</v>
      </c>
      <c r="B186" s="58">
        <f>IFERROR(__xludf.DUMMYFUNCTION("""COMPUTED_VALUE"""),4.0)</f>
        <v>4</v>
      </c>
    </row>
    <row r="187">
      <c r="A187" s="58" t="str">
        <f>IFERROR(__xludf.DUMMYFUNCTION("""COMPUTED_VALUE"""),"DISEÑO DE UN SISTEMA DE GESTIÓN DE CALIDAD PARA LA EMPRESA DELMONTE S.R.L. EN BASE A LA NORMA ISO 9001:2015")</f>
        <v>DISEÑO DE UN SISTEMA DE GESTIÓN DE CALIDAD PARA LA EMPRESA DELMONTE S.R.L. EN BASE A LA NORMA ISO 9001:2015</v>
      </c>
      <c r="B187" s="58">
        <f>IFERROR(__xludf.DUMMYFUNCTION("""COMPUTED_VALUE"""),5.0)</f>
        <v>5</v>
      </c>
    </row>
    <row r="188">
      <c r="A188" s="58" t="str">
        <f>IFERROR(__xludf.DUMMYFUNCTION("""COMPUTED_VALUE"""),"DISEÑO DE UN SISTEMA DE GESTIÓN DE CALIDAD PARA LA EMPRESA DELMONTE S.R.L. EN BASE A LA NORMA ISO 9001:2016")</f>
        <v>DISEÑO DE UN SISTEMA DE GESTIÓN DE CALIDAD PARA LA EMPRESA DELMONTE S.R.L. EN BASE A LA NORMA ISO 9001:2016</v>
      </c>
      <c r="B188" s="58">
        <f>IFERROR(__xludf.DUMMYFUNCTION("""COMPUTED_VALUE"""),2.0)</f>
        <v>2</v>
      </c>
    </row>
    <row r="189">
      <c r="A189" s="58" t="str">
        <f>IFERROR(__xludf.DUMMYFUNCTION("""COMPUTED_VALUE"""),"DISEÑO DE UN SISTEMA DE GESTIÓN DE CALIDAD PARA LA EMPRESA DELMONTE S.R.L. EN BASE A LA NORMA ISO 9001:2017")</f>
        <v>DISEÑO DE UN SISTEMA DE GESTIÓN DE CALIDAD PARA LA EMPRESA DELMONTE S.R.L. EN BASE A LA NORMA ISO 9001:2017</v>
      </c>
      <c r="B189" s="58">
        <f>IFERROR(__xludf.DUMMYFUNCTION("""COMPUTED_VALUE"""),5.0)</f>
        <v>5</v>
      </c>
    </row>
    <row r="190">
      <c r="A190" s="58" t="str">
        <f>IFERROR(__xludf.DUMMYFUNCTION("""COMPUTED_VALUE"""),"DISEÑO DE UN SISTEMA DE GESTIÓN DE CALIDAD PARA PLANTA EXTERNA DE TELEFONÍA BÁSICA PARA LA EMPRESA COMTECO COCHABAMBA EN BASE A LA NORMA ISO 9001:2000")</f>
        <v>DISEÑO DE UN SISTEMA DE GESTIÓN DE CALIDAD PARA PLANTA EXTERNA DE TELEFONÍA BÁSICA PARA LA EMPRESA COMTECO COCHABAMBA EN BASE A LA NORMA ISO 9001:2000</v>
      </c>
      <c r="B190" s="58">
        <f>IFERROR(__xludf.DUMMYFUNCTION("""COMPUTED_VALUE"""),1.0)</f>
        <v>1</v>
      </c>
    </row>
    <row r="191">
      <c r="A191" s="58" t="str">
        <f>IFERROR(__xludf.DUMMYFUNCTION("""COMPUTED_VALUE"""),"DISEÑO DE UN SISTEMA DE GESTIÓN DE CALIDAD PARAPLANTA PILOTO DEL CENTRO DE TECNOLOGÍA
AGROINDUSTRIAL EN BASE A LA NORMA
ISO 9001:2000")</f>
        <v>DISEÑO DE UN SISTEMA DE GESTIÓN DE CALIDAD PARAPLANTA PILOTO DEL CENTRO DE TECNOLOGÍA
AGROINDUSTRIAL EN BASE A LA NORMA
ISO 9001:2000</v>
      </c>
      <c r="B191" s="58">
        <f>IFERROR(__xludf.DUMMYFUNCTION("""COMPUTED_VALUE"""),1.0)</f>
        <v>1</v>
      </c>
    </row>
    <row r="192">
      <c r="A192" s="58" t="str">
        <f>IFERROR(__xludf.DUMMYFUNCTION("""COMPUTED_VALUE"""),"DISEÑO DE UN SISTEMA DE GESTIÓN DE INOCUIDAD ALIMENTARIA BAJO EL ESQUEMA FSSC  22000 PARA LA EMPRESA LA PAPELERA S.A.")</f>
        <v>DISEÑO DE UN SISTEMA DE GESTIÓN DE INOCUIDAD ALIMENTARIA BAJO EL ESQUEMA FSSC  22000 PARA LA EMPRESA LA PAPELERA S.A.</v>
      </c>
      <c r="B192" s="58">
        <f>IFERROR(__xludf.DUMMYFUNCTION("""COMPUTED_VALUE"""),2.0)</f>
        <v>2</v>
      </c>
    </row>
    <row r="193">
      <c r="A193" s="58" t="str">
        <f>IFERROR(__xludf.DUMMYFUNCTION("""COMPUTED_VALUE"""),"DISEÑO DE UN SISTEMA DE GESTIÓN DE INOCUIDAD ALIMENTARIA BASADO EN LA NORMA ISO 22000:2005 PARA LA EMPRESA SIARAVE")</f>
        <v>DISEÑO DE UN SISTEMA DE GESTIÓN DE INOCUIDAD ALIMENTARIA BASADO EN LA NORMA ISO 22000:2005 PARA LA EMPRESA SIARAVE</v>
      </c>
      <c r="B193" s="58">
        <f>IFERROR(__xludf.DUMMYFUNCTION("""COMPUTED_VALUE"""),1.0)</f>
        <v>1</v>
      </c>
    </row>
    <row r="194">
      <c r="A194" s="58" t="str">
        <f>IFERROR(__xludf.DUMMYFUNCTION("""COMPUTED_VALUE"""),"DISEÑO DE UN SISTEMA DE GESTIÓN DE LA CALIDAD
BASADO EN LA NORMA ISO 9001 VERSIÓN 2008 PARA
INDUSTRIAS LACTEAS DEL VALLE ALTO “ILVA S.R.L.”")</f>
        <v>DISEÑO DE UN SISTEMA DE GESTIÓN DE LA CALIDAD
BASADO EN LA NORMA ISO 9001 VERSIÓN 2008 PARA
INDUSTRIAS LACTEAS DEL VALLE ALTO “ILVA S.R.L.”</v>
      </c>
      <c r="B194" s="58">
        <f>IFERROR(__xludf.DUMMYFUNCTION("""COMPUTED_VALUE"""),1.0)</f>
        <v>1</v>
      </c>
    </row>
    <row r="195">
      <c r="A195" s="58" t="str">
        <f>IFERROR(__xludf.DUMMYFUNCTION("""COMPUTED_VALUE"""),"DISEÑO DE UN SISTEMA DE GESTIÓN DE LA CALIDAD BASADO EN LA NORMA ISO 9001:2000 PARA LA EMPRESA MURANO S.R.L.")</f>
        <v>DISEÑO DE UN SISTEMA DE GESTIÓN DE LA CALIDAD BASADO EN LA NORMA ISO 9001:2000 PARA LA EMPRESA MURANO S.R.L.</v>
      </c>
      <c r="B195" s="58">
        <f>IFERROR(__xludf.DUMMYFUNCTION("""COMPUTED_VALUE"""),1.0)</f>
        <v>1</v>
      </c>
    </row>
    <row r="196">
      <c r="A196" s="58" t="str">
        <f>IFERROR(__xludf.DUMMYFUNCTION("""COMPUTED_VALUE"""),"DISEÑO DE UN SISTEMA DE GESTIÓN DE LA CALIDAD ISO 9001:2000 PARA MOPAR S.A.")</f>
        <v>DISEÑO DE UN SISTEMA DE GESTIÓN DE LA CALIDAD ISO 9001:2000 PARA MOPAR S.A.</v>
      </c>
      <c r="B196" s="58">
        <f>IFERROR(__xludf.DUMMYFUNCTION("""COMPUTED_VALUE"""),1.0)</f>
        <v>1</v>
      </c>
    </row>
    <row r="197">
      <c r="A197" s="58" t="str">
        <f>IFERROR(__xludf.DUMMYFUNCTION("""COMPUTED_VALUE"""),"DISEÑO DE UN SISTEMA DE GESTIÓN DE LA SEGURIDAD Y SALUD EN EL TRABAJO PARA LA EMPRESA DE CONFECCIONES ROMAN JEANS")</f>
        <v>DISEÑO DE UN SISTEMA DE GESTIÓN DE LA SEGURIDAD Y SALUD EN EL TRABAJO PARA LA EMPRESA DE CONFECCIONES ROMAN JEANS</v>
      </c>
      <c r="B197" s="58">
        <f>IFERROR(__xludf.DUMMYFUNCTION("""COMPUTED_VALUE"""),9.0)</f>
        <v>9</v>
      </c>
    </row>
    <row r="198">
      <c r="A198" s="58" t="str">
        <f>IFERROR(__xludf.DUMMYFUNCTION("""COMPUTED_VALUE"""),"DISEÑO DE UN SISTEMA DE GESTIÓN DE LA SEGURIDAD Y SALUD OCUPACIONAL BASADO EN LA NB/OHSAS 18001:2008 PARA EMPRESA METALÚRGICA AYLLON")</f>
        <v>DISEÑO DE UN SISTEMA DE GESTIÓN DE LA SEGURIDAD Y SALUD OCUPACIONAL BASADO EN LA NB/OHSAS 18001:2008 PARA EMPRESA METALÚRGICA AYLLON</v>
      </c>
      <c r="B198" s="58">
        <f>IFERROR(__xludf.DUMMYFUNCTION("""COMPUTED_VALUE"""),4.0)</f>
        <v>4</v>
      </c>
    </row>
    <row r="199">
      <c r="A199" s="58" t="str">
        <f>IFERROR(__xludf.DUMMYFUNCTION("""COMPUTED_VALUE"""),"DISEÑO DE UN SISTEMA DE GESTIÓN DE MANTENIMIENTO DE EQUIPOS PARA LA OBTENCIÓN DE LA MÁXIMA EFICIENCIA EN TELEFONÍA PÚBLICA DE COMTECO")</f>
        <v>DISEÑO DE UN SISTEMA DE GESTIÓN DE MANTENIMIENTO DE EQUIPOS PARA LA OBTENCIÓN DE LA MÁXIMA EFICIENCIA EN TELEFONÍA PÚBLICA DE COMTECO</v>
      </c>
      <c r="B199" s="58">
        <f>IFERROR(__xludf.DUMMYFUNCTION("""COMPUTED_VALUE"""),1.0)</f>
        <v>1</v>
      </c>
    </row>
    <row r="200">
      <c r="A200" s="58" t="str">
        <f>IFERROR(__xludf.DUMMYFUNCTION("""COMPUTED_VALUE"""),"DISEÑO DE UN SISTEMA DE GESTIÓN DE MANTENIMIENTO PARA LA FLOTA DE MIXERS Y LA DOSIFICADORA DE LA PLANTA READY MIX COCHABAMBA DE SOBOCE S.A.")</f>
        <v>DISEÑO DE UN SISTEMA DE GESTIÓN DE MANTENIMIENTO PARA LA FLOTA DE MIXERS Y LA DOSIFICADORA DE LA PLANTA READY MIX COCHABAMBA DE SOBOCE S.A.</v>
      </c>
      <c r="B200" s="58">
        <f>IFERROR(__xludf.DUMMYFUNCTION("""COMPUTED_VALUE"""),2.0)</f>
        <v>2</v>
      </c>
    </row>
    <row r="201">
      <c r="A201" s="58" t="str">
        <f>IFERROR(__xludf.DUMMYFUNCTION("""COMPUTED_VALUE"""),"DISEÑO DE UN SISTEMA DE GESTIÓN DE SEGURIDAD Y SALUD
EN EL TRABAJO EN BASE A LA ISO 45001 PARA EL COMITÉ
NACIONAL DE DESPACHO DE CARGA – CNDC")</f>
        <v>DISEÑO DE UN SISTEMA DE GESTIÓN DE SEGURIDAD Y SALUD
EN EL TRABAJO EN BASE A LA ISO 45001 PARA EL COMITÉ
NACIONAL DE DESPACHO DE CARGA – CNDC</v>
      </c>
      <c r="B201" s="58">
        <f>IFERROR(__xludf.DUMMYFUNCTION("""COMPUTED_VALUE"""),1.0)</f>
        <v>1</v>
      </c>
    </row>
    <row r="202">
      <c r="A202" s="58" t="str">
        <f>IFERROR(__xludf.DUMMYFUNCTION("""COMPUTED_VALUE"""),"DISEÑO DE UN SISTEMA DE GESTIÓN DE SEGURIDAD Y SALUD EN EL TRABAJO EN BASE A LA ISO 45001 PARA EL COMITÉ NACIONAL DE DESPACHO DE CARGA –CNDC")</f>
        <v>DISEÑO DE UN SISTEMA DE GESTIÓN DE SEGURIDAD Y SALUD EN EL TRABAJO EN BASE A LA ISO 45001 PARA EL COMITÉ NACIONAL DE DESPACHO DE CARGA –CNDC</v>
      </c>
      <c r="B202" s="58">
        <f>IFERROR(__xludf.DUMMYFUNCTION("""COMPUTED_VALUE"""),9.0)</f>
        <v>9</v>
      </c>
    </row>
    <row r="203">
      <c r="A203" s="58" t="str">
        <f>IFERROR(__xludf.DUMMYFUNCTION("""COMPUTED_VALUE"""),"DISEÑO DE UN SISTEMA DE GESTIÓN DE SEGURIDAD Y SALUD EN EL TRABAJO SEGÚN LA NORMA ISO 45001:2018 PARA LA EMPRESA         
 “INCERCO LTDA.”
")</f>
        <v>DISEÑO DE UN SISTEMA DE GESTIÓN DE SEGURIDAD Y SALUD EN EL TRABAJO SEGÚN LA NORMA ISO 45001:2018 PARA LA EMPRESA         
 “INCERCO LTDA.”
</v>
      </c>
      <c r="B203" s="58">
        <f>IFERROR(__xludf.DUMMYFUNCTION("""COMPUTED_VALUE"""),26.0)</f>
        <v>26</v>
      </c>
    </row>
    <row r="204">
      <c r="A204" s="58" t="str">
        <f>IFERROR(__xludf.DUMMYFUNCTION("""COMPUTED_VALUE"""),"DISEÑO DE UN SISTEMA DE GESTIÓN DE SEGURIDAD Y SALUD OCUPACIONAL BASADO EN LA NORMA OHSAS 18001: 2008 PARA LA EMPRESA BIOTOP S.R.L.")</f>
        <v>DISEÑO DE UN SISTEMA DE GESTIÓN DE SEGURIDAD Y SALUD OCUPACIONAL BASADO EN LA NORMA OHSAS 18001: 2008 PARA LA EMPRESA BIOTOP S.R.L.</v>
      </c>
      <c r="B204" s="58">
        <f>IFERROR(__xludf.DUMMYFUNCTION("""COMPUTED_VALUE"""),1.0)</f>
        <v>1</v>
      </c>
    </row>
    <row r="205">
      <c r="A205" s="58" t="str">
        <f>IFERROR(__xludf.DUMMYFUNCTION("""COMPUTED_VALUE"""),"DISEÑO DE UN SISTEMA DE GESTIÓN DE SEGURIDAD Y SALUD OCUPACIONAL EN BASE A LA NORMA OHSAS 18001:2007 PARA COBOCE HORMIGÓN EN LA CIUDAD DE COCHABAMBA")</f>
        <v>DISEÑO DE UN SISTEMA DE GESTIÓN DE SEGURIDAD Y SALUD OCUPACIONAL EN BASE A LA NORMA OHSAS 18001:2007 PARA COBOCE HORMIGÓN EN LA CIUDAD DE COCHABAMBA</v>
      </c>
      <c r="B205" s="58">
        <f>IFERROR(__xludf.DUMMYFUNCTION("""COMPUTED_VALUE"""),1.0)</f>
        <v>1</v>
      </c>
    </row>
    <row r="206">
      <c r="A206" s="58" t="str">
        <f>IFERROR(__xludf.DUMMYFUNCTION("""COMPUTED_VALUE"""),"DISEÑO DE UN SISTEMA DE GESTIÓN DE SEGURIDAD Y SALUD OCUPACIONAL PARA LA EMPRESA “CAHOI SRL.” BASADO EN LA NORMA ISO 45001")</f>
        <v>DISEÑO DE UN SISTEMA DE GESTIÓN DE SEGURIDAD Y SALUD OCUPACIONAL PARA LA EMPRESA “CAHOI SRL.” BASADO EN LA NORMA ISO 45001</v>
      </c>
      <c r="B206" s="58">
        <f>IFERROR(__xludf.DUMMYFUNCTION("""COMPUTED_VALUE"""),17.0)</f>
        <v>17</v>
      </c>
    </row>
    <row r="207">
      <c r="A207" s="58" t="str">
        <f>IFERROR(__xludf.DUMMYFUNCTION("""COMPUTED_VALUE"""),"DISEÑO DE UN SISTEMA DE GESTIÓN Y ASEGURAMIENTO DE LA CALIDAD DE LOS RESULTADOS DE CALIBRACIÓN, MEDICIÓN Y ENSAYO PARA EL LABORATORIO DE CALIBRACIÓN DEL LAB S.A. EN CONFORMIDAD A LA NORMA ISO/IEC 17025")</f>
        <v>DISEÑO DE UN SISTEMA DE GESTIÓN Y ASEGURAMIENTO DE LA CALIDAD DE LOS RESULTADOS DE CALIBRACIÓN, MEDICIÓN Y ENSAYO PARA EL LABORATORIO DE CALIBRACIÓN DEL LAB S.A. EN CONFORMIDAD A LA NORMA ISO/IEC 17025</v>
      </c>
      <c r="B207" s="58">
        <f>IFERROR(__xludf.DUMMYFUNCTION("""COMPUTED_VALUE"""),1.0)</f>
        <v>1</v>
      </c>
    </row>
    <row r="208">
      <c r="A208" s="58" t="str">
        <f>IFERROR(__xludf.DUMMYFUNCTION("""COMPUTED_VALUE"""),"DISEÑO DE UN SISTEMA DE INFORMACIÓN DE COSTOS DE MANTENIMIENTO PARA LA PANTA DE HORMIGÓN READY MIX COCHABAMBA DE SOBOCE S.A.")</f>
        <v>DISEÑO DE UN SISTEMA DE INFORMACIÓN DE COSTOS DE MANTENIMIENTO PARA LA PANTA DE HORMIGÓN READY MIX COCHABAMBA DE SOBOCE S.A.</v>
      </c>
      <c r="B208" s="58">
        <f>IFERROR(__xludf.DUMMYFUNCTION("""COMPUTED_VALUE"""),3.0)</f>
        <v>3</v>
      </c>
    </row>
    <row r="209">
      <c r="A209" s="58" t="str">
        <f>IFERROR(__xludf.DUMMYFUNCTION("""COMPUTED_VALUE"""),"DISEÑO DE UN SISTEMA DE INFORMACIÓN PARA LA GESTIÓN ADMINISTRATIVA DE LA DISTRIBUIDORA VILOMA GAS")</f>
        <v>DISEÑO DE UN SISTEMA DE INFORMACIÓN PARA LA GESTIÓN ADMINISTRATIVA DE LA DISTRIBUIDORA VILOMA GAS</v>
      </c>
      <c r="B209" s="58">
        <f>IFERROR(__xludf.DUMMYFUNCTION("""COMPUTED_VALUE"""),1.0)</f>
        <v>1</v>
      </c>
    </row>
    <row r="210">
      <c r="A210" s="58" t="str">
        <f>IFERROR(__xludf.DUMMYFUNCTION("""COMPUTED_VALUE"""),"DISEÑO DE UN SISTEMA DE PLANIFICACIÓN Y CONTROL DE LA PRODUCCIÓN DE LA EMPRESA CALRO")</f>
        <v>DISEÑO DE UN SISTEMA DE PLANIFICACIÓN Y CONTROL DE LA PRODUCCIÓN DE LA EMPRESA CALRO</v>
      </c>
      <c r="B210" s="58">
        <f>IFERROR(__xludf.DUMMYFUNCTION("""COMPUTED_VALUE"""),1.0)</f>
        <v>1</v>
      </c>
    </row>
    <row r="211">
      <c r="A211" s="58" t="str">
        <f>IFERROR(__xludf.DUMMYFUNCTION("""COMPUTED_VALUE"""),"DISEÑO DE UN SISTEMA DE PLANIFICACIÓN Y CONTROL DE MATERIALES EN EL ÁREA DE ALMACENES DE LA EMPRESA ESTRUTEC SRL")</f>
        <v>DISEÑO DE UN SISTEMA DE PLANIFICACIÓN Y CONTROL DE MATERIALES EN EL ÁREA DE ALMACENES DE LA EMPRESA ESTRUTEC SRL</v>
      </c>
      <c r="B211" s="58">
        <f>IFERROR(__xludf.DUMMYFUNCTION("""COMPUTED_VALUE"""),1.0)</f>
        <v>1</v>
      </c>
    </row>
    <row r="212">
      <c r="A212" s="58" t="str">
        <f>IFERROR(__xludf.DUMMYFUNCTION("""COMPUTED_VALUE"""),"DISEÑO DE UN SISTEMA INTEGRADO DE GESTION BASADO EN
OHSAS 18001:2003 E ISO 14001:2004 PARA LA PLANTA DE ENVASES
PLASTICOS “PILPLAST” DE PIL ANDINA S.A.")</f>
        <v>DISEÑO DE UN SISTEMA INTEGRADO DE GESTION BASADO EN
OHSAS 18001:2003 E ISO 14001:2004 PARA LA PLANTA DE ENVASES
PLASTICOS “PILPLAST” DE PIL ANDINA S.A.</v>
      </c>
      <c r="B212" s="58">
        <f>IFERROR(__xludf.DUMMYFUNCTION("""COMPUTED_VALUE"""),2.0)</f>
        <v>2</v>
      </c>
    </row>
    <row r="213">
      <c r="A213"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B213" s="58">
        <f>IFERROR(__xludf.DUMMYFUNCTION("""COMPUTED_VALUE"""),4.0)</f>
        <v>4</v>
      </c>
    </row>
    <row r="214">
      <c r="A214"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B214" s="58">
        <f>IFERROR(__xludf.DUMMYFUNCTION("""COMPUTED_VALUE"""),22.0)</f>
        <v>22</v>
      </c>
    </row>
    <row r="215">
      <c r="A215"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B215" s="58">
        <f>IFERROR(__xludf.DUMMYFUNCTION("""COMPUTED_VALUE"""),2.0)</f>
        <v>2</v>
      </c>
    </row>
    <row r="216">
      <c r="A216" s="58" t="str">
        <f>IFERROR(__xludf.DUMMYFUNCTION("""COMPUTED_VALUE"""),"DISEÑO DE UN SISTEMA INTEGRADO DE GESTIÓN PARA LA
EMPRESA METALMECÁNICA MOPAR S.A. BASADO EN LAS
NORMAS ISO 14001:2004 – OHSAS 18001:2007")</f>
        <v>DISEÑO DE UN SISTEMA INTEGRADO DE GESTIÓN PARA LA
EMPRESA METALMECÁNICA MOPAR S.A. BASADO EN LAS
NORMAS ISO 14001:2004 – OHSAS 18001:2007</v>
      </c>
      <c r="B216" s="58">
        <f>IFERROR(__xludf.DUMMYFUNCTION("""COMPUTED_VALUE"""),1.0)</f>
        <v>1</v>
      </c>
    </row>
    <row r="217">
      <c r="A217" s="58" t="str">
        <f>IFERROR(__xludf.DUMMYFUNCTION("""COMPUTED_VALUE"""),"DISEÑO DE UN SISTEMA INTEGRADO DE GESTIÓN PARA LA EMPRESA METALMECÁNICA MOPAR    S.A. BASADO EN LAS NORMAS ISO 14001:2004 – OHSAS 18001:2007")</f>
        <v>DISEÑO DE UN SISTEMA INTEGRADO DE GESTIÓN PARA LA EMPRESA METALMECÁNICA MOPAR    S.A. BASADO EN LAS NORMAS ISO 14001:2004 – OHSAS 18001:2007</v>
      </c>
      <c r="B217" s="58">
        <f>IFERROR(__xludf.DUMMYFUNCTION("""COMPUTED_VALUE"""),4.0)</f>
        <v>4</v>
      </c>
    </row>
    <row r="218">
      <c r="A218" s="58" t="str">
        <f>IFERROR(__xludf.DUMMYFUNCTION("""COMPUTED_VALUE"""),"DISEÑO DE UN SISTEMA INTEGRAL DE INOCUIDAD ALIMENTARIA BASADO EN LA NORMA NB-ISO 22000:2005 PARA LA INDUSTRIA DE ALIMENTOS Y BEBIDAS “FRUTOS DEL SUR")</f>
        <v>DISEÑO DE UN SISTEMA INTEGRAL DE INOCUIDAD ALIMENTARIA BASADO EN LA NORMA NB-ISO 22000:2005 PARA LA INDUSTRIA DE ALIMENTOS Y BEBIDAS “FRUTOS DEL SUR</v>
      </c>
      <c r="B218" s="58">
        <f>IFERROR(__xludf.DUMMYFUNCTION("""COMPUTED_VALUE"""),2.0)</f>
        <v>2</v>
      </c>
    </row>
    <row r="219">
      <c r="A219" s="58" t="str">
        <f>IFERROR(__xludf.DUMMYFUNCTION("""COMPUTED_VALUE"""),"DISEÑO DE UNA PLANTA DE PRODUCCIÓN DE ANHÍDRIDO SULFUROSO EN BOLIVIA")</f>
        <v>DISEÑO DE UNA PLANTA DE PRODUCCIÓN DE ANHÍDRIDO SULFUROSO EN BOLIVIA</v>
      </c>
      <c r="B219" s="58">
        <f>IFERROR(__xludf.DUMMYFUNCTION("""COMPUTED_VALUE"""),3.0)</f>
        <v>3</v>
      </c>
    </row>
    <row r="220">
      <c r="A220" s="58" t="str">
        <f>IFERROR(__xludf.DUMMYFUNCTION("""COMPUTED_VALUE"""),"DISEÑO DEL PLAN DE ANÁLISIS DE PELIGROS Y PUNTOS CRÍTICOS DE CONTROL PARA LA LÍNEA DE FRUTAS DESHIDRATADAS DE LA EMPRESA BOLIVIA'S FRUIT")</f>
        <v>DISEÑO DEL PLAN DE ANÁLISIS DE PELIGROS Y PUNTOS CRÍTICOS DE CONTROL PARA LA LÍNEA DE FRUTAS DESHIDRATADAS DE LA EMPRESA BOLIVIA'S FRUIT</v>
      </c>
      <c r="B220" s="58">
        <f>IFERROR(__xludf.DUMMYFUNCTION("""COMPUTED_VALUE"""),1.0)</f>
        <v>1</v>
      </c>
    </row>
    <row r="221">
      <c r="A221" s="58" t="str">
        <f>IFERROR(__xludf.DUMMYFUNCTION("""COMPUTED_VALUE"""),"DISEÑO DEL PLAN DE SEGURIDAD INDUSTRIAL Y MEDIO AMBIENTE DE LA EMPRESA CALRO EN LA CIUDAD DE COCHABAMBA.")</f>
        <v>DISEÑO DEL PLAN DE SEGURIDAD INDUSTRIAL Y MEDIO AMBIENTE DE LA EMPRESA CALRO EN LA CIUDAD DE COCHABAMBA.</v>
      </c>
      <c r="B221" s="58">
        <f>IFERROR(__xludf.DUMMYFUNCTION("""COMPUTED_VALUE"""),2.0)</f>
        <v>2</v>
      </c>
    </row>
    <row r="222">
      <c r="A222" s="58" t="str">
        <f>IFERROR(__xludf.DUMMYFUNCTION("""COMPUTED_VALUE"""),"DISEÑO DEL PROGRAMA DE SEGURIDAD Y SALUD EN EL TRABAJO PARA EL DEPARTAMENTO DE CURTIEMBRE DE MANUFACTURA BOLIVIANA MANACO S.A.")</f>
        <v>DISEÑO DEL PROGRAMA DE SEGURIDAD Y SALUD EN EL TRABAJO PARA EL DEPARTAMENTO DE CURTIEMBRE DE MANUFACTURA BOLIVIANA MANACO S.A.</v>
      </c>
      <c r="B222" s="58">
        <f>IFERROR(__xludf.DUMMYFUNCTION("""COMPUTED_VALUE"""),9.0)</f>
        <v>9</v>
      </c>
    </row>
    <row r="223">
      <c r="A223" s="58" t="str">
        <f>IFERROR(__xludf.DUMMYFUNCTION("""COMPUTED_VALUE"""),"DISEÑO DEL SISTEMA DE GESTION DE CALIDAD BASADO EN LA NB/ISO 9001:2015 PARA LA EMPRESA QUILOCONS SRL EN LA CIUDAD DE COCHABAMBA")</f>
        <v>DISEÑO DEL SISTEMA DE GESTION DE CALIDAD BASADO EN LA NB/ISO 9001:2015 PARA LA EMPRESA QUILOCONS SRL EN LA CIUDAD DE COCHABAMBA</v>
      </c>
      <c r="B223" s="58">
        <f>IFERROR(__xludf.DUMMYFUNCTION("""COMPUTED_VALUE"""),32.0)</f>
        <v>32</v>
      </c>
    </row>
    <row r="224">
      <c r="A224" s="58" t="str">
        <f>IFERROR(__xludf.DUMMYFUNCTION("""COMPUTED_VALUE"""),"DISEÑO DEL SISTEMA DE GESTIÓN DE CALIDAD BASADO EN LOS REQUISITOS DE LA NORMA ISO 9001:2008 PARA EL TALLER DE MANTENIMIENTO AERONÁUTICO DE ECOJET S.A. (TAME)")</f>
        <v>DISEÑO DEL SISTEMA DE GESTIÓN DE CALIDAD BASADO EN LOS REQUISITOS DE LA NORMA ISO 9001:2008 PARA EL TALLER DE MANTENIMIENTO AERONÁUTICO DE ECOJET S.A. (TAME)</v>
      </c>
      <c r="B224" s="58">
        <f>IFERROR(__xludf.DUMMYFUNCTION("""COMPUTED_VALUE"""),1.0)</f>
        <v>1</v>
      </c>
    </row>
    <row r="225">
      <c r="A225" s="58" t="str">
        <f>IFERROR(__xludf.DUMMYFUNCTION("""COMPUTED_VALUE"""),"DISEÑO DEL SISTEMA DE GESTIÓN DE CALIDAD BASADO EN LOS REQUISITOS DE LA NORMA NB/ISO 9001:2008 PARA LA EMPRESA MAMUT")</f>
        <v>DISEÑO DEL SISTEMA DE GESTIÓN DE CALIDAD BASADO EN LOS REQUISITOS DE LA NORMA NB/ISO 9001:2008 PARA LA EMPRESA MAMUT</v>
      </c>
      <c r="B225" s="58">
        <f>IFERROR(__xludf.DUMMYFUNCTION("""COMPUTED_VALUE"""),3.0)</f>
        <v>3</v>
      </c>
    </row>
    <row r="226">
      <c r="A226" s="58" t="str">
        <f>IFERROR(__xludf.DUMMYFUNCTION("""COMPUTED_VALUE"""),"DISEÑO DEL SISTEMA DE GESTIÓN DE CALIDAD BASADO EN LOS REQUISITOS DE LA NORMA NB/ISO 9001:2008 PARA LA EMPRESA “MAMUT”")</f>
        <v>DISEÑO DEL SISTEMA DE GESTIÓN DE CALIDAD BASADO EN LOS REQUISITOS DE LA NORMA NB/ISO 9001:2008 PARA LA EMPRESA “MAMUT”</v>
      </c>
      <c r="B226" s="58">
        <f>IFERROR(__xludf.DUMMYFUNCTION("""COMPUTED_VALUE"""),1.0)</f>
        <v>1</v>
      </c>
    </row>
    <row r="227">
      <c r="A227" s="58" t="str">
        <f>IFERROR(__xludf.DUMMYFUNCTION("""COMPUTED_VALUE"""),"DISEÑO DEL SISTEMA DE GESTIÓN DE CALIDAD PARA LA ASOCIACIÓN BOLIVIANA DE SOLDADURA ENSAYOS NO DESTRUCTIVOS INSPECCIÓN Y CORROSIÓN - ASBOSENDIC")</f>
        <v>DISEÑO DEL SISTEMA DE GESTIÓN DE CALIDAD PARA LA ASOCIACIÓN BOLIVIANA DE SOLDADURA ENSAYOS NO DESTRUCTIVOS INSPECCIÓN Y CORROSIÓN - ASBOSENDIC</v>
      </c>
      <c r="B227" s="58">
        <f>IFERROR(__xludf.DUMMYFUNCTION("""COMPUTED_VALUE"""),1.0)</f>
        <v>1</v>
      </c>
    </row>
    <row r="228">
      <c r="A228" s="58" t="str">
        <f>IFERROR(__xludf.DUMMYFUNCTION("""COMPUTED_VALUE"""),"DISEÑO DEL SISTEMA DE GESTIÓN EN SEGURIDAD INDUSTRIAL Y SALUD EN EL TRABAJO EN BASE A LA NB/ISO 45001:2018 PARA LA EMPRESA COBOCE HORMIGÓN DE LA CIUDAD DE COCHABAMBA.")</f>
        <v>DISEÑO DEL SISTEMA DE GESTIÓN EN SEGURIDAD INDUSTRIAL Y SALUD EN EL TRABAJO EN BASE A LA NB/ISO 45001:2018 PARA LA EMPRESA COBOCE HORMIGÓN DE LA CIUDAD DE COCHABAMBA.</v>
      </c>
      <c r="B228" s="58">
        <f>IFERROR(__xludf.DUMMYFUNCTION("""COMPUTED_VALUE"""),8.0)</f>
        <v>8</v>
      </c>
    </row>
    <row r="229">
      <c r="A229" s="58" t="str">
        <f>IFERROR(__xludf.DUMMYFUNCTION("""COMPUTED_VALUE"""),"DISEÑO DEL SISTEMA DE SEGURIDAD
INDUSTRIAL E HIGIENE OCUPACIONAL EN
INBOLTECO S.A.")</f>
        <v>DISEÑO DEL SISTEMA DE SEGURIDAD
INDUSTRIAL E HIGIENE OCUPACIONAL EN
INBOLTECO S.A.</v>
      </c>
      <c r="B229" s="58">
        <f>IFERROR(__xludf.DUMMYFUNCTION("""COMPUTED_VALUE"""),1.0)</f>
        <v>1</v>
      </c>
    </row>
    <row r="230">
      <c r="A230" s="58" t="str">
        <f>IFERROR(__xludf.DUMMYFUNCTION("""COMPUTED_VALUE"""),"DISEÑO DEL SISTEMA PRODUCTIVO PARA IMPLEMENTAR UNA PLANTA DESHIDRATADORA DE FRUTAS TROPICALES EN LA EMPRESA CORDILL S.A.")</f>
        <v>DISEÑO DEL SISTEMA PRODUCTIVO PARA IMPLEMENTAR UNA PLANTA DESHIDRATADORA DE FRUTAS TROPICALES EN LA EMPRESA CORDILL S.A.</v>
      </c>
      <c r="B230" s="58">
        <f>IFERROR(__xludf.DUMMYFUNCTION("""COMPUTED_VALUE"""),3.0)</f>
        <v>3</v>
      </c>
    </row>
    <row r="231">
      <c r="A231" s="58" t="str">
        <f>IFERROR(__xludf.DUMMYFUNCTION("""COMPUTED_VALUE"""),"DISEÑO E IMPLEMENTACIÓN DE LAS BUENAS PRÁCTICAS DE MANUFACTURA EN LA LINEA INDUSTRIAL DE CIA ALIMENTOS FOODS COMPANY S.R.L.")</f>
        <v>DISEÑO E IMPLEMENTACIÓN DE LAS BUENAS PRÁCTICAS DE MANUFACTURA EN LA LINEA INDUSTRIAL DE CIA ALIMENTOS FOODS COMPANY S.R.L.</v>
      </c>
      <c r="B231" s="58">
        <f>IFERROR(__xludf.DUMMYFUNCTION("""COMPUTED_VALUE"""),4.0)</f>
        <v>4</v>
      </c>
    </row>
    <row r="232">
      <c r="A232" s="58" t="str">
        <f>IFERROR(__xludf.DUMMYFUNCTION("""COMPUTED_VALUE"""),"DISEÑO E IMPLEMENTACIÓN DE UN MANUAL DE PROCEDIMIENTOS PARA LA EMPRESA SERING S.R.L")</f>
        <v>DISEÑO E IMPLEMENTACIÓN DE UN MANUAL DE PROCEDIMIENTOS PARA LA EMPRESA SERING S.R.L</v>
      </c>
      <c r="B232" s="58">
        <f>IFERROR(__xludf.DUMMYFUNCTION("""COMPUTED_VALUE"""),1.0)</f>
        <v>1</v>
      </c>
    </row>
    <row r="233">
      <c r="A233" s="58" t="str">
        <f>IFERROR(__xludf.DUMMYFUNCTION("""COMPUTED_VALUE"""),"DISEÑO E IMPLEMENTACIÓN DE UN MANUAL DE PROCEDIMIENTOS PARA LA EMPRESA SERING S.R.L.")</f>
        <v>DISEÑO E IMPLEMENTACIÓN DE UN MANUAL DE PROCEDIMIENTOS PARA LA EMPRESA SERING S.R.L.</v>
      </c>
      <c r="B233" s="58">
        <f>IFERROR(__xludf.DUMMYFUNCTION("""COMPUTED_VALUE"""),3.0)</f>
        <v>3</v>
      </c>
    </row>
    <row r="234">
      <c r="A234" s="58" t="str">
        <f>IFERROR(__xludf.DUMMYFUNCTION("""COMPUTED_VALUE"""),"DISEÑO E IMPLEMENTACIÓN DE UN PROGRAMA DE MANTENIMIENTO PREVENTIVO EN MAQUINARIAS Y EQUIPOS PARA CURTIEMBRE ""TAURO""")</f>
        <v>DISEÑO E IMPLEMENTACIÓN DE UN PROGRAMA DE MANTENIMIENTO PREVENTIVO EN MAQUINARIAS Y EQUIPOS PARA CURTIEMBRE "TAURO"</v>
      </c>
      <c r="B234" s="58">
        <f>IFERROR(__xludf.DUMMYFUNCTION("""COMPUTED_VALUE"""),2.0)</f>
        <v>2</v>
      </c>
    </row>
    <row r="235">
      <c r="A235"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B235" s="58">
        <f>IFERROR(__xludf.DUMMYFUNCTION("""COMPUTED_VALUE"""),1.0)</f>
        <v>1</v>
      </c>
    </row>
    <row r="236">
      <c r="A236"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B236" s="58">
        <f>IFERROR(__xludf.DUMMYFUNCTION("""COMPUTED_VALUE"""),1.0)</f>
        <v>1</v>
      </c>
    </row>
    <row r="237">
      <c r="A237"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B237" s="58">
        <f>IFERROR(__xludf.DUMMYFUNCTION("""COMPUTED_VALUE"""),15.0)</f>
        <v>15</v>
      </c>
    </row>
    <row r="238">
      <c r="A238" s="58" t="str">
        <f>IFERROR(__xludf.DUMMYFUNCTION("""COMPUTED_VALUE"""),"DISEÑO E IMPLEMENTACIÓN DE UN SISTEMA DE GESTIÓN DE LA CALIDAD BASADO EN LA NORMA BOLIVIANA NB/ISO 9001:2008
PARA LA EMPRESA MOBLEFINO")</f>
        <v>DISEÑO E IMPLEMENTACIÓN DE UN SISTEMA DE GESTIÓN DE LA CALIDAD BASADO EN LA NORMA BOLIVIANA NB/ISO 9001:2008
PARA LA EMPRESA MOBLEFINO</v>
      </c>
      <c r="B238" s="58">
        <f>IFERROR(__xludf.DUMMYFUNCTION("""COMPUTED_VALUE"""),1.0)</f>
        <v>1</v>
      </c>
    </row>
    <row r="239">
      <c r="A239" s="58" t="str">
        <f>IFERROR(__xludf.DUMMYFUNCTION("""COMPUTED_VALUE"""),"DISEÑO E IMPLEMENTACIÓN DE UN SISTEMA DE GESTIÓN DE LA CALIDAD BASADO EN LA NORMA BOLIVIANA NB/ISO 9001:2008 PARA LA EMPRESA MOBLEFINO.")</f>
        <v>DISEÑO E IMPLEMENTACIÓN DE UN SISTEMA DE GESTIÓN DE LA CALIDAD BASADO EN LA NORMA BOLIVIANA NB/ISO 9001:2008 PARA LA EMPRESA MOBLEFINO.</v>
      </c>
      <c r="B239" s="58">
        <f>IFERROR(__xludf.DUMMYFUNCTION("""COMPUTED_VALUE"""),6.0)</f>
        <v>6</v>
      </c>
    </row>
    <row r="240">
      <c r="A240" s="58" t="str">
        <f>IFERROR(__xludf.DUMMYFUNCTION("""COMPUTED_VALUE"""),"DISEÑO E IMPLEMENTACIÓN DE UN SISTEMA DE GESTIÓN DE STOCKS PARA UNILEVER ANDINA BOLIVIA S.A. EN ALMACÉN 3D DE LA CIUDAD DE COCHABAMBA")</f>
        <v>DISEÑO E IMPLEMENTACIÓN DE UN SISTEMA DE GESTIÓN DE STOCKS PARA UNILEVER ANDINA BOLIVIA S.A. EN ALMACÉN 3D DE LA CIUDAD DE COCHABAMBA</v>
      </c>
      <c r="B240" s="58">
        <f>IFERROR(__xludf.DUMMYFUNCTION("""COMPUTED_VALUE"""),1.0)</f>
        <v>1</v>
      </c>
    </row>
    <row r="241">
      <c r="A241" s="58" t="str">
        <f>IFERROR(__xludf.DUMMYFUNCTION("""COMPUTED_VALUE"""),"DISEÑO E IMPLEMENTACIÓN DE UN SISTEMA DE SEÑALÉTICA Y SEÑALIZACIÓN DE SEGURIDAD PARA LA FACULTAD DE CIENCIAS Y TECNOLOGÍA")</f>
        <v>DISEÑO E IMPLEMENTACIÓN DE UN SISTEMA DE SEÑALÉTICA Y SEÑALIZACIÓN DE SEGURIDAD PARA LA FACULTAD DE CIENCIAS Y TECNOLOGÍA</v>
      </c>
      <c r="B241" s="58">
        <f>IFERROR(__xludf.DUMMYFUNCTION("""COMPUTED_VALUE"""),2.0)</f>
        <v>2</v>
      </c>
    </row>
    <row r="242">
      <c r="A242" s="58" t="str">
        <f>IFERROR(__xludf.DUMMYFUNCTION("""COMPUTED_VALUE"""),"DISEÑO E IMPLEMENTACIÓN DEL PROYECTO AIRLIFT CON LA APLICACIÓN DE EEM (EARLY EQUIPMENT MANAGEMENT) DENTRO LA METODOLOGÍA DE TPM PARA LA PLANTA DE DETERGENTES DE UNILEVER ANDINA BOLIVIA S.A.")</f>
        <v>DISEÑO E IMPLEMENTACIÓN DEL PROYECTO AIRLIFT CON LA APLICACIÓN DE EEM (EARLY EQUIPMENT MANAGEMENT) DENTRO LA METODOLOGÍA DE TPM PARA LA PLANTA DE DETERGENTES DE UNILEVER ANDINA BOLIVIA S.A.</v>
      </c>
      <c r="B242" s="58">
        <f>IFERROR(__xludf.DUMMYFUNCTION("""COMPUTED_VALUE"""),2.0)</f>
        <v>2</v>
      </c>
    </row>
    <row r="243">
      <c r="A243" s="58" t="str">
        <f>IFERROR(__xludf.DUMMYFUNCTION("""COMPUTED_VALUE"""),"DISEÑO E IMPLEMENTACIÓN DEL SISTEMA DE ANÁLISIS DE PELIGROS Y PUNTOS CRÍTICOS DE CONTROL (HACCP) PARA EL CENTRO NACIONAL DE DISTRIBUCIÓN DE UNILEVER ANDINA BOLIVIA S.A")</f>
        <v>DISEÑO E IMPLEMENTACIÓN DEL SISTEMA DE ANÁLISIS DE PELIGROS Y PUNTOS CRÍTICOS DE CONTROL (HACCP) PARA EL CENTRO NACIONAL DE DISTRIBUCIÓN DE UNILEVER ANDINA BOLIVIA S.A</v>
      </c>
      <c r="B243" s="58">
        <f>IFERROR(__xludf.DUMMYFUNCTION("""COMPUTED_VALUE"""),1.0)</f>
        <v>1</v>
      </c>
    </row>
    <row r="244">
      <c r="A244" s="58" t="str">
        <f>IFERROR(__xludf.DUMMYFUNCTION("""COMPUTED_VALUE"""),"DISEÑO LÓGICO DE UN SISTEMA INFORMÁTICO PARA LA ADMINISTRACIÓN DE RECURSOS HUMANOS DE E.M.S.A.")</f>
        <v>DISEÑO LÓGICO DE UN SISTEMA INFORMÁTICO PARA LA ADMINISTRACIÓN DE RECURSOS HUMANOS DE E.M.S.A.</v>
      </c>
      <c r="B244" s="58">
        <f>IFERROR(__xludf.DUMMYFUNCTION("""COMPUTED_VALUE"""),2.0)</f>
        <v>2</v>
      </c>
    </row>
    <row r="245">
      <c r="A245"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B245" s="58">
        <f>IFERROR(__xludf.DUMMYFUNCTION("""COMPUTED_VALUE"""),9.0)</f>
        <v>9</v>
      </c>
    </row>
    <row r="246">
      <c r="A246"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B246" s="58">
        <f>IFERROR(__xludf.DUMMYFUNCTION("""COMPUTED_VALUE"""),4.0)</f>
        <v>4</v>
      </c>
    </row>
    <row r="247">
      <c r="A247" s="58" t="str">
        <f>IFERROR(__xludf.DUMMYFUNCTION("""COMPUTED_VALUE"""),"DISEÑO PARA LA IMPLEMENTACIÓN DE UN PROGRAMA DE SEGURIDAD Y SALUD EN EL TRABAJO SEGÚN LA NTS 009/18")</f>
        <v>DISEÑO PARA LA IMPLEMENTACIÓN DE UN PROGRAMA DE SEGURIDAD Y SALUD EN EL TRABAJO SEGÚN LA NTS 009/18</v>
      </c>
      <c r="B247" s="58">
        <f>IFERROR(__xludf.DUMMYFUNCTION("""COMPUTED_VALUE"""),14.0)</f>
        <v>14</v>
      </c>
    </row>
    <row r="248">
      <c r="A248" s="58" t="str">
        <f>IFERROR(__xludf.DUMMYFUNCTION("""COMPUTED_VALUE"""),"DISEÑO Y DESARROLLO DE UN SISTEMA DE GESTIÓN DE LA CALIDAD BASADO EN LA NORMA NB ISO 9001:2000 PARA CURTIEMBRE Y MANUFACTURA CURMA SRL. (DOCUMENTACIÓN DEL SISTEMA)")</f>
        <v>DISEÑO Y DESARROLLO DE UN SISTEMA DE GESTIÓN DE LA CALIDAD BASADO EN LA NORMA NB ISO 9001:2000 PARA CURTIEMBRE Y MANUFACTURA CURMA SRL. (DOCUMENTACIÓN DEL SISTEMA)</v>
      </c>
      <c r="B248" s="58">
        <f>IFERROR(__xludf.DUMMYFUNCTION("""COMPUTED_VALUE"""),1.0)</f>
        <v>1</v>
      </c>
    </row>
    <row r="249">
      <c r="A249" s="58" t="str">
        <f>IFERROR(__xludf.DUMMYFUNCTION("""COMPUTED_VALUE"""),"DISEÑO Y PLANIFICACIÓN DE UN MODELO DE GESTIÓN Y TRATAMIENTO DE RESÍDUOS SÓLIDOS PARA LA CIUDAD DE PUNATA")</f>
        <v>DISEÑO Y PLANIFICACIÓN DE UN MODELO DE GESTIÓN Y TRATAMIENTO DE RESÍDUOS SÓLIDOS PARA LA CIUDAD DE PUNATA</v>
      </c>
      <c r="B249" s="58">
        <f>IFERROR(__xludf.DUMMYFUNCTION("""COMPUTED_VALUE"""),2.0)</f>
        <v>2</v>
      </c>
    </row>
    <row r="250">
      <c r="A250" s="58" t="str">
        <f>IFERROR(__xludf.DUMMYFUNCTION("""COMPUTED_VALUE"""),"DISEÑO, INGENIERÍA BÁSICA Y EVALUACIÓN DE COSTOS DEL TENDIDO DEL TRAMO ESPECIAL PAROTANI-MILLUKASA DEL POLIDUCTO OCOLP II")</f>
        <v>DISEÑO, INGENIERÍA BÁSICA Y EVALUACIÓN DE COSTOS DEL TENDIDO DEL TRAMO ESPECIAL PAROTANI-MILLUKASA DEL POLIDUCTO OCOLP II</v>
      </c>
      <c r="B250" s="58">
        <f>IFERROR(__xludf.DUMMYFUNCTION("""COMPUTED_VALUE"""),2.0)</f>
        <v>2</v>
      </c>
    </row>
    <row r="251">
      <c r="A251" s="58" t="str">
        <f>IFERROR(__xludf.DUMMYFUNCTION("""COMPUTED_VALUE"""),"ELABORACION DE UN MANUAL DE PROCEDIMIENTOS BASADO EN EL MODELO DE GESTION POR PROCESOS PARA LA PLANTA ENGARRAFADORA DE YPFB VALLEHERMOSO COCHABAMBA")</f>
        <v>ELABORACION DE UN MANUAL DE PROCEDIMIENTOS BASADO EN EL MODELO DE GESTION POR PROCESOS PARA LA PLANTA ENGARRAFADORA DE YPFB VALLEHERMOSO COCHABAMBA</v>
      </c>
      <c r="B251" s="58">
        <f>IFERROR(__xludf.DUMMYFUNCTION("""COMPUTED_VALUE"""),4.0)</f>
        <v>4</v>
      </c>
    </row>
    <row r="252">
      <c r="A252" s="58" t="str">
        <f>IFERROR(__xludf.DUMMYFUNCTION("""COMPUTED_VALUE"""),"ELABORACION DEL PROGRAMA DE SEGURIDAD Y SALUD EN EL TRABAJO EN BASE A LA NORMA NTS 009/18 PARA LA UNIDAD PRODUCTIVA ""COBOCE HORMIGON"" DE LA COOPERATIVA MULTIACTIVA COBOCE RL.")</f>
        <v>ELABORACION DEL PROGRAMA DE SEGURIDAD Y SALUD EN EL TRABAJO EN BASE A LA NORMA NTS 009/18 PARA LA UNIDAD PRODUCTIVA "COBOCE HORMIGON" DE LA COOPERATIVA MULTIACTIVA COBOCE RL.</v>
      </c>
      <c r="B252" s="58">
        <f>IFERROR(__xludf.DUMMYFUNCTION("""COMPUTED_VALUE"""),8.0)</f>
        <v>8</v>
      </c>
    </row>
    <row r="253">
      <c r="A253" s="58" t="str">
        <f>IFERROR(__xludf.DUMMYFUNCTION("""COMPUTED_VALUE"""),"ELABORACIÓN DE PROGRAMA DE SEGURIDAD Y SALUD EN EL TRABAJO SEGÚN NTS-009/18 PARA LA EMPRESA THINK FREE CONSTRUCCIONES S.R.L")</f>
        <v>ELABORACIÓN DE PROGRAMA DE SEGURIDAD Y SALUD EN EL TRABAJO SEGÚN NTS-009/18 PARA LA EMPRESA THINK FREE CONSTRUCCIONES S.R.L</v>
      </c>
      <c r="B253" s="58">
        <f>IFERROR(__xludf.DUMMYFUNCTION("""COMPUTED_VALUE"""),27.0)</f>
        <v>27</v>
      </c>
    </row>
    <row r="254">
      <c r="A254" s="58" t="str">
        <f>IFERROR(__xludf.DUMMYFUNCTION("""COMPUTED_VALUE"""),"ELABORACIÓN DE UN DISEÑO DE MANTENIMIENTO PRODUCTIVO TOTAL (TPM) PARA LA EMPRESA PAPELERA VINTO SRL")</f>
        <v>ELABORACIÓN DE UN DISEÑO DE MANTENIMIENTO PRODUCTIVO TOTAL (TPM) PARA LA EMPRESA PAPELERA VINTO SRL</v>
      </c>
      <c r="B254" s="58">
        <f>IFERROR(__xludf.DUMMYFUNCTION("""COMPUTED_VALUE"""),2.0)</f>
        <v>2</v>
      </c>
    </row>
    <row r="255">
      <c r="A255" s="58" t="str">
        <f>IFERROR(__xludf.DUMMYFUNCTION("""COMPUTED_VALUE"""),"ELABORACIÓN DE UN ESTUDIO ERGONÓMICO Y DETERMINACIÓN DE PROPUESTAS DE MEJORA PARA LA EMPRESA ELFEC S.A.")</f>
        <v>ELABORACIÓN DE UN ESTUDIO ERGONÓMICO Y DETERMINACIÓN DE PROPUESTAS DE MEJORA PARA LA EMPRESA ELFEC S.A.</v>
      </c>
      <c r="B255" s="58">
        <f>IFERROR(__xludf.DUMMYFUNCTION("""COMPUTED_VALUE"""),3.0)</f>
        <v>3</v>
      </c>
    </row>
    <row r="256">
      <c r="A256" s="58" t="str">
        <f>IFERROR(__xludf.DUMMYFUNCTION("""COMPUTED_VALUE"""),"ELABORACIÓN DE UN MANUAL DE PROCEDIMIENTOS BASADO EN EL MODELO DE GESTIÓN POR PROCESOS PARALA PLANTA ENGARRAFADORA DE YPFB-VALLEHERMOSO COCHABAMBA")</f>
        <v>ELABORACIÓN DE UN MANUAL DE PROCEDIMIENTOS BASADO EN EL MODELO DE GESTIÓN POR PROCESOS PARALA PLANTA ENGARRAFADORA DE YPFB-VALLEHERMOSO COCHABAMBA</v>
      </c>
      <c r="B256" s="58">
        <f>IFERROR(__xludf.DUMMYFUNCTION("""COMPUTED_VALUE"""),1.0)</f>
        <v>1</v>
      </c>
    </row>
    <row r="257">
      <c r="A257" s="58" t="str">
        <f>IFERROR(__xludf.DUMMYFUNCTION("""COMPUTED_VALUE"""),"ELABORACIÓN DE UN MANUAL DE PROCEDIMIENTOS PARA EL CENTRO DE OPERACIONES DE REDES (NOC) DE COMTECO.")</f>
        <v>ELABORACIÓN DE UN MANUAL DE PROCEDIMIENTOS PARA EL CENTRO DE OPERACIONES DE REDES (NOC) DE COMTECO.</v>
      </c>
      <c r="B257" s="58">
        <f>IFERROR(__xludf.DUMMYFUNCTION("""COMPUTED_VALUE"""),1.0)</f>
        <v>1</v>
      </c>
    </row>
    <row r="258">
      <c r="A258" s="58" t="str">
        <f>IFERROR(__xludf.DUMMYFUNCTION("""COMPUTED_VALUE"""),"ELABORACIÓN DE UN MODELO DEL PLAN HACCP EN LA EMPRESA AGROINDUSTRIAL DE ALIMENTOS VIGOR PARA LA LÍNEA DE LECHE ENTERA")</f>
        <v>ELABORACIÓN DE UN MODELO DEL PLAN HACCP EN LA EMPRESA AGROINDUSTRIAL DE ALIMENTOS VIGOR PARA LA LÍNEA DE LECHE ENTERA</v>
      </c>
      <c r="B258" s="58">
        <f>IFERROR(__xludf.DUMMYFUNCTION("""COMPUTED_VALUE"""),1.0)</f>
        <v>1</v>
      </c>
    </row>
    <row r="259">
      <c r="A259" s="58" t="str">
        <f>IFERROR(__xludf.DUMMYFUNCTION("""COMPUTED_VALUE"""),"ELABORACIÓN DE UN PLAN DE EMERGENCIAS EN EL EDIFICIO TÉCNICO")</f>
        <v>ELABORACIÓN DE UN PLAN DE EMERGENCIAS EN EL EDIFICIO TÉCNICO</v>
      </c>
      <c r="B259" s="58">
        <f>IFERROR(__xludf.DUMMYFUNCTION("""COMPUTED_VALUE"""),4.0)</f>
        <v>4</v>
      </c>
    </row>
    <row r="260">
      <c r="A260" s="58" t="str">
        <f>IFERROR(__xludf.DUMMYFUNCTION("""COMPUTED_VALUE"""),"ELABORACIÓN DE UN PLAN DE HIGIENE, SEGURIDAD OCUPACIONAL Y BIENESTAR PARA LA EMPRESA PRE PIZZAS LA ROSA")</f>
        <v>ELABORACIÓN DE UN PLAN DE HIGIENE, SEGURIDAD OCUPACIONAL Y BIENESTAR PARA LA EMPRESA PRE PIZZAS LA ROSA</v>
      </c>
      <c r="B260" s="58">
        <f>IFERROR(__xludf.DUMMYFUNCTION("""COMPUTED_VALUE"""),23.0)</f>
        <v>23</v>
      </c>
    </row>
    <row r="261">
      <c r="A261" s="58" t="str">
        <f>IFERROR(__xludf.DUMMYFUNCTION("""COMPUTED_VALUE"""),"ELABORACIÓN DE UN PLAN DE HIGIENE, SEGURIDAD OCUPACIONAL Y BIENESTAR PARA LA PLANTA PROCESADORA DE FRUTAS LACTEOSBOL")</f>
        <v>ELABORACIÓN DE UN PLAN DE HIGIENE, SEGURIDAD OCUPACIONAL Y BIENESTAR PARA LA PLANTA PROCESADORA DE FRUTAS LACTEOSBOL</v>
      </c>
      <c r="B261" s="58">
        <f>IFERROR(__xludf.DUMMYFUNCTION("""COMPUTED_VALUE"""),1.0)</f>
        <v>1</v>
      </c>
    </row>
    <row r="262">
      <c r="A262" s="58" t="str">
        <f>IFERROR(__xludf.DUMMYFUNCTION("""COMPUTED_VALUE"""),"ELABORACIÓN DE UN PLAN ESTRATÉGICO DE MARKETING PARA INDUSTRIAS ALIMENTICIAS LA MODERNA S.R.L")</f>
        <v>ELABORACIÓN DE UN PLAN ESTRATÉGICO DE MARKETING PARA INDUSTRIAS ALIMENTICIAS LA MODERNA S.R.L</v>
      </c>
      <c r="B262" s="58">
        <f>IFERROR(__xludf.DUMMYFUNCTION("""COMPUTED_VALUE"""),1.0)</f>
        <v>1</v>
      </c>
    </row>
    <row r="263">
      <c r="A263" s="58" t="str">
        <f>IFERROR(__xludf.DUMMYFUNCTION("""COMPUTED_VALUE"""),"ELABORACIÓN DE UN PLAN ESTRATÉGICO PARA LA CARRERA DE INGENIERÍA QUÍMICA")</f>
        <v>ELABORACIÓN DE UN PLAN ESTRATÉGICO PARA LA CARRERA DE INGENIERÍA QUÍMICA</v>
      </c>
      <c r="B263" s="58">
        <f>IFERROR(__xludf.DUMMYFUNCTION("""COMPUTED_VALUE"""),1.0)</f>
        <v>1</v>
      </c>
    </row>
    <row r="264">
      <c r="A264" s="58" t="str">
        <f>IFERROR(__xludf.DUMMYFUNCTION("""COMPUTED_VALUE"""),"ELABORACIÓN DE UN PLAN ESTRATÉGICO PARA LA EMPRESA CONSTRUCTORA FERMONT S.R.L. EN EL DEPARTAMENTO DE COCHABAMBA")</f>
        <v>ELABORACIÓN DE UN PLAN ESTRATÉGICO PARA LA EMPRESA CONSTRUCTORA FERMONT S.R.L. EN EL DEPARTAMENTO DE COCHABAMBA</v>
      </c>
      <c r="B264" s="58">
        <f>IFERROR(__xludf.DUMMYFUNCTION("""COMPUTED_VALUE"""),1.0)</f>
        <v>1</v>
      </c>
    </row>
    <row r="265">
      <c r="A265" s="58" t="str">
        <f>IFERROR(__xludf.DUMMYFUNCTION("""COMPUTED_VALUE"""),"ELABORACIÓN DE UN SISTEMA DE CONTROL DE INVENTARIOS PARA EL ALMACÉN DE MATERIA PRIMA Y MATERIAL DE EMPAQUE EN LA EMPRESA ASTRIX S.A. CBBA.")</f>
        <v>ELABORACIÓN DE UN SISTEMA DE CONTROL DE INVENTARIOS PARA EL ALMACÉN DE MATERIA PRIMA Y MATERIAL DE EMPAQUE EN LA EMPRESA ASTRIX S.A. CBBA.</v>
      </c>
      <c r="B265" s="58">
        <f>IFERROR(__xludf.DUMMYFUNCTION("""COMPUTED_VALUE"""),8.0)</f>
        <v>8</v>
      </c>
    </row>
    <row r="266">
      <c r="A266" s="58" t="str">
        <f>IFERROR(__xludf.DUMMYFUNCTION("""COMPUTED_VALUE"""),"ELABORACIÓN DE UN SISTEMA DE GESTIÓN AMBIENTAL BASADO EN LA NORMA ISO 14001 PARA INDUSTRIAS DE ACEITE S.A.")</f>
        <v>ELABORACIÓN DE UN SISTEMA DE GESTIÓN AMBIENTAL BASADO EN LA NORMA ISO 14001 PARA INDUSTRIAS DE ACEITE S.A.</v>
      </c>
      <c r="B266" s="58">
        <f>IFERROR(__xludf.DUMMYFUNCTION("""COMPUTED_VALUE"""),6.0)</f>
        <v>6</v>
      </c>
    </row>
    <row r="267">
      <c r="A267" s="58" t="str">
        <f>IFERROR(__xludf.DUMMYFUNCTION("""COMPUTED_VALUE"""),"ELABORACIÓN DE UN SISTEMA DE GESTIÓN DE LA CALIDAD CON BASE A LA NB/ISO 9001:2008 PARA LA EMPRESA MANUFACTURA Y CURTIEMBRE CURMA S.R.L.")</f>
        <v>ELABORACIÓN DE UN SISTEMA DE GESTIÓN DE LA CALIDAD CON BASE A LA NB/ISO 9001:2008 PARA LA EMPRESA MANUFACTURA Y CURTIEMBRE CURMA S.R.L.</v>
      </c>
      <c r="B267" s="58">
        <f>IFERROR(__xludf.DUMMYFUNCTION("""COMPUTED_VALUE"""),2.0)</f>
        <v>2</v>
      </c>
    </row>
    <row r="268">
      <c r="A268" s="58" t="str">
        <f>IFERROR(__xludf.DUMMYFUNCTION("""COMPUTED_VALUE"""),"ELABORACIÓN DE UN SISTEMA DE GESTIÓN DE PROYECTOS EN BASE A LA NORMA ISO 21500 PARA COBOCE HORMIGÓN COCHABAMBA")</f>
        <v>ELABORACIÓN DE UN SISTEMA DE GESTIÓN DE PROYECTOS EN BASE A LA NORMA ISO 21500 PARA COBOCE HORMIGÓN COCHABAMBA</v>
      </c>
      <c r="B268" s="58">
        <f>IFERROR(__xludf.DUMMYFUNCTION("""COMPUTED_VALUE"""),1.0)</f>
        <v>1</v>
      </c>
    </row>
    <row r="269">
      <c r="A269" s="58" t="str">
        <f>IFERROR(__xludf.DUMMYFUNCTION("""COMPUTED_VALUE"""),"ELABORACIÓN DEL MANUAL DE PRODUCCIÓN DE CURTIEMBRE TAURO LTDA.")</f>
        <v>ELABORACIÓN DEL MANUAL DE PRODUCCIÓN DE CURTIEMBRE TAURO LTDA.</v>
      </c>
      <c r="B269" s="58">
        <f>IFERROR(__xludf.DUMMYFUNCTION("""COMPUTED_VALUE"""),2.0)</f>
        <v>2</v>
      </c>
    </row>
    <row r="270">
      <c r="A270" s="58" t="str">
        <f>IFERROR(__xludf.DUMMYFUNCTION("""COMPUTED_VALUE"""),"ELABORACIÓN MANUAL DEL SISTEMA INTEGRADO DE
GESTIÓN PARA LA EMPRESA MITBOL S.R.L. EN BASE A
NORMAS ISO 9001, ISO 14001 Y OHSAS 18001")</f>
        <v>ELABORACIÓN MANUAL DEL SISTEMA INTEGRADO DE
GESTIÓN PARA LA EMPRESA MITBOL S.R.L. EN BASE A
NORMAS ISO 9001, ISO 14001 Y OHSAS 18001</v>
      </c>
      <c r="B270" s="58">
        <f>IFERROR(__xludf.DUMMYFUNCTION("""COMPUTED_VALUE"""),1.0)</f>
        <v>1</v>
      </c>
    </row>
    <row r="271">
      <c r="A271" s="58" t="str">
        <f>IFERROR(__xludf.DUMMYFUNCTION("""COMPUTED_VALUE"""),"ELABORACIÓN MANUAL DEL SISTEMA INTEGRADO DE GESTIÓN PARA LA EMPRESA MITBOL S.R.L. EN BASE A NORMAS ISO 9001, ISO 14001 Y OHSAS 18001")</f>
        <v>ELABORACIÓN MANUAL DEL SISTEMA INTEGRADO DE GESTIÓN PARA LA EMPRESA MITBOL S.R.L. EN BASE A NORMAS ISO 9001, ISO 14001 Y OHSAS 18001</v>
      </c>
      <c r="B271" s="58">
        <f>IFERROR(__xludf.DUMMYFUNCTION("""COMPUTED_VALUE"""),2.0)</f>
        <v>2</v>
      </c>
    </row>
    <row r="272">
      <c r="A272" s="58" t="str">
        <f>IFERROR(__xludf.DUMMYFUNCTION("""COMPUTED_VALUE"""),"ESTABLECIMIENTO DE UN SISTEMA DE GESTIÓN DE LA CALIDAD EN BASE A LA NORMA ISO 9001:2000, EN LA LÍNEA DE BOLSAS Y SACOS  DE PAPEL PARA LA EMPRESA LA PAPELERA S.A. CBBA")</f>
        <v>ESTABLECIMIENTO DE UN SISTEMA DE GESTIÓN DE LA CALIDAD EN BASE A LA NORMA ISO 9001:2000, EN LA LÍNEA DE BOLSAS Y SACOS  DE PAPEL PARA LA EMPRESA LA PAPELERA S.A. CBBA</v>
      </c>
      <c r="B272" s="58">
        <f>IFERROR(__xludf.DUMMYFUNCTION("""COMPUTED_VALUE"""),1.0)</f>
        <v>1</v>
      </c>
    </row>
    <row r="273">
      <c r="A273" s="58" t="str">
        <f>IFERROR(__xludf.DUMMYFUNCTION("""COMPUTED_VALUE"""),"ESTANDARIZACIÓN DE TIEMPOS - OPERACIONES Y SEGURIDAD INDUSTRIAL EN LA EMPRESA CÓRDOVA")</f>
        <v>ESTANDARIZACIÓN DE TIEMPOS - OPERACIONES Y SEGURIDAD INDUSTRIAL EN LA EMPRESA CÓRDOVA</v>
      </c>
      <c r="B273" s="58">
        <f>IFERROR(__xludf.DUMMYFUNCTION("""COMPUTED_VALUE"""),7.0)</f>
        <v>7</v>
      </c>
    </row>
    <row r="274">
      <c r="A274" s="58" t="str">
        <f>IFERROR(__xludf.DUMMYFUNCTION("""COMPUTED_VALUE"""),"ESTANDARIZACIÓN DE TIEMPOS – OPERACIONES Y SEGURIDAD INDUSTRIAL EN LA EMPRESA CÓRDOVA")</f>
        <v>ESTANDARIZACIÓN DE TIEMPOS – OPERACIONES Y SEGURIDAD INDUSTRIAL EN LA EMPRESA CÓRDOVA</v>
      </c>
      <c r="B274" s="58">
        <f>IFERROR(__xludf.DUMMYFUNCTION("""COMPUTED_VALUE"""),1.0)</f>
        <v>1</v>
      </c>
    </row>
    <row r="275">
      <c r="A275" s="58" t="str">
        <f>IFERROR(__xludf.DUMMYFUNCTION("""COMPUTED_VALUE"""),"ESTRATEGIA DE COMERCIALIZACIÓN PARA LA PLANTA DISTRIBUIDORA DE GAS LICUADO DE PETRÓLEO FERRO GAS EN EL DEPARTAMENTO DE COCHABAMBA")</f>
        <v>ESTRATEGIA DE COMERCIALIZACIÓN PARA LA PLANTA DISTRIBUIDORA DE GAS LICUADO DE PETRÓLEO FERRO GAS EN EL DEPARTAMENTO DE COCHABAMBA</v>
      </c>
      <c r="B275" s="58">
        <f>IFERROR(__xludf.DUMMYFUNCTION("""COMPUTED_VALUE"""),1.0)</f>
        <v>1</v>
      </c>
    </row>
    <row r="276">
      <c r="A276" s="58" t="str">
        <f>IFERROR(__xludf.DUMMYFUNCTION("""COMPUTED_VALUE"""),"ESTRUCTURACIÓN ORGANIZACIONAL DE LA EMPRESA SMART LINK TELECOM")</f>
        <v>ESTRUCTURACIÓN ORGANIZACIONAL DE LA EMPRESA SMART LINK TELECOM</v>
      </c>
      <c r="B276" s="58">
        <f>IFERROR(__xludf.DUMMYFUNCTION("""COMPUTED_VALUE"""),1.0)</f>
        <v>1</v>
      </c>
    </row>
    <row r="277">
      <c r="A277" s="58" t="str">
        <f>IFERROR(__xludf.DUMMYFUNCTION("""COMPUTED_VALUE"""),"ESTUDIO DE *FACTIBILIDAD PARA LA IMPLEMENTACIÓN DE UNA PLANTA PRODUCTORA DE ABONO ORGÁNICO A BASE DE RESIDUOS SÓLIDOS ORGÁNICOS EN EL MUNICIPIO DE SANTIVAÑEZ")</f>
        <v>ESTUDIO DE *FACTIBILIDAD PARA LA IMPLEMENTACIÓN DE UNA PLANTA PRODUCTORA DE ABONO ORGÁNICO A BASE DE RESIDUOS SÓLIDOS ORGÁNICOS EN EL MUNICIPIO DE SANTIVAÑEZ</v>
      </c>
      <c r="B277" s="58">
        <f>IFERROR(__xludf.DUMMYFUNCTION("""COMPUTED_VALUE"""),6.0)</f>
        <v>6</v>
      </c>
    </row>
    <row r="278">
      <c r="A278" s="58" t="str">
        <f>IFERROR(__xludf.DUMMYFUNCTION("""COMPUTED_VALUE"""),"ESTUDIO DE COSTOS, PLANIFICACIÓN Y CONTROL DE LA PRODUCCIÓN PARA LA EMPRESA A R I E L J E A N S")</f>
        <v>ESTUDIO DE COSTOS, PLANIFICACIÓN Y CONTROL DE LA PRODUCCIÓN PARA LA EMPRESA A R I E L J E A N S</v>
      </c>
      <c r="B278" s="58">
        <f>IFERROR(__xludf.DUMMYFUNCTION("""COMPUTED_VALUE"""),1.0)</f>
        <v>1</v>
      </c>
    </row>
    <row r="279">
      <c r="A279" s="58" t="str">
        <f>IFERROR(__xludf.DUMMYFUNCTION("""COMPUTED_VALUE"""),"ESTUDIO DE EVALUACIÓN INTEGRAL PARA LA INSTALACIÓN DE UN MATADERO EN EL MUNICIPIO DE VINTO")</f>
        <v>ESTUDIO DE EVALUACIÓN INTEGRAL PARA LA INSTALACIÓN DE UN MATADERO EN EL MUNICIPIO DE VINTO</v>
      </c>
      <c r="B279" s="58">
        <f>IFERROR(__xludf.DUMMYFUNCTION("""COMPUTED_VALUE"""),1.0)</f>
        <v>1</v>
      </c>
    </row>
    <row r="280">
      <c r="A280" s="58" t="str">
        <f>IFERROR(__xludf.DUMMYFUNCTION("""COMPUTED_VALUE"""),"ESTUDIO DE FACTIBILIDA PARA LA INSTALACION DE UNA PLANTA ELABORADORA DE CARAMBOLA EN ALMIBAR PARA EL MERCADO DE COCHABAMBA")</f>
        <v>ESTUDIO DE FACTIBILIDA PARA LA INSTALACION DE UNA PLANTA ELABORADORA DE CARAMBOLA EN ALMIBAR PARA EL MERCADO DE COCHABAMBA</v>
      </c>
      <c r="B280" s="58">
        <f>IFERROR(__xludf.DUMMYFUNCTION("""COMPUTED_VALUE"""),2.0)</f>
        <v>2</v>
      </c>
    </row>
    <row r="281">
      <c r="A281" s="58" t="str">
        <f>IFERROR(__xludf.DUMMYFUNCTION("""COMPUTED_VALUE"""),"ESTUDIO DE FACTIBILIDAD  PARA LA CREACIÓN DE UNA FÁBRICA DE VIGUETAS PRETENSADAS PARA LA CIUDAD DEL CERCADO DE COCHABAMBA")</f>
        <v>ESTUDIO DE FACTIBILIDAD  PARA LA CREACIÓN DE UNA FÁBRICA DE VIGUETAS PRETENSADAS PARA LA CIUDAD DEL CERCADO DE COCHABAMBA</v>
      </c>
      <c r="B281" s="58">
        <f>IFERROR(__xludf.DUMMYFUNCTION("""COMPUTED_VALUE"""),1.0)</f>
        <v>1</v>
      </c>
    </row>
    <row r="282">
      <c r="A282" s="58" t="str">
        <f>IFERROR(__xludf.DUMMYFUNCTION("""COMPUTED_VALUE"""),"ESTUDIO DE FACTIBILIDAD COMERCIAL Y FINANCIERA PARA LA EXPANCIÓN DE SERVICIOS DE TELEFONÍA Y BANDA ANCHA DE LA CORPORACIÓN COMTECO LTDA. A LAS POBLACIONES DE IVIRGARZAMA, ENTRE RÍOS Y BULO BULO BAJO LA TECNOLOGÍA PLC")</f>
        <v>ESTUDIO DE FACTIBILIDAD COMERCIAL Y FINANCIERA PARA LA EXPANCIÓN DE SERVICIOS DE TELEFONÍA Y BANDA ANCHA DE LA CORPORACIÓN COMTECO LTDA. A LAS POBLACIONES DE IVIRGARZAMA, ENTRE RÍOS Y BULO BULO BAJO LA TECNOLOGÍA PLC</v>
      </c>
      <c r="B282" s="58">
        <f>IFERROR(__xludf.DUMMYFUNCTION("""COMPUTED_VALUE"""),1.0)</f>
        <v>1</v>
      </c>
    </row>
    <row r="283">
      <c r="A283" s="58" t="str">
        <f>IFERROR(__xludf.DUMMYFUNCTION("""COMPUTED_VALUE"""),"ESTUDIO DE FACTIBILIDAD DE UNA BEBIDA ENERGIZANTE A BASE DE EXTRACTO DE COCA")</f>
        <v>ESTUDIO DE FACTIBILIDAD DE UNA BEBIDA ENERGIZANTE A BASE DE EXTRACTO DE COCA</v>
      </c>
      <c r="B283" s="58">
        <f>IFERROR(__xludf.DUMMYFUNCTION("""COMPUTED_VALUE"""),2.0)</f>
        <v>2</v>
      </c>
    </row>
    <row r="284">
      <c r="A284" s="58" t="str">
        <f>IFERROR(__xludf.DUMMYFUNCTION("""COMPUTED_VALUE"""),"ESTUDIO DE FACTIBILIDAD PARA COMERCIALIZACIÓN DE BITTER PALMENIA EN EL DEPARTAMENTO DE COCHABAMBA")</f>
        <v>ESTUDIO DE FACTIBILIDAD PARA COMERCIALIZACIÓN DE BITTER PALMENIA EN EL DEPARTAMENTO DE COCHABAMBA</v>
      </c>
      <c r="B284" s="58">
        <f>IFERROR(__xludf.DUMMYFUNCTION("""COMPUTED_VALUE"""),1.0)</f>
        <v>1</v>
      </c>
    </row>
    <row r="285">
      <c r="A285" s="58" t="str">
        <f>IFERROR(__xludf.DUMMYFUNCTION("""COMPUTED_VALUE"""),"ESTUDIO DE FACTIBILIDAD PARA EL DISEÑO DE UNA PLANTA DE PASTELERÍA INDUSTRIAL SECA Y FRESCA PARA LA COORPORACIÓN INDUSTRIAL DILLMANN S.A")</f>
        <v>ESTUDIO DE FACTIBILIDAD PARA EL DISEÑO DE UNA PLANTA DE PASTELERÍA INDUSTRIAL SECA Y FRESCA PARA LA COORPORACIÓN INDUSTRIAL DILLMANN S.A</v>
      </c>
      <c r="B285" s="58">
        <f>IFERROR(__xludf.DUMMYFUNCTION("""COMPUTED_VALUE"""),1.0)</f>
        <v>1</v>
      </c>
    </row>
    <row r="286">
      <c r="A286" s="58" t="str">
        <f>IFERROR(__xludf.DUMMYFUNCTION("""COMPUTED_VALUE"""),"ESTUDIO DE FACTIBILIDAD PARA EL DISEÑO DE UNA PLANTA PROCESADORA DE ALMIDÓN A PARTIR DE RAÍCES ANDINAS-SUBTROPICALES")</f>
        <v>ESTUDIO DE FACTIBILIDAD PARA EL DISEÑO DE UNA PLANTA PROCESADORA DE ALMIDÓN A PARTIR DE RAÍCES ANDINAS-SUBTROPICALES</v>
      </c>
      <c r="B286" s="58">
        <f>IFERROR(__xludf.DUMMYFUNCTION("""COMPUTED_VALUE"""),1.0)</f>
        <v>1</v>
      </c>
    </row>
    <row r="287">
      <c r="A287" s="58" t="str">
        <f>IFERROR(__xludf.DUMMYFUNCTION("""COMPUTED_VALUE"""),"ESTUDIO DE FACTIBILIDAD PARA EL ESTABLECIMIENTO DE UNA EMPRESA PRODUCTORA Y COMERCIALIZADORA DE BARRAS DE PROTEÍNA CON FRUTOS SECOS PARA EL MERCADO DE LA CIUDAD DE COCHABAMBA")</f>
        <v>ESTUDIO DE FACTIBILIDAD PARA EL ESTABLECIMIENTO DE UNA EMPRESA PRODUCTORA Y COMERCIALIZADORA DE BARRAS DE PROTEÍNA CON FRUTOS SECOS PARA EL MERCADO DE LA CIUDAD DE COCHABAMBA</v>
      </c>
      <c r="B287" s="58">
        <f>IFERROR(__xludf.DUMMYFUNCTION("""COMPUTED_VALUE"""),4.0)</f>
        <v>4</v>
      </c>
    </row>
    <row r="288">
      <c r="A288" s="58" t="str">
        <f>IFERROR(__xludf.DUMMYFUNCTION("""COMPUTED_VALUE"""),"ESTUDIO DE FACTIBILIDAD PARA EL ESTABLECIMIENTO DE UNA FÁBRICA DE GALLETAS NUTRITIVAS DE CAMOTE EN EL DEPARTAMENTO DE COCHABAMBA")</f>
        <v>ESTUDIO DE FACTIBILIDAD PARA EL ESTABLECIMIENTO DE UNA FÁBRICA DE GALLETAS NUTRITIVAS DE CAMOTE EN EL DEPARTAMENTO DE COCHABAMBA</v>
      </c>
      <c r="B288" s="58">
        <f>IFERROR(__xludf.DUMMYFUNCTION("""COMPUTED_VALUE"""),3.0)</f>
        <v>3</v>
      </c>
    </row>
    <row r="289">
      <c r="A289" s="58" t="str">
        <f>IFERROR(__xludf.DUMMYFUNCTION("""COMPUTED_VALUE"""),"ESTUDIO DE FACTIBILIDAD PARA EL TRASLADO Y AMPLIACIÓN DE LA CAPACIDAD DE PRODUCCIÓN EN LA EMPRESA “MADERVAF” S.R.L.")</f>
        <v>ESTUDIO DE FACTIBILIDAD PARA EL TRASLADO Y AMPLIACIÓN DE LA CAPACIDAD DE PRODUCCIÓN EN LA EMPRESA “MADERVAF” S.R.L.</v>
      </c>
      <c r="B289" s="58">
        <f>IFERROR(__xludf.DUMMYFUNCTION("""COMPUTED_VALUE"""),3.0)</f>
        <v>3</v>
      </c>
    </row>
    <row r="290">
      <c r="A290" s="58" t="str">
        <f>IFERROR(__xludf.DUMMYFUNCTION("""COMPUTED_VALUE"""),"ESTUDIO DE FACTIBILIDAD PARA EXPORTACIÓN DE QUÍNUA AL MERCADO DE EUROPA")</f>
        <v>ESTUDIO DE FACTIBILIDAD PARA EXPORTACIÓN DE QUÍNUA AL MERCADO DE EUROPA</v>
      </c>
      <c r="B290" s="58">
        <f>IFERROR(__xludf.DUMMYFUNCTION("""COMPUTED_VALUE"""),2.0)</f>
        <v>2</v>
      </c>
    </row>
    <row r="291">
      <c r="A291" s="58" t="str">
        <f>IFERROR(__xludf.DUMMYFUNCTION("""COMPUTED_VALUE"""),"ESTUDIO DE FACTIBILIDAD PARA IMPLEMENTACIÓN DE UNA EMPRESA CRIADORA DE PERDICES PARA LA PRODUCCIÓN DE HUEVOS (PISACCA – NOTHOPROCTA ORNATA) EN QUILLACOLLO – IRONCOLLO.")</f>
        <v>ESTUDIO DE FACTIBILIDAD PARA IMPLEMENTACIÓN DE UNA EMPRESA CRIADORA DE PERDICES PARA LA PRODUCCIÓN DE HUEVOS (PISACCA – NOTHOPROCTA ORNATA) EN QUILLACOLLO – IRONCOLLO.</v>
      </c>
      <c r="B291" s="58">
        <f>IFERROR(__xludf.DUMMYFUNCTION("""COMPUTED_VALUE"""),1.0)</f>
        <v>1</v>
      </c>
    </row>
    <row r="292">
      <c r="A292" s="58" t="str">
        <f>IFERROR(__xludf.DUMMYFUNCTION("""COMPUTED_VALUE"""),"ESTUDIO DE FACTIBILIDAD PARA IMPLEMENTAR UNA PLANTA PRODUCTORA DE MANGA ROSA EN CONSERVA")</f>
        <v>ESTUDIO DE FACTIBILIDAD PARA IMPLEMENTAR UNA PLANTA PRODUCTORA DE MANGA ROSA EN CONSERVA</v>
      </c>
      <c r="B292" s="58">
        <f>IFERROR(__xludf.DUMMYFUNCTION("""COMPUTED_VALUE"""),1.0)</f>
        <v>1</v>
      </c>
    </row>
    <row r="293">
      <c r="A293" s="58" t="str">
        <f>IFERROR(__xludf.DUMMYFUNCTION("""COMPUTED_VALUE"""),"ESTUDIO DE FACTIBILIDAD PARA LA AMPLIACIÓN Y MEJORA DE LA PLANTA PROCESADORA DE PRODUCTOS LÁCTEOS DEL DEPARTAMENTO DE AGROINDUSTRIAS DE LA FACULTAD DE CIENCIAS AGRÍCOLAS Y PECUARIAS")</f>
        <v>ESTUDIO DE FACTIBILIDAD PARA LA AMPLIACIÓN Y MEJORA DE LA PLANTA PROCESADORA DE PRODUCTOS LÁCTEOS DEL DEPARTAMENTO DE AGROINDUSTRIAS DE LA FACULTAD DE CIENCIAS AGRÍCOLAS Y PECUARIAS</v>
      </c>
      <c r="B293" s="58">
        <f>IFERROR(__xludf.DUMMYFUNCTION("""COMPUTED_VALUE"""),2.0)</f>
        <v>2</v>
      </c>
    </row>
    <row r="294">
      <c r="A294" s="58" t="str">
        <f>IFERROR(__xludf.DUMMYFUNCTION("""COMPUTED_VALUE"""),"ESTUDIO DE FACTIBILIDAD PARA LA APERTURA DE UNA EMPRESA DE DISTRIBUCIÓN Y COMERCIALIZACIÓN DE GLP EN EL VALLE ALTO DE COCHABAMBA")</f>
        <v>ESTUDIO DE FACTIBILIDAD PARA LA APERTURA DE UNA EMPRESA DE DISTRIBUCIÓN Y COMERCIALIZACIÓN DE GLP EN EL VALLE ALTO DE COCHABAMBA</v>
      </c>
      <c r="B294" s="58">
        <f>IFERROR(__xludf.DUMMYFUNCTION("""COMPUTED_VALUE"""),3.0)</f>
        <v>3</v>
      </c>
    </row>
    <row r="295">
      <c r="A295" s="58" t="str">
        <f>IFERROR(__xludf.DUMMYFUNCTION("""COMPUTED_VALUE"""),"ESTUDIO DE FACTIBILIDAD PARA LA COMERCIALIZACIÓN DE AGUA NATURAL EMBOTELLADA Y LA IMPLEMENTACIÓN DE UNA PLANTA DE TRATAMIENTO DE AGUAS")</f>
        <v>ESTUDIO DE FACTIBILIDAD PARA LA COMERCIALIZACIÓN DE AGUA NATURAL EMBOTELLADA Y LA IMPLEMENTACIÓN DE UNA PLANTA DE TRATAMIENTO DE AGUAS</v>
      </c>
      <c r="B295" s="58">
        <f>IFERROR(__xludf.DUMMYFUNCTION("""COMPUTED_VALUE"""),4.0)</f>
        <v>4</v>
      </c>
    </row>
    <row r="296">
      <c r="A296" s="58" t="str">
        <f>IFERROR(__xludf.DUMMYFUNCTION("""COMPUTED_VALUE"""),"ESTUDIO DE FACTIBILIDAD PARA LA COMERCIALIZACIÓN DE CARNE DESHIDRATADA DE LLAMA ENVASADA AL VACÍO EN LA CIUDAD DE COCHABAMBA.")</f>
        <v>ESTUDIO DE FACTIBILIDAD PARA LA COMERCIALIZACIÓN DE CARNE DESHIDRATADA DE LLAMA ENVASADA AL VACÍO EN LA CIUDAD DE COCHABAMBA.</v>
      </c>
      <c r="B296" s="58">
        <f>IFERROR(__xludf.DUMMYFUNCTION("""COMPUTED_VALUE"""),4.0)</f>
        <v>4</v>
      </c>
    </row>
    <row r="297">
      <c r="A297" s="58" t="str">
        <f>IFERROR(__xludf.DUMMYFUNCTION("""COMPUTED_VALUE"""),"ESTUDIO DE FACTIBILIDAD PARA LA CREACION DE UNA EMPRESA                                                                                             DEDICADA A LA PRODUCCION DE ASFALTO FLEXIBLE A PARTIR DE GRANO DE            CAUCHO RECICLADO")</f>
        <v>ESTUDIO DE FACTIBILIDAD PARA LA CREACION DE UNA EMPRESA                                                                                             DEDICADA A LA PRODUCCION DE ASFALTO FLEXIBLE A PARTIR DE GRANO DE            CAUCHO RECICLADO</v>
      </c>
      <c r="B297" s="58">
        <f>IFERROR(__xludf.DUMMYFUNCTION("""COMPUTED_VALUE"""),2.0)</f>
        <v>2</v>
      </c>
    </row>
    <row r="298">
      <c r="A298" s="58" t="str">
        <f>IFERROR(__xludf.DUMMYFUNCTION("""COMPUTED_VALUE"""),"ESTUDIO DE FACTIBILIDAD PARA LA CREACION DE UNA EMPRESA DE VINO DE NARANJA EN LA CIUDAD DE COCHABAMBA")</f>
        <v>ESTUDIO DE FACTIBILIDAD PARA LA CREACION DE UNA EMPRESA DE VINO DE NARANJA EN LA CIUDAD DE COCHABAMBA</v>
      </c>
      <c r="B298" s="58">
        <f>IFERROR(__xludf.DUMMYFUNCTION("""COMPUTED_VALUE"""),1.0)</f>
        <v>1</v>
      </c>
    </row>
    <row r="299">
      <c r="A299" s="58" t="str">
        <f>IFERROR(__xludf.DUMMYFUNCTION("""COMPUTED_VALUE"""),"ESTUDIO DE FACTIBILIDAD PARA LA CREACIÓN DE UN CENTRO DE FORMACIÓN EN SOLDADURA DE ESTRUCTURA Y TUBERÍA PARA EL SECTOR PETROLERO")</f>
        <v>ESTUDIO DE FACTIBILIDAD PARA LA CREACIÓN DE UN CENTRO DE FORMACIÓN EN SOLDADURA DE ESTRUCTURA Y TUBERÍA PARA EL SECTOR PETROLERO</v>
      </c>
      <c r="B299" s="58">
        <f>IFERROR(__xludf.DUMMYFUNCTION("""COMPUTED_VALUE"""),1.0)</f>
        <v>1</v>
      </c>
    </row>
    <row r="300">
      <c r="A300" s="58" t="str">
        <f>IFERROR(__xludf.DUMMYFUNCTION("""COMPUTED_VALUE"""),"ESTUDIO DE FACTIBILIDAD PARA LA CREACIÓN DE UNA EMPRESA DE INSTALACIÓN DE                            REDES Y SEGURIDAD ELECTRÓNICA")</f>
        <v>ESTUDIO DE FACTIBILIDAD PARA LA CREACIÓN DE UNA EMPRESA DE INSTALACIÓN DE                            REDES Y SEGURIDAD ELECTRÓNICA</v>
      </c>
      <c r="B300" s="58">
        <f>IFERROR(__xludf.DUMMYFUNCTION("""COMPUTED_VALUE"""),1.0)</f>
        <v>1</v>
      </c>
    </row>
    <row r="301">
      <c r="A301" s="58" t="str">
        <f>IFERROR(__xludf.DUMMYFUNCTION("""COMPUTED_VALUE"""),"ESTUDIO DE FACTIBILIDAD PARA LA CREACIÓN DE UNA EMPRESA DE VINO DE NARANJA EN LA CIUDAD DE COCHABAMBA")</f>
        <v>ESTUDIO DE FACTIBILIDAD PARA LA CREACIÓN DE UNA EMPRESA DE VINO DE NARANJA EN LA CIUDAD DE COCHABAMBA</v>
      </c>
      <c r="B301" s="58">
        <f>IFERROR(__xludf.DUMMYFUNCTION("""COMPUTED_VALUE"""),4.0)</f>
        <v>4</v>
      </c>
    </row>
    <row r="302">
      <c r="A302" s="58" t="str">
        <f>IFERROR(__xludf.DUMMYFUNCTION("""COMPUTED_VALUE"""),"ESTUDIO DE FACTIBILIDAD PARA LA CREACIÓN DE UNA EMPRESA PRODUCTORA Y COMERCIALIZADORA DE ABONO COMPOST PARA EL APROVECHAMIENTO DE LOS RESTOS VEGETALES DE LAS FLORES COMERCIALES EN LA CIUDAD DE COCHABAMBA")</f>
        <v>ESTUDIO DE FACTIBILIDAD PARA LA CREACIÓN DE UNA EMPRESA PRODUCTORA Y COMERCIALIZADORA DE ABONO COMPOST PARA EL APROVECHAMIENTO DE LOS RESTOS VEGETALES DE LAS FLORES COMERCIALES EN LA CIUDAD DE COCHABAMBA</v>
      </c>
      <c r="B302" s="58">
        <f>IFERROR(__xludf.DUMMYFUNCTION("""COMPUTED_VALUE"""),4.0)</f>
        <v>4</v>
      </c>
    </row>
    <row r="303">
      <c r="A303" s="58" t="str">
        <f>IFERROR(__xludf.DUMMYFUNCTION("""COMPUTED_VALUE"""),"ESTUDIO DE FACTIBILIDAD PARA LA CREACIÓN DE UNA HELADERÍA DEDICADA A LA PRODUCCIÓN Y COMERCIALIZACIÓN DE HELADOS SANOS Y NUTRITIVOS A BASE DE SOYA, QUINUA, AMARANTO Y TARWI EN EL CERCADO DE LA PROVINCIA DE QUILLACOLLO-COCHABAMBA")</f>
        <v>ESTUDIO DE FACTIBILIDAD PARA LA CREACIÓN DE UNA HELADERÍA DEDICADA A LA PRODUCCIÓN Y COMERCIALIZACIÓN DE HELADOS SANOS Y NUTRITIVOS A BASE DE SOYA, QUINUA, AMARANTO Y TARWI EN EL CERCADO DE LA PROVINCIA DE QUILLACOLLO-COCHABAMBA</v>
      </c>
      <c r="B303" s="58">
        <f>IFERROR(__xludf.DUMMYFUNCTION("""COMPUTED_VALUE"""),5.0)</f>
        <v>5</v>
      </c>
    </row>
    <row r="304">
      <c r="A304" s="58" t="str">
        <f>IFERROR(__xludf.DUMMYFUNCTION("""COMPUTED_VALUE"""),"ESTUDIO DE FACTIBILIDAD PARA LA CREACIÓN DE UNA PLANTA PROCESADORA DE LECHE Y SUS DERIVADOS EN EL DEPARTAMENTO DE COCHABAMBA")</f>
        <v>ESTUDIO DE FACTIBILIDAD PARA LA CREACIÓN DE UNA PLANTA PROCESADORA DE LECHE Y SUS DERIVADOS EN EL DEPARTAMENTO DE COCHABAMBA</v>
      </c>
      <c r="B304" s="58">
        <f>IFERROR(__xludf.DUMMYFUNCTION("""COMPUTED_VALUE"""),4.0)</f>
        <v>4</v>
      </c>
    </row>
    <row r="305">
      <c r="A305" s="58" t="str">
        <f>IFERROR(__xludf.DUMMYFUNCTION("""COMPUTED_VALUE"""),"ESTUDIO DE FACTIBILIDAD PARA LA DESHIDRATACIÓN DE LODOS PRIMARIOS DE LA PLANTA DE TRATAMIENTO DE EFLUENTES (P.T.E.) PARA LA EMPRESA PIL ANDINA S.A. DE COCHABAMBA")</f>
        <v>ESTUDIO DE FACTIBILIDAD PARA LA DESHIDRATACIÓN DE LODOS PRIMARIOS DE LA PLANTA DE TRATAMIENTO DE EFLUENTES (P.T.E.) PARA LA EMPRESA PIL ANDINA S.A. DE COCHABAMBA</v>
      </c>
      <c r="B305" s="58">
        <f>IFERROR(__xludf.DUMMYFUNCTION("""COMPUTED_VALUE"""),6.0)</f>
        <v>6</v>
      </c>
    </row>
    <row r="306">
      <c r="A306" s="58" t="str">
        <f>IFERROR(__xludf.DUMMYFUNCTION("""COMPUTED_VALUE"""),"ESTUDIO DE FACTIBILIDAD PARA LA ELABORACION DE ZUMOS EN LA PLANTA PILOTO DE LA CARRERA DE INGENIERIA INDUSTRIAL DESTINADO AL COMEDOR DE LA UMSS")</f>
        <v>ESTUDIO DE FACTIBILIDAD PARA LA ELABORACION DE ZUMOS EN LA PLANTA PILOTO DE LA CARRERA DE INGENIERIA INDUSTRIAL DESTINADO AL COMEDOR DE LA UMSS</v>
      </c>
      <c r="B306" s="58">
        <f>IFERROR(__xludf.DUMMYFUNCTION("""COMPUTED_VALUE"""),2.0)</f>
        <v>2</v>
      </c>
    </row>
    <row r="307">
      <c r="A307" s="58" t="str">
        <f>IFERROR(__xludf.DUMMYFUNCTION("""COMPUTED_VALUE"""),"ESTUDIO DE FACTIBILIDAD PARA LA ELABORACION Y COMERCIALIZACION DE REFRESCOS NATURALES DE COCO Y DE TOSTADA EN CERCADO - COCHABAMBA")</f>
        <v>ESTUDIO DE FACTIBILIDAD PARA LA ELABORACION Y COMERCIALIZACION DE REFRESCOS NATURALES DE COCO Y DE TOSTADA EN CERCADO - COCHABAMBA</v>
      </c>
      <c r="B307" s="58">
        <f>IFERROR(__xludf.DUMMYFUNCTION("""COMPUTED_VALUE"""),25.0)</f>
        <v>25</v>
      </c>
    </row>
    <row r="308">
      <c r="A308" s="58" t="str">
        <f>IFERROR(__xludf.DUMMYFUNCTION("""COMPUTED_VALUE"""),"ESTUDIO DE FACTIBILIDAD PARA LA ELABORACIÓN DE ZUMOS EN LA PLANTA PILOTO DE LA CARRERA DE INGENIERIA INDUSTRIAL DESTINADO AL COMEDOR DE LA UMSS")</f>
        <v>ESTUDIO DE FACTIBILIDAD PARA LA ELABORACIÓN DE ZUMOS EN LA PLANTA PILOTO DE LA CARRERA DE INGENIERIA INDUSTRIAL DESTINADO AL COMEDOR DE LA UMSS</v>
      </c>
      <c r="B308" s="58">
        <f>IFERROR(__xludf.DUMMYFUNCTION("""COMPUTED_VALUE"""),1.0)</f>
        <v>1</v>
      </c>
    </row>
    <row r="309">
      <c r="A309" s="58" t="str">
        <f>IFERROR(__xludf.DUMMYFUNCTION("""COMPUTED_VALUE"""),"ESTUDIO DE FACTIBILIDAD PARA LA EMPRESA DE SERVICIO AUTOMOTRIZ WILLY'S EN EL ÁREA DE SERVICIO DE MANTENIMIENTO PREVENTIVO.")</f>
        <v>ESTUDIO DE FACTIBILIDAD PARA LA EMPRESA DE SERVICIO AUTOMOTRIZ WILLY'S EN EL ÁREA DE SERVICIO DE MANTENIMIENTO PREVENTIVO.</v>
      </c>
      <c r="B309" s="58">
        <f>IFERROR(__xludf.DUMMYFUNCTION("""COMPUTED_VALUE"""),3.0)</f>
        <v>3</v>
      </c>
    </row>
    <row r="310">
      <c r="A310" s="58" t="str">
        <f>IFERROR(__xludf.DUMMYFUNCTION("""COMPUTED_VALUE"""),"ESTUDIO DE FACTIBILIDAD PARA LA EXTRACCIÓN DE ACEITE ESENCIAL DE JENGIBRE PARA LA EXPORTACIÓN.")</f>
        <v>ESTUDIO DE FACTIBILIDAD PARA LA EXTRACCIÓN DE ACEITE ESENCIAL DE JENGIBRE PARA LA EXPORTACIÓN.</v>
      </c>
      <c r="B310" s="58">
        <f>IFERROR(__xludf.DUMMYFUNCTION("""COMPUTED_VALUE"""),2.0)</f>
        <v>2</v>
      </c>
    </row>
    <row r="311">
      <c r="A311" s="58" t="str">
        <f>IFERROR(__xludf.DUMMYFUNCTION("""COMPUTED_VALUE"""),"ESTUDIO DE FACTIBILIDAD PARA LA IMPLEMENTACION DE
UN CRIADERO DE GANADO PORCINO")</f>
        <v>ESTUDIO DE FACTIBILIDAD PARA LA IMPLEMENTACION DE
UN CRIADERO DE GANADO PORCINO</v>
      </c>
      <c r="B311" s="58">
        <f>IFERROR(__xludf.DUMMYFUNCTION("""COMPUTED_VALUE"""),1.0)</f>
        <v>1</v>
      </c>
    </row>
    <row r="312">
      <c r="A312" s="58" t="str">
        <f>IFERROR(__xludf.DUMMYFUNCTION("""COMPUTED_VALUE"""),"ESTUDIO DE FACTIBILIDAD PARA LA IMPLEMENTACION DE UNA NUEVA LINEA DE PRODUCCION DE QUESO DE SOYA PARA LA EMPRESA RAMA SANA")</f>
        <v>ESTUDIO DE FACTIBILIDAD PARA LA IMPLEMENTACION DE UNA NUEVA LINEA DE PRODUCCION DE QUESO DE SOYA PARA LA EMPRESA RAMA SANA</v>
      </c>
      <c r="B312" s="58">
        <f>IFERROR(__xludf.DUMMYFUNCTION("""COMPUTED_VALUE"""),5.0)</f>
        <v>5</v>
      </c>
    </row>
    <row r="313">
      <c r="A313" s="58" t="str">
        <f>IFERROR(__xludf.DUMMYFUNCTION("""COMPUTED_VALUE"""),"ESTUDIO DE FACTIBILIDAD PARA LA IMPLEMENTACION DE UNA PLANTA DE PELLETS A PARTIR DEL RECICLAJE DE PLASTICOS EN LA CIUDAD DE COCHABAMBA")</f>
        <v>ESTUDIO DE FACTIBILIDAD PARA LA IMPLEMENTACION DE UNA PLANTA DE PELLETS A PARTIR DEL RECICLAJE DE PLASTICOS EN LA CIUDAD DE COCHABAMBA</v>
      </c>
      <c r="B313" s="58">
        <f>IFERROR(__xludf.DUMMYFUNCTION("""COMPUTED_VALUE"""),16.0)</f>
        <v>16</v>
      </c>
    </row>
    <row r="314">
      <c r="A314" s="58" t="str">
        <f>IFERROR(__xludf.DUMMYFUNCTION("""COMPUTED_VALUE"""),"ESTUDIO DE FACTIBILIDAD PARA LA IMPLEMENTACION DE UNA PLANTA PROCESADORA DE ACEITE DE MANÍ EN LA LOCALIDAD MIZQUE")</f>
        <v>ESTUDIO DE FACTIBILIDAD PARA LA IMPLEMENTACION DE UNA PLANTA PROCESADORA DE ACEITE DE MANÍ EN LA LOCALIDAD MIZQUE</v>
      </c>
      <c r="B314" s="58">
        <f>IFERROR(__xludf.DUMMYFUNCTION("""COMPUTED_VALUE"""),1.0)</f>
        <v>1</v>
      </c>
    </row>
    <row r="315">
      <c r="A315"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B315" s="58">
        <f>IFERROR(__xludf.DUMMYFUNCTION("""COMPUTED_VALUE"""),1.0)</f>
        <v>1</v>
      </c>
    </row>
    <row r="316">
      <c r="A316" s="58" t="str">
        <f>IFERROR(__xludf.DUMMYFUNCTION("""COMPUTED_VALUE"""),"ESTUDIO DE FACTIBILIDAD PARA LA IMPLEMENTACIÓN DE FORRAJES HIDROPÓNICOS EN EL MUNICIPIO DE TACOBAMBA DEL DEPARTAMENTO DE POTOSÍ")</f>
        <v>ESTUDIO DE FACTIBILIDAD PARA LA IMPLEMENTACIÓN DE FORRAJES HIDROPÓNICOS EN EL MUNICIPIO DE TACOBAMBA DEL DEPARTAMENTO DE POTOSÍ</v>
      </c>
      <c r="B316" s="58">
        <f>IFERROR(__xludf.DUMMYFUNCTION("""COMPUTED_VALUE"""),3.0)</f>
        <v>3</v>
      </c>
    </row>
    <row r="317">
      <c r="A317" s="58" t="str">
        <f>IFERROR(__xludf.DUMMYFUNCTION("""COMPUTED_VALUE"""),"ESTUDIO DE FACTIBILIDAD PARA LA IMPLEMENTACIÓN DE UN ASERRADERO EN BENI BAJO EL CUMPLIMIENTO DE NORMAS DE LA ABT.")</f>
        <v>ESTUDIO DE FACTIBILIDAD PARA LA IMPLEMENTACIÓN DE UN ASERRADERO EN BENI BAJO EL CUMPLIMIENTO DE NORMAS DE LA ABT.</v>
      </c>
      <c r="B317" s="58">
        <f>IFERROR(__xludf.DUMMYFUNCTION("""COMPUTED_VALUE"""),2.0)</f>
        <v>2</v>
      </c>
    </row>
    <row r="318">
      <c r="A318" s="58" t="str">
        <f>IFERROR(__xludf.DUMMYFUNCTION("""COMPUTED_VALUE"""),"ESTUDIO DE FACTIBILIDAD PARA LA IMPLEMENTACIÓN DE UN ESTUDIO DE GRABACIÓN FONOGRÁFICA")</f>
        <v>ESTUDIO DE FACTIBILIDAD PARA LA IMPLEMENTACIÓN DE UN ESTUDIO DE GRABACIÓN FONOGRÁFICA</v>
      </c>
      <c r="B318" s="58">
        <f>IFERROR(__xludf.DUMMYFUNCTION("""COMPUTED_VALUE"""),4.0)</f>
        <v>4</v>
      </c>
    </row>
    <row r="319">
      <c r="A319" s="58" t="str">
        <f>IFERROR(__xludf.DUMMYFUNCTION("""COMPUTED_VALUE"""),"ESTUDIO DE FACTIBILIDAD PARA LA IMPLEMENTACIÓN DE UN PROCESO DE")</f>
        <v>ESTUDIO DE FACTIBILIDAD PARA LA IMPLEMENTACIÓN DE UN PROCESO DE</v>
      </c>
      <c r="B319" s="58">
        <f>IFERROR(__xludf.DUMMYFUNCTION("""COMPUTED_VALUE"""),2.0)</f>
        <v>2</v>
      </c>
    </row>
    <row r="320">
      <c r="A320" s="58" t="str">
        <f>IFERROR(__xludf.DUMMYFUNCTION("""COMPUTED_VALUE"""),"ESTUDIO DE FACTIBILIDAD PARA LA IMPLEMENTACIÓN DE UNA EMPRESA DE CARBÓN HECHO A PARTIR DE LA CASCARA DE COCO EN EL DEPARTAMENTO DE COCHABAMBA")</f>
        <v>ESTUDIO DE FACTIBILIDAD PARA LA IMPLEMENTACIÓN DE UNA EMPRESA DE CARBÓN HECHO A PARTIR DE LA CASCARA DE COCO EN EL DEPARTAMENTO DE COCHABAMBA</v>
      </c>
      <c r="B320" s="58">
        <f>IFERROR(__xludf.DUMMYFUNCTION("""COMPUTED_VALUE"""),1.0)</f>
        <v>1</v>
      </c>
    </row>
    <row r="321">
      <c r="A321" s="58" t="str">
        <f>IFERROR(__xludf.DUMMYFUNCTION("""COMPUTED_VALUE"""),"ESTUDIO DE FACTIBILIDAD PARA LA IMPLEMENTACIÓN DE UNA EMPRESA DE PAPEL ECOLÓGICO A BASE DE PINZOTE DE PLÁTANO")</f>
        <v>ESTUDIO DE FACTIBILIDAD PARA LA IMPLEMENTACIÓN DE UNA EMPRESA DE PAPEL ECOLÓGICO A BASE DE PINZOTE DE PLÁTANO</v>
      </c>
      <c r="B321" s="58">
        <f>IFERROR(__xludf.DUMMYFUNCTION("""COMPUTED_VALUE"""),1.0)</f>
        <v>1</v>
      </c>
    </row>
    <row r="322">
      <c r="A322" s="58" t="str">
        <f>IFERROR(__xludf.DUMMYFUNCTION("""COMPUTED_VALUE"""),"ESTUDIO DE FACTIBILIDAD PARA LA IMPLEMENTACIÓN DE UNA EMPRESA DISTRIBUIDORA  DE AGUA DE MESA Y HIELO EN LA CIUDAD DE COCHABAMBA")</f>
        <v>ESTUDIO DE FACTIBILIDAD PARA LA IMPLEMENTACIÓN DE UNA EMPRESA DISTRIBUIDORA  DE AGUA DE MESA Y HIELO EN LA CIUDAD DE COCHABAMBA</v>
      </c>
      <c r="B322" s="58">
        <f>IFERROR(__xludf.DUMMYFUNCTION("""COMPUTED_VALUE"""),3.0)</f>
        <v>3</v>
      </c>
    </row>
    <row r="323">
      <c r="A323" s="58" t="str">
        <f>IFERROR(__xludf.DUMMYFUNCTION("""COMPUTED_VALUE"""),"ESTUDIO DE FACTIBILIDAD PARA LA IMPLEMENTACIÓN DE UNA FABRICA TEXTIL DE PANTALONES JEANS EN LA ZONA OESTE DE LA CIUDAD DE COCHABAMBA")</f>
        <v>ESTUDIO DE FACTIBILIDAD PARA LA IMPLEMENTACIÓN DE UNA FABRICA TEXTIL DE PANTALONES JEANS EN LA ZONA OESTE DE LA CIUDAD DE COCHABAMBA</v>
      </c>
      <c r="B323" s="58">
        <f>IFERROR(__xludf.DUMMYFUNCTION("""COMPUTED_VALUE"""),1.0)</f>
        <v>1</v>
      </c>
    </row>
    <row r="324">
      <c r="A324" s="58" t="str">
        <f>IFERROR(__xludf.DUMMYFUNCTION("""COMPUTED_VALUE"""),"ESTUDIO DE FACTIBILIDAD PARA LA IMPLEMENTACIÓN DE UNA FÁBRICA  DE TELA DENIM EN BOLIVIA")</f>
        <v>ESTUDIO DE FACTIBILIDAD PARA LA IMPLEMENTACIÓN DE UNA FÁBRICA  DE TELA DENIM EN BOLIVIA</v>
      </c>
      <c r="B324" s="58">
        <f>IFERROR(__xludf.DUMMYFUNCTION("""COMPUTED_VALUE"""),1.0)</f>
        <v>1</v>
      </c>
    </row>
    <row r="325">
      <c r="A325" s="58" t="str">
        <f>IFERROR(__xludf.DUMMYFUNCTION("""COMPUTED_VALUE"""),"ESTUDIO DE FACTIBILIDAD PARA LA IMPLEMENTACIÓN DE UNA FÁBRICA DE JOYAS DE PLATA")</f>
        <v>ESTUDIO DE FACTIBILIDAD PARA LA IMPLEMENTACIÓN DE UNA FÁBRICA DE JOYAS DE PLATA</v>
      </c>
      <c r="B325" s="58">
        <f>IFERROR(__xludf.DUMMYFUNCTION("""COMPUTED_VALUE"""),2.0)</f>
        <v>2</v>
      </c>
    </row>
    <row r="326">
      <c r="A326" s="58" t="str">
        <f>IFERROR(__xludf.DUMMYFUNCTION("""COMPUTED_VALUE"""),"ESTUDIO DE FACTIBILIDAD PARA LA IMPLEMENTACIÓN DE UNA FÁBRICA DE LADRILLO REFRACTARIO")</f>
        <v>ESTUDIO DE FACTIBILIDAD PARA LA IMPLEMENTACIÓN DE UNA FÁBRICA DE LADRILLO REFRACTARIO</v>
      </c>
      <c r="B326" s="58">
        <f>IFERROR(__xludf.DUMMYFUNCTION("""COMPUTED_VALUE"""),2.0)</f>
        <v>2</v>
      </c>
    </row>
    <row r="327">
      <c r="A327" s="58" t="str">
        <f>IFERROR(__xludf.DUMMYFUNCTION("""COMPUTED_VALUE"""),"ESTUDIO DE FACTIBILIDAD PARA LA IMPLEMENTACIÓN DE UNA FÁBRICA DE LADRILLOS ECOLÓGICOS EN EL DEPARTAMENTO DE COCHABAMBA.")</f>
        <v>ESTUDIO DE FACTIBILIDAD PARA LA IMPLEMENTACIÓN DE UNA FÁBRICA DE LADRILLOS ECOLÓGICOS EN EL DEPARTAMENTO DE COCHABAMBA.</v>
      </c>
      <c r="B327" s="58">
        <f>IFERROR(__xludf.DUMMYFUNCTION("""COMPUTED_VALUE"""),6.0)</f>
        <v>6</v>
      </c>
    </row>
    <row r="328">
      <c r="A328" s="58" t="str">
        <f>IFERROR(__xludf.DUMMYFUNCTION("""COMPUTED_VALUE"""),"ESTUDIO DE FACTIBILIDAD PARA LA IMPLEMENTACIÓN DE UNA FÁBRICA DE MOBILIARIOS EN MELAMINA, HIERRO Y ALUMINIO EN LA CIUDAD DE COCHABAMBA")</f>
        <v>ESTUDIO DE FACTIBILIDAD PARA LA IMPLEMENTACIÓN DE UNA FÁBRICA DE MOBILIARIOS EN MELAMINA, HIERRO Y ALUMINIO EN LA CIUDAD DE COCHABAMBA</v>
      </c>
      <c r="B328" s="58">
        <f>IFERROR(__xludf.DUMMYFUNCTION("""COMPUTED_VALUE"""),3.0)</f>
        <v>3</v>
      </c>
    </row>
    <row r="329">
      <c r="A329" s="58" t="str">
        <f>IFERROR(__xludf.DUMMYFUNCTION("""COMPUTED_VALUE"""),"ESTUDIO DE FACTIBILIDAD PARA LA IMPLEMENTACIÓN DE UNA FÁBRICA DE MUEBLES DE BAMBÚ")</f>
        <v>ESTUDIO DE FACTIBILIDAD PARA LA IMPLEMENTACIÓN DE UNA FÁBRICA DE MUEBLES DE BAMBÚ</v>
      </c>
      <c r="B329" s="58">
        <f>IFERROR(__xludf.DUMMYFUNCTION("""COMPUTED_VALUE"""),5.0)</f>
        <v>5</v>
      </c>
    </row>
    <row r="330">
      <c r="A330" s="58" t="str">
        <f>IFERROR(__xludf.DUMMYFUNCTION("""COMPUTED_VALUE"""),"ESTUDIO DE FACTIBILIDAD PARA LA IMPLEMENTACIÓN DE UNA FÁBRICA DE MUEBLES MELAMINICOS EN LA CIUDAD DE COCHABAMBA")</f>
        <v>ESTUDIO DE FACTIBILIDAD PARA LA IMPLEMENTACIÓN DE UNA FÁBRICA DE MUEBLES MELAMINICOS EN LA CIUDAD DE COCHABAMBA</v>
      </c>
      <c r="B330" s="58">
        <f>IFERROR(__xludf.DUMMYFUNCTION("""COMPUTED_VALUE"""),3.0)</f>
        <v>3</v>
      </c>
    </row>
    <row r="331">
      <c r="A331" s="58" t="str">
        <f>IFERROR(__xludf.DUMMYFUNCTION("""COMPUTED_VALUE"""),"ESTUDIO DE FACTIBILIDAD PARA LA IMPLEMENTACIÓN DE UNA GRANJA AVÍCOLA DE CRIANZA DE PATOS")</f>
        <v>ESTUDIO DE FACTIBILIDAD PARA LA IMPLEMENTACIÓN DE UNA GRANJA AVÍCOLA DE CRIANZA DE PATOS</v>
      </c>
      <c r="B331" s="58">
        <f>IFERROR(__xludf.DUMMYFUNCTION("""COMPUTED_VALUE"""),6.0)</f>
        <v>6</v>
      </c>
    </row>
    <row r="332">
      <c r="A332" s="58" t="str">
        <f>IFERROR(__xludf.DUMMYFUNCTION("""COMPUTED_VALUE"""),"ESTUDIO DE FACTIBILIDAD PARA LA IMPLEMENTACIÓN DE UNA LÍNEA DE PRODUCCIÓN DE INFUSIONES EN BOLSITA DE HOJAS DE MORINDA CITRIFOLIA (NONI) PARA LA EMPRESA NONI HEALTH.")</f>
        <v>ESTUDIO DE FACTIBILIDAD PARA LA IMPLEMENTACIÓN DE UNA LÍNEA DE PRODUCCIÓN DE INFUSIONES EN BOLSITA DE HOJAS DE MORINDA CITRIFOLIA (NONI) PARA LA EMPRESA NONI HEALTH.</v>
      </c>
      <c r="B332" s="58">
        <f>IFERROR(__xludf.DUMMYFUNCTION("""COMPUTED_VALUE"""),2.0)</f>
        <v>2</v>
      </c>
    </row>
    <row r="333">
      <c r="A333" s="58" t="str">
        <f>IFERROR(__xludf.DUMMYFUNCTION("""COMPUTED_VALUE"""),"ESTUDIO DE FACTIBILIDAD PARA LA IMPLEMENTACIÓN DE UNA LÍNEA DE PRODUCCIÓN DE JABONES DE TOCADOR PARA LA EMPRESA INDUQUIN")</f>
        <v>ESTUDIO DE FACTIBILIDAD PARA LA IMPLEMENTACIÓN DE UNA LÍNEA DE PRODUCCIÓN DE JABONES DE TOCADOR PARA LA EMPRESA INDUQUIN</v>
      </c>
      <c r="B333" s="58">
        <f>IFERROR(__xludf.DUMMYFUNCTION("""COMPUTED_VALUE"""),14.0)</f>
        <v>14</v>
      </c>
    </row>
    <row r="334">
      <c r="A334" s="58" t="str">
        <f>IFERROR(__xludf.DUMMYFUNCTION("""COMPUTED_VALUE"""),"ESTUDIO DE FACTIBILIDAD PARA LA IMPLEMENTACIÓN DE UNA LÍNEA PRODUCTIVA DE SUCEDÁNEO DE JUGO DE LIMÓN PARA LA EMPRESA CORDILL S.A.")</f>
        <v>ESTUDIO DE FACTIBILIDAD PARA LA IMPLEMENTACIÓN DE UNA LÍNEA PRODUCTIVA DE SUCEDÁNEO DE JUGO DE LIMÓN PARA LA EMPRESA CORDILL S.A.</v>
      </c>
      <c r="B334" s="58">
        <f>IFERROR(__xludf.DUMMYFUNCTION("""COMPUTED_VALUE"""),1.0)</f>
        <v>1</v>
      </c>
    </row>
    <row r="335">
      <c r="A335" s="58" t="str">
        <f>IFERROR(__xludf.DUMMYFUNCTION("""COMPUTED_VALUE"""),"ESTUDIO DE FACTIBILIDAD PARA LA IMPLEMENTACIÓN DE UNA MICROEMPRESA DE CHOCOLATES ARTESANALES PARA LA ONG AYNI RUWAY")</f>
        <v>ESTUDIO DE FACTIBILIDAD PARA LA IMPLEMENTACIÓN DE UNA MICROEMPRESA DE CHOCOLATES ARTESANALES PARA LA ONG AYNI RUWAY</v>
      </c>
      <c r="B335" s="58">
        <f>IFERROR(__xludf.DUMMYFUNCTION("""COMPUTED_VALUE"""),1.0)</f>
        <v>1</v>
      </c>
    </row>
    <row r="336">
      <c r="A336" s="58" t="str">
        <f>IFERROR(__xludf.DUMMYFUNCTION("""COMPUTED_VALUE"""),"ESTUDIO DE FACTIBILIDAD PARA LA IMPLEMENTACIÓN DE UNA NUEVA PLANTA PRODUCTIVA CON CAPACIDAD 500.000 M2/MES DE CERAMICA COBOCE LTDA.")</f>
        <v>ESTUDIO DE FACTIBILIDAD PARA LA IMPLEMENTACIÓN DE UNA NUEVA PLANTA PRODUCTIVA CON CAPACIDAD 500.000 M2/MES DE CERAMICA COBOCE LTDA.</v>
      </c>
      <c r="B336" s="58">
        <f>IFERROR(__xludf.DUMMYFUNCTION("""COMPUTED_VALUE"""),6.0)</f>
        <v>6</v>
      </c>
    </row>
    <row r="337">
      <c r="A337" s="58" t="str">
        <f>IFERROR(__xludf.DUMMYFUNCTION("""COMPUTED_VALUE"""),"ESTUDIO DE FACTIBILIDAD PARA LA IMPLEMENTACIÓN DE UNA PLANTA   PROCESADORA DE PAPAS FRITAS Y PAPAS PREFRITAS CONGELADAS EN EL MUNICIPIO DE TOTORA")</f>
        <v>ESTUDIO DE FACTIBILIDAD PARA LA IMPLEMENTACIÓN DE UNA PLANTA   PROCESADORA DE PAPAS FRITAS Y PAPAS PREFRITAS CONGELADAS EN EL MUNICIPIO DE TOTORA</v>
      </c>
      <c r="B337" s="58">
        <f>IFERROR(__xludf.DUMMYFUNCTION("""COMPUTED_VALUE"""),3.0)</f>
        <v>3</v>
      </c>
    </row>
    <row r="338">
      <c r="A338" s="58" t="str">
        <f>IFERROR(__xludf.DUMMYFUNCTION("""COMPUTED_VALUE"""),"ESTUDIO DE FACTIBILIDAD PARA LA IMPLEMENTACIÓN DE UNA PLANTA  DE CONFECCIÓN TEXTIL “PANTALONES-JEANS”")</f>
        <v>ESTUDIO DE FACTIBILIDAD PARA LA IMPLEMENTACIÓN DE UNA PLANTA  DE CONFECCIÓN TEXTIL “PANTALONES-JEANS”</v>
      </c>
      <c r="B338" s="58">
        <f>IFERROR(__xludf.DUMMYFUNCTION("""COMPUTED_VALUE"""),5.0)</f>
        <v>5</v>
      </c>
    </row>
    <row r="339">
      <c r="A339" s="58" t="str">
        <f>IFERROR(__xludf.DUMMYFUNCTION("""COMPUTED_VALUE"""),"ESTUDIO DE FACTIBILIDAD PARA LA IMPLEMENTACIÓN DE UNA PLANTA DE BIODIGESTORES EN KARA KARA")</f>
        <v>ESTUDIO DE FACTIBILIDAD PARA LA IMPLEMENTACIÓN DE UNA PLANTA DE BIODIGESTORES EN KARA KARA</v>
      </c>
      <c r="B339" s="58">
        <f>IFERROR(__xludf.DUMMYFUNCTION("""COMPUTED_VALUE"""),1.0)</f>
        <v>1</v>
      </c>
    </row>
    <row r="340">
      <c r="A340" s="58" t="str">
        <f>IFERROR(__xludf.DUMMYFUNCTION("""COMPUTED_VALUE"""),"ESTUDIO DE FACTIBILIDAD PARA LA IMPLEMENTACIÓN DE UNA PLANTA DE CERVEZA ARTESANAL ENVASADA EN BARRILES EN COCHABAMBA")</f>
        <v>ESTUDIO DE FACTIBILIDAD PARA LA IMPLEMENTACIÓN DE UNA PLANTA DE CERVEZA ARTESANAL ENVASADA EN BARRILES EN COCHABAMBA</v>
      </c>
      <c r="B340" s="58">
        <f>IFERROR(__xludf.DUMMYFUNCTION("""COMPUTED_VALUE"""),5.0)</f>
        <v>5</v>
      </c>
    </row>
    <row r="341">
      <c r="A341" s="58" t="str">
        <f>IFERROR(__xludf.DUMMYFUNCTION("""COMPUTED_VALUE"""),"ESTUDIO DE FACTIBILIDAD PARA LA IMPLEMENTACIÓN DE UNA PLANTA DE EMPAQUES PLÁSTICOS BIODEGRADABLES")</f>
        <v>ESTUDIO DE FACTIBILIDAD PARA LA IMPLEMENTACIÓN DE UNA PLANTA DE EMPAQUES PLÁSTICOS BIODEGRADABLES</v>
      </c>
      <c r="B341" s="58">
        <f>IFERROR(__xludf.DUMMYFUNCTION("""COMPUTED_VALUE"""),3.0)</f>
        <v>3</v>
      </c>
    </row>
    <row r="342">
      <c r="A342" s="58" t="str">
        <f>IFERROR(__xludf.DUMMYFUNCTION("""COMPUTED_VALUE"""),"ESTUDIO DE FACTIBILIDAD PARA LA IMPLEMENTACIÓN DE UNA PLANTA DE FABRICACIÓN DE TUBOS PET A PARTIR DE MATERIAL RECICLABLE EN LA CIUDAD DE COCHABAMBA PARA LA EMPRESA TERMOPLASTIC S.R.L")</f>
        <v>ESTUDIO DE FACTIBILIDAD PARA LA IMPLEMENTACIÓN DE UNA PLANTA DE FABRICACIÓN DE TUBOS PET A PARTIR DE MATERIAL RECICLABLE EN LA CIUDAD DE COCHABAMBA PARA LA EMPRESA TERMOPLASTIC S.R.L</v>
      </c>
      <c r="B342" s="58">
        <f>IFERROR(__xludf.DUMMYFUNCTION("""COMPUTED_VALUE"""),4.0)</f>
        <v>4</v>
      </c>
    </row>
    <row r="343">
      <c r="A343" s="58" t="str">
        <f>IFERROR(__xludf.DUMMYFUNCTION("""COMPUTED_VALUE"""),"ESTUDIO DE FACTIBILIDAD PARA LA IMPLEMENTACIÓN DE UNA PLANTA DE JABÓN LÍQUIDO")</f>
        <v>ESTUDIO DE FACTIBILIDAD PARA LA IMPLEMENTACIÓN DE UNA PLANTA DE JABÓN LÍQUIDO</v>
      </c>
      <c r="B343" s="58">
        <f>IFERROR(__xludf.DUMMYFUNCTION("""COMPUTED_VALUE"""),6.0)</f>
        <v>6</v>
      </c>
    </row>
    <row r="344">
      <c r="A344" s="58" t="str">
        <f>IFERROR(__xludf.DUMMYFUNCTION("""COMPUTED_VALUE"""),"ESTUDIO DE FACTIBILIDAD PARA LA IMPLEMENTACIÓN DE UNA PLANTA DE PROCESAMIENTO Y COMERCIALIZACIÓN DE HARINA INSTANTÁNEA PARA REFRESCO DE LINAZA")</f>
        <v>ESTUDIO DE FACTIBILIDAD PARA LA IMPLEMENTACIÓN DE UNA PLANTA DE PROCESAMIENTO Y COMERCIALIZACIÓN DE HARINA INSTANTÁNEA PARA REFRESCO DE LINAZA</v>
      </c>
      <c r="B344" s="58">
        <f>IFERROR(__xludf.DUMMYFUNCTION("""COMPUTED_VALUE"""),3.0)</f>
        <v>3</v>
      </c>
    </row>
    <row r="345">
      <c r="A345" s="58" t="str">
        <f>IFERROR(__xludf.DUMMYFUNCTION("""COMPUTED_VALUE"""),"ESTUDIO DE FACTIBILIDAD PARA LA IMPLEMENTACIÓN DE UNA PLANTA DE PRODUCCIÓN DE SACOS MULTIPLIEGOS PARA LOS PRODUCTOS DE COBOCE I R P A I R P A")</f>
        <v>ESTUDIO DE FACTIBILIDAD PARA LA IMPLEMENTACIÓN DE UNA PLANTA DE PRODUCCIÓN DE SACOS MULTIPLIEGOS PARA LOS PRODUCTOS DE COBOCE I R P A I R P A</v>
      </c>
      <c r="B345" s="58">
        <f>IFERROR(__xludf.DUMMYFUNCTION("""COMPUTED_VALUE"""),1.0)</f>
        <v>1</v>
      </c>
    </row>
    <row r="346">
      <c r="A346" s="58" t="str">
        <f>IFERROR(__xludf.DUMMYFUNCTION("""COMPUTED_VALUE"""),"ESTUDIO DE FACTIBILIDAD PARA LA IMPLEMENTACIÓN DE UNA PLANTA DE PRODUCCIÓN DE YOGUR MIX CON GRANOLA")</f>
        <v>ESTUDIO DE FACTIBILIDAD PARA LA IMPLEMENTACIÓN DE UNA PLANTA DE PRODUCCIÓN DE YOGUR MIX CON GRANOLA</v>
      </c>
      <c r="B346" s="58">
        <f>IFERROR(__xludf.DUMMYFUNCTION("""COMPUTED_VALUE"""),1.0)</f>
        <v>1</v>
      </c>
    </row>
    <row r="347">
      <c r="A347" s="58" t="str">
        <f>IFERROR(__xludf.DUMMYFUNCTION("""COMPUTED_VALUE"""),"ESTUDIO DE FACTIBILIDAD PARA LA IMPLEMENTACIÓN DE UNA PLANTA DESHIDRATADORA DE HABA DESTINADA PARA LA EXPORTACIÓN")</f>
        <v>ESTUDIO DE FACTIBILIDAD PARA LA IMPLEMENTACIÓN DE UNA PLANTA DESHIDRATADORA DE HABA DESTINADA PARA LA EXPORTACIÓN</v>
      </c>
      <c r="B347" s="58">
        <f>IFERROR(__xludf.DUMMYFUNCTION("""COMPUTED_VALUE"""),1.0)</f>
        <v>1</v>
      </c>
    </row>
    <row r="348">
      <c r="A348" s="58" t="str">
        <f>IFERROR(__xludf.DUMMYFUNCTION("""COMPUTED_VALUE"""),"ESTUDIO DE FACTIBILIDAD PARA LA IMPLEMENTACIÓN DE UNA PLANTA EXTRACTORA DE ACEITE EXTRA VIRGEN DE SACHA INCHI EN IVIRGARZAMA")</f>
        <v>ESTUDIO DE FACTIBILIDAD PARA LA IMPLEMENTACIÓN DE UNA PLANTA EXTRACTORA DE ACEITE EXTRA VIRGEN DE SACHA INCHI EN IVIRGARZAMA</v>
      </c>
      <c r="B348" s="58">
        <f>IFERROR(__xludf.DUMMYFUNCTION("""COMPUTED_VALUE"""),3.0)</f>
        <v>3</v>
      </c>
    </row>
    <row r="349">
      <c r="A349" s="58" t="str">
        <f>IFERROR(__xludf.DUMMYFUNCTION("""COMPUTED_VALUE"""),"ESTUDIO DE FACTIBILIDAD PARA LA IMPLEMENTACIÓN DE UNA PLANTA INDUSTRIAL DE HUEVO LÍQUIDO PASTEURIZADO EN AVÍCOLA ROLÓN")</f>
        <v>ESTUDIO DE FACTIBILIDAD PARA LA IMPLEMENTACIÓN DE UNA PLANTA INDUSTRIAL DE HUEVO LÍQUIDO PASTEURIZADO EN AVÍCOLA ROLÓN</v>
      </c>
      <c r="B349" s="58">
        <f>IFERROR(__xludf.DUMMYFUNCTION("""COMPUTED_VALUE"""),3.0)</f>
        <v>3</v>
      </c>
    </row>
    <row r="350">
      <c r="A350" s="58" t="str">
        <f>IFERROR(__xludf.DUMMYFUNCTION("""COMPUTED_VALUE"""),"ESTUDIO DE FACTIBILIDAD PARA LA IMPLEMENTACIÓN DE UNA PLANTA INDUSTRIAL DE LECHE DE QUINUA.")</f>
        <v>ESTUDIO DE FACTIBILIDAD PARA LA IMPLEMENTACIÓN DE UNA PLANTA INDUSTRIAL DE LECHE DE QUINUA.</v>
      </c>
      <c r="B350" s="58">
        <f>IFERROR(__xludf.DUMMYFUNCTION("""COMPUTED_VALUE"""),2.0)</f>
        <v>2</v>
      </c>
    </row>
    <row r="351">
      <c r="A351" s="58" t="str">
        <f>IFERROR(__xludf.DUMMYFUNCTION("""COMPUTED_VALUE"""),"ESTUDIO DE FACTIBILIDAD PARA LA IMPLEMENTACIÓN DE UNA PLANTA INDUSTRIAL DE LECHE DE TARWI, DIRIGIDO AL MERCADO DE COCHABAMBA.")</f>
        <v>ESTUDIO DE FACTIBILIDAD PARA LA IMPLEMENTACIÓN DE UNA PLANTA INDUSTRIAL DE LECHE DE TARWI, DIRIGIDO AL MERCADO DE COCHABAMBA.</v>
      </c>
      <c r="B351" s="58">
        <f>IFERROR(__xludf.DUMMYFUNCTION("""COMPUTED_VALUE"""),4.0)</f>
        <v>4</v>
      </c>
    </row>
    <row r="352">
      <c r="A352" s="58" t="str">
        <f>IFERROR(__xludf.DUMMYFUNCTION("""COMPUTED_VALUE"""),"ESTUDIO DE FACTIBILIDAD PARA LA IMPLEMENTACIÓN DE UNA PLANTA INDUSTRIAL DE PAPAS FRITAS CHIPS DESARROLLANDO U SISTEMA DE BUENA PRÁCTICAS DE MANUFACTURA")</f>
        <v>ESTUDIO DE FACTIBILIDAD PARA LA IMPLEMENTACIÓN DE UNA PLANTA INDUSTRIAL DE PAPAS FRITAS CHIPS DESARROLLANDO U SISTEMA DE BUENA PRÁCTICAS DE MANUFACTURA</v>
      </c>
      <c r="B352" s="58">
        <f>IFERROR(__xludf.DUMMYFUNCTION("""COMPUTED_VALUE"""),4.0)</f>
        <v>4</v>
      </c>
    </row>
    <row r="353">
      <c r="A353" s="58" t="str">
        <f>IFERROR(__xludf.DUMMYFUNCTION("""COMPUTED_VALUE"""),"ESTUDIO DE FACTIBILIDAD PARA LA IMPLEMENTACIÓN DE UNA PLANTA INDUSTRIAL PARA LA EMPRESA KORIGOMA LTDA.")</f>
        <v>ESTUDIO DE FACTIBILIDAD PARA LA IMPLEMENTACIÓN DE UNA PLANTA INDUSTRIAL PARA LA EMPRESA KORIGOMA LTDA.</v>
      </c>
      <c r="B353" s="58">
        <f>IFERROR(__xludf.DUMMYFUNCTION("""COMPUTED_VALUE"""),1.0)</f>
        <v>1</v>
      </c>
    </row>
    <row r="354">
      <c r="A354" s="58" t="str">
        <f>IFERROR(__xludf.DUMMYFUNCTION("""COMPUTED_VALUE"""),"ESTUDIO DE FACTIBILIDAD PARA LA IMPLEMENTACIÓN DE UNA PLANTA INDUSTRIALIZADORA DE LECHE PARA LA ASOCIACIÓN DEPARTAMENTAL DE PRODUCTORES LECHEROS DE COCHABAMBA “ADEPLEC”")</f>
        <v>ESTUDIO DE FACTIBILIDAD PARA LA IMPLEMENTACIÓN DE UNA PLANTA INDUSTRIALIZADORA DE LECHE PARA LA ASOCIACIÓN DEPARTAMENTAL DE PRODUCTORES LECHEROS DE COCHABAMBA “ADEPLEC”</v>
      </c>
      <c r="B354" s="58">
        <f>IFERROR(__xludf.DUMMYFUNCTION("""COMPUTED_VALUE"""),1.0)</f>
        <v>1</v>
      </c>
    </row>
    <row r="355">
      <c r="A355" s="58" t="str">
        <f>IFERROR(__xludf.DUMMYFUNCTION("""COMPUTED_VALUE"""),"ESTUDIO DE FACTIBILIDAD PARA LA IMPLEMENTACIÓN DE UNA PLANTA INDUSTRIALIZADORA DE LECHE VEGETAL EN COCHABAMBA")</f>
        <v>ESTUDIO DE FACTIBILIDAD PARA LA IMPLEMENTACIÓN DE UNA PLANTA INDUSTRIALIZADORA DE LECHE VEGETAL EN COCHABAMBA</v>
      </c>
      <c r="B355" s="58">
        <f>IFERROR(__xludf.DUMMYFUNCTION("""COMPUTED_VALUE"""),6.0)</f>
        <v>6</v>
      </c>
    </row>
    <row r="356">
      <c r="A356" s="58" t="str">
        <f>IFERROR(__xludf.DUMMYFUNCTION("""COMPUTED_VALUE"""),"ESTUDIO DE FACTIBILIDAD PARA LA IMPLEMENTACIÓN DE UNA PLANTA INDUSTRIALIZADORA DE MANZANA EN ALMÍBAR EN EL VALLE ALTO DE COCHABAMBA.")</f>
        <v>ESTUDIO DE FACTIBILIDAD PARA LA IMPLEMENTACIÓN DE UNA PLANTA INDUSTRIALIZADORA DE MANZANA EN ALMÍBAR EN EL VALLE ALTO DE COCHABAMBA.</v>
      </c>
      <c r="B356" s="58">
        <f>IFERROR(__xludf.DUMMYFUNCTION("""COMPUTED_VALUE"""),2.0)</f>
        <v>2</v>
      </c>
    </row>
    <row r="357">
      <c r="A357" s="58" t="str">
        <f>IFERROR(__xludf.DUMMYFUNCTION("""COMPUTED_VALUE"""),"ESTUDIO DE FACTIBILIDAD PARA LA IMPLEMENTACIÓN DE UNA PLANTA PARA LA ELABORACIÓN DE PASTAS EN BASE A TRIGO QUINUA Y MAÍZ EN LA CIUDAD DE COCHABAMBA.")</f>
        <v>ESTUDIO DE FACTIBILIDAD PARA LA IMPLEMENTACIÓN DE UNA PLANTA PARA LA ELABORACIÓN DE PASTAS EN BASE A TRIGO QUINUA Y MAÍZ EN LA CIUDAD DE COCHABAMBA.</v>
      </c>
      <c r="B357" s="58">
        <f>IFERROR(__xludf.DUMMYFUNCTION("""COMPUTED_VALUE"""),5.0)</f>
        <v>5</v>
      </c>
    </row>
    <row r="358">
      <c r="A358" s="58" t="str">
        <f>IFERROR(__xludf.DUMMYFUNCTION("""COMPUTED_VALUE"""),"ESTUDIO DE FACTIBILIDAD PARA LA IMPLEMENTACIÓN DE UNA PLANTA PILOTO DE FIAMBRES Y EMBUTIDOS PARA LA CARRERA DE INGENIERÍA DE ALIMENTOS DE LA UMSS.")</f>
        <v>ESTUDIO DE FACTIBILIDAD PARA LA IMPLEMENTACIÓN DE UNA PLANTA PILOTO DE FIAMBRES Y EMBUTIDOS PARA LA CARRERA DE INGENIERÍA DE ALIMENTOS DE LA UMSS.</v>
      </c>
      <c r="B358" s="58">
        <f>IFERROR(__xludf.DUMMYFUNCTION("""COMPUTED_VALUE"""),1.0)</f>
        <v>1</v>
      </c>
    </row>
    <row r="359">
      <c r="A359" s="58" t="str">
        <f>IFERROR(__xludf.DUMMYFUNCTION("""COMPUTED_VALUE"""),"ESTUDIO DE FACTIBILIDAD PARA LA IMPLEMENTACIÓN DE UNA PLANTA PROCESADORA DE ACEITE DE MANÍ EN LA LOCALIDAD DE MIZQUE")</f>
        <v>ESTUDIO DE FACTIBILIDAD PARA LA IMPLEMENTACIÓN DE UNA PLANTA PROCESADORA DE ACEITE DE MANÍ EN LA LOCALIDAD DE MIZQUE</v>
      </c>
      <c r="B359" s="58">
        <f>IFERROR(__xludf.DUMMYFUNCTION("""COMPUTED_VALUE"""),8.0)</f>
        <v>8</v>
      </c>
    </row>
    <row r="360">
      <c r="A360" s="58" t="str">
        <f>IFERROR(__xludf.DUMMYFUNCTION("""COMPUTED_VALUE"""),"ESTUDIO DE FACTIBILIDAD PARA LA IMPLEMENTACIÓN DE UNA PLANTA PROCESADORA DE ASFALTO MODIFICADO A BASE DE POLÍMERO EN LA CIUDAD DE COCHABAMBA")</f>
        <v>ESTUDIO DE FACTIBILIDAD PARA LA IMPLEMENTACIÓN DE UNA PLANTA PROCESADORA DE ASFALTO MODIFICADO A BASE DE POLÍMERO EN LA CIUDAD DE COCHABAMBA</v>
      </c>
      <c r="B360" s="58">
        <f>IFERROR(__xludf.DUMMYFUNCTION("""COMPUTED_VALUE"""),2.0)</f>
        <v>2</v>
      </c>
    </row>
    <row r="361">
      <c r="A361" s="58" t="str">
        <f>IFERROR(__xludf.DUMMYFUNCTION("""COMPUTED_VALUE"""),"ESTUDIO DE FACTIBILIDAD PARA LA IMPLEMENTACIÓN DE UNA PLANTA PROCESADORA DE HOJUELAS A BASE DE GRANO ANDINO (CAÑAHUA)")</f>
        <v>ESTUDIO DE FACTIBILIDAD PARA LA IMPLEMENTACIÓN DE UNA PLANTA PROCESADORA DE HOJUELAS A BASE DE GRANO ANDINO (CAÑAHUA)</v>
      </c>
      <c r="B361" s="58">
        <f>IFERROR(__xludf.DUMMYFUNCTION("""COMPUTED_VALUE"""),5.0)</f>
        <v>5</v>
      </c>
    </row>
    <row r="362">
      <c r="A362" s="58" t="str">
        <f>IFERROR(__xludf.DUMMYFUNCTION("""COMPUTED_VALUE"""),"ESTUDIO DE FACTIBILIDAD PARA LA IMPLEMENTACIÓN DE UNA PLANTA PROCESADORA DE JUGO DE CAÑA DE AZÚCAR EN EL DEPARTAMENTO DE COCHABAMBA")</f>
        <v>ESTUDIO DE FACTIBILIDAD PARA LA IMPLEMENTACIÓN DE UNA PLANTA PROCESADORA DE JUGO DE CAÑA DE AZÚCAR EN EL DEPARTAMENTO DE COCHABAMBA</v>
      </c>
      <c r="B362" s="58">
        <f>IFERROR(__xludf.DUMMYFUNCTION("""COMPUTED_VALUE"""),1.0)</f>
        <v>1</v>
      </c>
    </row>
    <row r="363">
      <c r="A363" s="58" t="str">
        <f>IFERROR(__xludf.DUMMYFUNCTION("""COMPUTED_VALUE"""),"ESTUDIO DE FACTIBILIDAD PARA LA IMPLEMENTACIÓN DE UNA PLANTA PROCESADORA DE LECHE DE MANÍ EN EL DEPARTAMENTO DE COCHABAMBA")</f>
        <v>ESTUDIO DE FACTIBILIDAD PARA LA IMPLEMENTACIÓN DE UNA PLANTA PROCESADORA DE LECHE DE MANÍ EN EL DEPARTAMENTO DE COCHABAMBA</v>
      </c>
      <c r="B363" s="58">
        <f>IFERROR(__xludf.DUMMYFUNCTION("""COMPUTED_VALUE"""),2.0)</f>
        <v>2</v>
      </c>
    </row>
    <row r="364">
      <c r="A364" s="58" t="str">
        <f>IFERROR(__xludf.DUMMYFUNCTION("""COMPUTED_VALUE"""),"ESTUDIO DE FACTIBILIDAD PARA LA IMPLEMENTACIÓN DE UNA PLANTA PROCESADORA DE LECHE VEGETAL A BASE DE ALMENDRAS EN EL DEPARTAMENTO DE COCHABAMBA.")</f>
        <v>ESTUDIO DE FACTIBILIDAD PARA LA IMPLEMENTACIÓN DE UNA PLANTA PROCESADORA DE LECHE VEGETAL A BASE DE ALMENDRAS EN EL DEPARTAMENTO DE COCHABAMBA.</v>
      </c>
      <c r="B364" s="58">
        <f>IFERROR(__xludf.DUMMYFUNCTION("""COMPUTED_VALUE"""),6.0)</f>
        <v>6</v>
      </c>
    </row>
    <row r="365">
      <c r="A365" s="58" t="str">
        <f>IFERROR(__xludf.DUMMYFUNCTION("""COMPUTED_VALUE"""),"ESTUDIO DE FACTIBILIDAD PARA LA IMPLEMENTACIÓN DE UNA PLANTA PROCESADORA DE LECHE, YOGURT Y QUESO EN LA PROVINCIA DE CAPINOTA")</f>
        <v>ESTUDIO DE FACTIBILIDAD PARA LA IMPLEMENTACIÓN DE UNA PLANTA PROCESADORA DE LECHE, YOGURT Y QUESO EN LA PROVINCIA DE CAPINOTA</v>
      </c>
      <c r="B365" s="58">
        <f>IFERROR(__xludf.DUMMYFUNCTION("""COMPUTED_VALUE"""),9.0)</f>
        <v>9</v>
      </c>
    </row>
    <row r="366">
      <c r="A366" s="58" t="str">
        <f>IFERROR(__xludf.DUMMYFUNCTION("""COMPUTED_VALUE"""),"ESTUDIO DE FACTIBILIDAD PARA LA IMPLEMENTACIÓN DE UNA PLANTA PROCESADORA DE MANTEQUILLA CON CANELA Y MIEL PARA COCHABAMBA.")</f>
        <v>ESTUDIO DE FACTIBILIDAD PARA LA IMPLEMENTACIÓN DE UNA PLANTA PROCESADORA DE MANTEQUILLA CON CANELA Y MIEL PARA COCHABAMBA.</v>
      </c>
      <c r="B366" s="58">
        <f>IFERROR(__xludf.DUMMYFUNCTION("""COMPUTED_VALUE"""),2.0)</f>
        <v>2</v>
      </c>
    </row>
    <row r="367">
      <c r="A367" s="58" t="str">
        <f>IFERROR(__xludf.DUMMYFUNCTION("""COMPUTED_VALUE"""),"ESTUDIO DE FACTIBILIDAD PARA LA IMPLEMENTACIÓN DE UNA PLANTA PROCESADORA DE PAPAS PREFRITAS CONGELADAS")</f>
        <v>ESTUDIO DE FACTIBILIDAD PARA LA IMPLEMENTACIÓN DE UNA PLANTA PROCESADORA DE PAPAS PREFRITAS CONGELADAS</v>
      </c>
      <c r="B367" s="58">
        <f>IFERROR(__xludf.DUMMYFUNCTION("""COMPUTED_VALUE"""),6.0)</f>
        <v>6</v>
      </c>
    </row>
    <row r="368">
      <c r="A368" s="58" t="str">
        <f>IFERROR(__xludf.DUMMYFUNCTION("""COMPUTED_VALUE"""),"ESTUDIO DE FACTIBILIDAD PARA LA IMPLEMENTACIÓN DE UNA PLANTA PROCESADORA DE PLÁSTICOS BIODEGRADABLES A PARTIR DEL MICROORGANISMO HALOMONAS BOLIVIENSIS EN EL DEPARTAMENTO DE COCHABAMBA")</f>
        <v>ESTUDIO DE FACTIBILIDAD PARA LA IMPLEMENTACIÓN DE UNA PLANTA PROCESADORA DE PLÁSTICOS BIODEGRADABLES A PARTIR DEL MICROORGANISMO HALOMONAS BOLIVIENSIS EN EL DEPARTAMENTO DE COCHABAMBA</v>
      </c>
      <c r="B368" s="58">
        <f>IFERROR(__xludf.DUMMYFUNCTION("""COMPUTED_VALUE"""),3.0)</f>
        <v>3</v>
      </c>
    </row>
    <row r="369">
      <c r="A369" s="58" t="str">
        <f>IFERROR(__xludf.DUMMYFUNCTION("""COMPUTED_VALUE"""),"ESTUDIO DE FACTIBILIDAD PARA LA IMPLEMENTACIÓN DE UNA PLANTA PROCESADORA DE PULPA DE TUMBO EN EL DEPARTAMENTO DE COCHABAMBA.")</f>
        <v>ESTUDIO DE FACTIBILIDAD PARA LA IMPLEMENTACIÓN DE UNA PLANTA PROCESADORA DE PULPA DE TUMBO EN EL DEPARTAMENTO DE COCHABAMBA.</v>
      </c>
      <c r="B369" s="58">
        <f>IFERROR(__xludf.DUMMYFUNCTION("""COMPUTED_VALUE"""),1.0)</f>
        <v>1</v>
      </c>
    </row>
    <row r="370">
      <c r="A370" s="58" t="str">
        <f>IFERROR(__xludf.DUMMYFUNCTION("""COMPUTED_VALUE"""),"ESTUDIO DE FACTIBILIDAD PARA LA IMPLEMENTACIÓN DE UNA PLANTA PROCESADORA DE SALSA DE LOCOTO EN EL DEPARTAMENTO DE COCHABAMBA")</f>
        <v>ESTUDIO DE FACTIBILIDAD PARA LA IMPLEMENTACIÓN DE UNA PLANTA PROCESADORA DE SALSA DE LOCOTO EN EL DEPARTAMENTO DE COCHABAMBA</v>
      </c>
      <c r="B370" s="58">
        <f>IFERROR(__xludf.DUMMYFUNCTION("""COMPUTED_VALUE"""),2.0)</f>
        <v>2</v>
      </c>
    </row>
    <row r="371">
      <c r="A371" s="58" t="str">
        <f>IFERROR(__xludf.DUMMYFUNCTION("""COMPUTED_VALUE"""),"ESTUDIO DE FACTIBILIDAD PARA LA IMPLEMENTACIÓN DE UNA PLANTA PROCESADORA DE YOGURT ESTILO GRIEGO CON VEGETALES Y FRUTAS EN LA PROVINCIA CERCADO DEL DEPARTAMENTO DE COCHABAMBA")</f>
        <v>ESTUDIO DE FACTIBILIDAD PARA LA IMPLEMENTACIÓN DE UNA PLANTA PROCESADORA DE YOGURT ESTILO GRIEGO CON VEGETALES Y FRUTAS EN LA PROVINCIA CERCADO DEL DEPARTAMENTO DE COCHABAMBA</v>
      </c>
      <c r="B371" s="58">
        <f>IFERROR(__xludf.DUMMYFUNCTION("""COMPUTED_VALUE"""),9.0)</f>
        <v>9</v>
      </c>
    </row>
    <row r="372">
      <c r="A372" s="58" t="str">
        <f>IFERROR(__xludf.DUMMYFUNCTION("""COMPUTED_VALUE"""),"ESTUDIO DE FACTIBILIDAD PARA LA IMPLEMENTACIÓN DE UNA PLANTA PRODUCTORA DE ABONO EN BASE A RESIDUOS ORGANICOS DEL DISTRITO 3 DE LA CIUDAD DE CERCADO")</f>
        <v>ESTUDIO DE FACTIBILIDAD PARA LA IMPLEMENTACIÓN DE UNA PLANTA PRODUCTORA DE ABONO EN BASE A RESIDUOS ORGANICOS DEL DISTRITO 3 DE LA CIUDAD DE CERCADO</v>
      </c>
      <c r="B372" s="58">
        <f>IFERROR(__xludf.DUMMYFUNCTION("""COMPUTED_VALUE"""),1.0)</f>
        <v>1</v>
      </c>
    </row>
    <row r="373">
      <c r="A373"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B373" s="58">
        <f>IFERROR(__xludf.DUMMYFUNCTION("""COMPUTED_VALUE"""),1.0)</f>
        <v>1</v>
      </c>
    </row>
    <row r="374">
      <c r="A374"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B374" s="58">
        <f>IFERROR(__xludf.DUMMYFUNCTION("""COMPUTED_VALUE"""),3.0)</f>
        <v>3</v>
      </c>
    </row>
    <row r="375">
      <c r="A375" s="58" t="str">
        <f>IFERROR(__xludf.DUMMYFUNCTION("""COMPUTED_VALUE"""),"ESTUDIO DE FACTIBILIDAD PARA LA IMPLEMENTACIÓN DE UNA PLANTA PRODUCTORA DE ALMIDÓN DULCE DE YUCA Y SU EXPORTACIÓN")</f>
        <v>ESTUDIO DE FACTIBILIDAD PARA LA IMPLEMENTACIÓN DE UNA PLANTA PRODUCTORA DE ALMIDÓN DULCE DE YUCA Y SU EXPORTACIÓN</v>
      </c>
      <c r="B375" s="58">
        <f>IFERROR(__xludf.DUMMYFUNCTION("""COMPUTED_VALUE"""),10.0)</f>
        <v>10</v>
      </c>
    </row>
    <row r="376">
      <c r="A376" s="58" t="str">
        <f>IFERROR(__xludf.DUMMYFUNCTION("""COMPUTED_VALUE"""),"ESTUDIO DE FACTIBILIDAD PARA LA IMPLEMENTACIÓN DE UNA PLANTA PRODUCTORA DE QUESO EN LA COMUNA ITOCTA.")</f>
        <v>ESTUDIO DE FACTIBILIDAD PARA LA IMPLEMENTACIÓN DE UNA PLANTA PRODUCTORA DE QUESO EN LA COMUNA ITOCTA.</v>
      </c>
      <c r="B376" s="58">
        <f>IFERROR(__xludf.DUMMYFUNCTION("""COMPUTED_VALUE"""),2.0)</f>
        <v>2</v>
      </c>
    </row>
    <row r="377">
      <c r="A377" s="58" t="str">
        <f>IFERROR(__xludf.DUMMYFUNCTION("""COMPUTED_VALUE"""),"ESTUDIO DE FACTIBILIDAD PARA LA IMPLEMENTACIÓN DE UNA PLANTA PRODUCTORA Y COMERCIALIZADORA DE SNACKS DE YUCA.")</f>
        <v>ESTUDIO DE FACTIBILIDAD PARA LA IMPLEMENTACIÓN DE UNA PLANTA PRODUCTORA Y COMERCIALIZADORA DE SNACKS DE YUCA.</v>
      </c>
      <c r="B377" s="58">
        <f>IFERROR(__xludf.DUMMYFUNCTION("""COMPUTED_VALUE"""),3.0)</f>
        <v>3</v>
      </c>
    </row>
    <row r="378">
      <c r="A378" s="58" t="str">
        <f>IFERROR(__xludf.DUMMYFUNCTION("""COMPUTED_VALUE"""),"ESTUDIO DE FACTIBILIDAD PARA LA IMPLEMENTACIÓN DE UNA PROCESADORA DE ALIMENTO        BALANCEADO PARA LAS ZONAS LECHERAS DE LA PROVINCIA CERCADO DEL DEPARTAMENTO DE  COCHABAMBA.")</f>
        <v>ESTUDIO DE FACTIBILIDAD PARA LA IMPLEMENTACIÓN DE UNA PROCESADORA DE ALIMENTO        BALANCEADO PARA LAS ZONAS LECHERAS DE LA PROVINCIA CERCADO DEL DEPARTAMENTO DE  COCHABAMBA.</v>
      </c>
      <c r="B378" s="58">
        <f>IFERROR(__xludf.DUMMYFUNCTION("""COMPUTED_VALUE"""),1.0)</f>
        <v>1</v>
      </c>
    </row>
    <row r="379">
      <c r="A379" s="58" t="str">
        <f>IFERROR(__xludf.DUMMYFUNCTION("""COMPUTED_VALUE"""),"ESTUDIO DE FACTIBILIDAD PARA LA INSTALACION DE UNA
LÍNEA PROCESADORA DE CEREALES EXTRUIDOS PARA LA
EMPRESA PATUJÚ DEL CLUSTER DE ALIMENTOS")</f>
        <v>ESTUDIO DE FACTIBILIDAD PARA LA INSTALACION DE UNA
LÍNEA PROCESADORA DE CEREALES EXTRUIDOS PARA LA
EMPRESA PATUJÚ DEL CLUSTER DE ALIMENTOS</v>
      </c>
      <c r="B379" s="58">
        <f>IFERROR(__xludf.DUMMYFUNCTION("""COMPUTED_VALUE"""),1.0)</f>
        <v>1</v>
      </c>
    </row>
    <row r="380">
      <c r="A380" s="58" t="str">
        <f>IFERROR(__xludf.DUMMYFUNCTION("""COMPUTED_VALUE"""),"ESTUDIO DE FACTIBILIDAD PARA LA INSTALACION DE UNA PLANTA DE ENVASADO DE TÉ, PARA LA INDUSTRIA “AGROTE”")</f>
        <v>ESTUDIO DE FACTIBILIDAD PARA LA INSTALACION DE UNA PLANTA DE ENVASADO DE TÉ, PARA LA INDUSTRIA “AGROTE”</v>
      </c>
      <c r="B380" s="58">
        <f>IFERROR(__xludf.DUMMYFUNCTION("""COMPUTED_VALUE"""),2.0)</f>
        <v>2</v>
      </c>
    </row>
    <row r="381">
      <c r="A381" s="58" t="str">
        <f>IFERROR(__xludf.DUMMYFUNCTION("""COMPUTED_VALUE"""),"ESTUDIO DE FACTIBILIDAD PARA LA INSTALACION DE UNA PLANTA DE PRODUCCIÓN DE ALEVINES DE TRUCHA EN COCHABAMBA")</f>
        <v>ESTUDIO DE FACTIBILIDAD PARA LA INSTALACION DE UNA PLANTA DE PRODUCCIÓN DE ALEVINES DE TRUCHA EN COCHABAMBA</v>
      </c>
      <c r="B381" s="58">
        <f>IFERROR(__xludf.DUMMYFUNCTION("""COMPUTED_VALUE"""),1.0)</f>
        <v>1</v>
      </c>
    </row>
    <row r="382">
      <c r="A382" s="58" t="str">
        <f>IFERROR(__xludf.DUMMYFUNCTION("""COMPUTED_VALUE"""),"ESTUDIO DE FACTIBILIDAD PARA LA INSTALACION DE UNA PLANTA PROCESADORA DE REBOZADOR PARA ALIMENTOS LIBRE DE GLUTEN EN BASE A HARINA DE YUCA")</f>
        <v>ESTUDIO DE FACTIBILIDAD PARA LA INSTALACION DE UNA PLANTA PROCESADORA DE REBOZADOR PARA ALIMENTOS LIBRE DE GLUTEN EN BASE A HARINA DE YUCA</v>
      </c>
      <c r="B382" s="58">
        <f>IFERROR(__xludf.DUMMYFUNCTION("""COMPUTED_VALUE"""),2.0)</f>
        <v>2</v>
      </c>
    </row>
    <row r="383">
      <c r="A383" s="58" t="str">
        <f>IFERROR(__xludf.DUMMYFUNCTION("""COMPUTED_VALUE"""),"ESTUDIO DE FACTIBILIDAD PARA LA INSTALACION DE UNA PLANTA PRODUCTORA DE HARINA DE PULPA DE PLATANO (MUSA PARADISIACA) Y BIO ENVASES A PARTIR DE LA CASCARA EN CERCADO COCHABAMBA")</f>
        <v>ESTUDIO DE FACTIBILIDAD PARA LA INSTALACION DE UNA PLANTA PRODUCTORA DE HARINA DE PULPA DE PLATANO (MUSA PARADISIACA) Y BIO ENVASES A PARTIR DE LA CASCARA EN CERCADO COCHABAMBA</v>
      </c>
      <c r="B383" s="58">
        <f>IFERROR(__xludf.DUMMYFUNCTION("""COMPUTED_VALUE"""),18.0)</f>
        <v>18</v>
      </c>
    </row>
    <row r="384">
      <c r="A384" s="58" t="str">
        <f>IFERROR(__xludf.DUMMYFUNCTION("""COMPUTED_VALUE"""),"ESTUDIO DE FACTIBILIDAD PARA LA INSTALACIÓN DE
UNA PLANTA INDUSTRIALIZADORA DE ARVEJA EN LA
CIUDAD DE COCHABAMBA")</f>
        <v>ESTUDIO DE FACTIBILIDAD PARA LA INSTALACIÓN DE
UNA PLANTA INDUSTRIALIZADORA DE ARVEJA EN LA
CIUDAD DE COCHABAMBA</v>
      </c>
      <c r="B384" s="58">
        <f>IFERROR(__xludf.DUMMYFUNCTION("""COMPUTED_VALUE"""),1.0)</f>
        <v>1</v>
      </c>
    </row>
    <row r="385">
      <c r="A385" s="58" t="str">
        <f>IFERROR(__xludf.DUMMYFUNCTION("""COMPUTED_VALUE"""),"ESTUDIO DE FACTIBILIDAD PARA LA INSTALACIÓN DE UN CENTRO DE CAPACITACIÓN Y FORMACIÓN TÉCNICA EN MECANICA INDUSTRIAL EN COCHABAMBA A TRAVÉS DE LA PREFECTURA DE DEPARTAMENTO")</f>
        <v>ESTUDIO DE FACTIBILIDAD PARA LA INSTALACIÓN DE UN CENTRO DE CAPACITACIÓN Y FORMACIÓN TÉCNICA EN MECANICA INDUSTRIAL EN COCHABAMBA A TRAVÉS DE LA PREFECTURA DE DEPARTAMENTO</v>
      </c>
      <c r="B385" s="58">
        <f>IFERROR(__xludf.DUMMYFUNCTION("""COMPUTED_VALUE"""),1.0)</f>
        <v>1</v>
      </c>
    </row>
    <row r="386">
      <c r="A386" s="58" t="str">
        <f>IFERROR(__xludf.DUMMYFUNCTION("""COMPUTED_VALUE"""),"ESTUDIO DE FACTIBILIDAD PARA LA INSTALACIÓN DE UN CENTRO DE CAPACITACIÓN Y FORMACIÓN TÉCNICA EN MECÁNICA INDUSTRIAL EN COCHABAMBA A TRAVÉS DE LA PREFECTURA DEL DEPARTAMENTO")</f>
        <v>ESTUDIO DE FACTIBILIDAD PARA LA INSTALACIÓN DE UN CENTRO DE CAPACITACIÓN Y FORMACIÓN TÉCNICA EN MECÁNICA INDUSTRIAL EN COCHABAMBA A TRAVÉS DE LA PREFECTURA DEL DEPARTAMENTO</v>
      </c>
      <c r="B386" s="58">
        <f>IFERROR(__xludf.DUMMYFUNCTION("""COMPUTED_VALUE"""),1.0)</f>
        <v>1</v>
      </c>
    </row>
    <row r="387">
      <c r="A387" s="58" t="str">
        <f>IFERROR(__xludf.DUMMYFUNCTION("""COMPUTED_VALUE"""),"ESTUDIO DE FACTIBILIDAD PARA LA INSTALACIÓN DE UN TALLER DE CONVERSIÓN DE VEHÍCULOS A GAS NATURAL VEHICULAR")</f>
        <v>ESTUDIO DE FACTIBILIDAD PARA LA INSTALACIÓN DE UN TALLER DE CONVERSIÓN DE VEHÍCULOS A GAS NATURAL VEHICULAR</v>
      </c>
      <c r="B387" s="58">
        <f>IFERROR(__xludf.DUMMYFUNCTION("""COMPUTED_VALUE"""),1.0)</f>
        <v>1</v>
      </c>
    </row>
    <row r="388">
      <c r="A388" s="58" t="str">
        <f>IFERROR(__xludf.DUMMYFUNCTION("""COMPUTED_VALUE"""),"ESTUDIO DE FACTIBILIDAD PARA LA INSTALACIÓN DE UNA FÁBRICA DE LADRILLOS EN EL DEPARTAMENTO DE TARIJA")</f>
        <v>ESTUDIO DE FACTIBILIDAD PARA LA INSTALACIÓN DE UNA FÁBRICA DE LADRILLOS EN EL DEPARTAMENTO DE TARIJA</v>
      </c>
      <c r="B388" s="58">
        <f>IFERROR(__xludf.DUMMYFUNCTION("""COMPUTED_VALUE"""),1.0)</f>
        <v>1</v>
      </c>
    </row>
    <row r="389">
      <c r="A389" s="58" t="str">
        <f>IFERROR(__xludf.DUMMYFUNCTION("""COMPUTED_VALUE"""),"ESTUDIO DE FACTIBILIDAD PARA LA INSTALACIÓN DE UNA LÍNEA PROCESADORA DE CEREALES EXTRUIDOS PARA LA EMPRESA PATUJÚ DEL CLÚSTER DE ALIMENTOS")</f>
        <v>ESTUDIO DE FACTIBILIDAD PARA LA INSTALACIÓN DE UNA LÍNEA PROCESADORA DE CEREALES EXTRUIDOS PARA LA EMPRESA PATUJÚ DEL CLÚSTER DE ALIMENTOS</v>
      </c>
      <c r="B389" s="58">
        <f>IFERROR(__xludf.DUMMYFUNCTION("""COMPUTED_VALUE"""),1.0)</f>
        <v>1</v>
      </c>
    </row>
    <row r="390">
      <c r="A390" s="58" t="str">
        <f>IFERROR(__xludf.DUMMYFUNCTION("""COMPUTED_VALUE"""),"ESTUDIO DE FACTIBILIDAD PARA LA INSTALACIÓN DE UNA PLANTA DE PROCESAMIENTO DE ACEITE COMESTIBLE Y HAMBURGUESAS VEGANAS EN BASE A SACHA INCHI")</f>
        <v>ESTUDIO DE FACTIBILIDAD PARA LA INSTALACIÓN DE UNA PLANTA DE PROCESAMIENTO DE ACEITE COMESTIBLE Y HAMBURGUESAS VEGANAS EN BASE A SACHA INCHI</v>
      </c>
      <c r="B390" s="58">
        <f>IFERROR(__xludf.DUMMYFUNCTION("""COMPUTED_VALUE"""),1.0)</f>
        <v>1</v>
      </c>
    </row>
    <row r="391">
      <c r="A391" s="58" t="str">
        <f>IFERROR(__xludf.DUMMYFUNCTION("""COMPUTED_VALUE"""),"ESTUDIO DE FACTIBILIDAD PARA LA INSTALACIÓN DE UNA PLANTA DE PRODUCCIÓN DE LECHE Y DULCE DE LECHE DE SOJA")</f>
        <v>ESTUDIO DE FACTIBILIDAD PARA LA INSTALACIÓN DE UNA PLANTA DE PRODUCCIÓN DE LECHE Y DULCE DE LECHE DE SOJA</v>
      </c>
      <c r="B391" s="58">
        <f>IFERROR(__xludf.DUMMYFUNCTION("""COMPUTED_VALUE"""),2.0)</f>
        <v>2</v>
      </c>
    </row>
    <row r="392">
      <c r="A392" s="58" t="str">
        <f>IFERROR(__xludf.DUMMYFUNCTION("""COMPUTED_VALUE"""),"ESTUDIO DE FACTIBILIDAD PARA LA INSTALACIÓN DE UNA PLANTA DE PRODUCCIÓN DE SILLAS, MESAS Y TABURETES DE PLÁSTICO A BASE DE POLIPROPILENO POR INYECCIÓN")</f>
        <v>ESTUDIO DE FACTIBILIDAD PARA LA INSTALACIÓN DE UNA PLANTA DE PRODUCCIÓN DE SILLAS, MESAS Y TABURETES DE PLÁSTICO A BASE DE POLIPROPILENO POR INYECCIÓN</v>
      </c>
      <c r="B392" s="58">
        <f>IFERROR(__xludf.DUMMYFUNCTION("""COMPUTED_VALUE"""),13.0)</f>
        <v>13</v>
      </c>
    </row>
    <row r="393">
      <c r="A393" s="58" t="str">
        <f>IFERROR(__xludf.DUMMYFUNCTION("""COMPUTED_VALUE"""),"ESTUDIO DE FACTIBILIDAD PARA LA INSTALACIÓN DE UNA PLANTA DE PRODUCCIÓN DE VINO A PARTIR DE CIRUELA EN COCHABAMBA.")</f>
        <v>ESTUDIO DE FACTIBILIDAD PARA LA INSTALACIÓN DE UNA PLANTA DE PRODUCCIÓN DE VINO A PARTIR DE CIRUELA EN COCHABAMBA.</v>
      </c>
      <c r="B393" s="58">
        <f>IFERROR(__xludf.DUMMYFUNCTION("""COMPUTED_VALUE"""),18.0)</f>
        <v>18</v>
      </c>
    </row>
    <row r="394">
      <c r="A394" s="58" t="str">
        <f>IFERROR(__xludf.DUMMYFUNCTION("""COMPUTED_VALUE"""),"ESTUDIO DE FACTIBILIDAD PARA LA INSTALACIÓN DE UNA PLANTA DESHIDRATADORA DE FRUTILLA EN COCHABAMBA.")</f>
        <v>ESTUDIO DE FACTIBILIDAD PARA LA INSTALACIÓN DE UNA PLANTA DESHIDRATADORA DE FRUTILLA EN COCHABAMBA.</v>
      </c>
      <c r="B394" s="58">
        <f>IFERROR(__xludf.DUMMYFUNCTION("""COMPUTED_VALUE"""),2.0)</f>
        <v>2</v>
      </c>
    </row>
    <row r="395">
      <c r="A395" s="58" t="str">
        <f>IFERROR(__xludf.DUMMYFUNCTION("""COMPUTED_VALUE"""),"ESTUDIO DE FACTIBILIDAD PARA LA INSTALACIÓN DE UNA PLANTA PROCESADORA DE CROQUETAS A PARTIR DE YUCA.")</f>
        <v>ESTUDIO DE FACTIBILIDAD PARA LA INSTALACIÓN DE UNA PLANTA PROCESADORA DE CROQUETAS A PARTIR DE YUCA.</v>
      </c>
      <c r="B395" s="58">
        <f>IFERROR(__xludf.DUMMYFUNCTION("""COMPUTED_VALUE"""),6.0)</f>
        <v>6</v>
      </c>
    </row>
    <row r="396">
      <c r="A396" s="58" t="str">
        <f>IFERROR(__xludf.DUMMYFUNCTION("""COMPUTED_VALUE"""),"ESTUDIO DE FACTIBILIDAD PARA LA INSTALACIÓN DE UNA PLANTA PRODUCTORA DE MERMELADA Y HARINA DE QUINUA EN COCHABAMBA CON ALTO CONTENIDO EN PROTEÍNAS Y VITAMINAS.")</f>
        <v>ESTUDIO DE FACTIBILIDAD PARA LA INSTALACIÓN DE UNA PLANTA PRODUCTORA DE MERMELADA Y HARINA DE QUINUA EN COCHABAMBA CON ALTO CONTENIDO EN PROTEÍNAS Y VITAMINAS.</v>
      </c>
      <c r="B396" s="58">
        <f>IFERROR(__xludf.DUMMYFUNCTION("""COMPUTED_VALUE"""),1.0)</f>
        <v>1</v>
      </c>
    </row>
    <row r="397">
      <c r="A397" s="58" t="str">
        <f>IFERROR(__xludf.DUMMYFUNCTION("""COMPUTED_VALUE"""),"ESTUDIO DE FACTIBILIDAD PARA LA INSTALACIÓN Y FUNCIONAMIENTO DE UNA PLANTA DE CAL EN LA PROVINCIA EDUARDO AVAROA DEL DEPARTAMENTO DE ORURO")</f>
        <v>ESTUDIO DE FACTIBILIDAD PARA LA INSTALACIÓN Y FUNCIONAMIENTO DE UNA PLANTA DE CAL EN LA PROVINCIA EDUARDO AVAROA DEL DEPARTAMENTO DE ORURO</v>
      </c>
      <c r="B397" s="58">
        <f>IFERROR(__xludf.DUMMYFUNCTION("""COMPUTED_VALUE"""),1.0)</f>
        <v>1</v>
      </c>
    </row>
    <row r="398">
      <c r="A398" s="58" t="str">
        <f>IFERROR(__xludf.DUMMYFUNCTION("""COMPUTED_VALUE"""),"ESTUDIO DE FACTIBILIDAD PARA LA INTRODUCCIÓN DE UNA MARCA EN EL MERCADO DE JUGO DE FRUTAS A BASE DE PULPA")</f>
        <v>ESTUDIO DE FACTIBILIDAD PARA LA INTRODUCCIÓN DE UNA MARCA EN EL MERCADO DE JUGO DE FRUTAS A BASE DE PULPA</v>
      </c>
      <c r="B398" s="58">
        <f>IFERROR(__xludf.DUMMYFUNCTION("""COMPUTED_VALUE"""),4.0)</f>
        <v>4</v>
      </c>
    </row>
    <row r="399">
      <c r="A399" s="58" t="str">
        <f>IFERROR(__xludf.DUMMYFUNCTION("""COMPUTED_VALUE"""),"ESTUDIO DE FACTIBILIDAD PARA LA OBTENCIÓN DE HARINA DE ZAPALLO ENRIQUECIDA CON QUINUA EN EL MUNICIPIO DE CERCADO.")</f>
        <v>ESTUDIO DE FACTIBILIDAD PARA LA OBTENCIÓN DE HARINA DE ZAPALLO ENRIQUECIDA CON QUINUA EN EL MUNICIPIO DE CERCADO.</v>
      </c>
      <c r="B399" s="58">
        <f>IFERROR(__xludf.DUMMYFUNCTION("""COMPUTED_VALUE"""),2.0)</f>
        <v>2</v>
      </c>
    </row>
    <row r="400">
      <c r="A400" s="58" t="str">
        <f>IFERROR(__xludf.DUMMYFUNCTION("""COMPUTED_VALUE"""),"ESTUDIO DE FACTIBILIDAD PARA LA PRODUCCIÓN
DE HUEVO Y CARNE DE CODORNIZ EN LA CIUDAD
DE SANTA CRUZ DE LA SIERRA")</f>
        <v>ESTUDIO DE FACTIBILIDAD PARA LA PRODUCCIÓN
DE HUEVO Y CARNE DE CODORNIZ EN LA CIUDAD
DE SANTA CRUZ DE LA SIERRA</v>
      </c>
      <c r="B400" s="58">
        <f>IFERROR(__xludf.DUMMYFUNCTION("""COMPUTED_VALUE"""),1.0)</f>
        <v>1</v>
      </c>
    </row>
    <row r="401">
      <c r="A401" s="58" t="str">
        <f>IFERROR(__xludf.DUMMYFUNCTION("""COMPUTED_VALUE"""),"ESTUDIO DE FACTIBILIDAD PARA LA PRODUCCIÓN DE BIODIESEL A PARTIR DE ACEITE VEGETAL USADO")</f>
        <v>ESTUDIO DE FACTIBILIDAD PARA LA PRODUCCIÓN DE BIODIESEL A PARTIR DE ACEITE VEGETAL USADO</v>
      </c>
      <c r="B401" s="58">
        <f>IFERROR(__xludf.DUMMYFUNCTION("""COMPUTED_VALUE"""),2.0)</f>
        <v>2</v>
      </c>
    </row>
    <row r="402">
      <c r="A402" s="58" t="str">
        <f>IFERROR(__xludf.DUMMYFUNCTION("""COMPUTED_VALUE"""),"ESTUDIO DE FACTIBILIDAD PARA LA PRODUCCIÓN DE CAFÉ DE HIGO PARA EL DEPARTAMENTO DE COCHABAMBA")</f>
        <v>ESTUDIO DE FACTIBILIDAD PARA LA PRODUCCIÓN DE CAFÉ DE HIGO PARA EL DEPARTAMENTO DE COCHABAMBA</v>
      </c>
      <c r="B402" s="58">
        <f>IFERROR(__xludf.DUMMYFUNCTION("""COMPUTED_VALUE"""),8.0)</f>
        <v>8</v>
      </c>
    </row>
    <row r="403">
      <c r="A403" s="58" t="str">
        <f>IFERROR(__xludf.DUMMYFUNCTION("""COMPUTED_VALUE"""),"ESTUDIO DE FACTIBILIDAD PARA LA PRODUCCIÓN DE COMPOSTADORAS DOMICILIARIAS EN EL   MUNICIPIO DE TIQUIPAYA")</f>
        <v>ESTUDIO DE FACTIBILIDAD PARA LA PRODUCCIÓN DE COMPOSTADORAS DOMICILIARIAS EN EL   MUNICIPIO DE TIQUIPAYA</v>
      </c>
      <c r="B403" s="58">
        <f>IFERROR(__xludf.DUMMYFUNCTION("""COMPUTED_VALUE"""),1.0)</f>
        <v>1</v>
      </c>
    </row>
    <row r="404">
      <c r="A404" s="58" t="str">
        <f>IFERROR(__xludf.DUMMYFUNCTION("""COMPUTED_VALUE"""),"ESTUDIO DE FACTIBILIDAD PARA LA PRODUCCIÓN DE HUEVO Y CARNE DE CODORNIZ EN LA CIUDAD DE SANTA CRUZ DE LA SIERRA.")</f>
        <v>ESTUDIO DE FACTIBILIDAD PARA LA PRODUCCIÓN DE HUEVO Y CARNE DE CODORNIZ EN LA CIUDAD DE SANTA CRUZ DE LA SIERRA.</v>
      </c>
      <c r="B404" s="58">
        <f>IFERROR(__xludf.DUMMYFUNCTION("""COMPUTED_VALUE"""),2.0)</f>
        <v>2</v>
      </c>
    </row>
    <row r="405">
      <c r="A405" s="58" t="str">
        <f>IFERROR(__xludf.DUMMYFUNCTION("""COMPUTED_VALUE"""),"ESTUDIO DE FACTIBILIDAD PARA LA PRODUCCIÓN DE UNA LÍNEA DE EDREDONES EN BASE A PLUMA DE PATO PARA LA EMPRESA “A.C. ASOCIADOS S.R.L.”
")</f>
        <v>ESTUDIO DE FACTIBILIDAD PARA LA PRODUCCIÓN DE UNA LÍNEA DE EDREDONES EN BASE A PLUMA DE PATO PARA LA EMPRESA “A.C. ASOCIADOS S.R.L.”
</v>
      </c>
      <c r="B405" s="58">
        <f>IFERROR(__xludf.DUMMYFUNCTION("""COMPUTED_VALUE"""),2.0)</f>
        <v>2</v>
      </c>
    </row>
    <row r="406">
      <c r="A406" s="58" t="str">
        <f>IFERROR(__xludf.DUMMYFUNCTION("""COMPUTED_VALUE"""),"ESTUDIO DE FACTIBILIDAD PARA LA PRODUCCIÓN INDUSTRIAL DE CREMA CORPORAL A BASE DE CASCARA DE PLÁTANO EN EL DEPARTAMENTO DE COCHABAMBA")</f>
        <v>ESTUDIO DE FACTIBILIDAD PARA LA PRODUCCIÓN INDUSTRIAL DE CREMA CORPORAL A BASE DE CASCARA DE PLÁTANO EN EL DEPARTAMENTO DE COCHABAMBA</v>
      </c>
      <c r="B406" s="58">
        <f>IFERROR(__xludf.DUMMYFUNCTION("""COMPUTED_VALUE"""),10.0)</f>
        <v>10</v>
      </c>
    </row>
    <row r="407">
      <c r="A407" s="58" t="str">
        <f>IFERROR(__xludf.DUMMYFUNCTION("""COMPUTED_VALUE"""),"ESTUDIO DE FACTIBILIDAD PARA LA PRODUCCIÓN Y COMERCIALIZACION DE “GALLETAS DE QUINUA” DIRIGIDO AL MERCADO DE COCHABAMBA PARA LA EMPRESA “CORONILLA S.A.”")</f>
        <v>ESTUDIO DE FACTIBILIDAD PARA LA PRODUCCIÓN Y COMERCIALIZACION DE “GALLETAS DE QUINUA” DIRIGIDO AL MERCADO DE COCHABAMBA PARA LA EMPRESA “CORONILLA S.A.”</v>
      </c>
      <c r="B407" s="58">
        <f>IFERROR(__xludf.DUMMYFUNCTION("""COMPUTED_VALUE"""),2.0)</f>
        <v>2</v>
      </c>
    </row>
    <row r="408">
      <c r="A408" s="58" t="str">
        <f>IFERROR(__xludf.DUMMYFUNCTION("""COMPUTED_VALUE"""),"ESTUDIO DE FACTIBILIDAD PARA LA PRODUCCIÓN Y COMERCIALIZACIÓN DE CAFÉ DEL FRUTO
                  DE CHAÑAR EN EL EJE METROPOLITANO DE COCHABAMBA")</f>
        <v>ESTUDIO DE FACTIBILIDAD PARA LA PRODUCCIÓN Y COMERCIALIZACIÓN DE CAFÉ DEL FRUTO
                  DE CHAÑAR EN EL EJE METROPOLITANO DE COCHABAMBA</v>
      </c>
      <c r="B408" s="58">
        <f>IFERROR(__xludf.DUMMYFUNCTION("""COMPUTED_VALUE"""),37.0)</f>
        <v>37</v>
      </c>
    </row>
    <row r="409">
      <c r="A409" s="58" t="str">
        <f>IFERROR(__xludf.DUMMYFUNCTION("""COMPUTED_VALUE"""),"ESTUDIO DE FACTIBILIDAD PARA LA PRODUCCIÓN Y COMERCIALIZACIÓN DE HUMUS DE LOMBRIZ “EISENIA FOÉTIDA” A PARTIR DE RESIDUOS ORGÁNICOS GENERADOS EN EL MUNICIPIO DE VINTO”")</f>
        <v>ESTUDIO DE FACTIBILIDAD PARA LA PRODUCCIÓN Y COMERCIALIZACIÓN DE HUMUS DE LOMBRIZ “EISENIA FOÉTIDA” A PARTIR DE RESIDUOS ORGÁNICOS GENERADOS EN EL MUNICIPIO DE VINTO”</v>
      </c>
      <c r="B409" s="58">
        <f>IFERROR(__xludf.DUMMYFUNCTION("""COMPUTED_VALUE"""),4.0)</f>
        <v>4</v>
      </c>
    </row>
    <row r="410">
      <c r="A410" s="58" t="str">
        <f>IFERROR(__xludf.DUMMYFUNCTION("""COMPUTED_VALUE"""),"ESTUDIO DE FACTIBILIDAD PARA LA PRODUCCIÓN Y COMERCIALIZACIÓN DE “GALLETAS DE QUINUA” DIRIGIDO AL MERCADO DE COCHABAMBA PARA LA EMPRESA “CORONILLA S.A.”")</f>
        <v>ESTUDIO DE FACTIBILIDAD PARA LA PRODUCCIÓN Y COMERCIALIZACIÓN DE “GALLETAS DE QUINUA” DIRIGIDO AL MERCADO DE COCHABAMBA PARA LA EMPRESA “CORONILLA S.A.”</v>
      </c>
      <c r="B410" s="58">
        <f>IFERROR(__xludf.DUMMYFUNCTION("""COMPUTED_VALUE"""),3.0)</f>
        <v>3</v>
      </c>
    </row>
    <row r="411">
      <c r="A411" s="58" t="str">
        <f>IFERROR(__xludf.DUMMYFUNCTION("""COMPUTED_VALUE"""),"ESTUDIO DE FACTIBILIDAD PARA LA REACTIVACIÓN DE LA LÍNEA DE CEMENTO DE LA FÁBRICA SIMSA")</f>
        <v>ESTUDIO DE FACTIBILIDAD PARA LA REACTIVACIÓN DE LA LÍNEA DE CEMENTO DE LA FÁBRICA SIMSA</v>
      </c>
      <c r="B411" s="58">
        <f>IFERROR(__xludf.DUMMYFUNCTION("""COMPUTED_VALUE"""),2.0)</f>
        <v>2</v>
      </c>
    </row>
    <row r="412">
      <c r="A412" s="58" t="str">
        <f>IFERROR(__xludf.DUMMYFUNCTION("""COMPUTED_VALUE"""),"ESTUDIO DE FACTIBILIDAD PARA LA “APERTURA DE GABINETES DE NUTRICION Y VENTA DE PRODUCTOS SALUDABLES”.")</f>
        <v>ESTUDIO DE FACTIBILIDAD PARA LA “APERTURA DE GABINETES DE NUTRICION Y VENTA DE PRODUCTOS SALUDABLES”.</v>
      </c>
      <c r="B412" s="58">
        <f>IFERROR(__xludf.DUMMYFUNCTION("""COMPUTED_VALUE"""),1.0)</f>
        <v>1</v>
      </c>
    </row>
    <row r="413">
      <c r="A413" s="58" t="str">
        <f>IFERROR(__xludf.DUMMYFUNCTION("""COMPUTED_VALUE"""),"ESTUDIO DE FACTIBILIDAD PARA UNA PLANTA DE PRODUCCIÓN DE CREMA FACIAL A BASE DE SACHA INCHI.")</f>
        <v>ESTUDIO DE FACTIBILIDAD PARA UNA PLANTA DE PRODUCCIÓN DE CREMA FACIAL A BASE DE SACHA INCHI.</v>
      </c>
      <c r="B413" s="58">
        <f>IFERROR(__xludf.DUMMYFUNCTION("""COMPUTED_VALUE"""),10.0)</f>
        <v>10</v>
      </c>
    </row>
    <row r="414">
      <c r="A414" s="58" t="str">
        <f>IFERROR(__xludf.DUMMYFUNCTION("""COMPUTED_VALUE"""),"ESTUDIO DE FACTIBILIDAD PARA UNA PLANTA PRODUCTORA DE BANANO Y PIÑA DESHIDRATADA EN EL TRÓPICO DE COCHABAMBA.")</f>
        <v>ESTUDIO DE FACTIBILIDAD PARA UNA PLANTA PRODUCTORA DE BANANO Y PIÑA DESHIDRATADA EN EL TRÓPICO DE COCHABAMBA.</v>
      </c>
      <c r="B414" s="58">
        <f>IFERROR(__xludf.DUMMYFUNCTION("""COMPUTED_VALUE"""),1.0)</f>
        <v>1</v>
      </c>
    </row>
    <row r="415">
      <c r="A415" s="58" t="str">
        <f>IFERROR(__xludf.DUMMYFUNCTION("""COMPUTED_VALUE"""),"ESTUDIO DE FACTIBILIDAD PARA UNA PLANTA RECICLADORA DE PAPEL DENTRO LA U.M.S.S.")</f>
        <v>ESTUDIO DE FACTIBILIDAD PARA UNA PLANTA RECICLADORA DE PAPEL DENTRO LA U.M.S.S.</v>
      </c>
      <c r="B415" s="58">
        <f>IFERROR(__xludf.DUMMYFUNCTION("""COMPUTED_VALUE"""),3.0)</f>
        <v>3</v>
      </c>
    </row>
    <row r="416">
      <c r="A416" s="58" t="str">
        <f>IFERROR(__xludf.DUMMYFUNCTION("""COMPUTED_VALUE"""),"ESTUDIO DE FACTIBILIDAD PLANTA DE ELECTROLITO")</f>
        <v>ESTUDIO DE FACTIBILIDAD PLANTA DE ELECTROLITO</v>
      </c>
      <c r="B416" s="58">
        <f>IFERROR(__xludf.DUMMYFUNCTION("""COMPUTED_VALUE"""),1.0)</f>
        <v>1</v>
      </c>
    </row>
    <row r="417">
      <c r="A417" s="58" t="str">
        <f>IFERROR(__xludf.DUMMYFUNCTION("""COMPUTED_VALUE"""),"ESTUDIO DE FACTIBILIDAD SOCIO-ECONÓMICO PARA LA CRIANZA Y COMERCIALIZACIÓN DE LA CARNE DE CERDO REALIZADO POR ORGANIZACIONES DE MUJERES PARA CINCO MUNICIPIOS DEL CONO SUR DEL DEPARTAMENTO DE COCHABAMBA")</f>
        <v>ESTUDIO DE FACTIBILIDAD SOCIO-ECONÓMICO PARA LA CRIANZA Y COMERCIALIZACIÓN DE LA CARNE DE CERDO REALIZADO POR ORGANIZACIONES DE MUJERES PARA CINCO MUNICIPIOS DEL CONO SUR DEL DEPARTAMENTO DE COCHABAMBA</v>
      </c>
      <c r="B417" s="58">
        <f>IFERROR(__xludf.DUMMYFUNCTION("""COMPUTED_VALUE"""),1.0)</f>
        <v>1</v>
      </c>
    </row>
    <row r="418">
      <c r="A418" s="58" t="str">
        <f>IFERROR(__xludf.DUMMYFUNCTION("""COMPUTED_VALUE"""),"ESTUDIO DE FACTIBILIDAD TECNICA Y ECONOMICA PARA LA INSTALACION DE UNA LINEA DE PRODUCCION DE TOMATE HIDROPONICO PARA LA EMPRESA PEACH-COCHABAMBA")</f>
        <v>ESTUDIO DE FACTIBILIDAD TECNICA Y ECONOMICA PARA LA INSTALACION DE UNA LINEA DE PRODUCCION DE TOMATE HIDROPONICO PARA LA EMPRESA PEACH-COCHABAMBA</v>
      </c>
      <c r="B418" s="58">
        <f>IFERROR(__xludf.DUMMYFUNCTION("""COMPUTED_VALUE"""),2.0)</f>
        <v>2</v>
      </c>
    </row>
    <row r="419">
      <c r="A419" s="58" t="str">
        <f>IFERROR(__xludf.DUMMYFUNCTION("""COMPUTED_VALUE"""),"ESTUDIO DE FACTIBILIDAD TECNICA Y ECONOMICA PARA LA INSTALACION DE UNA LINEA DE PRODUCCION DE TOMATE HIDROPONICO PARA LA “EMPRESA IITAM-PEACH COCHABAMBA”")</f>
        <v>ESTUDIO DE FACTIBILIDAD TECNICA Y ECONOMICA PARA LA INSTALACION DE UNA LINEA DE PRODUCCION DE TOMATE HIDROPONICO PARA LA “EMPRESA IITAM-PEACH COCHABAMBA”</v>
      </c>
      <c r="B419" s="58">
        <f>IFERROR(__xludf.DUMMYFUNCTION("""COMPUTED_VALUE"""),1.0)</f>
        <v>1</v>
      </c>
    </row>
    <row r="420">
      <c r="A420" s="58" t="str">
        <f>IFERROR(__xludf.DUMMYFUNCTION("""COMPUTED_VALUE"""),"ESTUDIO DE FACTIBILIDAD TECNICA Y ECONOMICA PARA LA INSTALACION DE UNA PLANTA PROCESADORA DE JUGOS CON PULPA DE FRUTAS PARA LA EMPRESA “MANANTIAL LOS ANDES”")</f>
        <v>ESTUDIO DE FACTIBILIDAD TECNICA Y ECONOMICA PARA LA INSTALACION DE UNA PLANTA PROCESADORA DE JUGOS CON PULPA DE FRUTAS PARA LA EMPRESA “MANANTIAL LOS ANDES”</v>
      </c>
      <c r="B420" s="58">
        <f>IFERROR(__xludf.DUMMYFUNCTION("""COMPUTED_VALUE"""),28.0)</f>
        <v>28</v>
      </c>
    </row>
    <row r="421">
      <c r="A421" s="58" t="str">
        <f>IFERROR(__xludf.DUMMYFUNCTION("""COMPUTED_VALUE"""),"ESTUDIO DE FACTIBILIDAD TECNICA Y FINANCIERA PARA LA INSTALACION DE UNA EMPRESA DE BEBIDAS ENERGÉTICAS A BASE DE CHÍA Y FRUTAS EN COCHABAMBA METROPOLITANA”.")</f>
        <v>ESTUDIO DE FACTIBILIDAD TECNICA Y FINANCIERA PARA LA INSTALACION DE UNA EMPRESA DE BEBIDAS ENERGÉTICAS A BASE DE CHÍA Y FRUTAS EN COCHABAMBA METROPOLITANA”.</v>
      </c>
      <c r="B421" s="58">
        <f>IFERROR(__xludf.DUMMYFUNCTION("""COMPUTED_VALUE"""),2.0)</f>
        <v>2</v>
      </c>
    </row>
    <row r="422">
      <c r="A422" s="58" t="str">
        <f>IFERROR(__xludf.DUMMYFUNCTION("""COMPUTED_VALUE"""),"ESTUDIO DE FACTIBILIDAD TECNICA Y FINANCIERA PARA PRODUCIR ALCOHOL CARBURANTE A PARTIR DE CAÑA DE AZUCAR")</f>
        <v>ESTUDIO DE FACTIBILIDAD TECNICA Y FINANCIERA PARA PRODUCIR ALCOHOL CARBURANTE A PARTIR DE CAÑA DE AZUCAR</v>
      </c>
      <c r="B422" s="58">
        <f>IFERROR(__xludf.DUMMYFUNCTION("""COMPUTED_VALUE"""),1.0)</f>
        <v>1</v>
      </c>
    </row>
    <row r="423">
      <c r="A423" s="58" t="str">
        <f>IFERROR(__xludf.DUMMYFUNCTION("""COMPUTED_VALUE"""),"ESTUDIO DE FACTIBILIDAD TECNICO, ECONOMICO Y FINANCIERO PARA DESARROLLAR LOS SISTEMAS DE PRODUCCION HIDROPONICOS PARA EL CULTIVO DE FLORES EN TIQUIPAYA")</f>
        <v>ESTUDIO DE FACTIBILIDAD TECNICO, ECONOMICO Y FINANCIERO PARA DESARROLLAR LOS SISTEMAS DE PRODUCCION HIDROPONICOS PARA EL CULTIVO DE FLORES EN TIQUIPAYA</v>
      </c>
      <c r="B423" s="58">
        <f>IFERROR(__xludf.DUMMYFUNCTION("""COMPUTED_VALUE"""),1.0)</f>
        <v>1</v>
      </c>
    </row>
    <row r="424">
      <c r="A424" s="58" t="str">
        <f>IFERROR(__xludf.DUMMYFUNCTION("""COMPUTED_VALUE"""),"ESTUDIO DE FACTIBILIDAD TÉCNICA Y COMERCIAL PARA LA CREACIÓN DE UNA PLANTA INDUSTRIALIZADORA DE CERVEZA A BASE DE QUINUA EN COCHABAMBA")</f>
        <v>ESTUDIO DE FACTIBILIDAD TÉCNICA Y COMERCIAL PARA LA CREACIÓN DE UNA PLANTA INDUSTRIALIZADORA DE CERVEZA A BASE DE QUINUA EN COCHABAMBA</v>
      </c>
      <c r="B424" s="58">
        <f>IFERROR(__xludf.DUMMYFUNCTION("""COMPUTED_VALUE"""),14.0)</f>
        <v>14</v>
      </c>
    </row>
    <row r="425">
      <c r="A425" s="58" t="str">
        <f>IFERROR(__xludf.DUMMYFUNCTION("""COMPUTED_VALUE"""),"ESTUDIO DE FACTIBILIDAD TÉCNICA Y ECONÓMICA PARA LA ELABORACIÓN DE SOPAS Y CREMAS PRE COCIDAS A BASE DE QUINUA EN LA CIUDAD DE COCHABAMBA")</f>
        <v>ESTUDIO DE FACTIBILIDAD TÉCNICA Y ECONÓMICA PARA LA ELABORACIÓN DE SOPAS Y CREMAS PRE COCIDAS A BASE DE QUINUA EN LA CIUDAD DE COCHABAMBA</v>
      </c>
      <c r="B425" s="58">
        <f>IFERROR(__xludf.DUMMYFUNCTION("""COMPUTED_VALUE"""),4.0)</f>
        <v>4</v>
      </c>
    </row>
    <row r="426">
      <c r="A426" s="58" t="str">
        <f>IFERROR(__xludf.DUMMYFUNCTION("""COMPUTED_VALUE"""),"ESTUDIO DE FACTIBILIDAD TÉCNICA Y ECONÓMICA PARA LA INSTALACIÓN DE UNA ESTACIÓN DE SERVICIO EN EL DISTRITO DE BULO BULO")</f>
        <v>ESTUDIO DE FACTIBILIDAD TÉCNICA Y ECONÓMICA PARA LA INSTALACIÓN DE UNA ESTACIÓN DE SERVICIO EN EL DISTRITO DE BULO BULO</v>
      </c>
      <c r="B426" s="58">
        <f>IFERROR(__xludf.DUMMYFUNCTION("""COMPUTED_VALUE"""),1.0)</f>
        <v>1</v>
      </c>
    </row>
    <row r="427">
      <c r="A427" s="58" t="str">
        <f>IFERROR(__xludf.DUMMYFUNCTION("""COMPUTED_VALUE"""),"ESTUDIO DE FACTIBILIDAD TÉCNICA Y FINANCIERA PARA LA IMPLEMENTACIÓN DE UNA FÁBRICA DE ACCESORIOS PARA COLCHÓN: RESORTES, ESPIRAL Y ALGODÓN ARTIFICIAL PARA LA EMPRESA OMOFLEX")</f>
        <v>ESTUDIO DE FACTIBILIDAD TÉCNICA Y FINANCIERA PARA LA IMPLEMENTACIÓN DE UNA FÁBRICA DE ACCESORIOS PARA COLCHÓN: RESORTES, ESPIRAL Y ALGODÓN ARTIFICIAL PARA LA EMPRESA OMOFLEX</v>
      </c>
      <c r="B427" s="58">
        <f>IFERROR(__xludf.DUMMYFUNCTION("""COMPUTED_VALUE"""),2.0)</f>
        <v>2</v>
      </c>
    </row>
    <row r="428">
      <c r="A428" s="58" t="str">
        <f>IFERROR(__xludf.DUMMYFUNCTION("""COMPUTED_VALUE"""),"ESTUDIO DE FACTIBILIDAD TÉCNICA Y FINANCIERA PARA LA IMPLEMENTACIÓN DE UNA LÍNEA PRODUCTIVA DE MERMELADA DE FRUTAS A PARTIR DE RESIDUOS EN LACTEOSBOL VALLE SACTA-COCHABAMBA")</f>
        <v>ESTUDIO DE FACTIBILIDAD TÉCNICA Y FINANCIERA PARA LA IMPLEMENTACIÓN DE UNA LÍNEA PRODUCTIVA DE MERMELADA DE FRUTAS A PARTIR DE RESIDUOS EN LACTEOSBOL VALLE SACTA-COCHABAMBA</v>
      </c>
      <c r="B428" s="58">
        <f>IFERROR(__xludf.DUMMYFUNCTION("""COMPUTED_VALUE"""),8.0)</f>
        <v>8</v>
      </c>
    </row>
    <row r="429">
      <c r="A429" s="58" t="str">
        <f>IFERROR(__xludf.DUMMYFUNCTION("""COMPUTED_VALUE"""),"ESTUDIO DE FACTIBILIDAD TÉCNICA Y FINANCIERA PARA PRODUCIR ALCOHOL CARBURANTE A PARTIR DE CAÑA DE AZÚCAR")</f>
        <v>ESTUDIO DE FACTIBILIDAD TÉCNICA Y FINANCIERA PARA PRODUCIR ALCOHOL CARBURANTE A PARTIR DE CAÑA DE AZÚCAR</v>
      </c>
      <c r="B429" s="58">
        <f>IFERROR(__xludf.DUMMYFUNCTION("""COMPUTED_VALUE"""),1.0)</f>
        <v>1</v>
      </c>
    </row>
    <row r="430">
      <c r="A430" s="58" t="str">
        <f>IFERROR(__xludf.DUMMYFUNCTION("""COMPUTED_VALUE"""),"ESTUDIO DE FACTIBILIDAD TÉCNICO - FINANCIERO PARA LA IMPLEMENTACIÓN DE UNA PLANTA DE RECICLAJE PARA LA RECUPERACIÓN DE POLIETILENO DE BAJA DENSIDAD Y TERMOCONTRAIBLE PARA LA EMPRESA INMAPLAST SRL")</f>
        <v>ESTUDIO DE FACTIBILIDAD TÉCNICO - FINANCIERO PARA LA IMPLEMENTACIÓN DE UNA PLANTA DE RECICLAJE PARA LA RECUPERACIÓN DE POLIETILENO DE BAJA DENSIDAD Y TERMOCONTRAIBLE PARA LA EMPRESA INMAPLAST SRL</v>
      </c>
      <c r="B430" s="58">
        <f>IFERROR(__xludf.DUMMYFUNCTION("""COMPUTED_VALUE"""),2.0)</f>
        <v>2</v>
      </c>
    </row>
    <row r="431">
      <c r="A431" s="58" t="str">
        <f>IFERROR(__xludf.DUMMYFUNCTION("""COMPUTED_VALUE"""),"ESTUDIO DE FACTIBILIDAD TÉCNICO ECONÓMICO PARA LA IMPLEMENTACIÓN DE UNA GRANJA AVÍCOLA PRODUCTORA DE HUEVOS ENRIQUECIDOS CON OMEGA 3")</f>
        <v>ESTUDIO DE FACTIBILIDAD TÉCNICO ECONÓMICO PARA LA IMPLEMENTACIÓN DE UNA GRANJA AVÍCOLA PRODUCTORA DE HUEVOS ENRIQUECIDOS CON OMEGA 3</v>
      </c>
      <c r="B431" s="58">
        <f>IFERROR(__xludf.DUMMYFUNCTION("""COMPUTED_VALUE"""),6.0)</f>
        <v>6</v>
      </c>
    </row>
    <row r="432">
      <c r="A432" s="58" t="str">
        <f>IFERROR(__xludf.DUMMYFUNCTION("""COMPUTED_VALUE"""),"ESTUDIO DE FACTIBILIDAD TÉCNICO ECONÓMICO PARA LA PRODUCCIÓN DE VINO ESPUMANTE")</f>
        <v>ESTUDIO DE FACTIBILIDAD TÉCNICO ECONÓMICO PARA LA PRODUCCIÓN DE VINO ESPUMANTE</v>
      </c>
      <c r="B432" s="58">
        <f>IFERROR(__xludf.DUMMYFUNCTION("""COMPUTED_VALUE"""),1.0)</f>
        <v>1</v>
      </c>
    </row>
    <row r="433">
      <c r="A433" s="58" t="str">
        <f>IFERROR(__xludf.DUMMYFUNCTION("""COMPUTED_VALUE"""),"ESTUDIO DE FACTIBILIDAD TÉCNICO ECONÓMICO Y FINANCIERO PARA LA CREACIÓN DE UNA     EMPRESA PRODUCTORA DE LADRILLOS Y PLACAS PREFABRICADAS CON PLÁSTICOS RECICLADOS EN TIQUIPAYA")</f>
        <v>ESTUDIO DE FACTIBILIDAD TÉCNICO ECONÓMICO Y FINANCIERO PARA LA CREACIÓN DE UNA     EMPRESA PRODUCTORA DE LADRILLOS Y PLACAS PREFABRICADAS CON PLÁSTICOS RECICLADOS EN TIQUIPAYA</v>
      </c>
      <c r="B433" s="58">
        <f>IFERROR(__xludf.DUMMYFUNCTION("""COMPUTED_VALUE"""),2.0)</f>
        <v>2</v>
      </c>
    </row>
    <row r="434">
      <c r="A434" s="58" t="str">
        <f>IFERROR(__xludf.DUMMYFUNCTION("""COMPUTED_VALUE"""),"ESTUDIO DE FACTIBILIDAD TÉCNICO ECONÓMICO Y FINANCIERO PARA UNA PLANTA PROCESADORA DE MANÍ")</f>
        <v>ESTUDIO DE FACTIBILIDAD TÉCNICO ECONÓMICO Y FINANCIERO PARA UNA PLANTA PROCESADORA DE MANÍ</v>
      </c>
      <c r="B434" s="58">
        <f>IFERROR(__xludf.DUMMYFUNCTION("""COMPUTED_VALUE"""),6.0)</f>
        <v>6</v>
      </c>
    </row>
    <row r="435">
      <c r="A435" s="58" t="str">
        <f>IFERROR(__xludf.DUMMYFUNCTION("""COMPUTED_VALUE"""),"ESTUDIO DE FACTIBILIDAD TÉCNICO – ECONÓMICO PARA LA
FABRICACIÓN DE CEMENTO COLA")</f>
        <v>ESTUDIO DE FACTIBILIDAD TÉCNICO – ECONÓMICO PARA LA
FABRICACIÓN DE CEMENTO COLA</v>
      </c>
      <c r="B435" s="58">
        <f>IFERROR(__xludf.DUMMYFUNCTION("""COMPUTED_VALUE"""),1.0)</f>
        <v>1</v>
      </c>
    </row>
    <row r="436">
      <c r="A436" s="58" t="str">
        <f>IFERROR(__xludf.DUMMYFUNCTION("""COMPUTED_VALUE"""),"ESTUDIO DE FACTIBILIDAD TÉCNICO, ECONÓMICO Y FINANCIERO PARA DESARROLLAR LOS SISTEMAS DE PRODUCCIÓN HIDROPÓNICOS PARA EL CULTIVO DE FLORES EN TIQUIPAYA")</f>
        <v>ESTUDIO DE FACTIBILIDAD TÉCNICO, ECONÓMICO Y FINANCIERO PARA DESARROLLAR LOS SISTEMAS DE PRODUCCIÓN HIDROPÓNICOS PARA EL CULTIVO DE FLORES EN TIQUIPAYA</v>
      </c>
      <c r="B436" s="58">
        <f>IFERROR(__xludf.DUMMYFUNCTION("""COMPUTED_VALUE"""),4.0)</f>
        <v>4</v>
      </c>
    </row>
    <row r="437">
      <c r="A437" s="58" t="str">
        <f>IFERROR(__xludf.DUMMYFUNCTION("""COMPUTED_VALUE"""),"ESTUDIO DE FACTIBILIDAD TÉCNICO-ECONÓMICO PARA LA FABRICACIÓN DE CEMENTO COLA")</f>
        <v>ESTUDIO DE FACTIBILIDAD TÉCNICO-ECONÓMICO PARA LA FABRICACIÓN DE CEMENTO COLA</v>
      </c>
      <c r="B437" s="58">
        <f>IFERROR(__xludf.DUMMYFUNCTION("""COMPUTED_VALUE"""),8.0)</f>
        <v>8</v>
      </c>
    </row>
    <row r="438">
      <c r="A438" s="58" t="str">
        <f>IFERROR(__xludf.DUMMYFUNCTION("""COMPUTED_VALUE"""),"ESTUDIO DE FACTIBILIDAD TÉCNICO-ECONÓMICO PARA LA IMPLEMENTACIÓN DE UNA PLANTA PROCESADORA DE LOS DERIVADOS DE ALMENDRA (BERTHOLLETIA EXCELSA) EN COCHABAMBA.")</f>
        <v>ESTUDIO DE FACTIBILIDAD TÉCNICO-ECONÓMICO PARA LA IMPLEMENTACIÓN DE UNA PLANTA PROCESADORA DE LOS DERIVADOS DE ALMENDRA (BERTHOLLETIA EXCELSA) EN COCHABAMBA.</v>
      </c>
      <c r="B438" s="58">
        <f>IFERROR(__xludf.DUMMYFUNCTION("""COMPUTED_VALUE"""),2.0)</f>
        <v>2</v>
      </c>
    </row>
    <row r="439">
      <c r="A439" s="58" t="str">
        <f>IFERROR(__xludf.DUMMYFUNCTION("""COMPUTED_VALUE"""),"ESTUDIO DE IMPLEMENTACIÓN DE UNA PLANTA PROCESADORA DE AZÚCAR MORENA EN EL VALLE DE SAIPINA.")</f>
        <v>ESTUDIO DE IMPLEMENTACIÓN DE UNA PLANTA PROCESADORA DE AZÚCAR MORENA EN EL VALLE DE SAIPINA.</v>
      </c>
      <c r="B439" s="58">
        <f>IFERROR(__xludf.DUMMYFUNCTION("""COMPUTED_VALUE"""),1.0)</f>
        <v>1</v>
      </c>
    </row>
    <row r="440">
      <c r="A440" s="58" t="str">
        <f>IFERROR(__xludf.DUMMYFUNCTION("""COMPUTED_VALUE"""),"ESTUDIO DE INGENIERÍA DE MÉTODOS EN LOS PROCESOS DE IMPRESIÓN, CORTE Y EMPAQUETADO DE LA EMPRESA FLEXO PRINT S.R.L.")</f>
        <v>ESTUDIO DE INGENIERÍA DE MÉTODOS EN LOS PROCESOS DE IMPRESIÓN, CORTE Y EMPAQUETADO DE LA EMPRESA FLEXO PRINT S.R.L.</v>
      </c>
      <c r="B440" s="58">
        <f>IFERROR(__xludf.DUMMYFUNCTION("""COMPUTED_VALUE"""),13.0)</f>
        <v>13</v>
      </c>
    </row>
    <row r="441">
      <c r="A441" s="58" t="str">
        <f>IFERROR(__xludf.DUMMYFUNCTION("""COMPUTED_VALUE"""),"ESTUDIO DE INGENIERÍA DE MÉTODOS PARA EL ANÁLISIS DE LA EFICIENCIA Y ECONOMÍA DE LOS PROCESOS PRODUCTIVOS DE LA LÍNEA DE PRODUCCIÓN DE PANADERÍA EN LA INDUSTRIA PANIFICADORA ZELADA.")</f>
        <v>ESTUDIO DE INGENIERÍA DE MÉTODOS PARA EL ANÁLISIS DE LA EFICIENCIA Y ECONOMÍA DE LOS PROCESOS PRODUCTIVOS DE LA LÍNEA DE PRODUCCIÓN DE PANADERÍA EN LA INDUSTRIA PANIFICADORA ZELADA.</v>
      </c>
      <c r="B441" s="58">
        <f>IFERROR(__xludf.DUMMYFUNCTION("""COMPUTED_VALUE"""),10.0)</f>
        <v>10</v>
      </c>
    </row>
    <row r="442">
      <c r="A442" s="58" t="str">
        <f>IFERROR(__xludf.DUMMYFUNCTION("""COMPUTED_VALUE"""),"ESTUDIO DE INGENIERÍA DE MÉTODOS PARA LA OPTIMIZACIÓN DEL PROCESO PRODUCTIVO EN EL ÁREA DE RECUPERADO DE MATERIA PRIMA DE LA FÁBRICA ECOLÓGICA DE PLÁSTICOS “ECOPLASTIC S.R.L.")</f>
        <v>ESTUDIO DE INGENIERÍA DE MÉTODOS PARA LA OPTIMIZACIÓN DEL PROCESO PRODUCTIVO EN EL ÁREA DE RECUPERADO DE MATERIA PRIMA DE LA FÁBRICA ECOLÓGICA DE PLÁSTICOS “ECOPLASTIC S.R.L.</v>
      </c>
      <c r="B442" s="58">
        <f>IFERROR(__xludf.DUMMYFUNCTION("""COMPUTED_VALUE"""),6.0)</f>
        <v>6</v>
      </c>
    </row>
    <row r="443">
      <c r="A443" s="58" t="str">
        <f>IFERROR(__xludf.DUMMYFUNCTION("""COMPUTED_VALUE"""),"ESTUDIO DE INGENIERÍA DE MÉTODOS PARA LA OPTIMIZACIÓN DEL ÁREA DE CARGA EN LA INDUSTRIA CERÁMICA INBOLTECO S.A")</f>
        <v>ESTUDIO DE INGENIERÍA DE MÉTODOS PARA LA OPTIMIZACIÓN DEL ÁREA DE CARGA EN LA INDUSTRIA CERÁMICA INBOLTECO S.A</v>
      </c>
      <c r="B443" s="58">
        <f>IFERROR(__xludf.DUMMYFUNCTION("""COMPUTED_VALUE"""),6.0)</f>
        <v>6</v>
      </c>
    </row>
    <row r="444">
      <c r="A444" s="58" t="str">
        <f>IFERROR(__xludf.DUMMYFUNCTION("""COMPUTED_VALUE"""),"ESTUDIO DE INGENIERÍA DE MÉTODOS PARA LA PRODUCCIÓN DE MADEJAS DE HILADO DE LANA DE ALPACA EN LA EMPRESA FOTRAMA LTDA.")</f>
        <v>ESTUDIO DE INGENIERÍA DE MÉTODOS PARA LA PRODUCCIÓN DE MADEJAS DE HILADO DE LANA DE ALPACA EN LA EMPRESA FOTRAMA LTDA.</v>
      </c>
      <c r="B444" s="58">
        <f>IFERROR(__xludf.DUMMYFUNCTION("""COMPUTED_VALUE"""),3.0)</f>
        <v>3</v>
      </c>
    </row>
    <row r="445">
      <c r="A445" s="58" t="str">
        <f>IFERROR(__xludf.DUMMYFUNCTION("""COMPUTED_VALUE"""),"ESTUDIO DE INGENIERÍA DE MÉTODOS PARA MEJORAR LA PRODUCTIVIDAD EN LA EMPRESA FRUTIJUGO DE COCHABAMBA.")</f>
        <v>ESTUDIO DE INGENIERÍA DE MÉTODOS PARA MEJORAR LA PRODUCTIVIDAD EN LA EMPRESA FRUTIJUGO DE COCHABAMBA.</v>
      </c>
      <c r="B445" s="58">
        <f>IFERROR(__xludf.DUMMYFUNCTION("""COMPUTED_VALUE"""),22.0)</f>
        <v>22</v>
      </c>
    </row>
    <row r="446">
      <c r="A446" s="58" t="str">
        <f>IFERROR(__xludf.DUMMYFUNCTION("""COMPUTED_VALUE"""),"ESTUDIO DE INGENIERÍA DE MÉTODOS PARA MEJORARLA PRODUCTIVIDAD EN LA PRODUCCIÓN DE CALCITA DE LA EMPRESA CALMUS – TRAS COCHABAMBA")</f>
        <v>ESTUDIO DE INGENIERÍA DE MÉTODOS PARA MEJORARLA PRODUCTIVIDAD EN LA PRODUCCIÓN DE CALCITA DE LA EMPRESA CALMUS – TRAS COCHABAMBA</v>
      </c>
      <c r="B446" s="58">
        <f>IFERROR(__xludf.DUMMYFUNCTION("""COMPUTED_VALUE"""),12.0)</f>
        <v>12</v>
      </c>
    </row>
    <row r="447">
      <c r="A447" s="58" t="str">
        <f>IFERROR(__xludf.DUMMYFUNCTION("""COMPUTED_VALUE"""),"ESTUDIO DE MERCADO PARA CONOCER LA DEMANDA DE FORMACIÓN POS-GRADUAL EN EL ÁREA DE LA SALUD PARA LA UNIDAD DE POSGRADO DE LA FACULTAD DE CS. FARMACÉUTICAS Y BIOQUÍMICAS DE LA UMSS")</f>
        <v>ESTUDIO DE MERCADO PARA CONOCER LA DEMANDA DE FORMACIÓN POS-GRADUAL EN EL ÁREA DE LA SALUD PARA LA UNIDAD DE POSGRADO DE LA FACULTAD DE CS. FARMACÉUTICAS Y BIOQUÍMICAS DE LA UMSS</v>
      </c>
      <c r="B447" s="58">
        <f>IFERROR(__xludf.DUMMYFUNCTION("""COMPUTED_VALUE"""),2.0)</f>
        <v>2</v>
      </c>
    </row>
    <row r="448">
      <c r="A448" s="58" t="str">
        <f>IFERROR(__xludf.DUMMYFUNCTION("""COMPUTED_VALUE"""),"ESTUDIO DE MERCADO PARA EL ANÁLISIS Y CONTROL DE PLAGUICIDAS EN ALIMENTOS ELABORADO PARA EL CENTRO DE TECNOLOGÍA AGROINDUSTRIAL DE LA UMSS")</f>
        <v>ESTUDIO DE MERCADO PARA EL ANÁLISIS Y CONTROL DE PLAGUICIDAS EN ALIMENTOS ELABORADO PARA EL CENTRO DE TECNOLOGÍA AGROINDUSTRIAL DE LA UMSS</v>
      </c>
      <c r="B448" s="58">
        <f>IFERROR(__xludf.DUMMYFUNCTION("""COMPUTED_VALUE"""),1.0)</f>
        <v>1</v>
      </c>
    </row>
    <row r="449">
      <c r="A449" s="58" t="str">
        <f>IFERROR(__xludf.DUMMYFUNCTION("""COMPUTED_VALUE"""),"ESTUDIO DE MERCADO PARA LA COMERCIALIZACIÓN DE VITAMINAS Y SUPLEMENTOS NUTRICIONALES DE LA LÍNEA TERBONOVA DE LABORATORIOS TERBOL S.A. EN LA DISTRIBUIDORA L &amp; S")</f>
        <v>ESTUDIO DE MERCADO PARA LA COMERCIALIZACIÓN DE VITAMINAS Y SUPLEMENTOS NUTRICIONALES DE LA LÍNEA TERBONOVA DE LABORATORIOS TERBOL S.A. EN LA DISTRIBUIDORA L &amp; S</v>
      </c>
      <c r="B449" s="58">
        <f>IFERROR(__xludf.DUMMYFUNCTION("""COMPUTED_VALUE"""),3.0)</f>
        <v>3</v>
      </c>
    </row>
    <row r="450">
      <c r="A450" s="58" t="str">
        <f>IFERROR(__xludf.DUMMYFUNCTION("""COMPUTED_VALUE"""),"ESTUDIO DE MERCADO PARA LA IMPLEMENTACIÓN DEL SERVICIO DE TELEVISIÓN SATELITAL EN EL DEPARTAMENTO DE COCHABAMBA")</f>
        <v>ESTUDIO DE MERCADO PARA LA IMPLEMENTACIÓN DEL SERVICIO DE TELEVISIÓN SATELITAL EN EL DEPARTAMENTO DE COCHABAMBA</v>
      </c>
      <c r="B450" s="58">
        <f>IFERROR(__xludf.DUMMYFUNCTION("""COMPUTED_VALUE"""),1.0)</f>
        <v>1</v>
      </c>
    </row>
    <row r="451">
      <c r="A451" s="58" t="str">
        <f>IFERROR(__xludf.DUMMYFUNCTION("""COMPUTED_VALUE"""),"ESTUDIO DE MERCADO Y DISEÑO DE UN PLAN ESTRATÉGICO DE MARKETING PARA LA COMERCIALIZACIÓN DE SAPONINAS OBTENIDAS DEL ESCARIFICADO DE QUÍNUA")</f>
        <v>ESTUDIO DE MERCADO Y DISEÑO DE UN PLAN ESTRATÉGICO DE MARKETING PARA LA COMERCIALIZACIÓN DE SAPONINAS OBTENIDAS DEL ESCARIFICADO DE QUÍNUA</v>
      </c>
      <c r="B451" s="58">
        <f>IFERROR(__xludf.DUMMYFUNCTION("""COMPUTED_VALUE"""),1.0)</f>
        <v>1</v>
      </c>
    </row>
    <row r="452">
      <c r="A452" s="58" t="str">
        <f>IFERROR(__xludf.DUMMYFUNCTION("""COMPUTED_VALUE"""),"ESTUDIO DE METODOS PARA LA MEJORA DE LA PRODUCTIVIDAD DE LA SECCION DE MONTACARGAS DE LAS LINEAS DE PRODUCCION DE LA EMPRESA EMBOL S.A")</f>
        <v>ESTUDIO DE METODOS PARA LA MEJORA DE LA PRODUCTIVIDAD DE LA SECCION DE MONTACARGAS DE LAS LINEAS DE PRODUCCION DE LA EMPRESA EMBOL S.A</v>
      </c>
      <c r="B452" s="58">
        <f>IFERROR(__xludf.DUMMYFUNCTION("""COMPUTED_VALUE"""),5.0)</f>
        <v>5</v>
      </c>
    </row>
    <row r="453">
      <c r="A453" s="58" t="str">
        <f>IFERROR(__xludf.DUMMYFUNCTION("""COMPUTED_VALUE"""),"ESTUDIO DE METODOS PARA LA OPTIMIZACIÓN DE LA PRODUCCION EN EL ÁREA DE RECICLADO DE PLASTICO EN INMAPLAST S.R.L.")</f>
        <v>ESTUDIO DE METODOS PARA LA OPTIMIZACIÓN DE LA PRODUCCION EN EL ÁREA DE RECICLADO DE PLASTICO EN INMAPLAST S.R.L.</v>
      </c>
      <c r="B453" s="58">
        <f>IFERROR(__xludf.DUMMYFUNCTION("""COMPUTED_VALUE"""),26.0)</f>
        <v>26</v>
      </c>
    </row>
    <row r="454">
      <c r="A454" s="58" t="str">
        <f>IFERROR(__xludf.DUMMYFUNCTION("""COMPUTED_VALUE"""),"ESTUDIO DE MÉTODOS PARA EL MEJORAMIENTO DEL SISTEMA PRODUCTIVO DE LA EMPRESA DE MOBILIARIO MOBISTAR BOLIVIA")</f>
        <v>ESTUDIO DE MÉTODOS PARA EL MEJORAMIENTO DEL SISTEMA PRODUCTIVO DE LA EMPRESA DE MOBILIARIO MOBISTAR BOLIVIA</v>
      </c>
      <c r="B454" s="58">
        <f>IFERROR(__xludf.DUMMYFUNCTION("""COMPUTED_VALUE"""),4.0)</f>
        <v>4</v>
      </c>
    </row>
    <row r="455">
      <c r="A455" s="58" t="str">
        <f>IFERROR(__xludf.DUMMYFUNCTION("""COMPUTED_VALUE"""),"ESTUDIO DE MÉTODOS Y TIEMPOS DE LA CURTIEMBRE Y MANUFACTURA CURMA S.R.L.")</f>
        <v>ESTUDIO DE MÉTODOS Y TIEMPOS DE LA CURTIEMBRE Y MANUFACTURA CURMA S.R.L.</v>
      </c>
      <c r="B455" s="58">
        <f>IFERROR(__xludf.DUMMYFUNCTION("""COMPUTED_VALUE"""),7.0)</f>
        <v>7</v>
      </c>
    </row>
    <row r="456">
      <c r="A456" s="58" t="str">
        <f>IFERROR(__xludf.DUMMYFUNCTION("""COMPUTED_VALUE"""),"ESTUDIO DE MÉTODOS Y TIEMPOS PARA EL INCREMENTO DE LA PRODUCCIÓN DE LA PLANTA DE EPS DE LA EMPRESA TECNOPOR")</f>
        <v>ESTUDIO DE MÉTODOS Y TIEMPOS PARA EL INCREMENTO DE LA PRODUCCIÓN DE LA PLANTA DE EPS DE LA EMPRESA TECNOPOR</v>
      </c>
      <c r="B456" s="58">
        <f>IFERROR(__xludf.DUMMYFUNCTION("""COMPUTED_VALUE"""),1.0)</f>
        <v>1</v>
      </c>
    </row>
    <row r="457">
      <c r="A457" s="58" t="str">
        <f>IFERROR(__xludf.DUMMYFUNCTION("""COMPUTED_VALUE"""),"ESTUDIO DE MÉTODOS Y TIEMPOS PARA EL INCREMENTO DE LA PRODUCCIÓN EN LA PLANTA DE EXTRUSIÓN DE PEAD Y PVC PARA LA FABRICACIÓN DE SOGAS Y MANGUERAS DE LA EMPRESA BLEICHNER INDUSTRIA Y COMERCIO S.A.")</f>
        <v>ESTUDIO DE MÉTODOS Y TIEMPOS PARA EL INCREMENTO DE LA PRODUCCIÓN EN LA PLANTA DE EXTRUSIÓN DE PEAD Y PVC PARA LA FABRICACIÓN DE SOGAS Y MANGUERAS DE LA EMPRESA BLEICHNER INDUSTRIA Y COMERCIO S.A.</v>
      </c>
      <c r="B457" s="58">
        <f>IFERROR(__xludf.DUMMYFUNCTION("""COMPUTED_VALUE"""),11.0)</f>
        <v>11</v>
      </c>
    </row>
    <row r="458">
      <c r="A458" s="58" t="str">
        <f>IFERROR(__xludf.DUMMYFUNCTION("""COMPUTED_VALUE"""),"ESTUDIO DE PRE-FACTIBILIDAD PARA LA CREACIÓN DE UN CENTRO PARA EL ADULTO MAYOR")</f>
        <v>ESTUDIO DE PRE-FACTIBILIDAD PARA LA CREACIÓN DE UN CENTRO PARA EL ADULTO MAYOR</v>
      </c>
      <c r="B458" s="58">
        <f>IFERROR(__xludf.DUMMYFUNCTION("""COMPUTED_VALUE"""),1.0)</f>
        <v>1</v>
      </c>
    </row>
    <row r="459">
      <c r="A459" s="58" t="str">
        <f>IFERROR(__xludf.DUMMYFUNCTION("""COMPUTED_VALUE"""),"ESTUDIO DE PREFACTIBILIDAD PARA LA IMPLEMENTACIÓN DE UNA INCUBADORA DE EMPRESAS DE BASE TECNOLÓGICA EN LA FCYT DE LA UMSS.")</f>
        <v>ESTUDIO DE PREFACTIBILIDAD PARA LA IMPLEMENTACIÓN DE UNA INCUBADORA DE EMPRESAS DE BASE TECNOLÓGICA EN LA FCYT DE LA UMSS.</v>
      </c>
      <c r="B459" s="58">
        <f>IFERROR(__xludf.DUMMYFUNCTION("""COMPUTED_VALUE"""),1.0)</f>
        <v>1</v>
      </c>
    </row>
    <row r="460">
      <c r="A460" s="58" t="str">
        <f>IFERROR(__xludf.DUMMYFUNCTION("""COMPUTED_VALUE"""),"ESTUDIO DE PREFACTIBILIDAD PARA LA INSTALACIÓN DE UNA PLANTA PILOTO PROCESADORA DE ALIMENTOS EN POLVO.")</f>
        <v>ESTUDIO DE PREFACTIBILIDAD PARA LA INSTALACIÓN DE UNA PLANTA PILOTO PROCESADORA DE ALIMENTOS EN POLVO.</v>
      </c>
      <c r="B460" s="58">
        <f>IFERROR(__xludf.DUMMYFUNCTION("""COMPUTED_VALUE"""),2.0)</f>
        <v>2</v>
      </c>
    </row>
    <row r="461">
      <c r="A461" s="58" t="str">
        <f>IFERROR(__xludf.DUMMYFUNCTION("""COMPUTED_VALUE"""),"ESTUDIO DE PREFACTIBILIDAD PARA LA PRODUCCIÓN DE CHAMPIÑÓN")</f>
        <v>ESTUDIO DE PREFACTIBILIDAD PARA LA PRODUCCIÓN DE CHAMPIÑÓN</v>
      </c>
      <c r="B461" s="58">
        <f>IFERROR(__xludf.DUMMYFUNCTION("""COMPUTED_VALUE"""),2.0)</f>
        <v>2</v>
      </c>
    </row>
    <row r="462">
      <c r="A462" s="58" t="str">
        <f>IFERROR(__xludf.DUMMYFUNCTION("""COMPUTED_VALUE"""),"ESTUDIO DE REINGENIERÍA APLICADA A LA REORGANIZACIÓN DE ALMACÉN DE MATERIALES DE FABE S.A.")</f>
        <v>ESTUDIO DE REINGENIERÍA APLICADA A LA REORGANIZACIÓN DE ALMACÉN DE MATERIALES DE FABE S.A.</v>
      </c>
      <c r="B462" s="58">
        <f>IFERROR(__xludf.DUMMYFUNCTION("""COMPUTED_VALUE"""),8.0)</f>
        <v>8</v>
      </c>
    </row>
    <row r="463">
      <c r="A463" s="58" t="str">
        <f>IFERROR(__xludf.DUMMYFUNCTION("""COMPUTED_VALUE"""),"ESTUDIO DE REINGENIERÍA PARA EL MEJORAMIENTO DE LA EFICIENCIA ADMINISTRATIVA DE COMTECO LTDA.")</f>
        <v>ESTUDIO DE REINGENIERÍA PARA EL MEJORAMIENTO DE LA EFICIENCIA ADMINISTRATIVA DE COMTECO LTDA.</v>
      </c>
      <c r="B463" s="58">
        <f>IFERROR(__xludf.DUMMYFUNCTION("""COMPUTED_VALUE"""),7.0)</f>
        <v>7</v>
      </c>
    </row>
    <row r="464">
      <c r="A464" s="58" t="str">
        <f>IFERROR(__xludf.DUMMYFUNCTION("""COMPUTED_VALUE"""),"ESTUDIO DE REUBICACIÓN Y REORGANIZACIÓN DE INDUSTRIAS NOBLEZA")</f>
        <v>ESTUDIO DE REUBICACIÓN Y REORGANIZACIÓN DE INDUSTRIAS NOBLEZA</v>
      </c>
      <c r="B464" s="58">
        <f>IFERROR(__xludf.DUMMYFUNCTION("""COMPUTED_VALUE"""),1.0)</f>
        <v>1</v>
      </c>
    </row>
    <row r="465">
      <c r="A465" s="58" t="str">
        <f>IFERROR(__xludf.DUMMYFUNCTION("""COMPUTED_VALUE"""),"ESTUDIO DE UN SISTEMA DE GESTIÓN DE LA CALIDAD  PARA  LA IMPLEMENTACIÓN  DE LA  NORMA ISO 9001: 2000 EN LA EMPRESA “IRBA LTDA.”")</f>
        <v>ESTUDIO DE UN SISTEMA DE GESTIÓN DE LA CALIDAD  PARA  LA IMPLEMENTACIÓN  DE LA  NORMA ISO 9001: 2000 EN LA EMPRESA “IRBA LTDA.”</v>
      </c>
      <c r="B465" s="58">
        <f>IFERROR(__xludf.DUMMYFUNCTION("""COMPUTED_VALUE"""),1.0)</f>
        <v>1</v>
      </c>
    </row>
    <row r="466">
      <c r="A466" s="58" t="str">
        <f>IFERROR(__xludf.DUMMYFUNCTION("""COMPUTED_VALUE"""),"ESTUDIO DE VIABILIDAD PARA LA IMPLEMENTACIÓN DE UN PLAN DE NEGOCIOS EN LA PRODUCCIÓN DE HORTALIZAS EN INVIERNO PARA EL SINDICATO “VILLA ROSARIO” DE YAPACANÍ-SANTA CRUZ")</f>
        <v>ESTUDIO DE VIABILIDAD PARA LA IMPLEMENTACIÓN DE UN PLAN DE NEGOCIOS EN LA PRODUCCIÓN DE HORTALIZAS EN INVIERNO PARA EL SINDICATO “VILLA ROSARIO” DE YAPACANÍ-SANTA CRUZ</v>
      </c>
      <c r="B466" s="58">
        <f>IFERROR(__xludf.DUMMYFUNCTION("""COMPUTED_VALUE"""),2.0)</f>
        <v>2</v>
      </c>
    </row>
    <row r="467">
      <c r="A467" s="58" t="str">
        <f>IFERROR(__xludf.DUMMYFUNCTION("""COMPUTED_VALUE"""),"ESTUDIO DE VIABILIDAD PARA LA IMPLEMENTACIÓN DE UNA PLANTA PROCESADORA DE EMBUTIDOS A PARTIR DE LA CARNE DE LLAMA Y PAVO, DIRIGIDO AL MERCADO DE COCHABAMBA")</f>
        <v>ESTUDIO DE VIABILIDAD PARA LA IMPLEMENTACIÓN DE UNA PLANTA PROCESADORA DE EMBUTIDOS A PARTIR DE LA CARNE DE LLAMA Y PAVO, DIRIGIDO AL MERCADO DE COCHABAMBA</v>
      </c>
      <c r="B467" s="58">
        <f>IFERROR(__xludf.DUMMYFUNCTION("""COMPUTED_VALUE"""),2.0)</f>
        <v>2</v>
      </c>
    </row>
    <row r="468">
      <c r="A468" s="58" t="str">
        <f>IFERROR(__xludf.DUMMYFUNCTION("""COMPUTED_VALUE"""),"ESTUDIO DE VIABILIDAD PARA LA IMPLEMENTACIÓN DE UNA PLANTA PROCESADORA DE HARINA DE ARROZ INTEGRAL, DIRIGIDO AL MERCADO DE COCHABAMBA.")</f>
        <v>ESTUDIO DE VIABILIDAD PARA LA IMPLEMENTACIÓN DE UNA PLANTA PROCESADORA DE HARINA DE ARROZ INTEGRAL, DIRIGIDO AL MERCADO DE COCHABAMBA.</v>
      </c>
      <c r="B468" s="58">
        <f>IFERROR(__xludf.DUMMYFUNCTION("""COMPUTED_VALUE"""),1.0)</f>
        <v>1</v>
      </c>
    </row>
    <row r="469">
      <c r="A469" s="58" t="str">
        <f>IFERROR(__xludf.DUMMYFUNCTION("""COMPUTED_VALUE"""),"ESTUDIO DE VIABILIDAD PARA LA IMPLEMENTACIÓN DE UNA PLANTA PROCESADORA DE LECHE DE ALMENDRA, DIRIGIDO AL MERCADO DE COCHABAMBA")</f>
        <v>ESTUDIO DE VIABILIDAD PARA LA IMPLEMENTACIÓN DE UNA PLANTA PROCESADORA DE LECHE DE ALMENDRA, DIRIGIDO AL MERCADO DE COCHABAMBA</v>
      </c>
      <c r="B469" s="58">
        <f>IFERROR(__xludf.DUMMYFUNCTION("""COMPUTED_VALUE"""),2.0)</f>
        <v>2</v>
      </c>
    </row>
    <row r="470">
      <c r="A470" s="58" t="str">
        <f>IFERROR(__xludf.DUMMYFUNCTION("""COMPUTED_VALUE"""),"ESTUDIO DE VIABILIDAD TÉCNICA PARA LA IMPLEMENTACIÓN DE UNA PLANTA RECICLADORA DE RESIDUOS SÓLIDOS INORGÁNICOS (PET) EN EL RELLENO SANITARIO DE JARKA LOMA - SACABA")</f>
        <v>ESTUDIO DE VIABILIDAD TÉCNICA PARA LA IMPLEMENTACIÓN DE UNA PLANTA RECICLADORA DE RESIDUOS SÓLIDOS INORGÁNICOS (PET) EN EL RELLENO SANITARIO DE JARKA LOMA - SACABA</v>
      </c>
      <c r="B470" s="58">
        <f>IFERROR(__xludf.DUMMYFUNCTION("""COMPUTED_VALUE"""),6.0)</f>
        <v>6</v>
      </c>
    </row>
    <row r="471">
      <c r="A471" s="58" t="str">
        <f>IFERROR(__xludf.DUMMYFUNCTION("""COMPUTED_VALUE"""),"ESTUDIO DEL TRABAJO DEL CICLO PRODUCTIVO DE LA CBB S.A")</f>
        <v>ESTUDIO DEL TRABAJO DEL CICLO PRODUCTIVO DE LA CBB S.A</v>
      </c>
      <c r="B471" s="58">
        <f>IFERROR(__xludf.DUMMYFUNCTION("""COMPUTED_VALUE"""),5.0)</f>
        <v>5</v>
      </c>
    </row>
    <row r="472">
      <c r="A472" s="58" t="str">
        <f>IFERROR(__xludf.DUMMYFUNCTION("""COMPUTED_VALUE"""),"ESTUDIO DEL TRABAJO PARA LA MEJORA DE LA PRODUCCIÓN EN LA FÁBRICA DE JEANS COTEXCO")</f>
        <v>ESTUDIO DEL TRABAJO PARA LA MEJORA DE LA PRODUCCIÓN EN LA FÁBRICA DE JEANS COTEXCO</v>
      </c>
      <c r="B472" s="58">
        <f>IFERROR(__xludf.DUMMYFUNCTION("""COMPUTED_VALUE"""),2.0)</f>
        <v>2</v>
      </c>
    </row>
    <row r="473">
      <c r="A473" s="58" t="str">
        <f>IFERROR(__xludf.DUMMYFUNCTION("""COMPUTED_VALUE"""),"ESTUDIO DEL TRABAJO PARA LA MEJORA DE LA PRODUCCIÓNDE LA FABRICA DE JEANS COTEXCO")</f>
        <v>ESTUDIO DEL TRABAJO PARA LA MEJORA DE LA PRODUCCIÓNDE LA FABRICA DE JEANS COTEXCO</v>
      </c>
      <c r="B473" s="58">
        <f>IFERROR(__xludf.DUMMYFUNCTION("""COMPUTED_VALUE"""),1.0)</f>
        <v>1</v>
      </c>
    </row>
    <row r="474">
      <c r="A474" s="58" t="str">
        <f>IFERROR(__xludf.DUMMYFUNCTION("""COMPUTED_VALUE"""),"ESTUDIO E INVESTIGACIÓN DE MERCADO PARA COMERCIALIZAR EL PAN DE ARANI EN LA CIUDAD DE COCHABAMBA, ESTUDIO PARA LAS PANIFICADORAS DE LA PROVINCIA DE ARANI")</f>
        <v>ESTUDIO E INVESTIGACIÓN DE MERCADO PARA COMERCIALIZAR EL PAN DE ARANI EN LA CIUDAD DE COCHABAMBA, ESTUDIO PARA LAS PANIFICADORAS DE LA PROVINCIA DE ARANI</v>
      </c>
      <c r="B474" s="58">
        <f>IFERROR(__xludf.DUMMYFUNCTION("""COMPUTED_VALUE"""),4.0)</f>
        <v>4</v>
      </c>
    </row>
    <row r="475">
      <c r="A475" s="58" t="str">
        <f>IFERROR(__xludf.DUMMYFUNCTION("""COMPUTED_VALUE"""),"ESTUDIO FACTIBILIDAD PARA LA INDUSTRIALIZACIÓN Y COMERCIALIZACIÓN DEL LICOR DE GUINDA Y CEREZA EN COCHBAMBA")</f>
        <v>ESTUDIO FACTIBILIDAD PARA LA INDUSTRIALIZACIÓN Y COMERCIALIZACIÓN DEL LICOR DE GUINDA Y CEREZA EN COCHBAMBA</v>
      </c>
      <c r="B475" s="58">
        <f>IFERROR(__xludf.DUMMYFUNCTION("""COMPUTED_VALUE"""),13.0)</f>
        <v>13</v>
      </c>
    </row>
    <row r="476">
      <c r="A476" s="58" t="str">
        <f>IFERROR(__xludf.DUMMYFUNCTION("""COMPUTED_VALUE"""),"ESTUDIO PARA EL MEJORAMIENTO DE MÉTODOS Y DETERMINACIÓN DE LOS TIEMPOS ESTÁNDAR DEL  PROCESO DE PRODUCCIÓN DE LA EMPRESA “NATU CASAS” S.R.L.")</f>
        <v>ESTUDIO PARA EL MEJORAMIENTO DE MÉTODOS Y DETERMINACIÓN DE LOS TIEMPOS ESTÁNDAR DEL  PROCESO DE PRODUCCIÓN DE LA EMPRESA “NATU CASAS” S.R.L.</v>
      </c>
      <c r="B476" s="58">
        <f>IFERROR(__xludf.DUMMYFUNCTION("""COMPUTED_VALUE"""),2.0)</f>
        <v>2</v>
      </c>
    </row>
    <row r="477">
      <c r="A477" s="58" t="str">
        <f>IFERROR(__xludf.DUMMYFUNCTION("""COMPUTED_VALUE"""),"ESTUDIO PARA LA IMPLEMENTACIÓN DE LA NORMA ISO 9001:2000 EN LA FÁBRICA DE CHOMPAS DE LANA DE ALPACA ASARTI")</f>
        <v>ESTUDIO PARA LA IMPLEMENTACIÓN DE LA NORMA ISO 9001:2000 EN LA FÁBRICA DE CHOMPAS DE LANA DE ALPACA ASARTI</v>
      </c>
      <c r="B477" s="58">
        <f>IFERROR(__xludf.DUMMYFUNCTION("""COMPUTED_VALUE"""),8.0)</f>
        <v>8</v>
      </c>
    </row>
    <row r="478">
      <c r="A478" s="58" t="str">
        <f>IFERROR(__xludf.DUMMYFUNCTION("""COMPUTED_VALUE"""),"ESTUDIO PARA LA MEJORA DEL INDICADOR DE MERMA MEDIANTE LA RECUPERACIÓN DE LEVADURA CBN - TAQUIÑA")</f>
        <v>ESTUDIO PARA LA MEJORA DEL INDICADOR DE MERMA MEDIANTE LA RECUPERACIÓN DE LEVADURA CBN - TAQUIÑA</v>
      </c>
      <c r="B478" s="58">
        <f>IFERROR(__xludf.DUMMYFUNCTION("""COMPUTED_VALUE"""),6.0)</f>
        <v>6</v>
      </c>
    </row>
    <row r="479">
      <c r="A479" s="58" t="str">
        <f>IFERROR(__xludf.DUMMYFUNCTION("""COMPUTED_VALUE"""),"ESTUDIO PARA LA MEJORA DEL INDICADOR DE MERMA MEDIANTE LA RECUPERACIÓN DE LEVADURA CBN-TAQUIÑA")</f>
        <v>ESTUDIO PARA LA MEJORA DEL INDICADOR DE MERMA MEDIANTE LA RECUPERACIÓN DE LEVADURA CBN-TAQUIÑA</v>
      </c>
      <c r="B479" s="58">
        <f>IFERROR(__xludf.DUMMYFUNCTION("""COMPUTED_VALUE"""),1.0)</f>
        <v>1</v>
      </c>
    </row>
    <row r="480">
      <c r="A480" s="58" t="str">
        <f>IFERROR(__xludf.DUMMYFUNCTION("""COMPUTED_VALUE"""),"ESTUDIO PARA LA OPTIMIZACIÓN DEL PROCESO PRODUCTIVO EN LA EMPRESA CARPINTERA TELLEZ")</f>
        <v>ESTUDIO PARA LA OPTIMIZACIÓN DEL PROCESO PRODUCTIVO EN LA EMPRESA CARPINTERA TELLEZ</v>
      </c>
      <c r="B480" s="58">
        <f>IFERROR(__xludf.DUMMYFUNCTION("""COMPUTED_VALUE"""),2.0)</f>
        <v>2</v>
      </c>
    </row>
    <row r="481">
      <c r="A481" s="58" t="str">
        <f>IFERROR(__xludf.DUMMYFUNCTION("""COMPUTED_VALUE"""),"ESTUDIO PARA LA REFORMULACIÓN DE LA NORMA BOLIVIANA PARA CEMENTO")</f>
        <v>ESTUDIO PARA LA REFORMULACIÓN DE LA NORMA BOLIVIANA PARA CEMENTO</v>
      </c>
      <c r="B481" s="58">
        <f>IFERROR(__xludf.DUMMYFUNCTION("""COMPUTED_VALUE"""),1.0)</f>
        <v>1</v>
      </c>
    </row>
    <row r="482">
      <c r="A482" s="58" t="str">
        <f>IFERROR(__xludf.DUMMYFUNCTION("""COMPUTED_VALUE"""),"ESTUDIO PARA MEJORAR LA CALIDAD Y LA PRODUCTIVIDAD EN LA EMPRESA NUEVA ERA, CON LA APLICACIÓN DE LAS HERRAMIENTAS DE MANUFACTURA ESBELTA")</f>
        <v>ESTUDIO PARA MEJORAR LA CALIDAD Y LA PRODUCTIVIDAD EN LA EMPRESA NUEVA ERA, CON LA APLICACIÓN DE LAS HERRAMIENTAS DE MANUFACTURA ESBELTA</v>
      </c>
      <c r="B482" s="58">
        <f>IFERROR(__xludf.DUMMYFUNCTION("""COMPUTED_VALUE"""),9.0)</f>
        <v>9</v>
      </c>
    </row>
    <row r="483">
      <c r="A483" s="58" t="str">
        <f>IFERROR(__xludf.DUMMYFUNCTION("""COMPUTED_VALUE"""),"ESTUDIO PARA MEJORAR LA CALIDAD Y LA PRODUCTIVIDAD EN LA EMPRESA NUEVA ERA, CON LA APLICACIÓN DE LAS HERRAMIENTAS DE MANUFACTURA ESBELTA.")</f>
        <v>ESTUDIO PARA MEJORAR LA CALIDAD Y LA PRODUCTIVIDAD EN LA EMPRESA NUEVA ERA, CON LA APLICACIÓN DE LAS HERRAMIENTAS DE MANUFACTURA ESBELTA.</v>
      </c>
      <c r="B483" s="58">
        <f>IFERROR(__xludf.DUMMYFUNCTION("""COMPUTED_VALUE"""),2.0)</f>
        <v>2</v>
      </c>
    </row>
    <row r="484">
      <c r="A484" s="58" t="str">
        <f>IFERROR(__xludf.DUMMYFUNCTION("""COMPUTED_VALUE"""),"ESTUDIO SOBRE LAS CONDICIONES EXISTENTES EN BOLIVIA PARA LA CONSTITUCIÓN DE CENTROS DE INVESTIGACIÓN CIENTÍFICA (CIC)")</f>
        <v>ESTUDIO SOBRE LAS CONDICIONES EXISTENTES EN BOLIVIA PARA LA CONSTITUCIÓN DE CENTROS DE INVESTIGACIÓN CIENTÍFICA (CIC)</v>
      </c>
      <c r="B484" s="58">
        <f>IFERROR(__xludf.DUMMYFUNCTION("""COMPUTED_VALUE"""),1.0)</f>
        <v>1</v>
      </c>
    </row>
    <row r="485">
      <c r="A485" s="58" t="str">
        <f>IFERROR(__xludf.DUMMYFUNCTION("""COMPUTED_VALUE"""),"ESTUDIO TECNICO PARA EL DESARROLLO DE UNA ALTERNATIVA DE MITIGACION DE IMPACTO AMBIENTAL DE LOS RIL EN LA SECCION DE LITOGRAFIA DE LA FABRICA BOLIVIANA DE ENVASES")</f>
        <v>ESTUDIO TECNICO PARA EL DESARROLLO DE UNA ALTERNATIVA DE MITIGACION DE IMPACTO AMBIENTAL DE LOS RIL EN LA SECCION DE LITOGRAFIA DE LA FABRICA BOLIVIANA DE ENVASES</v>
      </c>
      <c r="B485" s="58">
        <f>IFERROR(__xludf.DUMMYFUNCTION("""COMPUTED_VALUE"""),1.0)</f>
        <v>1</v>
      </c>
    </row>
    <row r="486">
      <c r="A486" s="58" t="str">
        <f>IFERROR(__xludf.DUMMYFUNCTION("""COMPUTED_VALUE"""),"ESTUDIO TÉCNICO - FINANCIERO PARA LA AMPLIACIÓN DE LA PRODUCCIÓN DE JEANS EN CONFECCIONES “CALVILL`S”")</f>
        <v>ESTUDIO TÉCNICO - FINANCIERO PARA LA AMPLIACIÓN DE LA PRODUCCIÓN DE JEANS EN CONFECCIONES “CALVILL`S”</v>
      </c>
      <c r="B486" s="58">
        <f>IFERROR(__xludf.DUMMYFUNCTION("""COMPUTED_VALUE"""),1.0)</f>
        <v>1</v>
      </c>
    </row>
    <row r="487">
      <c r="A487" s="58" t="str">
        <f>IFERROR(__xludf.DUMMYFUNCTION("""COMPUTED_VALUE"""),"ESTUDIO TÉCNICO DEL CEMENTO ESTRUCTURADO EN LA LÍNEA DURAFLEX DE INDUSTRIAS DURALIT S.A.")</f>
        <v>ESTUDIO TÉCNICO DEL CEMENTO ESTRUCTURADO EN LA LÍNEA DURAFLEX DE INDUSTRIAS DURALIT S.A.</v>
      </c>
      <c r="B487" s="58">
        <f>IFERROR(__xludf.DUMMYFUNCTION("""COMPUTED_VALUE"""),3.0)</f>
        <v>3</v>
      </c>
    </row>
    <row r="488">
      <c r="A488" s="58" t="str">
        <f>IFERROR(__xludf.DUMMYFUNCTION("""COMPUTED_VALUE"""),"ESTUDIO TÉCNICO ECONÓMICO DE LA PRODUCCIÓN DE LEVADURA EN POLVO A PARTIR DE LA LEVADURA RESIDUAL DE CERVEZA, PARA SU COMERCIALIZACIÓN COMO INSUMO EN LA PREPARACIÓN DE ALIMENTO BALANCEADO PARA CULTIVO")</f>
        <v>ESTUDIO TÉCNICO ECONÓMICO DE LA PRODUCCIÓN DE LEVADURA EN POLVO A PARTIR DE LA LEVADURA RESIDUAL DE CERVEZA, PARA SU COMERCIALIZACIÓN COMO INSUMO EN LA PREPARACIÓN DE ALIMENTO BALANCEADO PARA CULTIVO</v>
      </c>
      <c r="B488" s="58">
        <f>IFERROR(__xludf.DUMMYFUNCTION("""COMPUTED_VALUE"""),2.0)</f>
        <v>2</v>
      </c>
    </row>
    <row r="489">
      <c r="A489" s="58" t="str">
        <f>IFERROR(__xludf.DUMMYFUNCTION("""COMPUTED_VALUE"""),"ESTUDIO TÉCNICO ECONÓMICO PARA LA EXPLOTACIÓN INTENSIVA DE MIEL DE ABEJA EN LA LOCALIDAD DE BELLA VISTA")</f>
        <v>ESTUDIO TÉCNICO ECONÓMICO PARA LA EXPLOTACIÓN INTENSIVA DE MIEL DE ABEJA EN LA LOCALIDAD DE BELLA VISTA</v>
      </c>
      <c r="B489" s="58">
        <f>IFERROR(__xludf.DUMMYFUNCTION("""COMPUTED_VALUE"""),1.0)</f>
        <v>1</v>
      </c>
    </row>
    <row r="490">
      <c r="A490" s="58" t="str">
        <f>IFERROR(__xludf.DUMMYFUNCTION("""COMPUTED_VALUE"""),"ESTUDIO TÉCNICO ECONÓMICO PARA LA IMPLEMENTACIÓN DE UNA PLANTA INDUSTRIAL DE POLITUBO.")</f>
        <v>ESTUDIO TÉCNICO ECONÓMICO PARA LA IMPLEMENTACIÓN DE UNA PLANTA INDUSTRIAL DE POLITUBO.</v>
      </c>
      <c r="B490" s="58">
        <f>IFERROR(__xludf.DUMMYFUNCTION("""COMPUTED_VALUE"""),1.0)</f>
        <v>1</v>
      </c>
    </row>
    <row r="491">
      <c r="A491" s="58" t="str">
        <f>IFERROR(__xludf.DUMMYFUNCTION("""COMPUTED_VALUE"""),"ESTUDIO TÉCNICO ECONÓMICO PARA LA INSTALACIÓN DE UN LABORATORIO DE MANUFACTURA BASADA EN LA INDUSTRIA 4.0 PARA EL DEPARTAMENTO DE INDUSTRIAS DE LA FCYT – UMSS.")</f>
        <v>ESTUDIO TÉCNICO ECONÓMICO PARA LA INSTALACIÓN DE UN LABORATORIO DE MANUFACTURA BASADA EN LA INDUSTRIA 4.0 PARA EL DEPARTAMENTO DE INDUSTRIAS DE LA FCYT – UMSS.</v>
      </c>
      <c r="B491" s="58">
        <f>IFERROR(__xludf.DUMMYFUNCTION("""COMPUTED_VALUE"""),9.0)</f>
        <v>9</v>
      </c>
    </row>
    <row r="492">
      <c r="A492" s="58" t="str">
        <f>IFERROR(__xludf.DUMMYFUNCTION("""COMPUTED_VALUE"""),"ESTUDIO TÉCNICO ECONÓMICO PARA LA PRODUCCIÓN Y EXPORTACIÓN DE PRENDAS DE VESTIR ELABORADAS CON FIBRA DE ALPACA")</f>
        <v>ESTUDIO TÉCNICO ECONÓMICO PARA LA PRODUCCIÓN Y EXPORTACIÓN DE PRENDAS DE VESTIR ELABORADAS CON FIBRA DE ALPACA</v>
      </c>
      <c r="B492" s="58">
        <f>IFERROR(__xludf.DUMMYFUNCTION("""COMPUTED_VALUE"""),2.0)</f>
        <v>2</v>
      </c>
    </row>
    <row r="493">
      <c r="A493" s="58" t="str">
        <f>IFERROR(__xludf.DUMMYFUNCTION("""COMPUTED_VALUE"""),"ESTUDIO TÉCNICO FINANCIERO PARA EL LANZAMIENTO AL MERCADO DE JUGO ZANAHORIA NARANJA PARA LA EMPRESA PIL ANDINA S.A.")</f>
        <v>ESTUDIO TÉCNICO FINANCIERO PARA EL LANZAMIENTO AL MERCADO DE JUGO ZANAHORIA NARANJA PARA LA EMPRESA PIL ANDINA S.A.</v>
      </c>
      <c r="B493" s="58">
        <f>IFERROR(__xludf.DUMMYFUNCTION("""COMPUTED_VALUE"""),2.0)</f>
        <v>2</v>
      </c>
    </row>
    <row r="494">
      <c r="A494" s="58" t="str">
        <f>IFERROR(__xludf.DUMMYFUNCTION("""COMPUTED_VALUE"""),"ESTUDIO TÉCNICO FINANCIERO PARA EL MANEJO DE RESIDUOS SÓLIDOS DOMICILIARIOS POR MEDIO DE LA SEGREGACIÓN EN EL MUNICIPIO DE COLCAPIRHUA")</f>
        <v>ESTUDIO TÉCNICO FINANCIERO PARA EL MANEJO DE RESIDUOS SÓLIDOS DOMICILIARIOS POR MEDIO DE LA SEGREGACIÓN EN EL MUNICIPIO DE COLCAPIRHUA</v>
      </c>
      <c r="B494" s="58">
        <f>IFERROR(__xludf.DUMMYFUNCTION("""COMPUTED_VALUE"""),3.0)</f>
        <v>3</v>
      </c>
    </row>
    <row r="495">
      <c r="A495" s="58" t="str">
        <f>IFERROR(__xludf.DUMMYFUNCTION("""COMPUTED_VALUE"""),"ESTUDIO TÉCNICO FINANCIERO PARA IMPLEMENTACIÓN DE UNA PLANTA DEDICADA A LA PRODUCCIÓN DE BOLSAS DE PAPEL")</f>
        <v>ESTUDIO TÉCNICO FINANCIERO PARA IMPLEMENTACIÓN DE UNA PLANTA DEDICADA A LA PRODUCCIÓN DE BOLSAS DE PAPEL</v>
      </c>
      <c r="B495" s="58">
        <f>IFERROR(__xludf.DUMMYFUNCTION("""COMPUTED_VALUE"""),3.0)</f>
        <v>3</v>
      </c>
    </row>
    <row r="496">
      <c r="A496" s="58" t="str">
        <f>IFERROR(__xludf.DUMMYFUNCTION("""COMPUTED_VALUE"""),"ESTUDIO TÉCNICO FINANCIERO PARA LA
IMPLEMENTACIÓN DE UNA PLANTA PROCESADORA DE
MERMELADA Y NÉCTAR DE CAMU CAMU (MYRCIARIA
DUBIA) EN EL TRÓPICO DE COCHABAMBA")</f>
        <v>ESTUDIO TÉCNICO FINANCIERO PARA LA
IMPLEMENTACIÓN DE UNA PLANTA PROCESADORA DE
MERMELADA Y NÉCTAR DE CAMU CAMU (MYRCIARIA
DUBIA) EN EL TRÓPICO DE COCHABAMBA</v>
      </c>
      <c r="B496" s="58">
        <f>IFERROR(__xludf.DUMMYFUNCTION("""COMPUTED_VALUE"""),1.0)</f>
        <v>1</v>
      </c>
    </row>
    <row r="497">
      <c r="A497" s="58" t="str">
        <f>IFERROR(__xludf.DUMMYFUNCTION("""COMPUTED_VALUE"""),"ESTUDIO TÉCNICO FINANCIERO PARA LA AMPLIACIÓN DE LA PLANTA PROCESADORA DE CARBONATO DE CALCIO (CACO3) DE DURALIT S.A.")</f>
        <v>ESTUDIO TÉCNICO FINANCIERO PARA LA AMPLIACIÓN DE LA PLANTA PROCESADORA DE CARBONATO DE CALCIO (CACO3) DE DURALIT S.A.</v>
      </c>
      <c r="B497" s="58">
        <f>IFERROR(__xludf.DUMMYFUNCTION("""COMPUTED_VALUE"""),2.0)</f>
        <v>2</v>
      </c>
    </row>
    <row r="498">
      <c r="A498" s="58" t="str">
        <f>IFERROR(__xludf.DUMMYFUNCTION("""COMPUTED_VALUE"""),"ESTUDIO TÉCNICO FINANCIERO PARA LA AMPLIACIÓN DE LA PLANTA PROCESADORA DE CARBONATO DE CALCIO (CACO3) DE LA EMPRESA DURALIT S.A.")</f>
        <v>ESTUDIO TÉCNICO FINANCIERO PARA LA AMPLIACIÓN DE LA PLANTA PROCESADORA DE CARBONATO DE CALCIO (CACO3) DE LA EMPRESA DURALIT S.A.</v>
      </c>
      <c r="B498" s="58">
        <f>IFERROR(__xludf.DUMMYFUNCTION("""COMPUTED_VALUE"""),1.0)</f>
        <v>1</v>
      </c>
    </row>
    <row r="499">
      <c r="A499" s="58" t="str">
        <f>IFERROR(__xludf.DUMMYFUNCTION("""COMPUTED_VALUE"""),"ESTUDIO TÉCNICO FINANCIERO PARA LA IMPLEMENTACIÓN DE UNA PLANTA PROCESADORA DE NÉCTAR Y MERMELADA DE CAMU CAMU (MYRCIARIA DUBIA) EN EL TRÓPICO DE COCHABAMBA")</f>
        <v>ESTUDIO TÉCNICO FINANCIERO PARA LA IMPLEMENTACIÓN DE UNA PLANTA PROCESADORA DE NÉCTAR Y MERMELADA DE CAMU CAMU (MYRCIARIA DUBIA) EN EL TRÓPICO DE COCHABAMBA</v>
      </c>
      <c r="B499" s="58">
        <f>IFERROR(__xludf.DUMMYFUNCTION("""COMPUTED_VALUE"""),2.0)</f>
        <v>2</v>
      </c>
    </row>
    <row r="500">
      <c r="A500" s="58" t="str">
        <f>IFERROR(__xludf.DUMMYFUNCTION("""COMPUTED_VALUE"""),"ESTUDIO TÉCNICO Y ECONÓMICO PARA LA AMPLIACIÓN Y OPTIMIZACIÓN DE LA PRODUCCIÓN CON NUEVOS DISEÑOS EN MUEBLES COMEDORES DE HOGAR PARA LA MUEBLERÍA FABEUG.")</f>
        <v>ESTUDIO TÉCNICO Y ECONÓMICO PARA LA AMPLIACIÓN Y OPTIMIZACIÓN DE LA PRODUCCIÓN CON NUEVOS DISEÑOS EN MUEBLES COMEDORES DE HOGAR PARA LA MUEBLERÍA FABEUG.</v>
      </c>
      <c r="B500" s="58">
        <f>IFERROR(__xludf.DUMMYFUNCTION("""COMPUTED_VALUE"""),3.0)</f>
        <v>3</v>
      </c>
    </row>
    <row r="501">
      <c r="A501" s="58" t="str">
        <f>IFERROR(__xludf.DUMMYFUNCTION("""COMPUTED_VALUE"""),"ESTUDIO TÉCNICO, ECONÓMICO Y FINANCIERO PARA LA AMPLIACIÓN DE LA EMPRESA SOLIPLAST S.R.L., PROCESADORA DE ENVASES Y TAPAS PLÁSTICAS")</f>
        <v>ESTUDIO TÉCNICO, ECONÓMICO Y FINANCIERO PARA LA AMPLIACIÓN DE LA EMPRESA SOLIPLAST S.R.L., PROCESADORA DE ENVASES Y TAPAS PLÁSTICAS</v>
      </c>
      <c r="B501" s="58">
        <f>IFERROR(__xludf.DUMMYFUNCTION("""COMPUTED_VALUE"""),1.0)</f>
        <v>1</v>
      </c>
    </row>
    <row r="502">
      <c r="A502" s="58" t="str">
        <f>IFERROR(__xludf.DUMMYFUNCTION("""COMPUTED_VALUE"""),"ESTUDIO TÉCNICO-ECONÓMICO PARA LA IMPLEMENTACIÓN DE UNA EMPRESA PRODUCTORA DE PAN, PRODUCTOS DE REPOSTERÍA Y COMERCIALIZADORA DE PRODUCTOS DE CONSUMO MASIVO")</f>
        <v>ESTUDIO TÉCNICO-ECONÓMICO PARA LA IMPLEMENTACIÓN DE UNA EMPRESA PRODUCTORA DE PAN, PRODUCTOS DE REPOSTERÍA Y COMERCIALIZADORA DE PRODUCTOS DE CONSUMO MASIVO</v>
      </c>
      <c r="B502" s="58">
        <f>IFERROR(__xludf.DUMMYFUNCTION("""COMPUTED_VALUE"""),2.0)</f>
        <v>2</v>
      </c>
    </row>
    <row r="503">
      <c r="A503" s="58" t="str">
        <f>IFERROR(__xludf.DUMMYFUNCTION("""COMPUTED_VALUE"""),"EVALUACIÓN Y DESARROLLO DE MEJORAS DE LOS PROCESOS OPERACIONALES EN ”YPFB LOGÍSTICA-PLANTA COCHABAMBA”")</f>
        <v>EVALUACIÓN Y DESARROLLO DE MEJORAS DE LOS PROCESOS OPERACIONALES EN ”YPFB LOGÍSTICA-PLANTA COCHABAMBA”</v>
      </c>
      <c r="B503" s="58">
        <f>IFERROR(__xludf.DUMMYFUNCTION("""COMPUTED_VALUE"""),2.0)</f>
        <v>2</v>
      </c>
    </row>
    <row r="504">
      <c r="A504" s="58" t="str">
        <f>IFERROR(__xludf.DUMMYFUNCTION("""COMPUTED_VALUE"""),"EVALUACIÓN, PROPUESTA E IMPLEMENTACIÓN DE MEJORAS EN EL SISTEMA INTEGRADO DE GESTIÓN DE INDUSTRIAS LUJAN S.R.L. PARA AFRONTAR EL PROCESO DE RE-CERTIFICACIÓN CONFORME A LAS NORMAS ISO 9001 E ISO 14001.")</f>
        <v>EVALUACIÓN, PROPUESTA E IMPLEMENTACIÓN DE MEJORAS EN EL SISTEMA INTEGRADO DE GESTIÓN DE INDUSTRIAS LUJAN S.R.L. PARA AFRONTAR EL PROCESO DE RE-CERTIFICACIÓN CONFORME A LAS NORMAS ISO 9001 E ISO 14001.</v>
      </c>
      <c r="B504" s="58">
        <f>IFERROR(__xludf.DUMMYFUNCTION("""COMPUTED_VALUE"""),9.0)</f>
        <v>9</v>
      </c>
    </row>
    <row r="505">
      <c r="A505" s="58" t="str">
        <f>IFERROR(__xludf.DUMMYFUNCTION("""COMPUTED_VALUE"""),"FACTIBILIDAD PARA LA INSTALACIÓN DE UNA PLANTA PILOTO DE PROCESOS INDUSTRIALES EN LA CARRERA DE ING. INDUSTRIAL DE LA UMSS")</f>
        <v>FACTIBILIDAD PARA LA INSTALACIÓN DE UNA PLANTA PILOTO DE PROCESOS INDUSTRIALES EN LA CARRERA DE ING. INDUSTRIAL DE LA UMSS</v>
      </c>
      <c r="B505" s="58">
        <f>IFERROR(__xludf.DUMMYFUNCTION("""COMPUTED_VALUE"""),1.0)</f>
        <v>1</v>
      </c>
    </row>
    <row r="506">
      <c r="A506" s="58" t="str">
        <f>IFERROR(__xludf.DUMMYFUNCTION("""COMPUTED_VALUE"""),"FACTIBILIDAD PARA LA INSTALACIÓN DE UNA PLANTA PILOTO PROCESOS INDUSTRIALES EN LA CARRERA DE INGENIERÍA INDUSTRIAL DE LA UMSS FACTIBILIDAD PARA LA INSTALACIÓN DE UNA PLANTA PILOTO PROCESOS INDUSTRIALES EN LA CARRERA DE INGENIERÍA INDUSTRIAL DE LA UMSS")</f>
        <v>FACTIBILIDAD PARA LA INSTALACIÓN DE UNA PLANTA PILOTO PROCESOS INDUSTRIALES EN LA CARRERA DE INGENIERÍA INDUSTRIAL DE LA UMSS FACTIBILIDAD PARA LA INSTALACIÓN DE UNA PLANTA PILOTO PROCESOS INDUSTRIALES EN LA CARRERA DE INGENIERÍA INDUSTRIAL DE LA UMSS</v>
      </c>
      <c r="B506" s="58">
        <f>IFERROR(__xludf.DUMMYFUNCTION("""COMPUTED_VALUE"""),1.0)</f>
        <v>1</v>
      </c>
    </row>
    <row r="507">
      <c r="A507" s="58" t="str">
        <f>IFERROR(__xludf.DUMMYFUNCTION("""COMPUTED_VALUE"""),"FACTIBILIDAD TÉCNICA-FINANCIERA PARA LA INSTALACIÓN
DE UNA PLANTA PILOTO DE COLORANTES NATURALES EN EL
CENTRO DE TECNOLOGÍA AGROINDUSTRIAL")</f>
        <v>FACTIBILIDAD TÉCNICA-FINANCIERA PARA LA INSTALACIÓN
DE UNA PLANTA PILOTO DE COLORANTES NATURALES EN EL
CENTRO DE TECNOLOGÍA AGROINDUSTRIAL</v>
      </c>
      <c r="B507" s="58">
        <f>IFERROR(__xludf.DUMMYFUNCTION("""COMPUTED_VALUE"""),1.0)</f>
        <v>1</v>
      </c>
    </row>
    <row r="508">
      <c r="A508" s="58" t="str">
        <f>IFERROR(__xludf.DUMMYFUNCTION("""COMPUTED_VALUE"""),"GESTION ESTRATEGICA BAJO EL ENFOQUE SISTEMICO PARA LA EMPRESA CEAB S.R.L. CENTRO DE ELABORACION DE ALIMENTOS BOLIVIA")</f>
        <v>GESTION ESTRATEGICA BAJO EL ENFOQUE SISTEMICO PARA LA EMPRESA CEAB S.R.L. CENTRO DE ELABORACION DE ALIMENTOS BOLIVIA</v>
      </c>
      <c r="B508" s="58">
        <f>IFERROR(__xludf.DUMMYFUNCTION("""COMPUTED_VALUE"""),1.0)</f>
        <v>1</v>
      </c>
    </row>
    <row r="509">
      <c r="A509" s="58" t="str">
        <f>IFERROR(__xludf.DUMMYFUNCTION("""COMPUTED_VALUE"""),"GESTIÓN DE PROYECTOS DE INVESTIGACIÓN CONCURSABLES EN LA DIRECCIÓN DE INVESTIGACIÓN CIENTÍFICA Y TECNOLÓGICA")</f>
        <v>GESTIÓN DE PROYECTOS DE INVESTIGACIÓN CONCURSABLES EN LA DIRECCIÓN DE INVESTIGACIÓN CIENTÍFICA Y TECNOLÓGICA</v>
      </c>
      <c r="B509" s="58">
        <f>IFERROR(__xludf.DUMMYFUNCTION("""COMPUTED_VALUE"""),2.0)</f>
        <v>2</v>
      </c>
    </row>
    <row r="510">
      <c r="A510" s="58" t="str">
        <f>IFERROR(__xludf.DUMMYFUNCTION("""COMPUTED_VALUE"""),"GESTIÓN EMPRESARIAL PARA MEJORAR LA COMPETITIVIDAD DE LA FÁBRICA HIELO “CRISTAL”")</f>
        <v>GESTIÓN EMPRESARIAL PARA MEJORAR LA COMPETITIVIDAD DE LA FÁBRICA HIELO “CRISTAL”</v>
      </c>
      <c r="B510" s="58">
        <f>IFERROR(__xludf.DUMMYFUNCTION("""COMPUTED_VALUE"""),1.0)</f>
        <v>1</v>
      </c>
    </row>
    <row r="511">
      <c r="A511" s="58" t="str">
        <f>IFERROR(__xludf.DUMMYFUNCTION("""COMPUTED_VALUE"""),"GESTIÓN ESTRATÉGICA BAJO EL ENFOQUE SISTÉMICO PARA LA EMPRESA CEAB SRL. CENTRO DE ELABORACIÓN DE ALIMENTOS BOLIVIA")</f>
        <v>GESTIÓN ESTRATÉGICA BAJO EL ENFOQUE SISTÉMICO PARA LA EMPRESA CEAB SRL. CENTRO DE ELABORACIÓN DE ALIMENTOS BOLIVIA</v>
      </c>
      <c r="B511" s="58">
        <f>IFERROR(__xludf.DUMMYFUNCTION("""COMPUTED_VALUE"""),7.0)</f>
        <v>7</v>
      </c>
    </row>
    <row r="512">
      <c r="A512" s="58" t="str">
        <f>IFERROR(__xludf.DUMMYFUNCTION("""COMPUTED_VALUE"""),"GESTIÓN ESTRATÉGICA PARA LA EMPRESA FRIGAL")</f>
        <v>GESTIÓN ESTRATÉGICA PARA LA EMPRESA FRIGAL</v>
      </c>
      <c r="B512" s="58">
        <f>IFERROR(__xludf.DUMMYFUNCTION("""COMPUTED_VALUE"""),3.0)</f>
        <v>3</v>
      </c>
    </row>
    <row r="513">
      <c r="A513" s="58" t="str">
        <f>IFERROR(__xludf.DUMMYFUNCTION("""COMPUTED_VALUE"""),"GESTIÓN ESTRATÉGICA PARA LA EMPRESA RECICLADORA DE CARTÓN CERPA S.R.L.")</f>
        <v>GESTIÓN ESTRATÉGICA PARA LA EMPRESA RECICLADORA DE CARTÓN CERPA S.R.L.</v>
      </c>
      <c r="B513" s="58">
        <f>IFERROR(__xludf.DUMMYFUNCTION("""COMPUTED_VALUE"""),3.0)</f>
        <v>3</v>
      </c>
    </row>
    <row r="514">
      <c r="A514" s="58" t="str">
        <f>IFERROR(__xludf.DUMMYFUNCTION("""COMPUTED_VALUE"""),"GESTIÓN Y PLANIFICACIÓN ESTRATÉGICA APLICADA A LA EMPRESA ¨STUDIO PÉREZ CONSTRUCCIONES")</f>
        <v>GESTIÓN Y PLANIFICACIÓN ESTRATÉGICA APLICADA A LA EMPRESA ¨STUDIO PÉREZ CONSTRUCCIONES</v>
      </c>
      <c r="B514" s="58">
        <f>IFERROR(__xludf.DUMMYFUNCTION("""COMPUTED_VALUE"""),2.0)</f>
        <v>2</v>
      </c>
    </row>
    <row r="515">
      <c r="A515" s="58" t="str">
        <f>IFERROR(__xludf.DUMMYFUNCTION("""COMPUTED_VALUE"""),"GUÍA TÉCNICA DE SEGURIDAD Y SALUD OCUPACIONAL PARA LAS CURTIEMBRES DEL CLUSTER CUERO COCHABAMBA")</f>
        <v>GUÍA TÉCNICA DE SEGURIDAD Y SALUD OCUPACIONAL PARA LAS CURTIEMBRES DEL CLUSTER CUERO COCHABAMBA</v>
      </c>
      <c r="B515" s="58">
        <f>IFERROR(__xludf.DUMMYFUNCTION("""COMPUTED_VALUE"""),3.0)</f>
        <v>3</v>
      </c>
    </row>
    <row r="516">
      <c r="A516" s="58" t="str">
        <f>IFERROR(__xludf.DUMMYFUNCTION("""COMPUTED_VALUE"""),"IDENTIFICACIÓN DE PELIGROS, EVALUACIÓN DE RIESGOS Y DETERMINACIÓN DE CONTROLES SEGÚN NORMA OHSAS 18001:2007 PARA ELFEC S.A.")</f>
        <v>IDENTIFICACIÓN DE PELIGROS, EVALUACIÓN DE RIESGOS Y DETERMINACIÓN DE CONTROLES SEGÚN NORMA OHSAS 18001:2007 PARA ELFEC S.A.</v>
      </c>
      <c r="B516" s="58">
        <f>IFERROR(__xludf.DUMMYFUNCTION("""COMPUTED_VALUE"""),1.0)</f>
        <v>1</v>
      </c>
    </row>
    <row r="517">
      <c r="A517"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B517" s="58">
        <f>IFERROR(__xludf.DUMMYFUNCTION("""COMPUTED_VALUE"""),2.0)</f>
        <v>2</v>
      </c>
    </row>
    <row r="518">
      <c r="A518"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B518" s="58">
        <f>IFERROR(__xludf.DUMMYFUNCTION("""COMPUTED_VALUE"""),2.0)</f>
        <v>2</v>
      </c>
    </row>
    <row r="519">
      <c r="A519" s="58" t="str">
        <f>IFERROR(__xludf.DUMMYFUNCTION("""COMPUTED_VALUE"""),"IDENTIFICACIÓN, MAPEO Y ANÁLISIS COMPETITIVO DEL CLÚSTER INFORMÁTICO EN COCHABAMBA.")</f>
        <v>IDENTIFICACIÓN, MAPEO Y ANÁLISIS COMPETITIVO DEL CLÚSTER INFORMÁTICO EN COCHABAMBA.</v>
      </c>
      <c r="B519" s="58">
        <f>IFERROR(__xludf.DUMMYFUNCTION("""COMPUTED_VALUE"""),2.0)</f>
        <v>2</v>
      </c>
    </row>
    <row r="520">
      <c r="A520" s="58" t="str">
        <f>IFERROR(__xludf.DUMMYFUNCTION("""COMPUTED_VALUE"""),"IIDENTIFICACIÓN DE PELIGROS, EVALUACIÓN DE RIESGOS Y DETERMINACIÓN DE CONTROLES SEGÚN NORMA OHSAS 18001:2007 PARA ELFEC S.A.")</f>
        <v>IIDENTIFICACIÓN DE PELIGROS, EVALUACIÓN DE RIESGOS Y DETERMINACIÓN DE CONTROLES SEGÚN NORMA OHSAS 18001:2007 PARA ELFEC S.A.</v>
      </c>
      <c r="B520" s="58">
        <f>IFERROR(__xludf.DUMMYFUNCTION("""COMPUTED_VALUE"""),5.0)</f>
        <v>5</v>
      </c>
    </row>
    <row r="521">
      <c r="A521" s="58" t="str">
        <f>IFERROR(__xludf.DUMMYFUNCTION("""COMPUTED_VALUE"""),"IMPLEMENTACION DE LA FILOSOFIA JUSTO A TIEMPO (JAT) EN LA ELABORACION  DE MESONES DE MARMOL Y GRANITO EN LA EMPRESA MAJOBOL")</f>
        <v>IMPLEMENTACION DE LA FILOSOFIA JUSTO A TIEMPO (JAT) EN LA ELABORACION  DE MESONES DE MARMOL Y GRANITO EN LA EMPRESA MAJOBOL</v>
      </c>
      <c r="B521" s="58">
        <f>IFERROR(__xludf.DUMMYFUNCTION("""COMPUTED_VALUE"""),4.0)</f>
        <v>4</v>
      </c>
    </row>
    <row r="522">
      <c r="A522" s="58" t="str">
        <f>IFERROR(__xludf.DUMMYFUNCTION("""COMPUTED_VALUE"""),"IMPLEMENTACION Y DISEÑO DEL PROGRAMA DE LAS 5´S, DENTRO EL CENTRO DE DISTRIBUCION LOGISTICO DE INDUSTRIAS DE ACEITE FINO S.A.")</f>
        <v>IMPLEMENTACION Y DISEÑO DEL PROGRAMA DE LAS 5´S, DENTRO EL CENTRO DE DISTRIBUCION LOGISTICO DE INDUSTRIAS DE ACEITE FINO S.A.</v>
      </c>
      <c r="B522" s="58">
        <f>IFERROR(__xludf.DUMMYFUNCTION("""COMPUTED_VALUE"""),14.0)</f>
        <v>14</v>
      </c>
    </row>
    <row r="523">
      <c r="A523" s="58" t="str">
        <f>IFERROR(__xludf.DUMMYFUNCTION("""COMPUTED_VALUE"""),"IMPLEMENTACIÓN DE HERRAMIENTAS DE SUSTENTABILIDAD Y MEJORA CONTINUA DE RESULTADOS EN EL ÁREA DE ENVASADO DE PLANTA PEPSI CBN S.A BASADA EN EL PROGRAMA VOYAGER PLANT OPTIMIZATION.")</f>
        <v>IMPLEMENTACIÓN DE HERRAMIENTAS DE SUSTENTABILIDAD Y MEJORA CONTINUA DE RESULTADOS EN EL ÁREA DE ENVASADO DE PLANTA PEPSI CBN S.A BASADA EN EL PROGRAMA VOYAGER PLANT OPTIMIZATION.</v>
      </c>
      <c r="B523" s="58">
        <f>IFERROR(__xludf.DUMMYFUNCTION("""COMPUTED_VALUE"""),7.0)</f>
        <v>7</v>
      </c>
    </row>
    <row r="524">
      <c r="A524" s="58" t="str">
        <f>IFERROR(__xludf.DUMMYFUNCTION("""COMPUTED_VALUE"""),"IMPLEMENTACIÓN DE HERRAMIENTAS DEL “SISTEMA DE PRODUCCIÓN TOYOTA” EN EL DEPARTAMENTO DE PRODUCCIÓN DE CALZADOS DE CUERO DE LA EMPRESA MANACO S.A.")</f>
        <v>IMPLEMENTACIÓN DE HERRAMIENTAS DEL “SISTEMA DE PRODUCCIÓN TOYOTA” EN EL DEPARTAMENTO DE PRODUCCIÓN DE CALZADOS DE CUERO DE LA EMPRESA MANACO S.A.</v>
      </c>
      <c r="B524" s="58">
        <f>IFERROR(__xludf.DUMMYFUNCTION("""COMPUTED_VALUE"""),1.0)</f>
        <v>1</v>
      </c>
    </row>
    <row r="525">
      <c r="A525" s="58" t="str">
        <f>IFERROR(__xludf.DUMMYFUNCTION("""COMPUTED_VALUE"""),"IMPLEMENTACIÓN DE UN PROGRAMA DE OPTIMIZACIÓN DE PLANTA “V.P.O.” EN EL PILAR DE LOGÍSTICA BAJO REQUERIMIENTO DE LA TRANSNACIONAL AB INBEV EN LA EMPRESA C.B.N. S.A. - SD SACABA – PEPSI.")</f>
        <v>IMPLEMENTACIÓN DE UN PROGRAMA DE OPTIMIZACIÓN DE PLANTA “V.P.O.” EN EL PILAR DE LOGÍSTICA BAJO REQUERIMIENTO DE LA TRANSNACIONAL AB INBEV EN LA EMPRESA C.B.N. S.A. - SD SACABA – PEPSI.</v>
      </c>
      <c r="B525" s="58">
        <f>IFERROR(__xludf.DUMMYFUNCTION("""COMPUTED_VALUE"""),1.0)</f>
        <v>1</v>
      </c>
    </row>
    <row r="526">
      <c r="A526" s="58" t="str">
        <f>IFERROR(__xludf.DUMMYFUNCTION("""COMPUTED_VALUE"""),"IMPLEMENTACIÓN DE UN SISTEMA DE GESTIÓN DE CALIDAD Y BUENAS PRÁCTICAS DE ALMACENAMIENTO EN BASE A LOS ESTÁNDARES DE CALIDAD DE UNILEVER ANDINA BOLIVIA S.A. Y LA NORMA ISO 9001:2008 EN EL ALMACÉN 3D")</f>
        <v>IMPLEMENTACIÓN DE UN SISTEMA DE GESTIÓN DE CALIDAD Y BUENAS PRÁCTICAS DE ALMACENAMIENTO EN BASE A LOS ESTÁNDARES DE CALIDAD DE UNILEVER ANDINA BOLIVIA S.A. Y LA NORMA ISO 9001:2008 EN EL ALMACÉN 3D</v>
      </c>
      <c r="B526" s="58">
        <f>IFERROR(__xludf.DUMMYFUNCTION("""COMPUTED_VALUE"""),2.0)</f>
        <v>2</v>
      </c>
    </row>
    <row r="527">
      <c r="A527" s="58" t="str">
        <f>IFERROR(__xludf.DUMMYFUNCTION("""COMPUTED_VALUE"""),"IMPLEMENTACIÓN DE UN SISTEMA DE GESTIÓN DE LA CALIDAD EN BASE A LA NORMA ISO 9001:2000 EN LOS
PROCESOS: PRODUCCIÓN DE PRETENSADOS, PLASTOFORM Y
CONTROL DE LA CALIDAD EN LA EMPRESA
I.S.S.A. - CONCRETEC”")</f>
        <v>IMPLEMENTACIÓN DE UN SISTEMA DE GESTIÓN DE LA CALIDAD EN BASE A LA NORMA ISO 9001:2000 EN LOS
PROCESOS: PRODUCCIÓN DE PRETENSADOS, PLASTOFORM Y
CONTROL DE LA CALIDAD EN LA EMPRESA
I.S.S.A. - CONCRETEC”</v>
      </c>
      <c r="B527" s="58">
        <f>IFERROR(__xludf.DUMMYFUNCTION("""COMPUTED_VALUE"""),1.0)</f>
        <v>1</v>
      </c>
    </row>
    <row r="528">
      <c r="A528" s="58" t="str">
        <f>IFERROR(__xludf.DUMMYFUNCTION("""COMPUTED_VALUE"""),"IMPLEMENTACIÓN DE UN SISTEMA DE MANEJO DE INVENTARIOS PARA LOS   ALMACENES DEL CENTRO DE TECNOLOGÍA AGROINDUSTRIAL (CTA).")</f>
        <v>IMPLEMENTACIÓN DE UN SISTEMA DE MANEJO DE INVENTARIOS PARA LOS   ALMACENES DEL CENTRO DE TECNOLOGÍA AGROINDUSTRIAL (CTA).</v>
      </c>
      <c r="B528" s="58">
        <f>IFERROR(__xludf.DUMMYFUNCTION("""COMPUTED_VALUE"""),6.0)</f>
        <v>6</v>
      </c>
    </row>
    <row r="529">
      <c r="A529" s="58" t="str">
        <f>IFERROR(__xludf.DUMMYFUNCTION("""COMPUTED_VALUE"""),"IMPLEMENTACIÓN DE UN SISTEMA DE RECUPERACIÓN DE CALOR DE HUMOS DE CALDEROS DE LA PLANTA UNILEVER ANDINA BOLIVIA S.A. A TRAVÉS DE LAS HERRAMIENTAS DE PILAR EEM DE WCM (EARLY EQUIPMENT MANAGEMENT DE WORLD CLASS MANUFACTURING")</f>
        <v>IMPLEMENTACIÓN DE UN SISTEMA DE RECUPERACIÓN DE CALOR DE HUMOS DE CALDEROS DE LA PLANTA UNILEVER ANDINA BOLIVIA S.A. A TRAVÉS DE LAS HERRAMIENTAS DE PILAR EEM DE WCM (EARLY EQUIPMENT MANAGEMENT DE WORLD CLASS MANUFACTURING</v>
      </c>
      <c r="B529" s="58">
        <f>IFERROR(__xludf.DUMMYFUNCTION("""COMPUTED_VALUE"""),1.0)</f>
        <v>1</v>
      </c>
    </row>
    <row r="530">
      <c r="A530" s="58" t="str">
        <f>IFERROR(__xludf.DUMMYFUNCTION("""COMPUTED_VALUE"""),"IMPLEMENTACIÓN DE UNA LÍNEA DE ARTÍCULOS DE CUERO EN LA EMPRESA “ANGIMAR” PARA LA EXPORTACIÓN A LA UNIÓN EUROPEA.")</f>
        <v>IMPLEMENTACIÓN DE UNA LÍNEA DE ARTÍCULOS DE CUERO EN LA EMPRESA “ANGIMAR” PARA LA EXPORTACIÓN A LA UNIÓN EUROPEA.</v>
      </c>
      <c r="B530" s="58">
        <f>IFERROR(__xludf.DUMMYFUNCTION("""COMPUTED_VALUE"""),1.0)</f>
        <v>1</v>
      </c>
    </row>
    <row r="531">
      <c r="A531" s="58" t="str">
        <f>IFERROR(__xludf.DUMMYFUNCTION("""COMPUTED_VALUE"""),"IMPLEMENTACIÓN DE UNA PLANTA DESHIDRATADORA DE FRUTAS EN LA UNIBOL QUECHUA  “CASIMIRO HUANCA”, PARA FORTALECER EL PROCESO DE ENSEÑANZA-APRENDIZAJE")</f>
        <v>IMPLEMENTACIÓN DE UNA PLANTA DESHIDRATADORA DE FRUTAS EN LA UNIBOL QUECHUA  “CASIMIRO HUANCA”, PARA FORTALECER EL PROCESO DE ENSEÑANZA-APRENDIZAJE</v>
      </c>
      <c r="B531" s="58">
        <f>IFERROR(__xludf.DUMMYFUNCTION("""COMPUTED_VALUE"""),1.0)</f>
        <v>1</v>
      </c>
    </row>
    <row r="532">
      <c r="A532" s="58" t="str">
        <f>IFERROR(__xludf.DUMMYFUNCTION("""COMPUTED_VALUE"""),"IMPLEMENTACIÓN DE UNA PLANTA ELABORADORA DE HARINA DE SOYA INTEGRAL COMO INSUMO PARA LA ELABORACIÓN DE ALIMENTO BALANCEADO PARA AVES EN EL SECTOR DEL VALLE BAJO DE COCHABAMBA")</f>
        <v>IMPLEMENTACIÓN DE UNA PLANTA ELABORADORA DE HARINA DE SOYA INTEGRAL COMO INSUMO PARA LA ELABORACIÓN DE ALIMENTO BALANCEADO PARA AVES EN EL SECTOR DEL VALLE BAJO DE COCHABAMBA</v>
      </c>
      <c r="B532" s="58">
        <f>IFERROR(__xludf.DUMMYFUNCTION("""COMPUTED_VALUE"""),5.0)</f>
        <v>5</v>
      </c>
    </row>
    <row r="533">
      <c r="A533" s="58" t="str">
        <f>IFERROR(__xludf.DUMMYFUNCTION("""COMPUTED_VALUE"""),"IMPLEMENTACIÓN DE UNA SALA DE VÁLVULAS PARA EL MANTENIMIENTO AUTÓNOMO (TPM) DE LAS VÁLVULAS DE LLENADO PARA LA MEJORA DE LA EFICIENCIA Y REDUCCIÓN DE MERMA DE BEBIDA EN LA LÍNEA DE PRODUCCIÓN EN PLANTA SOFT - DRINKS SACABA - PEPSI")</f>
        <v>IMPLEMENTACIÓN DE UNA SALA DE VÁLVULAS PARA EL MANTENIMIENTO AUTÓNOMO (TPM) DE LAS VÁLVULAS DE LLENADO PARA LA MEJORA DE LA EFICIENCIA Y REDUCCIÓN DE MERMA DE BEBIDA EN LA LÍNEA DE PRODUCCIÓN EN PLANTA SOFT - DRINKS SACABA - PEPSI</v>
      </c>
      <c r="B533" s="58">
        <f>IFERROR(__xludf.DUMMYFUNCTION("""COMPUTED_VALUE"""),7.0)</f>
        <v>7</v>
      </c>
    </row>
    <row r="534">
      <c r="A534" s="58" t="str">
        <f>IFERROR(__xludf.DUMMYFUNCTION("""COMPUTED_VALUE"""),"IMPLEMENTACIÓN DEL PILAR DE MANTENIMIENTO AUTÓNOMO DE LA METODOLOGÍA TPM EN EL SECTOR DE ENVASADO DE LA PLANTA DE DETERGENTES DE UNILEVER ANDINA BOLIVIA S.A.")</f>
        <v>IMPLEMENTACIÓN DEL PILAR DE MANTENIMIENTO AUTÓNOMO DE LA METODOLOGÍA TPM EN EL SECTOR DE ENVASADO DE LA PLANTA DE DETERGENTES DE UNILEVER ANDINA BOLIVIA S.A.</v>
      </c>
      <c r="B534" s="58">
        <f>IFERROR(__xludf.DUMMYFUNCTION("""COMPUTED_VALUE"""),1.0)</f>
        <v>1</v>
      </c>
    </row>
    <row r="535">
      <c r="A535" s="58" t="str">
        <f>IFERROR(__xludf.DUMMYFUNCTION("""COMPUTED_VALUE"""),"IMPLEMENTACIÓN DEL SISTEMA DE PLANIFICACIÓN DE LOS RECURSOS EMPRESARIALES ERP-TEOWIN PARA LA EMPRESA NAHI INDUSTRIAS S.R.L")</f>
        <v>IMPLEMENTACIÓN DEL SISTEMA DE PLANIFICACIÓN DE LOS RECURSOS EMPRESARIALES ERP-TEOWIN PARA LA EMPRESA NAHI INDUSTRIAS S.R.L</v>
      </c>
      <c r="B535" s="58">
        <f>IFERROR(__xludf.DUMMYFUNCTION("""COMPUTED_VALUE"""),1.0)</f>
        <v>1</v>
      </c>
    </row>
    <row r="536">
      <c r="A536" s="58" t="str">
        <f>IFERROR(__xludf.DUMMYFUNCTION("""COMPUTED_VALUE"""),"IMPLEMENTACIÓN DEL SISTEMA FOS Y 5’S PARA LOS PILARES DE MEJORA ENFOCADA Y MANTENIMIENTO AUTÓNOMO DE LA FILOSOFÍA TPM EN LA EMPRESA UNILEVER ANDINA BOLIVIA S.A.")</f>
        <v>IMPLEMENTACIÓN DEL SISTEMA FOS Y 5’S PARA LOS PILARES DE MEJORA ENFOCADA Y MANTENIMIENTO AUTÓNOMO DE LA FILOSOFÍA TPM EN LA EMPRESA UNILEVER ANDINA BOLIVIA S.A.</v>
      </c>
      <c r="B536" s="58">
        <f>IFERROR(__xludf.DUMMYFUNCTION("""COMPUTED_VALUE"""),4.0)</f>
        <v>4</v>
      </c>
    </row>
    <row r="537">
      <c r="A537" s="58" t="str">
        <f>IFERROR(__xludf.DUMMYFUNCTION("""COMPUTED_VALUE"""),"INCERPAZ LTDA")</f>
        <v>INCERPAZ LTDA</v>
      </c>
      <c r="B537" s="58">
        <f>IFERROR(__xludf.DUMMYFUNCTION("""COMPUTED_VALUE"""),1.0)</f>
        <v>1</v>
      </c>
    </row>
    <row r="538">
      <c r="A538" s="58" t="str">
        <f>IFERROR(__xludf.DUMMYFUNCTION("""COMPUTED_VALUE"""),"INGENIERÍA DE MÉTODOS APLICADA A LA INDUSTRIA DE LA CERÁMICA ROJA")</f>
        <v>INGENIERÍA DE MÉTODOS APLICADA A LA INDUSTRIA DE LA CERÁMICA ROJA</v>
      </c>
      <c r="B538" s="58">
        <f>IFERROR(__xludf.DUMMYFUNCTION("""COMPUTED_VALUE"""),2.0)</f>
        <v>2</v>
      </c>
    </row>
    <row r="539">
      <c r="A539" s="58" t="str">
        <f>IFERROR(__xludf.DUMMYFUNCTION("""COMPUTED_VALUE"""),"INGENIERÍA DE MÉTODOS APLICADA A LA INDUSTRIA DE LA CERÁMICA ROJA (COBOCE - CERAMIL)")</f>
        <v>INGENIERÍA DE MÉTODOS APLICADA A LA INDUSTRIA DE LA CERÁMICA ROJA (COBOCE - CERAMIL)</v>
      </c>
      <c r="B539" s="58">
        <f>IFERROR(__xludf.DUMMYFUNCTION("""COMPUTED_VALUE"""),4.0)</f>
        <v>4</v>
      </c>
    </row>
    <row r="540">
      <c r="A540" s="58" t="str">
        <f>IFERROR(__xludf.DUMMYFUNCTION("""COMPUTED_VALUE"""),"INGENIERÍA DE MÉTODOS EN EL PROCESO DE PRODUCCIÓN DE LA LÍNEA PET-SFRU DE LA EMPRESA DE BEBIDAS SEASA S.A.")</f>
        <v>INGENIERÍA DE MÉTODOS EN EL PROCESO DE PRODUCCIÓN DE LA LÍNEA PET-SFRU DE LA EMPRESA DE BEBIDAS SEASA S.A.</v>
      </c>
      <c r="B540" s="58">
        <f>IFERROR(__xludf.DUMMYFUNCTION("""COMPUTED_VALUE"""),7.0)</f>
        <v>7</v>
      </c>
    </row>
    <row r="541">
      <c r="A541" s="58" t="str">
        <f>IFERROR(__xludf.DUMMYFUNCTION("""COMPUTED_VALUE"""),"INNOVACIÓN EN EL DISEÑO Y LA CONSTRUCCIÓN DE HORNOS
PARA OPTIMIZAR EL PROCESO DE TOSTACIÓN DE MANÍ EN
VAINA")</f>
        <v>INNOVACIÓN EN EL DISEÑO Y LA CONSTRUCCIÓN DE HORNOS
PARA OPTIMIZAR EL PROCESO DE TOSTACIÓN DE MANÍ EN
VAINA</v>
      </c>
      <c r="B541" s="58">
        <f>IFERROR(__xludf.DUMMYFUNCTION("""COMPUTED_VALUE"""),2.0)</f>
        <v>2</v>
      </c>
    </row>
    <row r="542">
      <c r="A542" s="58" t="str">
        <f>IFERROR(__xludf.DUMMYFUNCTION("""COMPUTED_VALUE"""),"INNOVACIÓN EN EL DISEÑO Y LA CONSTRUCCIÓN DE HORNOS PARA OPTIMIZAR EL PROCESO DE TOSTACIÓN DE MANÍ EN VAINA")</f>
        <v>INNOVACIÓN EN EL DISEÑO Y LA CONSTRUCCIÓN DE HORNOS PARA OPTIMIZAR EL PROCESO DE TOSTACIÓN DE MANÍ EN VAINA</v>
      </c>
      <c r="B542" s="58">
        <f>IFERROR(__xludf.DUMMYFUNCTION("""COMPUTED_VALUE"""),2.0)</f>
        <v>2</v>
      </c>
    </row>
    <row r="543">
      <c r="A543" s="58" t="str">
        <f>IFERROR(__xludf.DUMMYFUNCTION("""COMPUTED_VALUE"""),"INVESTIGACIÓN PARA LA PRODUCCIÓN DE HARINA DE HOJA
DE COCA")</f>
        <v>INVESTIGACIÓN PARA LA PRODUCCIÓN DE HARINA DE HOJA
DE COCA</v>
      </c>
      <c r="B543" s="58">
        <f>IFERROR(__xludf.DUMMYFUNCTION("""COMPUTED_VALUE"""),1.0)</f>
        <v>1</v>
      </c>
    </row>
    <row r="544">
      <c r="A544" s="58" t="str">
        <f>IFERROR(__xludf.DUMMYFUNCTION("""COMPUTED_VALUE"""),"INVESTIGACIÓN PARA LA PRODUCCIÓN DE HARINA DE HOJA DE COCA")</f>
        <v>INVESTIGACIÓN PARA LA PRODUCCIÓN DE HARINA DE HOJA DE COCA</v>
      </c>
      <c r="B544" s="58">
        <f>IFERROR(__xludf.DUMMYFUNCTION("""COMPUTED_VALUE"""),1.0)</f>
        <v>1</v>
      </c>
    </row>
    <row r="545">
      <c r="A545" s="58" t="str">
        <f>IFERROR(__xludf.DUMMYFUNCTION("""COMPUTED_VALUE"""),"LA GESTIÓN ESTRATÉGICA EN MUNICIPIOS INTERMEDIOS: PROPUESTA DE TÉCNICAS Y HERRAMIENTAS DE GESTIÓN ESTRATÉGICA PARA UNO DE LOS COMPONENTES DEL MODELO DE GESTIÓN MUNICIPAL PARTICIPATIVA")</f>
        <v>LA GESTIÓN ESTRATÉGICA EN MUNICIPIOS INTERMEDIOS: PROPUESTA DE TÉCNICAS Y HERRAMIENTAS DE GESTIÓN ESTRATÉGICA PARA UNO DE LOS COMPONENTES DEL MODELO DE GESTIÓN MUNICIPAL PARTICIPATIVA</v>
      </c>
      <c r="B545" s="58">
        <f>IFERROR(__xludf.DUMMYFUNCTION("""COMPUTED_VALUE"""),1.0)</f>
        <v>1</v>
      </c>
    </row>
    <row r="546">
      <c r="A546" s="58" t="str">
        <f>IFERROR(__xludf.DUMMYFUNCTION("""COMPUTED_VALUE"""),"MANUAL DE PREVENCIÓN DE RIESGOS EN LA CONSTRUCCIÓN DE SISTEMAS DE AGUA POTABLE Y ALCANTARILLADO PARA LA EMPRESA  CONSTRUCTORA BALCOS")</f>
        <v>MANUAL DE PREVENCIÓN DE RIESGOS EN LA CONSTRUCCIÓN DE SISTEMAS DE AGUA POTABLE Y ALCANTARILLADO PARA LA EMPRESA  CONSTRUCTORA BALCOS</v>
      </c>
      <c r="B546" s="58">
        <f>IFERROR(__xludf.DUMMYFUNCTION("""COMPUTED_VALUE"""),2.0)</f>
        <v>2</v>
      </c>
    </row>
    <row r="547">
      <c r="A547" s="58" t="str">
        <f>IFERROR(__xludf.DUMMYFUNCTION("""COMPUTED_VALUE"""),"MANUAL PARA MEJORAR LA SEGURIDAD EN LOS PROCESOS DE SOLDADURA ASÍ COMO LA SALUD Y LA CAPACITACIÓN DE LOS SOLDADORES EN LAS MYPES DEDICADAS AL RUBRO DE LA METALMECÁNICA")</f>
        <v>MANUAL PARA MEJORAR LA SEGURIDAD EN LOS PROCESOS DE SOLDADURA ASÍ COMO LA SALUD Y LA CAPACITACIÓN DE LOS SOLDADORES EN LAS MYPES DEDICADAS AL RUBRO DE LA METALMECÁNICA</v>
      </c>
      <c r="B547" s="58">
        <f>IFERROR(__xludf.DUMMYFUNCTION("""COMPUTED_VALUE"""),3.0)</f>
        <v>3</v>
      </c>
    </row>
    <row r="548">
      <c r="A548" s="58" t="str">
        <f>IFERROR(__xludf.DUMMYFUNCTION("""COMPUTED_VALUE"""),"MATERIAL DE APOYO DIDÁCTICO PARA EL APRENDIZAJE DE LA ASIGNATURA PROCESOS INDUSTRIALES II")</f>
        <v>MATERIAL DE APOYO DIDÁCTICO PARA EL APRENDIZAJE DE LA ASIGNATURA PROCESOS INDUSTRIALES II</v>
      </c>
      <c r="B548" s="58">
        <f>IFERROR(__xludf.DUMMYFUNCTION("""COMPUTED_VALUE"""),3.0)</f>
        <v>3</v>
      </c>
    </row>
    <row r="549">
      <c r="A549" s="58" t="str">
        <f>IFERROR(__xludf.DUMMYFUNCTION("""COMPUTED_VALUE"""),"MEDICIÓN DEL TRABAJO PARA MEJORAR LA PRODUCTIVIDAD EN LA LÍNEA DE SOPLADO DE LA FÁBRICA PLASTOFORM LTDA. DIVISIÓN ROTAPLAST")</f>
        <v>MEDICIÓN DEL TRABAJO PARA MEJORAR LA PRODUCTIVIDAD EN LA LÍNEA DE SOPLADO DE LA FÁBRICA PLASTOFORM LTDA. DIVISIÓN ROTAPLAST</v>
      </c>
      <c r="B549" s="58">
        <f>IFERROR(__xludf.DUMMYFUNCTION("""COMPUTED_VALUE"""),1.0)</f>
        <v>1</v>
      </c>
    </row>
    <row r="550">
      <c r="A550" s="58" t="str">
        <f>IFERROR(__xludf.DUMMYFUNCTION("""COMPUTED_VALUE"""),"MEJORA DE LA PLANIFICACIÓN Y CONTROL DE LA PRODUCCIÓN DE LA LÍNEA DE PRODUCCIÓN DE ESPUMA DE POLIESTIRENO EXPANDIDO (EPS) PARA LA EMPRESA TECNOPOR S.A")</f>
        <v>MEJORA DE LA PLANIFICACIÓN Y CONTROL DE LA PRODUCCIÓN DE LA LÍNEA DE PRODUCCIÓN DE ESPUMA DE POLIESTIRENO EXPANDIDO (EPS) PARA LA EMPRESA TECNOPOR S.A</v>
      </c>
      <c r="B550" s="58">
        <f>IFERROR(__xludf.DUMMYFUNCTION("""COMPUTED_VALUE"""),3.0)</f>
        <v>3</v>
      </c>
    </row>
    <row r="551">
      <c r="A551" s="58" t="str">
        <f>IFERROR(__xludf.DUMMYFUNCTION("""COMPUTED_VALUE"""),"MEJORA DE LA PRODUCCIÓN MEDIANTE INGENIERÍA DE MÉTODOS Y PROPUESTA PARA LA TRAZABILIDAD EN LA LÍNEA DE HIDROGELES (RIOMAX), DE LA EMPRESA MAXAM FANEXA S.A.M.")</f>
        <v>MEJORA DE LA PRODUCCIÓN MEDIANTE INGENIERÍA DE MÉTODOS Y PROPUESTA PARA LA TRAZABILIDAD EN LA LÍNEA DE HIDROGELES (RIOMAX), DE LA EMPRESA MAXAM FANEXA S.A.M.</v>
      </c>
      <c r="B551" s="58">
        <f>IFERROR(__xludf.DUMMYFUNCTION("""COMPUTED_VALUE"""),2.0)</f>
        <v>2</v>
      </c>
    </row>
    <row r="552">
      <c r="A552" s="58" t="str">
        <f>IFERROR(__xludf.DUMMYFUNCTION("""COMPUTED_VALUE"""),"MEJORA DE LA PRODUCTIVIDAD PARA EL CAMBIO DE PRODUCTO A DETERGENTE BLANCO DE EXPORTACIÓN AL PARAGUAY EN LA PLANTA DE ELABORACIÓN DE DETERGENTES DE UNILEVER ANDINA BOLIVIA S.A.-COCHABAMBA.")</f>
        <v>MEJORA DE LA PRODUCTIVIDAD PARA EL CAMBIO DE PRODUCTO A DETERGENTE BLANCO DE EXPORTACIÓN AL PARAGUAY EN LA PLANTA DE ELABORACIÓN DE DETERGENTES DE UNILEVER ANDINA BOLIVIA S.A.-COCHABAMBA.</v>
      </c>
      <c r="B552" s="58">
        <f>IFERROR(__xludf.DUMMYFUNCTION("""COMPUTED_VALUE"""),5.0)</f>
        <v>5</v>
      </c>
    </row>
    <row r="553">
      <c r="A553" s="58" t="str">
        <f>IFERROR(__xludf.DUMMYFUNCTION("""COMPUTED_VALUE"""),"MEJORAMIENTO DE LA GESTIÓN POR PROCESOS EN UNA EMPRESA DE TRANSMISIÓN ELÉCTRICA")</f>
        <v>MEJORAMIENTO DE LA GESTIÓN POR PROCESOS EN UNA EMPRESA DE TRANSMISIÓN ELÉCTRICA</v>
      </c>
      <c r="B553" s="58">
        <f>IFERROR(__xludf.DUMMYFUNCTION("""COMPUTED_VALUE"""),1.0)</f>
        <v>1</v>
      </c>
    </row>
    <row r="554">
      <c r="A554" s="58" t="str">
        <f>IFERROR(__xludf.DUMMYFUNCTION("""COMPUTED_VALUE"""),"MEJORAMIENTO DE LAS OPERACIONES SEGÚN HERRAMIENTAS JIT PARA LA EMPRESA RECTIFICADORA DE MOTORES “ACTROS”")</f>
        <v>MEJORAMIENTO DE LAS OPERACIONES SEGÚN HERRAMIENTAS JIT PARA LA EMPRESA RECTIFICADORA DE MOTORES “ACTROS”</v>
      </c>
      <c r="B554" s="58">
        <f>IFERROR(__xludf.DUMMYFUNCTION("""COMPUTED_VALUE"""),1.0)</f>
        <v>1</v>
      </c>
    </row>
    <row r="555">
      <c r="A555" s="58" t="str">
        <f>IFERROR(__xludf.DUMMYFUNCTION("""COMPUTED_VALUE"""),"MEJORAMIENTO DE LOS PROCESOS DE INSTALACIÓN Y ATENCIÓN DE RECLAMOS REFERIDO AL SERVICIO DE TELEFONÍA BÁSICA DE LA EMPRESA COMTECO")</f>
        <v>MEJORAMIENTO DE LOS PROCESOS DE INSTALACIÓN Y ATENCIÓN DE RECLAMOS REFERIDO AL SERVICIO DE TELEFONÍA BÁSICA DE LA EMPRESA COMTECO</v>
      </c>
      <c r="B555" s="58">
        <f>IFERROR(__xludf.DUMMYFUNCTION("""COMPUTED_VALUE"""),1.0)</f>
        <v>1</v>
      </c>
    </row>
    <row r="556">
      <c r="A556" s="58" t="str">
        <f>IFERROR(__xludf.DUMMYFUNCTION("""COMPUTED_VALUE"""),"MEJORAMIENTO DEL SISTEMA PRODUCTIVO EN PLÁSTICOS DERQUI S.R.L.")</f>
        <v>MEJORAMIENTO DEL SISTEMA PRODUCTIVO EN PLÁSTICOS DERQUI S.R.L.</v>
      </c>
      <c r="B556" s="58">
        <f>IFERROR(__xludf.DUMMYFUNCTION("""COMPUTED_VALUE"""),3.0)</f>
        <v>3</v>
      </c>
    </row>
    <row r="557">
      <c r="A557" s="58" t="str">
        <f>IFERROR(__xludf.DUMMYFUNCTION("""COMPUTED_VALUE"""),"MEJORAS TECNOLÓGICAS PARA LA PLANTA DE FABRICACIÓN DE LA CERÁMICA ROJA DIPAFEX.")</f>
        <v>MEJORAS TECNOLÓGICAS PARA LA PLANTA DE FABRICACIÓN DE LA CERÁMICA ROJA DIPAFEX.</v>
      </c>
      <c r="B557" s="58">
        <f>IFERROR(__xludf.DUMMYFUNCTION("""COMPUTED_VALUE"""),2.0)</f>
        <v>2</v>
      </c>
    </row>
    <row r="558">
      <c r="A558" s="58" t="str">
        <f>IFERROR(__xludf.DUMMYFUNCTION("""COMPUTED_VALUE"""),"MODELACIÓN MATEMÁTICA DEL PROCESO DE TRANSPORTE DEL PLAGUICIDA ATRAZINA EN SUELO AGRÍCOLA")</f>
        <v>MODELACIÓN MATEMÁTICA DEL PROCESO DE TRANSPORTE DEL PLAGUICIDA ATRAZINA EN SUELO AGRÍCOLA</v>
      </c>
      <c r="B558" s="58">
        <f>IFERROR(__xludf.DUMMYFUNCTION("""COMPUTED_VALUE"""),1.0)</f>
        <v>1</v>
      </c>
    </row>
    <row r="559">
      <c r="A559" s="58" t="str">
        <f>IFERROR(__xludf.DUMMYFUNCTION("""COMPUTED_VALUE"""),"MODELAMIENTO DE UN SISTEMA DE INFORMACIÓN PARA LAS LÍNEAS DE PRODUCCIÓN DE EMBOL S.A.")</f>
        <v>MODELAMIENTO DE UN SISTEMA DE INFORMACIÓN PARA LAS LÍNEAS DE PRODUCCIÓN DE EMBOL S.A.</v>
      </c>
      <c r="B559" s="58">
        <f>IFERROR(__xludf.DUMMYFUNCTION("""COMPUTED_VALUE"""),1.0)</f>
        <v>1</v>
      </c>
    </row>
    <row r="560">
      <c r="A560" s="58" t="str">
        <f>IFERROR(__xludf.DUMMYFUNCTION("""COMPUTED_VALUE"""),"MODELO DE  RECOLECCIÓN TRANSPORTE Y DISPOSICIÓN FINAL DE LOS RESIDUOS SÓLIDOS EN EL CENTRO POBLADO DEL MUNICIPIO DE OMEREQUE.")</f>
        <v>MODELO DE  RECOLECCIÓN TRANSPORTE Y DISPOSICIÓN FINAL DE LOS RESIDUOS SÓLIDOS EN EL CENTRO POBLADO DEL MUNICIPIO DE OMEREQUE.</v>
      </c>
      <c r="B560" s="58">
        <f>IFERROR(__xludf.DUMMYFUNCTION("""COMPUTED_VALUE"""),1.0)</f>
        <v>1</v>
      </c>
    </row>
    <row r="561">
      <c r="A561" s="58" t="str">
        <f>IFERROR(__xludf.DUMMYFUNCTION("""COMPUTED_VALUE"""),"MODELO DE CLIMA ORGANIZACIONAL PARA EL SECTOR ADMINISTRATIVO DE LA FACULTAD DE CIENCIAS Y TECNOLOGÍA")</f>
        <v>MODELO DE CLIMA ORGANIZACIONAL PARA EL SECTOR ADMINISTRATIVO DE LA FACULTAD DE CIENCIAS Y TECNOLOGÍA</v>
      </c>
      <c r="B561" s="58">
        <f>IFERROR(__xludf.DUMMYFUNCTION("""COMPUTED_VALUE"""),9.0)</f>
        <v>9</v>
      </c>
    </row>
    <row r="562">
      <c r="A562" s="58" t="str">
        <f>IFERROR(__xludf.DUMMYFUNCTION("""COMPUTED_VALUE"""),"MODELO DE CONTROL ESTADÍSTICO DE CALIDAD
EN BASE A SOFTWARE MINITAB PARA EL PROCESO DE
FABRICACIÓN DE LA MUNICIÓN 7.62 X 51 MM.
DE LA “FABRICA BOLIVIANA DE MUNICIÓN”")</f>
        <v>MODELO DE CONTROL ESTADÍSTICO DE CALIDAD
EN BASE A SOFTWARE MINITAB PARA EL PROCESO DE
FABRICACIÓN DE LA MUNICIÓN 7.62 X 51 MM.
DE LA “FABRICA BOLIVIANA DE MUNICIÓN”</v>
      </c>
      <c r="B562" s="58">
        <f>IFERROR(__xludf.DUMMYFUNCTION("""COMPUTED_VALUE"""),1.0)</f>
        <v>1</v>
      </c>
    </row>
    <row r="563">
      <c r="A563" s="58" t="str">
        <f>IFERROR(__xludf.DUMMYFUNCTION("""COMPUTED_VALUE"""),"MODELO DE CONTROL ESTADÍSTICO DE CALIDAD EN BASE AL SOFTWARE MINITAB PARA EL PROCESO DE FABRICACIÓN DE LA MUNICIÓN 7.62 X 51MM. DE LA FÁBRICA BOLIVIANA DE MUNICIÓN")</f>
        <v>MODELO DE CONTROL ESTADÍSTICO DE CALIDAD EN BASE AL SOFTWARE MINITAB PARA EL PROCESO DE FABRICACIÓN DE LA MUNICIÓN 7.62 X 51MM. DE LA FÁBRICA BOLIVIANA DE MUNICIÓN</v>
      </c>
      <c r="B563" s="58">
        <f>IFERROR(__xludf.DUMMYFUNCTION("""COMPUTED_VALUE"""),4.0)</f>
        <v>4</v>
      </c>
    </row>
    <row r="564">
      <c r="A564" s="58" t="str">
        <f>IFERROR(__xludf.DUMMYFUNCTION("""COMPUTED_VALUE"""),"MODELO DE GESTIÓN ORGANIZACIONAL PARA LA EMPRESA COINMAR")</f>
        <v>MODELO DE GESTIÓN ORGANIZACIONAL PARA LA EMPRESA COINMAR</v>
      </c>
      <c r="B564" s="58">
        <f>IFERROR(__xludf.DUMMYFUNCTION("""COMPUTED_VALUE"""),2.0)</f>
        <v>2</v>
      </c>
    </row>
    <row r="565">
      <c r="A565" s="58" t="str">
        <f>IFERROR(__xludf.DUMMYFUNCTION("""COMPUTED_VALUE"""),"MODELO DE GESTIÓN OSHA PARA LA PLANTA DE
COBOCE - CERAMICA.”")</f>
        <v>MODELO DE GESTIÓN OSHA PARA LA PLANTA DE
COBOCE - CERAMICA.”</v>
      </c>
      <c r="B565" s="58">
        <f>IFERROR(__xludf.DUMMYFUNCTION("""COMPUTED_VALUE"""),1.0)</f>
        <v>1</v>
      </c>
    </row>
    <row r="566">
      <c r="A566" s="58" t="str">
        <f>IFERROR(__xludf.DUMMYFUNCTION("""COMPUTED_VALUE"""),"MODELO DE GESTIÓN PARA MEJORAR LA PRODUCCIÓN DE ALIMENTO BALANCEADO PARA TRUCHA EN LA UNIDAD PRODCUCTIVA CARITAS")</f>
        <v>MODELO DE GESTIÓN PARA MEJORAR LA PRODUCCIÓN DE ALIMENTO BALANCEADO PARA TRUCHA EN LA UNIDAD PRODCUCTIVA CARITAS</v>
      </c>
      <c r="B566" s="58">
        <f>IFERROR(__xludf.DUMMYFUNCTION("""COMPUTED_VALUE"""),2.0)</f>
        <v>2</v>
      </c>
    </row>
    <row r="567">
      <c r="A567" s="58" t="str">
        <f>IFERROR(__xludf.DUMMYFUNCTION("""COMPUTED_VALUE"""),"MODELO DE GESTIÓN PARA MEJORAR LA SECCIÓN 424 TALLER DE LA LÍNEA DE PRODUCCIÓN DE CALZADOS INDUSTRIALES “MANACO”")</f>
        <v>MODELO DE GESTIÓN PARA MEJORAR LA SECCIÓN 424 TALLER DE LA LÍNEA DE PRODUCCIÓN DE CALZADOS INDUSTRIALES “MANACO”</v>
      </c>
      <c r="B567" s="58">
        <f>IFERROR(__xludf.DUMMYFUNCTION("""COMPUTED_VALUE"""),2.0)</f>
        <v>2</v>
      </c>
    </row>
    <row r="568">
      <c r="A568" s="58" t="str">
        <f>IFERROR(__xludf.DUMMYFUNCTION("""COMPUTED_VALUE"""),"MODELO DE PLANIFICACION Y CONTROL DE LA PRODUCCION PARA INDUSTRIAS LUJAN S. R. L.")</f>
        <v>MODELO DE PLANIFICACION Y CONTROL DE LA PRODUCCION PARA INDUSTRIAS LUJAN S. R. L.</v>
      </c>
      <c r="B568" s="58">
        <f>IFERROR(__xludf.DUMMYFUNCTION("""COMPUTED_VALUE"""),1.0)</f>
        <v>1</v>
      </c>
    </row>
    <row r="569">
      <c r="A569" s="58" t="str">
        <f>IFERROR(__xludf.DUMMYFUNCTION("""COMPUTED_VALUE"""),"MODELO DE PLANIFICACIÓN Y CONTROL DE LA PRODUCCIÓN PARA LA EMPRESA “DRESS”")</f>
        <v>MODELO DE PLANIFICACIÓN Y CONTROL DE LA PRODUCCIÓN PARA LA EMPRESA “DRESS”</v>
      </c>
      <c r="B569" s="58">
        <f>IFERROR(__xludf.DUMMYFUNCTION("""COMPUTED_VALUE"""),2.0)</f>
        <v>2</v>
      </c>
    </row>
    <row r="570">
      <c r="A570" s="58" t="str">
        <f>IFERROR(__xludf.DUMMYFUNCTION("""COMPUTED_VALUE"""),"MODELO DE PLANIFICACIÓN Y CONTROL DE LA PRODUCCIÓN PARA LA EMPRESA “PRODUCTOS NATURALES ANDES”")</f>
        <v>MODELO DE PLANIFICACIÓN Y CONTROL DE LA PRODUCCIÓN PARA LA EMPRESA “PRODUCTOS NATURALES ANDES”</v>
      </c>
      <c r="B570" s="58">
        <f>IFERROR(__xludf.DUMMYFUNCTION("""COMPUTED_VALUE"""),1.0)</f>
        <v>1</v>
      </c>
    </row>
    <row r="571">
      <c r="A571" s="58" t="str">
        <f>IFERROR(__xludf.DUMMYFUNCTION("""COMPUTED_VALUE"""),"MODELO DE PLANIFICACIÓN Y CONTROL DE LAPRODUCCIÓN PARA LA EMPRESA P.A.I.A. PLÁSTICOS Y ANEXOS S.R.L.")</f>
        <v>MODELO DE PLANIFICACIÓN Y CONTROL DE LAPRODUCCIÓN PARA LA EMPRESA P.A.I.A. PLÁSTICOS Y ANEXOS S.R.L.</v>
      </c>
      <c r="B571" s="58">
        <f>IFERROR(__xludf.DUMMYFUNCTION("""COMPUTED_VALUE"""),4.0)</f>
        <v>4</v>
      </c>
    </row>
    <row r="572">
      <c r="A572" s="58" t="str">
        <f>IFERROR(__xludf.DUMMYFUNCTION("""COMPUTED_VALUE"""),"MODELO DE PLANIFICACIÓN Y CONTROL DE PRODUCCIÓN PARA LA EMPRESA MOPAR S.A.")</f>
        <v>MODELO DE PLANIFICACIÓN Y CONTROL DE PRODUCCIÓN PARA LA EMPRESA MOPAR S.A.</v>
      </c>
      <c r="B572" s="58">
        <f>IFERROR(__xludf.DUMMYFUNCTION("""COMPUTED_VALUE"""),2.0)</f>
        <v>2</v>
      </c>
    </row>
    <row r="573">
      <c r="A573" s="58" t="str">
        <f>IFERROR(__xludf.DUMMYFUNCTION("""COMPUTED_VALUE"""),"MODELO DE PLANIFICACIÓN Y CONTROL EN LA PRODUCCIÓN PARA LA LÍNEA DE CUERO DE LAGARTO DE LA EMPRESA CIENSA LTDA.")</f>
        <v>MODELO DE PLANIFICACIÓN Y CONTROL EN LA PRODUCCIÓN PARA LA LÍNEA DE CUERO DE LAGARTO DE LA EMPRESA CIENSA LTDA.</v>
      </c>
      <c r="B573" s="58">
        <f>IFERROR(__xludf.DUMMYFUNCTION("""COMPUTED_VALUE"""),3.0)</f>
        <v>3</v>
      </c>
    </row>
    <row r="574">
      <c r="A574" s="58" t="str">
        <f>IFERROR(__xludf.DUMMYFUNCTION("""COMPUTED_VALUE"""),"MODELO DE PLANIFICACIÓN Y CONTROL PARA LA EMPRESA TINABOL")</f>
        <v>MODELO DE PLANIFICACIÓN Y CONTROL PARA LA EMPRESA TINABOL</v>
      </c>
      <c r="B574" s="58">
        <f>IFERROR(__xludf.DUMMYFUNCTION("""COMPUTED_VALUE"""),1.0)</f>
        <v>1</v>
      </c>
    </row>
    <row r="575">
      <c r="A575" s="58" t="str">
        <f>IFERROR(__xludf.DUMMYFUNCTION("""COMPUTED_VALUE"""),"MODELO DE PROGRAMA DE GESTION DE SEGURIDAD INTEGRAL EN EL PARQUE INDUSTRIAL SANTIVAÑEZ EN LOS RUBROS ASERRADEROS-BARRACAS-PROCESADORAS DE MADERA")</f>
        <v>MODELO DE PROGRAMA DE GESTION DE SEGURIDAD INTEGRAL EN EL PARQUE INDUSTRIAL SANTIVAÑEZ EN LOS RUBROS ASERRADEROS-BARRACAS-PROCESADORAS DE MADERA</v>
      </c>
      <c r="B575" s="58">
        <f>IFERROR(__xludf.DUMMYFUNCTION("""COMPUTED_VALUE"""),5.0)</f>
        <v>5</v>
      </c>
    </row>
    <row r="576">
      <c r="A576" s="58" t="str">
        <f>IFERROR(__xludf.DUMMYFUNCTION("""COMPUTED_VALUE"""),"MODELO DE SEGURIDAD INDUSTRIAL PARA LA EMPRESA MEGHER SRL.")</f>
        <v>MODELO DE SEGURIDAD INDUSTRIAL PARA LA EMPRESA MEGHER SRL.</v>
      </c>
      <c r="B576" s="58">
        <f>IFERROR(__xludf.DUMMYFUNCTION("""COMPUTED_VALUE"""),2.0)</f>
        <v>2</v>
      </c>
    </row>
    <row r="577">
      <c r="A577" s="58" t="str">
        <f>IFERROR(__xludf.DUMMYFUNCTION("""COMPUTED_VALUE"""),"MODELO DE SEGURIDAD INDUSTRIAL PARA LAS INSTALACIONES DE LA HONORABLE ALCALDÍA MUNICIPAL DE COCHABAMBA DEL PASAJE SUCRE Y LA PLAZA PRINCIPAL")</f>
        <v>MODELO DE SEGURIDAD INDUSTRIAL PARA LAS INSTALACIONES DE LA HONORABLE ALCALDÍA MUNICIPAL DE COCHABAMBA DEL PASAJE SUCRE Y LA PLAZA PRINCIPAL</v>
      </c>
      <c r="B577" s="58">
        <f>IFERROR(__xludf.DUMMYFUNCTION("""COMPUTED_VALUE"""),3.0)</f>
        <v>3</v>
      </c>
    </row>
    <row r="578">
      <c r="A578" s="58" t="str">
        <f>IFERROR(__xludf.DUMMYFUNCTION("""COMPUTED_VALUE"""),"MODELO DE UN SISTEMA DE GESTIÓN PROACTIVO PARA LA PREVENCIÓN Y CONTROL DE RIESGOS LABORALES EN EMPRESAS MANUFACTURERAS")</f>
        <v>MODELO DE UN SISTEMA DE GESTIÓN PROACTIVO PARA LA PREVENCIÓN Y CONTROL DE RIESGOS LABORALES EN EMPRESAS MANUFACTURERAS</v>
      </c>
      <c r="B578" s="58">
        <f>IFERROR(__xludf.DUMMYFUNCTION("""COMPUTED_VALUE"""),1.0)</f>
        <v>1</v>
      </c>
    </row>
    <row r="579">
      <c r="A579" s="58" t="str">
        <f>IFERROR(__xludf.DUMMYFUNCTION("""COMPUTED_VALUE"""),"MODELO HABITACIONAL FABRIL")</f>
        <v>MODELO HABITACIONAL FABRIL</v>
      </c>
      <c r="B579" s="58">
        <f>IFERROR(__xludf.DUMMYFUNCTION("""COMPUTED_VALUE"""),1.0)</f>
        <v>1</v>
      </c>
    </row>
    <row r="580">
      <c r="A580" s="58" t="str">
        <f>IFERROR(__xludf.DUMMYFUNCTION("""COMPUTED_VALUE"""),"MODELO MARKOVIANO  PARA EL ESTUDIO DE LA EVOLUCIÓN DE COHORTES  DE ESTUDIANTES DE LA CARRERA DE INGENIERÍA INDUSTRIAL DE LA  FACULTAD DE CIENCIAS Y TECNOLOGÍA  DE LA UNIVERSIDAD MAYOR DE SAN SIMÓN")</f>
        <v>MODELO MARKOVIANO  PARA EL ESTUDIO DE LA EVOLUCIÓN DE COHORTES  DE ESTUDIANTES DE LA CARRERA DE INGENIERÍA INDUSTRIAL DE LA  FACULTAD DE CIENCIAS Y TECNOLOGÍA  DE LA UNIVERSIDAD MAYOR DE SAN SIMÓN</v>
      </c>
      <c r="B580" s="58">
        <f>IFERROR(__xludf.DUMMYFUNCTION("""COMPUTED_VALUE"""),8.0)</f>
        <v>8</v>
      </c>
    </row>
    <row r="581">
      <c r="A581" s="58" t="str">
        <f>IFERROR(__xludf.DUMMYFUNCTION("""COMPUTED_VALUE"""),"OPTIMIZACION DEL PROCESO DE MOLIENDA DE ENGOBES Y ESMALTES PARA CERAMICAS COBOCE")</f>
        <v>OPTIMIZACION DEL PROCESO DE MOLIENDA DE ENGOBES Y ESMALTES PARA CERAMICAS COBOCE</v>
      </c>
      <c r="B581" s="58">
        <f>IFERROR(__xludf.DUMMYFUNCTION("""COMPUTED_VALUE"""),4.0)</f>
        <v>4</v>
      </c>
    </row>
    <row r="582">
      <c r="A582" s="58" t="str">
        <f>IFERROR(__xludf.DUMMYFUNCTION("""COMPUTED_VALUE"""),"OPTIMIZACION DEL PROCESO DE MOLIENDA DE ENGOBES Y ESMALTES PARA “CERAMICAS COBOCE.”")</f>
        <v>OPTIMIZACION DEL PROCESO DE MOLIENDA DE ENGOBES Y ESMALTES PARA “CERAMICAS COBOCE.”</v>
      </c>
      <c r="B582" s="58">
        <f>IFERROR(__xludf.DUMMYFUNCTION("""COMPUTED_VALUE"""),1.0)</f>
        <v>1</v>
      </c>
    </row>
    <row r="583">
      <c r="A583" s="58" t="str">
        <f>IFERROR(__xludf.DUMMYFUNCTION("""COMPUTED_VALUE"""),"OPTIMIZACIÓN DE LA PRODUCCIÓN EN EL ÁREA DE CONVERSIÓN DE LA EMPRESA COPELME S.A. MEDIANTE LA INGENIERÍA DE MÉTODOS")</f>
        <v>OPTIMIZACIÓN DE LA PRODUCCIÓN EN EL ÁREA DE CONVERSIÓN DE LA EMPRESA COPELME S.A. MEDIANTE LA INGENIERÍA DE MÉTODOS</v>
      </c>
      <c r="B583" s="58">
        <f>IFERROR(__xludf.DUMMYFUNCTION("""COMPUTED_VALUE"""),9.0)</f>
        <v>9</v>
      </c>
    </row>
    <row r="584">
      <c r="A584" s="58" t="str">
        <f>IFERROR(__xludf.DUMMYFUNCTION("""COMPUTED_VALUE"""),"OPTIMIZACIÓN DE LA PRODUCCIÓN MEDIANTE LA INGENIERÍA DE MÉTODOS PARA LA LÍNEA DE PLÁSTICOS EN INDUSTRIAS LUJAN S.R.L.")</f>
        <v>OPTIMIZACIÓN DE LA PRODUCCIÓN MEDIANTE LA INGENIERÍA DE MÉTODOS PARA LA LÍNEA DE PLÁSTICOS EN INDUSTRIAS LUJAN S.R.L.</v>
      </c>
      <c r="B584" s="58">
        <f>IFERROR(__xludf.DUMMYFUNCTION("""COMPUTED_VALUE"""),18.0)</f>
        <v>18</v>
      </c>
    </row>
    <row r="585">
      <c r="A585" s="58" t="str">
        <f>IFERROR(__xludf.DUMMYFUNCTION("""COMPUTED_VALUE"""),"OPTIMIZACIÓN DE LOS PROCESOS DE INSTALACIÓN Y ATENCIÓN DE RECLAMOS DEL SERVICIO DE INTERNET BANDA ANCHA PARA LA COOPERATIVA DE TELECOMUNICACIONES CBBA. COMTECO LTDA.")</f>
        <v>OPTIMIZACIÓN DE LOS PROCESOS DE INSTALACIÓN Y ATENCIÓN DE RECLAMOS DEL SERVICIO DE INTERNET BANDA ANCHA PARA LA COOPERATIVA DE TELECOMUNICACIONES CBBA. COMTECO LTDA.</v>
      </c>
      <c r="B585" s="58">
        <f>IFERROR(__xludf.DUMMYFUNCTION("""COMPUTED_VALUE"""),2.0)</f>
        <v>2</v>
      </c>
    </row>
    <row r="586">
      <c r="A586" s="58" t="str">
        <f>IFERROR(__xludf.DUMMYFUNCTION("""COMPUTED_VALUE"""),"OPTIMIZACIÓN DE LOS PROCESOS PRODUCTIVOS DE LA EMPRESA TEKNOLIFT S.R.L.")</f>
        <v>OPTIMIZACIÓN DE LOS PROCESOS PRODUCTIVOS DE LA EMPRESA TEKNOLIFT S.R.L.</v>
      </c>
      <c r="B586" s="58">
        <f>IFERROR(__xludf.DUMMYFUNCTION("""COMPUTED_VALUE"""),11.0)</f>
        <v>11</v>
      </c>
    </row>
    <row r="587">
      <c r="A587" s="58" t="str">
        <f>IFERROR(__xludf.DUMMYFUNCTION("""COMPUTED_VALUE"""),"OPTIMIZACIÓN DE MÉTODOS DE PRODUCCIÓN DE ENVASADO DE GLP PARA LA EMPRESA PECA GAS CON UN ENFOQUE DE REINGENIERÍA")</f>
        <v>OPTIMIZACIÓN DE MÉTODOS DE PRODUCCIÓN DE ENVASADO DE GLP PARA LA EMPRESA PECA GAS CON UN ENFOQUE DE REINGENIERÍA</v>
      </c>
      <c r="B587" s="58">
        <f>IFERROR(__xludf.DUMMYFUNCTION("""COMPUTED_VALUE"""),1.0)</f>
        <v>1</v>
      </c>
    </row>
    <row r="588">
      <c r="A588" s="58" t="str">
        <f>IFERROR(__xludf.DUMMYFUNCTION("""COMPUTED_VALUE"""),"OPTIMIZACIÓN DEL CONTROL DE CALIDAD DEL PROCESO DE FORMADO DE PRODUCTOS EN LA FÁBRICA CIMCO LTDA.")</f>
        <v>OPTIMIZACIÓN DEL CONTROL DE CALIDAD DEL PROCESO DE FORMADO DE PRODUCTOS EN LA FÁBRICA CIMCO LTDA.</v>
      </c>
      <c r="B588" s="58">
        <f>IFERROR(__xludf.DUMMYFUNCTION("""COMPUTED_VALUE"""),1.0)</f>
        <v>1</v>
      </c>
    </row>
    <row r="589">
      <c r="A589" s="58" t="str">
        <f>IFERROR(__xludf.DUMMYFUNCTION("""COMPUTED_VALUE"""),"OPTIMIZACIÓN DEL ESTÁNDAR DE LOTO BLOQUEO-ETIQUETADO PARA EL CONTROL DE ENERGÍAS DURANTE EL MANTENIMIENTO INDUSTRIAL EN LA PLANTA DE MANUFACTURA UNILEVER ANDINA BOLIVIA S.A.")</f>
        <v>OPTIMIZACIÓN DEL ESTÁNDAR DE LOTO BLOQUEO-ETIQUETADO PARA EL CONTROL DE ENERGÍAS DURANTE EL MANTENIMIENTO INDUSTRIAL EN LA PLANTA DE MANUFACTURA UNILEVER ANDINA BOLIVIA S.A.</v>
      </c>
      <c r="B589" s="58">
        <f>IFERROR(__xludf.DUMMYFUNCTION("""COMPUTED_VALUE"""),1.0)</f>
        <v>1</v>
      </c>
    </row>
    <row r="590">
      <c r="A590" s="58" t="str">
        <f>IFERROR(__xludf.DUMMYFUNCTION("""COMPUTED_VALUE"""),"OPTIMIZACIÓN DEL MANEJO DE AGUAS UTILIZADAS EN EL PROCESO PRODUCTIVO DEL INGENIO AZUCARERO GUABIRÁ S.A.")</f>
        <v>OPTIMIZACIÓN DEL MANEJO DE AGUAS UTILIZADAS EN EL PROCESO PRODUCTIVO DEL INGENIO AZUCARERO GUABIRÁ S.A.</v>
      </c>
      <c r="B590" s="58">
        <f>IFERROR(__xludf.DUMMYFUNCTION("""COMPUTED_VALUE"""),2.0)</f>
        <v>2</v>
      </c>
    </row>
    <row r="591">
      <c r="A591" s="58" t="str">
        <f>IFERROR(__xludf.DUMMYFUNCTION("""COMPUTED_VALUE"""),"OPTIMIZACIÓN DEL MANEJO DE MÁQUINAS HERRAMIENTAS MEDIANTE EL ESTUDIO DE MÉTODOS Y REINGENIERÍA PARA LA “RECTIFICADORA ACTROS”.")</f>
        <v>OPTIMIZACIÓN DEL MANEJO DE MÁQUINAS HERRAMIENTAS MEDIANTE EL ESTUDIO DE MÉTODOS Y REINGENIERÍA PARA LA “RECTIFICADORA ACTROS”.</v>
      </c>
      <c r="B591" s="58">
        <f>IFERROR(__xludf.DUMMYFUNCTION("""COMPUTED_VALUE"""),2.0)</f>
        <v>2</v>
      </c>
    </row>
    <row r="592">
      <c r="A592" s="58" t="str">
        <f>IFERROR(__xludf.DUMMYFUNCTION("""COMPUTED_VALUE"""),"OPTIMIZACIÓN DEL MATADERO MUNICIPAL DE COLCAPIRHUA ORIENTADO HACIA UN MEJOR DESEMPEÑO AMBIENTAL")</f>
        <v>OPTIMIZACIÓN DEL MATADERO MUNICIPAL DE COLCAPIRHUA ORIENTADO HACIA UN MEJOR DESEMPEÑO AMBIENTAL</v>
      </c>
      <c r="B592" s="58">
        <f>IFERROR(__xludf.DUMMYFUNCTION("""COMPUTED_VALUE"""),1.0)</f>
        <v>1</v>
      </c>
    </row>
    <row r="593">
      <c r="A593" s="58" t="str">
        <f>IFERROR(__xludf.DUMMYFUNCTION("""COMPUTED_VALUE"""),"OPTIMIZACIÓN DEL PROCESO DE FABRICACIÓN DE FRAZADAS EN POLAR TEXTIL S.A. A TRAVÉS DEL USO DE ALGUNAS HERRAMIENTAS DEL LEAN MANUFACTURING Y LA ADMINISTRACIÓN POR OBJETIVOS")</f>
        <v>OPTIMIZACIÓN DEL PROCESO DE FABRICACIÓN DE FRAZADAS EN POLAR TEXTIL S.A. A TRAVÉS DEL USO DE ALGUNAS HERRAMIENTAS DEL LEAN MANUFACTURING Y LA ADMINISTRACIÓN POR OBJETIVOS</v>
      </c>
      <c r="B593" s="58">
        <f>IFERROR(__xludf.DUMMYFUNCTION("""COMPUTED_VALUE"""),49.0)</f>
        <v>49</v>
      </c>
    </row>
    <row r="594">
      <c r="A594" s="58" t="str">
        <f>IFERROR(__xludf.DUMMYFUNCTION("""COMPUTED_VALUE"""),"OPTIMIZACIÓN DEL PROCESO DE PRODUCCIÓN DE LA EMPRESA PAPELERA VINTO S.R.L")</f>
        <v>OPTIMIZACIÓN DEL PROCESO DE PRODUCCIÓN DE LA EMPRESA PAPELERA VINTO S.R.L</v>
      </c>
      <c r="B594" s="58">
        <f>IFERROR(__xludf.DUMMYFUNCTION("""COMPUTED_VALUE"""),4.0)</f>
        <v>4</v>
      </c>
    </row>
    <row r="595">
      <c r="A595" s="58" t="str">
        <f>IFERROR(__xludf.DUMMYFUNCTION("""COMPUTED_VALUE"""),"OPTIMIZACIÓN DEL PROCESO PRODUCTIVO DE FABRICACIÓN DE MUEBLES MODULARES DE LA EMPRESA NAHI INDUSTRIAS S.R.L.")</f>
        <v>OPTIMIZACIÓN DEL PROCESO PRODUCTIVO DE FABRICACIÓN DE MUEBLES MODULARES DE LA EMPRESA NAHI INDUSTRIAS S.R.L.</v>
      </c>
      <c r="B595" s="58">
        <f>IFERROR(__xludf.DUMMYFUNCTION("""COMPUTED_VALUE"""),1.0)</f>
        <v>1</v>
      </c>
    </row>
    <row r="596">
      <c r="A596" s="58" t="str">
        <f>IFERROR(__xludf.DUMMYFUNCTION("""COMPUTED_VALUE"""),"OPTIMIZACIÓN DEL PROCESO PRODUCTIVO DE LADRILLO GAMBOTE MEDIANTE LA ADMINISTRACIÓN DE OPERACIONES PARA LOS PRODUCTORES DE LA ZONA SUD")</f>
        <v>OPTIMIZACIÓN DEL PROCESO PRODUCTIVO DE LADRILLO GAMBOTE MEDIANTE LA ADMINISTRACIÓN DE OPERACIONES PARA LOS PRODUCTORES DE LA ZONA SUD</v>
      </c>
      <c r="B596" s="58">
        <f>IFERROR(__xludf.DUMMYFUNCTION("""COMPUTED_VALUE"""),2.0)</f>
        <v>2</v>
      </c>
    </row>
    <row r="597">
      <c r="A597" s="58" t="str">
        <f>IFERROR(__xludf.DUMMYFUNCTION("""COMPUTED_VALUE"""),"OPTIMIZACIÓN DEL PROCESO PRODUCTIVO EN MODULARES DE LIVING ""MUEBLES A. MURIEL C.""")</f>
        <v>OPTIMIZACIÓN DEL PROCESO PRODUCTIVO EN MODULARES DE LIVING "MUEBLES A. MURIEL C."</v>
      </c>
      <c r="B597" s="58">
        <f>IFERROR(__xludf.DUMMYFUNCTION("""COMPUTED_VALUE"""),3.0)</f>
        <v>3</v>
      </c>
    </row>
    <row r="598">
      <c r="A598" s="58" t="str">
        <f>IFERROR(__xludf.DUMMYFUNCTION("""COMPUTED_VALUE"""),"OPTIMIZACIÓN DEL PROCESO PRODUCTIVO Y ADMINISTRATIVO DE LA EMPRESA PURIFICADORA DE AGUA  AQUA NUESTRA")</f>
        <v>OPTIMIZACIÓN DEL PROCESO PRODUCTIVO Y ADMINISTRATIVO DE LA EMPRESA PURIFICADORA DE AGUA  AQUA NUESTRA</v>
      </c>
      <c r="B598" s="58">
        <f>IFERROR(__xludf.DUMMYFUNCTION("""COMPUTED_VALUE"""),2.0)</f>
        <v>2</v>
      </c>
    </row>
    <row r="599">
      <c r="A599" s="58" t="str">
        <f>IFERROR(__xludf.DUMMYFUNCTION("""COMPUTED_VALUE"""),"OPTIMIZACIÓN DEL PROCESO PRODUCTIVO Y MEJORA DE LAS CONDICIONES OCUPACIONALES EN LA LÍNEA DE PRODUCCIÓN DE GARRAFAS DE GLP EN LA FÁBRICA FANACIM SRL.")</f>
        <v>OPTIMIZACIÓN DEL PROCESO PRODUCTIVO Y MEJORA DE LAS CONDICIONES OCUPACIONALES EN LA LÍNEA DE PRODUCCIÓN DE GARRAFAS DE GLP EN LA FÁBRICA FANACIM SRL.</v>
      </c>
      <c r="B599" s="58">
        <f>IFERROR(__xludf.DUMMYFUNCTION("""COMPUTED_VALUE"""),1.0)</f>
        <v>1</v>
      </c>
    </row>
    <row r="600">
      <c r="A600" s="58" t="str">
        <f>IFERROR(__xludf.DUMMYFUNCTION("""COMPUTED_VALUE"""),"OPTIMIZACIÓN EN EL ÁREA DE METALMECÁNICA DE LOS PROCESOS DE FABRICACIÓN DE LA LÍNEA CRAZY EN LA EMPRESA MOPAR S.A.")</f>
        <v>OPTIMIZACIÓN EN EL ÁREA DE METALMECÁNICA DE LOS PROCESOS DE FABRICACIÓN DE LA LÍNEA CRAZY EN LA EMPRESA MOPAR S.A.</v>
      </c>
      <c r="B600" s="58">
        <f>IFERROR(__xludf.DUMMYFUNCTION("""COMPUTED_VALUE"""),1.0)</f>
        <v>1</v>
      </c>
    </row>
    <row r="601">
      <c r="A601" s="58" t="str">
        <f>IFERROR(__xludf.DUMMYFUNCTION("""COMPUTED_VALUE"""),"PLAN DE CAPACITACIÓN EN LA PRODUCCIÓN DE MARROQUINERÍA PARA MUJERES AUSPICIADO POR LA CURTIEMBRE TAURO LTDA.")</f>
        <v>PLAN DE CAPACITACIÓN EN LA PRODUCCIÓN DE MARROQUINERÍA PARA MUJERES AUSPICIADO POR LA CURTIEMBRE TAURO LTDA.</v>
      </c>
      <c r="B601" s="58">
        <f>IFERROR(__xludf.DUMMYFUNCTION("""COMPUTED_VALUE"""),1.0)</f>
        <v>1</v>
      </c>
    </row>
    <row r="602">
      <c r="A602" s="58" t="str">
        <f>IFERROR(__xludf.DUMMYFUNCTION("""COMPUTED_VALUE"""),"PLAN DE CAPACITACIÓN EN SEGURIDAD INDUSTRIAL PARA LA
EMPRESA EMBOL S.A.")</f>
        <v>PLAN DE CAPACITACIÓN EN SEGURIDAD INDUSTRIAL PARA LA
EMPRESA EMBOL S.A.</v>
      </c>
      <c r="B602" s="58">
        <f>IFERROR(__xludf.DUMMYFUNCTION("""COMPUTED_VALUE"""),1.0)</f>
        <v>1</v>
      </c>
    </row>
    <row r="603">
      <c r="A603" s="58" t="str">
        <f>IFERROR(__xludf.DUMMYFUNCTION("""COMPUTED_VALUE"""),"PLAN DE CAPACITACIÓN EN SEGURIDAD INDUSTRIAL PARA LA EMPRESA EMBOL S.A.")</f>
        <v>PLAN DE CAPACITACIÓN EN SEGURIDAD INDUSTRIAL PARA LA EMPRESA EMBOL S.A.</v>
      </c>
      <c r="B603" s="58">
        <f>IFERROR(__xludf.DUMMYFUNCTION("""COMPUTED_VALUE"""),2.0)</f>
        <v>2</v>
      </c>
    </row>
    <row r="604">
      <c r="A604" s="58" t="str">
        <f>IFERROR(__xludf.DUMMYFUNCTION("""COMPUTED_VALUE"""),"PLAN DE CAPACITACIÓN EN SEGURIDAD INDUSTRIAL Y SALUD OCUPACIONAL PARA LA CURTIEMBRE TOMY LLDA.")</f>
        <v>PLAN DE CAPACITACIÓN EN SEGURIDAD INDUSTRIAL Y SALUD OCUPACIONAL PARA LA CURTIEMBRE TOMY LLDA.</v>
      </c>
      <c r="B604" s="58">
        <f>IFERROR(__xludf.DUMMYFUNCTION("""COMPUTED_VALUE"""),1.0)</f>
        <v>1</v>
      </c>
    </row>
    <row r="605">
      <c r="A605" s="58" t="str">
        <f>IFERROR(__xludf.DUMMYFUNCTION("""COMPUTED_VALUE"""),"PLAN DE DESARROLLO ACADÉMICO DE LA CARRERA DE INGENIERÍA ELECTROMECÁNICA 2019 – 2023")</f>
        <v>PLAN DE DESARROLLO ACADÉMICO DE LA CARRERA DE INGENIERÍA ELECTROMECÁNICA 2019 – 2023</v>
      </c>
      <c r="B605" s="58">
        <f>IFERROR(__xludf.DUMMYFUNCTION("""COMPUTED_VALUE"""),10.0)</f>
        <v>10</v>
      </c>
    </row>
    <row r="606">
      <c r="A606" s="58" t="str">
        <f>IFERROR(__xludf.DUMMYFUNCTION("""COMPUTED_VALUE"""),"PLAN DE EMERGENCIAS Y CONTINGENCIAS EN LA COMPAÑÍA PAPELERA MENDOZA “COPELME S.A.")</f>
        <v>PLAN DE EMERGENCIAS Y CONTINGENCIAS EN LA COMPAÑÍA PAPELERA MENDOZA “COPELME S.A.</v>
      </c>
      <c r="B606" s="58">
        <f>IFERROR(__xludf.DUMMYFUNCTION("""COMPUTED_VALUE"""),8.0)</f>
        <v>8</v>
      </c>
    </row>
    <row r="607">
      <c r="A607" s="58" t="str">
        <f>IFERROR(__xludf.DUMMYFUNCTION("""COMPUTED_VALUE"""),"PLAN DE GESTIÓN DE PROCESOS PARA EL DISEÑO DE UN SISTEMA ENFOCADO A LA TRIPLE HÉLICE DEL CLÚSTER DE ALIMENTOS COCHABAMBA")</f>
        <v>PLAN DE GESTIÓN DE PROCESOS PARA EL DISEÑO DE UN SISTEMA ENFOCADO A LA TRIPLE HÉLICE DEL CLÚSTER DE ALIMENTOS COCHABAMBA</v>
      </c>
      <c r="B607" s="58">
        <f>IFERROR(__xludf.DUMMYFUNCTION("""COMPUTED_VALUE"""),6.0)</f>
        <v>6</v>
      </c>
    </row>
    <row r="608">
      <c r="A608" s="58" t="str">
        <f>IFERROR(__xludf.DUMMYFUNCTION("""COMPUTED_VALUE"""),"PLAN DE GESTIÓN EN SEGURIDAD E HIGIENE OCUPACIONAL PARA EL FONDO DE LA COMUNIDAD S.A. FFP")</f>
        <v>PLAN DE GESTIÓN EN SEGURIDAD E HIGIENE OCUPACIONAL PARA EL FONDO DE LA COMUNIDAD S.A. FFP</v>
      </c>
      <c r="B608" s="58">
        <f>IFERROR(__xludf.DUMMYFUNCTION("""COMPUTED_VALUE"""),2.0)</f>
        <v>2</v>
      </c>
    </row>
    <row r="609">
      <c r="A609" s="58" t="str">
        <f>IFERROR(__xludf.DUMMYFUNCTION("""COMPUTED_VALUE"""),"PLAN DE HIGIENE, SEGURIDAD OCUPACIONAL, BIENESTAR E IMPACTO AMBIENTAL DE LA PLANTA DE TRATAMIENTO DE AGUAS RESIDUALES ALBA RANCHO - SEMAPA.")</f>
        <v>PLAN DE HIGIENE, SEGURIDAD OCUPACIONAL, BIENESTAR E IMPACTO AMBIENTAL DE LA PLANTA DE TRATAMIENTO DE AGUAS RESIDUALES ALBA RANCHO - SEMAPA.</v>
      </c>
      <c r="B609" s="58">
        <f>IFERROR(__xludf.DUMMYFUNCTION("""COMPUTED_VALUE"""),3.0)</f>
        <v>3</v>
      </c>
    </row>
    <row r="610">
      <c r="A610" s="58" t="str">
        <f>IFERROR(__xludf.DUMMYFUNCTION("""COMPUTED_VALUE"""),"PLAN DE MARKETING PARA LA COMERCIALIZACIÓN DE PASTA DE PALMITO CASO: AGROINDUSTRIAS DE LA SELVA S.R.L.")</f>
        <v>PLAN DE MARKETING PARA LA COMERCIALIZACIÓN DE PASTA DE PALMITO CASO: AGROINDUSTRIAS DE LA SELVA S.R.L.</v>
      </c>
      <c r="B610" s="58">
        <f>IFERROR(__xludf.DUMMYFUNCTION("""COMPUTED_VALUE"""),5.0)</f>
        <v>5</v>
      </c>
    </row>
    <row r="611">
      <c r="A611" s="58" t="str">
        <f>IFERROR(__xludf.DUMMYFUNCTION("""COMPUTED_VALUE"""),"PLAN DE MARKETING PARA LA DISTRIBUCIÓN DE PRODUCTOS POR EL CANAL TIENDAS DE BARRIO (T.A.T). CASO: EMPRESA HANSA LTDA.")</f>
        <v>PLAN DE MARKETING PARA LA DISTRIBUCIÓN DE PRODUCTOS POR EL CANAL TIENDAS DE BARRIO (T.A.T). CASO: EMPRESA HANSA LTDA.</v>
      </c>
      <c r="B611" s="58">
        <f>IFERROR(__xludf.DUMMYFUNCTION("""COMPUTED_VALUE"""),1.0)</f>
        <v>1</v>
      </c>
    </row>
    <row r="612">
      <c r="A612" s="58" t="str">
        <f>IFERROR(__xludf.DUMMYFUNCTION("""COMPUTED_VALUE"""),"PLAN DE MARKETING PARA LA EMPRESA EL ELYON")</f>
        <v>PLAN DE MARKETING PARA LA EMPRESA EL ELYON</v>
      </c>
      <c r="B612" s="58">
        <f>IFERROR(__xludf.DUMMYFUNCTION("""COMPUTED_VALUE"""),2.0)</f>
        <v>2</v>
      </c>
    </row>
    <row r="613">
      <c r="A613" s="58" t="str">
        <f>IFERROR(__xludf.DUMMYFUNCTION("""COMPUTED_VALUE"""),"PLAN DE MEJORAMIENTO DE LA PRODUCTIVIDAD APLICANDO LAS HERRAMIENTAS DEL JUSTO A TIEMPO EN LA PRODUCCIÓN DE BALONES DE FÚTBOL PARA LA FÁBRICA DE BALONES LITORAL")</f>
        <v>PLAN DE MEJORAMIENTO DE LA PRODUCTIVIDAD APLICANDO LAS HERRAMIENTAS DEL JUSTO A TIEMPO EN LA PRODUCCIÓN DE BALONES DE FÚTBOL PARA LA FÁBRICA DE BALONES LITORAL</v>
      </c>
      <c r="B613" s="58">
        <f>IFERROR(__xludf.DUMMYFUNCTION("""COMPUTED_VALUE"""),5.0)</f>
        <v>5</v>
      </c>
    </row>
    <row r="614">
      <c r="A614" s="58" t="str">
        <f>IFERROR(__xludf.DUMMYFUNCTION("""COMPUTED_VALUE"""),"PLAN DE MEJORAMIENTO DE LOS PROCESOS DE CARGA Y ENCOMIENDA, VENTA DE PASAJES Y MANTENIMIENTO DE LOS BUSES DE LA EMPRESA “TRANS COPACABANA S.A.")</f>
        <v>PLAN DE MEJORAMIENTO DE LOS PROCESOS DE CARGA Y ENCOMIENDA, VENTA DE PASAJES Y MANTENIMIENTO DE LOS BUSES DE LA EMPRESA “TRANS COPACABANA S.A.</v>
      </c>
      <c r="B614" s="58">
        <f>IFERROR(__xludf.DUMMYFUNCTION("""COMPUTED_VALUE"""),2.0)</f>
        <v>2</v>
      </c>
    </row>
    <row r="615">
      <c r="A615" s="58" t="str">
        <f>IFERROR(__xludf.DUMMYFUNCTION("""COMPUTED_VALUE"""),"PLAN DE MEJORAMIENTO DEL ÁREA DE PRODUCCIÓN PARA LA EMPRESA METAL MECÁNICA ÁLVAREZ.")</f>
        <v>PLAN DE MEJORAMIENTO DEL ÁREA DE PRODUCCIÓN PARA LA EMPRESA METAL MECÁNICA ÁLVAREZ.</v>
      </c>
      <c r="B615" s="58">
        <f>IFERROR(__xludf.DUMMYFUNCTION("""COMPUTED_VALUE"""),4.0)</f>
        <v>4</v>
      </c>
    </row>
    <row r="616">
      <c r="A616" s="58" t="str">
        <f>IFERROR(__xludf.DUMMYFUNCTION("""COMPUTED_VALUE"""),"PLAN DE MEJORAMIENTO EN LAS ÁREAS DE PRODUCCIÓN Y COMERCIALIZACIÓN CON UN ENFOQUE ESTRATÉGICO PARA LA EMPRESA QUALITECH SRL.")</f>
        <v>PLAN DE MEJORAMIENTO EN LAS ÁREAS DE PRODUCCIÓN Y COMERCIALIZACIÓN CON UN ENFOQUE ESTRATÉGICO PARA LA EMPRESA QUALITECH SRL.</v>
      </c>
      <c r="B616" s="58">
        <f>IFERROR(__xludf.DUMMYFUNCTION("""COMPUTED_VALUE"""),3.0)</f>
        <v>3</v>
      </c>
    </row>
    <row r="617">
      <c r="A617" s="58" t="str">
        <f>IFERROR(__xludf.DUMMYFUNCTION("""COMPUTED_VALUE"""),"PLAN DE MINIMIZACIÓN DE RIESGOS EN LAS ÁREAS DE REDES AÉREAS Y SUBTERRÁNEAS Y FIBRA ÓPTICA PARA COMTECO LTDA.")</f>
        <v>PLAN DE MINIMIZACIÓN DE RIESGOS EN LAS ÁREAS DE REDES AÉREAS Y SUBTERRÁNEAS Y FIBRA ÓPTICA PARA COMTECO LTDA.</v>
      </c>
      <c r="B617" s="58">
        <f>IFERROR(__xludf.DUMMYFUNCTION("""COMPUTED_VALUE"""),1.0)</f>
        <v>1</v>
      </c>
    </row>
    <row r="618">
      <c r="A618" s="58" t="str">
        <f>IFERROR(__xludf.DUMMYFUNCTION("""COMPUTED_VALUE"""),"PLAN DE MODERNIZACIÓN DE LA PANADERÍA QUIROZ")</f>
        <v>PLAN DE MODERNIZACIÓN DE LA PANADERÍA QUIROZ</v>
      </c>
      <c r="B618" s="58">
        <f>IFERROR(__xludf.DUMMYFUNCTION("""COMPUTED_VALUE"""),5.0)</f>
        <v>5</v>
      </c>
    </row>
    <row r="619">
      <c r="A619" s="58" t="str">
        <f>IFERROR(__xludf.DUMMYFUNCTION("""COMPUTED_VALUE"""),"PLAN DE NEGOCIOS - CONSULTORA LUIZAGA")</f>
        <v>PLAN DE NEGOCIOS - CONSULTORA LUIZAGA</v>
      </c>
      <c r="B619" s="58">
        <f>IFERROR(__xludf.DUMMYFUNCTION("""COMPUTED_VALUE"""),6.0)</f>
        <v>6</v>
      </c>
    </row>
    <row r="620">
      <c r="A620" s="58" t="str">
        <f>IFERROR(__xludf.DUMMYFUNCTION("""COMPUTED_VALUE"""),"PLAN DE NEGOCIOS PARA EL DESARROLLO Y POSICIONAMIENTO DE LA EMPRESA PRODUCTORA DE SAL “SAN JOAQUÍN”.")</f>
        <v>PLAN DE NEGOCIOS PARA EL DESARROLLO Y POSICIONAMIENTO DE LA EMPRESA PRODUCTORA DE SAL “SAN JOAQUÍN”.</v>
      </c>
      <c r="B620" s="58">
        <f>IFERROR(__xludf.DUMMYFUNCTION("""COMPUTED_VALUE"""),2.0)</f>
        <v>2</v>
      </c>
    </row>
    <row r="621">
      <c r="A621" s="58" t="str">
        <f>IFERROR(__xludf.DUMMYFUNCTION("""COMPUTED_VALUE"""),"PLAN DE NEGOCIOS PARA EL JUGO DE CAMU CAMU")</f>
        <v>PLAN DE NEGOCIOS PARA EL JUGO DE CAMU CAMU</v>
      </c>
      <c r="B621" s="58">
        <f>IFERROR(__xludf.DUMMYFUNCTION("""COMPUTED_VALUE"""),1.0)</f>
        <v>1</v>
      </c>
    </row>
    <row r="622">
      <c r="A622" s="58" t="str">
        <f>IFERROR(__xludf.DUMMYFUNCTION("""COMPUTED_VALUE"""),"PLAN DE NEGOCIOS PARA LA AMPLIACION DE SERVICIOS DE REPARACION Y           MANTENIMIENTO DE EQUIPOS ELECTRONICOS Y DIGITALES DEL HOGAR PARA LA EMPRESA SISTEC (SISTEMAS TÉCNICOS ELÉCTRICOS).")</f>
        <v>PLAN DE NEGOCIOS PARA LA AMPLIACION DE SERVICIOS DE REPARACION Y           MANTENIMIENTO DE EQUIPOS ELECTRONICOS Y DIGITALES DEL HOGAR PARA LA EMPRESA SISTEC (SISTEMAS TÉCNICOS ELÉCTRICOS).</v>
      </c>
      <c r="B622" s="58">
        <f>IFERROR(__xludf.DUMMYFUNCTION("""COMPUTED_VALUE"""),1.0)</f>
        <v>1</v>
      </c>
    </row>
    <row r="623">
      <c r="A623" s="58" t="str">
        <f>IFERROR(__xludf.DUMMYFUNCTION("""COMPUTED_VALUE"""),"PLAN DE NEGOCIOS PARA LA EMPRESA GESMAQ – GESTIÓN DE SOLUCIONES EN MAQUINARIA")</f>
        <v>PLAN DE NEGOCIOS PARA LA EMPRESA GESMAQ – GESTIÓN DE SOLUCIONES EN MAQUINARIA</v>
      </c>
      <c r="B623" s="58">
        <f>IFERROR(__xludf.DUMMYFUNCTION("""COMPUTED_VALUE"""),1.0)</f>
        <v>1</v>
      </c>
    </row>
    <row r="624">
      <c r="A624" s="58" t="str">
        <f>IFERROR(__xludf.DUMMYFUNCTION("""COMPUTED_VALUE"""),"PLAN DE NEGOCIOS PARA LA FACTIBILIDAD DE UNA LÍNEA DE REFRESCOS EN BASE A TÉ VERDE PARA LA EMPRESA PATUJÚ DEL CLÚSTER DE ALIMENTOS")</f>
        <v>PLAN DE NEGOCIOS PARA LA FACTIBILIDAD DE UNA LÍNEA DE REFRESCOS EN BASE A TÉ VERDE PARA LA EMPRESA PATUJÚ DEL CLÚSTER DE ALIMENTOS</v>
      </c>
      <c r="B624" s="58">
        <f>IFERROR(__xludf.DUMMYFUNCTION("""COMPUTED_VALUE"""),1.0)</f>
        <v>1</v>
      </c>
    </row>
    <row r="625">
      <c r="A625" s="58" t="str">
        <f>IFERROR(__xludf.DUMMYFUNCTION("""COMPUTED_VALUE"""),"PLAN DE PREVENCIÓN DE RIESGOS LABORALES BASADO EN UN MAPA DE RIESGOS PARA LA DIVISIÓN DE PLANTA INTERNA EN COMTECO LTDA.")</f>
        <v>PLAN DE PREVENCIÓN DE RIESGOS LABORALES BASADO EN UN MAPA DE RIESGOS PARA LA DIVISIÓN DE PLANTA INTERNA EN COMTECO LTDA.</v>
      </c>
      <c r="B625" s="58">
        <f>IFERROR(__xludf.DUMMYFUNCTION("""COMPUTED_VALUE"""),1.0)</f>
        <v>1</v>
      </c>
    </row>
    <row r="626">
      <c r="A626" s="58" t="str">
        <f>IFERROR(__xludf.DUMMYFUNCTION("""COMPUTED_VALUE"""),"PLAN DE SANEAMIENTO BÁSICO Y DISEÑO DE UN SISTEMA DE BUENAS PRÁCTICAS DE MANUFACTURA PARA LA EMPRESA INPROFE (INDUSTRIA PROCESADORA DE FRUTA EXÓTICA)")</f>
        <v>PLAN DE SANEAMIENTO BÁSICO Y DISEÑO DE UN SISTEMA DE BUENAS PRÁCTICAS DE MANUFACTURA PARA LA EMPRESA INPROFE (INDUSTRIA PROCESADORA DE FRUTA EXÓTICA)</v>
      </c>
      <c r="B626" s="58">
        <f>IFERROR(__xludf.DUMMYFUNCTION("""COMPUTED_VALUE"""),1.0)</f>
        <v>1</v>
      </c>
    </row>
    <row r="627">
      <c r="A627" s="58" t="str">
        <f>IFERROR(__xludf.DUMMYFUNCTION("""COMPUTED_VALUE"""),"PLAN DE SEGURIDAD E HIGIENE INDUSTRIAL PARA
COBOCE-CERAMIL")</f>
        <v>PLAN DE SEGURIDAD E HIGIENE INDUSTRIAL PARA
COBOCE-CERAMIL</v>
      </c>
      <c r="B627" s="58">
        <f>IFERROR(__xludf.DUMMYFUNCTION("""COMPUTED_VALUE"""),1.0)</f>
        <v>1</v>
      </c>
    </row>
    <row r="628">
      <c r="A628" s="58" t="str">
        <f>IFERROR(__xludf.DUMMYFUNCTION("""COMPUTED_VALUE"""),"PLAN DE SEGURIDAD E HIGIENE INDUSTRIAL PARA COBOCE - CERAMIL")</f>
        <v>PLAN DE SEGURIDAD E HIGIENE INDUSTRIAL PARA COBOCE - CERAMIL</v>
      </c>
      <c r="B628" s="58">
        <f>IFERROR(__xludf.DUMMYFUNCTION("""COMPUTED_VALUE"""),7.0)</f>
        <v>7</v>
      </c>
    </row>
    <row r="629">
      <c r="A629" s="58" t="str">
        <f>IFERROR(__xludf.DUMMYFUNCTION("""COMPUTED_VALUE"""),"PLAN DE SEGURIDAD E HIGIENE INDUSTRIAL PARA EL TALLER DE ZAPATOS SENZANO")</f>
        <v>PLAN DE SEGURIDAD E HIGIENE INDUSTRIAL PARA EL TALLER DE ZAPATOS SENZANO</v>
      </c>
      <c r="B629" s="58">
        <f>IFERROR(__xludf.DUMMYFUNCTION("""COMPUTED_VALUE"""),1.0)</f>
        <v>1</v>
      </c>
    </row>
    <row r="630">
      <c r="A630" s="58" t="str">
        <f>IFERROR(__xludf.DUMMYFUNCTION("""COMPUTED_VALUE"""),"PLAN DE SEGURIDAD E HIGIENE INDUSTRIAL PARA LA CARPINTERÍA LYRAKI")</f>
        <v>PLAN DE SEGURIDAD E HIGIENE INDUSTRIAL PARA LA CARPINTERÍA LYRAKI</v>
      </c>
      <c r="B630" s="58">
        <f>IFERROR(__xludf.DUMMYFUNCTION("""COMPUTED_VALUE"""),1.0)</f>
        <v>1</v>
      </c>
    </row>
    <row r="631">
      <c r="A631" s="58" t="str">
        <f>IFERROR(__xludf.DUMMYFUNCTION("""COMPUTED_VALUE"""),"PLAN DE SEGURIDAD E HIGIENE INDUSTRIAL PARA LA CENTRAL DE ESTERILIZACIÓN DEL HOSPITAL MATERNO INFANTIL GERMÁN URQUIDI")</f>
        <v>PLAN DE SEGURIDAD E HIGIENE INDUSTRIAL PARA LA CENTRAL DE ESTERILIZACIÓN DEL HOSPITAL MATERNO INFANTIL GERMÁN URQUIDI</v>
      </c>
      <c r="B631" s="58">
        <f>IFERROR(__xludf.DUMMYFUNCTION("""COMPUTED_VALUE"""),1.0)</f>
        <v>1</v>
      </c>
    </row>
    <row r="632">
      <c r="A632" s="58" t="str">
        <f>IFERROR(__xludf.DUMMYFUNCTION("""COMPUTED_VALUE"""),"PLAN DE SEGURIDAD E HIGIENE INDUSTRIAL PARA LA EMPRESA DE PLÁSTICOS INALPLAS S.R.L.")</f>
        <v>PLAN DE SEGURIDAD E HIGIENE INDUSTRIAL PARA LA EMPRESA DE PLÁSTICOS INALPLAS S.R.L.</v>
      </c>
      <c r="B632" s="58">
        <f>IFERROR(__xludf.DUMMYFUNCTION("""COMPUTED_VALUE"""),3.0)</f>
        <v>3</v>
      </c>
    </row>
    <row r="633">
      <c r="A633" s="58" t="str">
        <f>IFERROR(__xludf.DUMMYFUNCTION("""COMPUTED_VALUE"""),"PLAN DE SEGURIDAD E HIGIENE INDUSTRIAL PARA LA FABRICA DE PLÁSTICOS F+E LTDA.")</f>
        <v>PLAN DE SEGURIDAD E HIGIENE INDUSTRIAL PARA LA FABRICA DE PLÁSTICOS F+E LTDA.</v>
      </c>
      <c r="B633" s="58">
        <f>IFERROR(__xludf.DUMMYFUNCTION("""COMPUTED_VALUE"""),1.0)</f>
        <v>1</v>
      </c>
    </row>
    <row r="634">
      <c r="A634" s="58" t="str">
        <f>IFERROR(__xludf.DUMMYFUNCTION("""COMPUTED_VALUE"""),"PLAN DE SEGURIDAD E HIGIENE INDUSTRIAL PARA LA FÁBRICA DE PLÁSTICOS DERQUI S.R.L.")</f>
        <v>PLAN DE SEGURIDAD E HIGIENE INDUSTRIAL PARA LA FÁBRICA DE PLÁSTICOS DERQUI S.R.L.</v>
      </c>
      <c r="B634" s="58">
        <f>IFERROR(__xludf.DUMMYFUNCTION("""COMPUTED_VALUE"""),10.0)</f>
        <v>10</v>
      </c>
    </row>
    <row r="635">
      <c r="A635" s="58" t="str">
        <f>IFERROR(__xludf.DUMMYFUNCTION("""COMPUTED_VALUE"""),"PLAN DE SEGURIDAD E HIGIENE INDUSTRIAL Y BUENAS PRÁCTICAS DE MANUFACTURA")</f>
        <v>PLAN DE SEGURIDAD E HIGIENE INDUSTRIAL Y BUENAS PRÁCTICAS DE MANUFACTURA</v>
      </c>
      <c r="B635" s="58">
        <f>IFERROR(__xludf.DUMMYFUNCTION("""COMPUTED_VALUE"""),1.0)</f>
        <v>1</v>
      </c>
    </row>
    <row r="636">
      <c r="A636" s="58" t="str">
        <f>IFERROR(__xludf.DUMMYFUNCTION("""COMPUTED_VALUE"""),"PLAN DE SEGURIDAD E HIGIENE OCUPACIONAL PARA LA CONSTRUCTORA “ROWCOR”")</f>
        <v>PLAN DE SEGURIDAD E HIGIENE OCUPACIONAL PARA LA CONSTRUCTORA “ROWCOR”</v>
      </c>
      <c r="B636" s="58">
        <f>IFERROR(__xludf.DUMMYFUNCTION("""COMPUTED_VALUE"""),9.0)</f>
        <v>9</v>
      </c>
    </row>
    <row r="637">
      <c r="A637" s="58" t="str">
        <f>IFERROR(__xludf.DUMMYFUNCTION("""COMPUTED_VALUE"""),"PLAN DE SEGURIDAD E HIGIENE OCUPACIONAL PARA LA EMPRESA CONSTRUCTORA TÉCNICA ARANIBAR GARCÍA S.R.L.")</f>
        <v>PLAN DE SEGURIDAD E HIGIENE OCUPACIONAL PARA LA EMPRESA CONSTRUCTORA TÉCNICA ARANIBAR GARCÍA S.R.L.</v>
      </c>
      <c r="B637" s="58">
        <f>IFERROR(__xludf.DUMMYFUNCTION("""COMPUTED_VALUE"""),2.0)</f>
        <v>2</v>
      </c>
    </row>
    <row r="638">
      <c r="A638" s="58" t="str">
        <f>IFERROR(__xludf.DUMMYFUNCTION("""COMPUTED_VALUE"""),"PLAN DE SEGURIDAD E HIGIENE OCUPACIONAL PARA LA EMPRESA SATELICAR LOGÍSTICA Y SERVICIOS S.A.")</f>
        <v>PLAN DE SEGURIDAD E HIGIENE OCUPACIONAL PARA LA EMPRESA SATELICAR LOGÍSTICA Y SERVICIOS S.A.</v>
      </c>
      <c r="B638" s="58">
        <f>IFERROR(__xludf.DUMMYFUNCTION("""COMPUTED_VALUE"""),1.0)</f>
        <v>1</v>
      </c>
    </row>
    <row r="639">
      <c r="A639" s="58" t="str">
        <f>IFERROR(__xludf.DUMMYFUNCTION("""COMPUTED_VALUE"""),"PLAN DE SEGURIDAD INDUSTRIAL E HIGIENE OCUPACIONAL PARA LA CONSTRUCTORA COSSIO")</f>
        <v>PLAN DE SEGURIDAD INDUSTRIAL E HIGIENE OCUPACIONAL PARA LA CONSTRUCTORA COSSIO</v>
      </c>
      <c r="B639" s="58">
        <f>IFERROR(__xludf.DUMMYFUNCTION("""COMPUTED_VALUE"""),4.0)</f>
        <v>4</v>
      </c>
    </row>
    <row r="640">
      <c r="A640" s="58" t="str">
        <f>IFERROR(__xludf.DUMMYFUNCTION("""COMPUTED_VALUE"""),"PLAN DE SEGURIDAD INDUSTRIAL E HIGIENE OCUPACIONAL PARA LA CURTIEMBRE F.M.")</f>
        <v>PLAN DE SEGURIDAD INDUSTRIAL E HIGIENE OCUPACIONAL PARA LA CURTIEMBRE F.M.</v>
      </c>
      <c r="B640" s="58">
        <f>IFERROR(__xludf.DUMMYFUNCTION("""COMPUTED_VALUE"""),2.0)</f>
        <v>2</v>
      </c>
    </row>
    <row r="641">
      <c r="A641" s="58" t="str">
        <f>IFERROR(__xludf.DUMMYFUNCTION("""COMPUTED_VALUE"""),"PLAN DE SEGURIDAD INDUSTRIAL E HIGIENE OCUPACIONAL PARA LA EMBOTELLADORA CASCADA S.A.")</f>
        <v>PLAN DE SEGURIDAD INDUSTRIAL E HIGIENE OCUPACIONAL PARA LA EMBOTELLADORA CASCADA S.A.</v>
      </c>
      <c r="B641" s="58">
        <f>IFERROR(__xludf.DUMMYFUNCTION("""COMPUTED_VALUE"""),2.0)</f>
        <v>2</v>
      </c>
    </row>
    <row r="642">
      <c r="A642" s="58" t="str">
        <f>IFERROR(__xludf.DUMMYFUNCTION("""COMPUTED_VALUE"""),"PLAN DE SEGURIDAD INDUSTRIAL E HIGIENE OCUPACIONAL PARA LA EMPRESA AMIPROCAL")</f>
        <v>PLAN DE SEGURIDAD INDUSTRIAL E HIGIENE OCUPACIONAL PARA LA EMPRESA AMIPROCAL</v>
      </c>
      <c r="B642" s="58">
        <f>IFERROR(__xludf.DUMMYFUNCTION("""COMPUTED_VALUE"""),1.0)</f>
        <v>1</v>
      </c>
    </row>
    <row r="643">
      <c r="A643" s="58" t="str">
        <f>IFERROR(__xludf.DUMMYFUNCTION("""COMPUTED_VALUE"""),"PLAN DE SEGURIDAD INDUSTRIAL E HIGIENE OCUPACIONAL PARA LA EMPRESA DE PLASTICOS ECOPLASTIC S.R.L.”.")</f>
        <v>PLAN DE SEGURIDAD INDUSTRIAL E HIGIENE OCUPACIONAL PARA LA EMPRESA DE PLASTICOS ECOPLASTIC S.R.L.”.</v>
      </c>
      <c r="B643" s="58">
        <f>IFERROR(__xludf.DUMMYFUNCTION("""COMPUTED_VALUE"""),5.0)</f>
        <v>5</v>
      </c>
    </row>
    <row r="644">
      <c r="A644" s="58" t="str">
        <f>IFERROR(__xludf.DUMMYFUNCTION("""COMPUTED_VALUE"""),"PLAN DE SEGURIDAD INDUSTRIAL E HIGIENE OCUPACIONAL PARA LA FÁBRICA DE PRODUCTOS DE PLÁSTICO ALCÓCER S.R.L.")</f>
        <v>PLAN DE SEGURIDAD INDUSTRIAL E HIGIENE OCUPACIONAL PARA LA FÁBRICA DE PRODUCTOS DE PLÁSTICO ALCÓCER S.R.L.</v>
      </c>
      <c r="B644" s="58">
        <f>IFERROR(__xludf.DUMMYFUNCTION("""COMPUTED_VALUE"""),1.0)</f>
        <v>1</v>
      </c>
    </row>
    <row r="645">
      <c r="A645" s="58" t="str">
        <f>IFERROR(__xludf.DUMMYFUNCTION("""COMPUTED_VALUE"""),"PLAN DE SEGURIDAD INDUSTRIAL PARA EL COLEGIO AGUA VIVA DE ROCA")</f>
        <v>PLAN DE SEGURIDAD INDUSTRIAL PARA EL COLEGIO AGUA VIVA DE ROCA</v>
      </c>
      <c r="B645" s="58">
        <f>IFERROR(__xludf.DUMMYFUNCTION("""COMPUTED_VALUE"""),3.0)</f>
        <v>3</v>
      </c>
    </row>
    <row r="646">
      <c r="A646" s="58" t="str">
        <f>IFERROR(__xludf.DUMMYFUNCTION("""COMPUTED_VALUE"""),"PLAN DE SEGURIDAD INDUSTRIAL Y SALUD EN EL TRABAJO PARA LA EMPRESA
“CONSTRUCTORA WIFERA S.R.L”
SEGÚN NORMA ISO 45001:2016
DE LA CIUDAD DE COCHABAMBA")</f>
        <v>PLAN DE SEGURIDAD INDUSTRIAL Y SALUD EN EL TRABAJO PARA LA EMPRESA
“CONSTRUCTORA WIFERA S.R.L”
SEGÚN NORMA ISO 45001:2016
DE LA CIUDAD DE COCHABAMBA</v>
      </c>
      <c r="B646" s="58">
        <f>IFERROR(__xludf.DUMMYFUNCTION("""COMPUTED_VALUE"""),1.0)</f>
        <v>1</v>
      </c>
    </row>
    <row r="647">
      <c r="A647" s="58" t="str">
        <f>IFERROR(__xludf.DUMMYFUNCTION("""COMPUTED_VALUE"""),"PLAN DE SEGURIDAD INDUSTRIAL Y SALUD EN EL TRABAJO PARA LA EMPRESA CONSTRUCTORA WIFERA S.R.L SEGÚN LA NORMA ISO 45001:2016 DE LA CIUDAD DE COCHABAMBA")</f>
        <v>PLAN DE SEGURIDAD INDUSTRIAL Y SALUD EN EL TRABAJO PARA LA EMPRESA CONSTRUCTORA WIFERA S.R.L SEGÚN LA NORMA ISO 45001:2016 DE LA CIUDAD DE COCHABAMBA</v>
      </c>
      <c r="B647" s="58">
        <f>IFERROR(__xludf.DUMMYFUNCTION("""COMPUTED_VALUE"""),13.0)</f>
        <v>13</v>
      </c>
    </row>
    <row r="648">
      <c r="A648" s="58" t="str">
        <f>IFERROR(__xludf.DUMMYFUNCTION("""COMPUTED_VALUE"""),"PLAN DE SEGURIDAD INDUSTRIAL Y SALUD OCUPACIONAL PARA LA CURTIEMBRE SAN ANTONIO PUNATA")</f>
        <v>PLAN DE SEGURIDAD INDUSTRIAL Y SALUD OCUPACIONAL PARA LA CURTIEMBRE SAN ANTONIO PUNATA</v>
      </c>
      <c r="B648" s="58">
        <f>IFERROR(__xludf.DUMMYFUNCTION("""COMPUTED_VALUE"""),4.0)</f>
        <v>4</v>
      </c>
    </row>
    <row r="649">
      <c r="A649" s="58" t="str">
        <f>IFERROR(__xludf.DUMMYFUNCTION("""COMPUTED_VALUE"""),"PLAN DE SEGURIDAD INDUSTRIAL Y SALUD OCUPACIONAL PARA LA EMPRESA METAL MECÁNICA MARQUEZ")</f>
        <v>PLAN DE SEGURIDAD INDUSTRIAL Y SALUD OCUPACIONAL PARA LA EMPRESA METAL MECÁNICA MARQUEZ</v>
      </c>
      <c r="B649" s="58">
        <f>IFERROR(__xludf.DUMMYFUNCTION("""COMPUTED_VALUE"""),1.0)</f>
        <v>1</v>
      </c>
    </row>
    <row r="650">
      <c r="A650" s="58" t="str">
        <f>IFERROR(__xludf.DUMMYFUNCTION("""COMPUTED_VALUE"""),"PLAN DE SEGURIDAD INDUSTRIAL Y SALUD OCUPACIONAL PARA LA INDUSTRIA FACER S.R.L. EN EL MARCO DEL DECRETO LEY 16998")</f>
        <v>PLAN DE SEGURIDAD INDUSTRIAL Y SALUD OCUPACIONAL PARA LA INDUSTRIA FACER S.R.L. EN EL MARCO DEL DECRETO LEY 16998</v>
      </c>
      <c r="B650" s="58">
        <f>IFERROR(__xludf.DUMMYFUNCTION("""COMPUTED_VALUE"""),8.0)</f>
        <v>8</v>
      </c>
    </row>
    <row r="651">
      <c r="A651" s="58" t="str">
        <f>IFERROR(__xludf.DUMMYFUNCTION("""COMPUTED_VALUE"""),"PLAN DE SEGURIDAD INDUSTRIAL, SALUD E HIGIENE OCUPACIONAL Y GESTIÓN MEDIO AMBIENTAL PARA LA “CURTIEMBRE JAZMÍN”")</f>
        <v>PLAN DE SEGURIDAD INDUSTRIAL, SALUD E HIGIENE OCUPACIONAL Y GESTIÓN MEDIO AMBIENTAL PARA LA “CURTIEMBRE JAZMÍN”</v>
      </c>
      <c r="B651" s="58">
        <f>IFERROR(__xludf.DUMMYFUNCTION("""COMPUTED_VALUE"""),1.0)</f>
        <v>1</v>
      </c>
    </row>
    <row r="652">
      <c r="A652" s="58" t="str">
        <f>IFERROR(__xludf.DUMMYFUNCTION("""COMPUTED_VALUE"""),"PLAN DE SEGURIDAD Y SALUD OCUPACIONAL PARA LA EMPRESA FLORALEX")</f>
        <v>PLAN DE SEGURIDAD Y SALUD OCUPACIONAL PARA LA EMPRESA FLORALEX</v>
      </c>
      <c r="B652" s="58">
        <f>IFERROR(__xludf.DUMMYFUNCTION("""COMPUTED_VALUE"""),2.0)</f>
        <v>2</v>
      </c>
    </row>
    <row r="653">
      <c r="A653" s="58" t="str">
        <f>IFERROR(__xludf.DUMMYFUNCTION("""COMPUTED_VALUE"""),"PLAN DE SEGURIDAD Y SALUD OCUPACIONAL PARA LA EMPRESA “EL SOL” BASADO EN LA NORMA OHSAS 18001:2008")</f>
        <v>PLAN DE SEGURIDAD Y SALUD OCUPACIONAL PARA LA EMPRESA “EL SOL” BASADO EN LA NORMA OHSAS 18001:2008</v>
      </c>
      <c r="B653" s="58">
        <f>IFERROR(__xludf.DUMMYFUNCTION("""COMPUTED_VALUE"""),1.0)</f>
        <v>1</v>
      </c>
    </row>
    <row r="654">
      <c r="A654" s="58" t="str">
        <f>IFERROR(__xludf.DUMMYFUNCTION("""COMPUTED_VALUE"""),"PLAN DE SEGURIDAD Y SALUD OCUPACIONAL PARA LA INDUSTRIA DE MANEJO DE RESIDUOS “RX”")</f>
        <v>PLAN DE SEGURIDAD Y SALUD OCUPACIONAL PARA LA INDUSTRIA DE MANEJO DE RESIDUOS “RX”</v>
      </c>
      <c r="B654" s="58">
        <f>IFERROR(__xludf.DUMMYFUNCTION("""COMPUTED_VALUE"""),1.0)</f>
        <v>1</v>
      </c>
    </row>
    <row r="655">
      <c r="A655" s="58" t="str">
        <f>IFERROR(__xludf.DUMMYFUNCTION("""COMPUTED_VALUE"""),"PLAN ESTRATEGICO PARA LA FEDERACION DE LA MICRO Y PEQUEÑA EMPRESA (FEDEMYPE) DEL RUBRO TEXTIL Y CONFECCIONES DEL DEPARTAMENTO DE COCHABAMBA PARA LAS GESTIONES 2019- 2023.")</f>
        <v>PLAN ESTRATEGICO PARA LA FEDERACION DE LA MICRO Y PEQUEÑA EMPRESA (FEDEMYPE) DEL RUBRO TEXTIL Y CONFECCIONES DEL DEPARTAMENTO DE COCHABAMBA PARA LAS GESTIONES 2019- 2023.</v>
      </c>
      <c r="B655" s="58">
        <f>IFERROR(__xludf.DUMMYFUNCTION("""COMPUTED_VALUE"""),1.0)</f>
        <v>1</v>
      </c>
    </row>
    <row r="656">
      <c r="A656" s="58" t="str">
        <f>IFERROR(__xludf.DUMMYFUNCTION("""COMPUTED_VALUE"""),"PLAN ESTRATEGICO Y OPERATIVO PARA LA INICIATIVA DE INNOVACION EN LA INDUSTRIA DE PSEUDOCEREALES ANDINOS DESARROLLADA EN EL CAPN-UMSS")</f>
        <v>PLAN ESTRATEGICO Y OPERATIVO PARA LA INICIATIVA DE INNOVACION EN LA INDUSTRIA DE PSEUDOCEREALES ANDINOS DESARROLLADA EN EL CAPN-UMSS</v>
      </c>
      <c r="B656" s="58">
        <f>IFERROR(__xludf.DUMMYFUNCTION("""COMPUTED_VALUE"""),1.0)</f>
        <v>1</v>
      </c>
    </row>
    <row r="657">
      <c r="A657" s="58" t="str">
        <f>IFERROR(__xludf.DUMMYFUNCTION("""COMPUTED_VALUE"""),"PLAN ESTRATÉGICO DE DESARROLLO PARA LA CARRERA DE INGENIERÍA CIVIL DE LA UNIVERSIDAD MAYOR DE SAN SIMÓN")</f>
        <v>PLAN ESTRATÉGICO DE DESARROLLO PARA LA CARRERA DE INGENIERÍA CIVIL DE LA UNIVERSIDAD MAYOR DE SAN SIMÓN</v>
      </c>
      <c r="B657" s="58">
        <f>IFERROR(__xludf.DUMMYFUNCTION("""COMPUTED_VALUE"""),5.0)</f>
        <v>5</v>
      </c>
    </row>
    <row r="658">
      <c r="A658" s="58" t="str">
        <f>IFERROR(__xludf.DUMMYFUNCTION("""COMPUTED_VALUE"""),"PLAN ESTRATÉGICO DE DESARROLLO PARA LA CARRERA DE INGENIERÍA DE SISTEMAS DE LA FACULTAD DE CIENCIAS Y TECNOLOGÍA DE LA UNIVERSIDAD MAYOR DE SAN SIMÓN   2019-2023")</f>
        <v>PLAN ESTRATÉGICO DE DESARROLLO PARA LA CARRERA DE INGENIERÍA DE SISTEMAS DE LA FACULTAD DE CIENCIAS Y TECNOLOGÍA DE LA UNIVERSIDAD MAYOR DE SAN SIMÓN   2019-2023</v>
      </c>
      <c r="B658" s="58">
        <f>IFERROR(__xludf.DUMMYFUNCTION("""COMPUTED_VALUE"""),7.0)</f>
        <v>7</v>
      </c>
    </row>
    <row r="659">
      <c r="A659" s="58" t="str">
        <f>IFERROR(__xludf.DUMMYFUNCTION("""COMPUTED_VALUE"""),"PLAN ESTRATÉGICO DE LA EMPRESA EBANOR S.R.L.")</f>
        <v>PLAN ESTRATÉGICO DE LA EMPRESA EBANOR S.R.L.</v>
      </c>
      <c r="B659" s="58">
        <f>IFERROR(__xludf.DUMMYFUNCTION("""COMPUTED_VALUE"""),1.0)</f>
        <v>1</v>
      </c>
    </row>
    <row r="660">
      <c r="A660" s="58" t="str">
        <f>IFERROR(__xludf.DUMMYFUNCTION("""COMPUTED_VALUE"""),"PLAN ESTRATÉGICO DE MARKETING  PARA LA TIENDA DEL CLUSTER DE  ALIMENTOS COCHABAMBA DE LA UNIVERSIDAD MAYOR DE SAN SIMÓN")</f>
        <v>PLAN ESTRATÉGICO DE MARKETING  PARA LA TIENDA DEL CLUSTER DE  ALIMENTOS COCHABAMBA DE LA UNIVERSIDAD MAYOR DE SAN SIMÓN</v>
      </c>
      <c r="B660" s="58">
        <f>IFERROR(__xludf.DUMMYFUNCTION("""COMPUTED_VALUE"""),1.0)</f>
        <v>1</v>
      </c>
    </row>
    <row r="661">
      <c r="A661" s="58" t="str">
        <f>IFERROR(__xludf.DUMMYFUNCTION("""COMPUTED_VALUE"""),"PLAN ESTRATÉGICO DE MARKETING PARA EL CENTRO DE CAPACITACIÓN INTEGRAL PRONOIA S.R.L")</f>
        <v>PLAN ESTRATÉGICO DE MARKETING PARA EL CENTRO DE CAPACITACIÓN INTEGRAL PRONOIA S.R.L</v>
      </c>
      <c r="B661" s="58">
        <f>IFERROR(__xludf.DUMMYFUNCTION("""COMPUTED_VALUE"""),2.0)</f>
        <v>2</v>
      </c>
    </row>
    <row r="662">
      <c r="A662" s="58" t="str">
        <f>IFERROR(__xludf.DUMMYFUNCTION("""COMPUTED_VALUE"""),"PLAN ESTRATÉGICO DE MARKETING PARA EL LANZAMIENTO DE CARNE DE MEMBRILLO PARA LA EMPRESA CORDILL S.A.")</f>
        <v>PLAN ESTRATÉGICO DE MARKETING PARA EL LANZAMIENTO DE CARNE DE MEMBRILLO PARA LA EMPRESA CORDILL S.A.</v>
      </c>
      <c r="B662" s="58">
        <f>IFERROR(__xludf.DUMMYFUNCTION("""COMPUTED_VALUE"""),1.0)</f>
        <v>1</v>
      </c>
    </row>
    <row r="663">
      <c r="A663" s="58" t="str">
        <f>IFERROR(__xludf.DUMMYFUNCTION("""COMPUTED_VALUE"""),"PLAN ESTRATÉGICO DE MARKETING PARA EL POSICIONAMIENTO EN EL MERCADO Y APERTURA DE SUCURSALES EN SACABA Y QUILLACOLLO PARA LA EMPRESA TRANSFER ANDINA S.R.L.")</f>
        <v>PLAN ESTRATÉGICO DE MARKETING PARA EL POSICIONAMIENTO EN EL MERCADO Y APERTURA DE SUCURSALES EN SACABA Y QUILLACOLLO PARA LA EMPRESA TRANSFER ANDINA S.R.L.</v>
      </c>
      <c r="B663" s="58">
        <f>IFERROR(__xludf.DUMMYFUNCTION("""COMPUTED_VALUE"""),3.0)</f>
        <v>3</v>
      </c>
    </row>
    <row r="664">
      <c r="A664" s="58" t="str">
        <f>IFERROR(__xludf.DUMMYFUNCTION("""COMPUTED_VALUE"""),"PLAN ESTRATÉGICO DE MARKETING PARA INCREMENTAR LA VENTA DE POLERAS DE VESTIR CASUALES DE LA EMPRESA ROSS – CONFECCIONES")</f>
        <v>PLAN ESTRATÉGICO DE MARKETING PARA INCREMENTAR LA VENTA DE POLERAS DE VESTIR CASUALES DE LA EMPRESA ROSS – CONFECCIONES</v>
      </c>
      <c r="B664" s="58">
        <f>IFERROR(__xludf.DUMMYFUNCTION("""COMPUTED_VALUE"""),1.0)</f>
        <v>1</v>
      </c>
    </row>
    <row r="665">
      <c r="A665" s="58" t="str">
        <f>IFERROR(__xludf.DUMMYFUNCTION("""COMPUTED_VALUE"""),"PLAN ESTRATÉGICO DE MARKETING PARA LA COMERCIALIZACIÓN DE HELADOS DE LA FÁBRICA DE HIELOS “CRISTAL")</f>
        <v>PLAN ESTRATÉGICO DE MARKETING PARA LA COMERCIALIZACIÓN DE HELADOS DE LA FÁBRICA DE HIELOS “CRISTAL</v>
      </c>
      <c r="B665" s="58">
        <f>IFERROR(__xludf.DUMMYFUNCTION("""COMPUTED_VALUE"""),2.0)</f>
        <v>2</v>
      </c>
    </row>
    <row r="666">
      <c r="A666" s="58" t="str">
        <f>IFERROR(__xludf.DUMMYFUNCTION("""COMPUTED_VALUE"""),"PLAN ESTRATÉGICO DE MARKETING PARA LA COMERCIALIZACIÓN DE QUESOS PARA INDUSTRIAS LÁCTEAS DEL VALLE ALTO ILVA")</f>
        <v>PLAN ESTRATÉGICO DE MARKETING PARA LA COMERCIALIZACIÓN DE QUESOS PARA INDUSTRIAS LÁCTEAS DEL VALLE ALTO ILVA</v>
      </c>
      <c r="B666" s="58">
        <f>IFERROR(__xludf.DUMMYFUNCTION("""COMPUTED_VALUE"""),1.0)</f>
        <v>1</v>
      </c>
    </row>
    <row r="667">
      <c r="A667" s="58" t="str">
        <f>IFERROR(__xludf.DUMMYFUNCTION("""COMPUTED_VALUE"""),"PLAN ESTRATÉGICO DE MARKETING PARA LA EMPRESA DE MARKETING DIGITAL “SOCIAL BRAND” PARA PYMES EN LA CIUDAD DE COCHABAMBA”.")</f>
        <v>PLAN ESTRATÉGICO DE MARKETING PARA LA EMPRESA DE MARKETING DIGITAL “SOCIAL BRAND” PARA PYMES EN LA CIUDAD DE COCHABAMBA”.</v>
      </c>
      <c r="B667" s="58">
        <f>IFERROR(__xludf.DUMMYFUNCTION("""COMPUTED_VALUE"""),9.0)</f>
        <v>9</v>
      </c>
    </row>
    <row r="668">
      <c r="A668" s="58" t="str">
        <f>IFERROR(__xludf.DUMMYFUNCTION("""COMPUTED_VALUE"""),"PLAN ESTRATÉGICO DE MARKETING PARA LA EMPRESA IMPORTADORA DE GRIFERÍA Y EQUIPOS SANITARIOS “IMEXTRAN SRL")</f>
        <v>PLAN ESTRATÉGICO DE MARKETING PARA LA EMPRESA IMPORTADORA DE GRIFERÍA Y EQUIPOS SANITARIOS “IMEXTRAN SRL</v>
      </c>
      <c r="B668" s="58">
        <f>IFERROR(__xludf.DUMMYFUNCTION("""COMPUTED_VALUE"""),1.0)</f>
        <v>1</v>
      </c>
    </row>
    <row r="669">
      <c r="A669" s="58" t="str">
        <f>IFERROR(__xludf.DUMMYFUNCTION("""COMPUTED_VALUE"""),"PLAN ESTRATÉGICO DE MARKETING PARA LA EMPRESA VANGUARDIA")</f>
        <v>PLAN ESTRATÉGICO DE MARKETING PARA LA EMPRESA VANGUARDIA</v>
      </c>
      <c r="B669" s="58">
        <f>IFERROR(__xludf.DUMMYFUNCTION("""COMPUTED_VALUE"""),2.0)</f>
        <v>2</v>
      </c>
    </row>
    <row r="670">
      <c r="A670" s="58" t="str">
        <f>IFERROR(__xludf.DUMMYFUNCTION("""COMPUTED_VALUE"""),"PLAN ESTRATÉGICO DE MARKETING PARA LA INTRODUCCIÓN DEL PRODUCTO ROPA JUVENIL PARA CONFECCIONES ALCON FREE PARA EL MERCADO DE COCHABAMBA CERCADO")</f>
        <v>PLAN ESTRATÉGICO DE MARKETING PARA LA INTRODUCCIÓN DEL PRODUCTO ROPA JUVENIL PARA CONFECCIONES ALCON FREE PARA EL MERCADO DE COCHABAMBA CERCADO</v>
      </c>
      <c r="B670" s="58">
        <f>IFERROR(__xludf.DUMMYFUNCTION("""COMPUTED_VALUE"""),4.0)</f>
        <v>4</v>
      </c>
    </row>
    <row r="671">
      <c r="A671" s="58" t="str">
        <f>IFERROR(__xludf.DUMMYFUNCTION("""COMPUTED_VALUE"""),"PLAN ESTRATÉGICO DE MARKETING PARA LA LÍNEA DE TANQUES CON FILTRO PARA LA EMPRESA METINSERINOX EN LA CIUDAD DE COCHABAMBA")</f>
        <v>PLAN ESTRATÉGICO DE MARKETING PARA LA LÍNEA DE TANQUES CON FILTRO PARA LA EMPRESA METINSERINOX EN LA CIUDAD DE COCHABAMBA</v>
      </c>
      <c r="B671" s="58">
        <f>IFERROR(__xludf.DUMMYFUNCTION("""COMPUTED_VALUE"""),1.0)</f>
        <v>1</v>
      </c>
    </row>
    <row r="672">
      <c r="A672" s="58" t="str">
        <f>IFERROR(__xludf.DUMMYFUNCTION("""COMPUTED_VALUE"""),"PLAN ESTRATÉGICO DE MARKETING PARA LA MUEBLERÍA SANABRIA")</f>
        <v>PLAN ESTRATÉGICO DE MARKETING PARA LA MUEBLERÍA SANABRIA</v>
      </c>
      <c r="B672" s="58">
        <f>IFERROR(__xludf.DUMMYFUNCTION("""COMPUTED_VALUE"""),1.0)</f>
        <v>1</v>
      </c>
    </row>
    <row r="673">
      <c r="A673" s="58" t="str">
        <f>IFERROR(__xludf.DUMMYFUNCTION("""COMPUTED_VALUE"""),"PLAN ESTRATÉGICO DE MARKETING PARA LA NUEVA LÍNEA DE LUBRICANTES INDUSTRIALES YPFB.")</f>
        <v>PLAN ESTRATÉGICO DE MARKETING PARA LA NUEVA LÍNEA DE LUBRICANTES INDUSTRIALES YPFB.</v>
      </c>
      <c r="B673" s="58">
        <f>IFERROR(__xludf.DUMMYFUNCTION("""COMPUTED_VALUE"""),2.0)</f>
        <v>2</v>
      </c>
    </row>
    <row r="674">
      <c r="A674" s="58" t="str">
        <f>IFERROR(__xludf.DUMMYFUNCTION("""COMPUTED_VALUE"""),"PLAN ESTRATÉGICO ORIENTADO A LA SATISFACCIÓN DEL CLIENTE PARA LA ELFEC S.A")</f>
        <v>PLAN ESTRATÉGICO ORIENTADO A LA SATISFACCIÓN DEL CLIENTE PARA LA ELFEC S.A</v>
      </c>
      <c r="B674" s="58">
        <f>IFERROR(__xludf.DUMMYFUNCTION("""COMPUTED_VALUE"""),1.0)</f>
        <v>1</v>
      </c>
    </row>
    <row r="675">
      <c r="A675" s="58" t="str">
        <f>IFERROR(__xludf.DUMMYFUNCTION("""COMPUTED_VALUE"""),"PLAN ESTRATÉGICO PARA EL CENTRO DE ALIMENTOS Y PRODUCTOS NATURALES DE LA FACULTAD DE CIENCIAS Y TECNOLOGÍA – UNIVERSIDAD MAYOR DE SAN SIMÓN, 2020 - 2024")</f>
        <v>PLAN ESTRATÉGICO PARA EL CENTRO DE ALIMENTOS Y PRODUCTOS NATURALES DE LA FACULTAD DE CIENCIAS Y TECNOLOGÍA – UNIVERSIDAD MAYOR DE SAN SIMÓN, 2020 - 2024</v>
      </c>
      <c r="B675" s="58">
        <f>IFERROR(__xludf.DUMMYFUNCTION("""COMPUTED_VALUE"""),57.0)</f>
        <v>57</v>
      </c>
    </row>
    <row r="676">
      <c r="A676" s="58" t="str">
        <f>IFERROR(__xludf.DUMMYFUNCTION("""COMPUTED_VALUE"""),"PLAN ESTRATÉGICO PARA EL CENTRO DE LEVANTAMIENTOS AEROESPACIALES Y APLICACIONES SIG PARA EL DESARROLLO SOSTENIBLE DE LOS RECURSOS NATURALES DE LA UMSS 2019 – 2023")</f>
        <v>PLAN ESTRATÉGICO PARA EL CENTRO DE LEVANTAMIENTOS AEROESPACIALES Y APLICACIONES SIG PARA EL DESARROLLO SOSTENIBLE DE LOS RECURSOS NATURALES DE LA UMSS 2019 – 2023</v>
      </c>
      <c r="B676" s="58">
        <f>IFERROR(__xludf.DUMMYFUNCTION("""COMPUTED_VALUE"""),4.0)</f>
        <v>4</v>
      </c>
    </row>
    <row r="677">
      <c r="A677" s="58" t="str">
        <f>IFERROR(__xludf.DUMMYFUNCTION("""COMPUTED_VALUE"""),"PLAN ESTRATÉGICO PARA EL PROGRAMA DE DESARROLLO DE TECNOLOGÍAS DE FABRICACIÓN DE LA FACULTAD DE CIENCIAS Y TECNOLOGÍA DE LA UMSS")</f>
        <v>PLAN ESTRATÉGICO PARA EL PROGRAMA DE DESARROLLO DE TECNOLOGÍAS DE FABRICACIÓN DE LA FACULTAD DE CIENCIAS Y TECNOLOGÍA DE LA UMSS</v>
      </c>
      <c r="B677" s="58">
        <f>IFERROR(__xludf.DUMMYFUNCTION("""COMPUTED_VALUE"""),4.0)</f>
        <v>4</v>
      </c>
    </row>
    <row r="678">
      <c r="A678" s="58" t="str">
        <f>IFERROR(__xludf.DUMMYFUNCTION("""COMPUTED_VALUE"""),"PLAN ESTRATÉGICO PARA EMPRESA CREACIONES BOLIVIANITA")</f>
        <v>PLAN ESTRATÉGICO PARA EMPRESA CREACIONES BOLIVIANITA</v>
      </c>
      <c r="B678" s="58">
        <f>IFERROR(__xludf.DUMMYFUNCTION("""COMPUTED_VALUE"""),1.0)</f>
        <v>1</v>
      </c>
    </row>
    <row r="679">
      <c r="A679" s="58" t="str">
        <f>IFERROR(__xludf.DUMMYFUNCTION("""COMPUTED_VALUE"""),"PLAN ESTRATÉGICO PARA LA FEDERACIÓN DE LA MICRO Y PEQUEÑA EMPRESA (FEDEMYPE) DEL RUBRO TEXTIL Y CONFECCIONES DEL DEPARTAMENTO DE COCHABAMBA PARA LAS GESTIONES 2019- 2023")</f>
        <v>PLAN ESTRATÉGICO PARA LA FEDERACIÓN DE LA MICRO Y PEQUEÑA EMPRESA (FEDEMYPE) DEL RUBRO TEXTIL Y CONFECCIONES DEL DEPARTAMENTO DE COCHABAMBA PARA LAS GESTIONES 2019- 2023</v>
      </c>
      <c r="B679" s="58">
        <f>IFERROR(__xludf.DUMMYFUNCTION("""COMPUTED_VALUE"""),9.0)</f>
        <v>9</v>
      </c>
    </row>
    <row r="680">
      <c r="A680" s="58" t="str">
        <f>IFERROR(__xludf.DUMMYFUNCTION("""COMPUTED_VALUE"""),"PLAN ESTRATÉGICO PARA LA UNIDAD DE TRANSFERENCIA DE TECNOLOGÍA DE LA FCYT")</f>
        <v>PLAN ESTRATÉGICO PARA LA UNIDAD DE TRANSFERENCIA DE TECNOLOGÍA DE LA FCYT</v>
      </c>
      <c r="B680" s="58">
        <f>IFERROR(__xludf.DUMMYFUNCTION("""COMPUTED_VALUE"""),2.0)</f>
        <v>2</v>
      </c>
    </row>
    <row r="681">
      <c r="A681" s="58" t="str">
        <f>IFERROR(__xludf.DUMMYFUNCTION("""COMPUTED_VALUE"""),"PLAN ESTRATÉGICO PARA LAS ÁREAS DE PRODUCCIÓN Y COMERCIALIZACIÓN PARA LA EMPRESA DE LA CORDILLERA")</f>
        <v>PLAN ESTRATÉGICO PARA LAS ÁREAS DE PRODUCCIÓN Y COMERCIALIZACIÓN PARA LA EMPRESA DE LA CORDILLERA</v>
      </c>
      <c r="B681" s="58">
        <f>IFERROR(__xludf.DUMMYFUNCTION("""COMPUTED_VALUE"""),6.0)</f>
        <v>6</v>
      </c>
    </row>
    <row r="682">
      <c r="A682" s="58" t="str">
        <f>IFERROR(__xludf.DUMMYFUNCTION("""COMPUTED_VALUE"""),"PLAN ESTRATÉGICO Y OPERATIVO DE MARKETING PARA LA EMPRESA DE CALZADOS MALUCI")</f>
        <v>PLAN ESTRATÉGICO Y OPERATIVO DE MARKETING PARA LA EMPRESA DE CALZADOS MALUCI</v>
      </c>
      <c r="B682" s="58">
        <f>IFERROR(__xludf.DUMMYFUNCTION("""COMPUTED_VALUE"""),2.0)</f>
        <v>2</v>
      </c>
    </row>
    <row r="683">
      <c r="A683" s="58" t="str">
        <f>IFERROR(__xludf.DUMMYFUNCTION("""COMPUTED_VALUE"""),"PLAN MAESTRO DE MANTENIMIENTO PARA LA CORPORACIÓN BOLIVIANA DE BEBIDAS S.A. EN SU DEPARTAMENTO DE PRODUCCIÓN")</f>
        <v>PLAN MAESTRO DE MANTENIMIENTO PARA LA CORPORACIÓN BOLIVIANA DE BEBIDAS S.A. EN SU DEPARTAMENTO DE PRODUCCIÓN</v>
      </c>
      <c r="B683" s="58">
        <f>IFERROR(__xludf.DUMMYFUNCTION("""COMPUTED_VALUE"""),2.0)</f>
        <v>2</v>
      </c>
    </row>
    <row r="684">
      <c r="A684" s="58" t="str">
        <f>IFERROR(__xludf.DUMMYFUNCTION("""COMPUTED_VALUE"""),"PLAN PARA LA CONFORMACIÓN DE UN CLÚSTER DE TEXTILES Y CONFECCIONES EN LA FACULTAD DE CIENCIAS Y TECNOLOGÍA DE LA UMSS")</f>
        <v>PLAN PARA LA CONFORMACIÓN DE UN CLÚSTER DE TEXTILES Y CONFECCIONES EN LA FACULTAD DE CIENCIAS Y TECNOLOGÍA DE LA UMSS</v>
      </c>
      <c r="B684" s="58">
        <f>IFERROR(__xludf.DUMMYFUNCTION("""COMPUTED_VALUE"""),4.0)</f>
        <v>4</v>
      </c>
    </row>
    <row r="685">
      <c r="A685" s="58" t="str">
        <f>IFERROR(__xludf.DUMMYFUNCTION("""COMPUTED_VALUE"""),"PLAN PARA LA IMPLEMENTACIÓN DE LAS HERRAMIENTAS DE LA METODOLOGÍA WCM (WORLD CLASS  MANUFACTURING) DEL PILAR DE CALIDAD EN LA PLANTA DE DETERGENTES EN POLVO DE UNILEVER ANDINA BOLIVIA S.A.")</f>
        <v>PLAN PARA LA IMPLEMENTACIÓN DE LAS HERRAMIENTAS DE LA METODOLOGÍA WCM (WORLD CLASS  MANUFACTURING) DEL PILAR DE CALIDAD EN LA PLANTA DE DETERGENTES EN POLVO DE UNILEVER ANDINA BOLIVIA S.A.</v>
      </c>
      <c r="B685" s="58">
        <f>IFERROR(__xludf.DUMMYFUNCTION("""COMPUTED_VALUE"""),2.0)</f>
        <v>2</v>
      </c>
    </row>
    <row r="686">
      <c r="A686" s="58" t="str">
        <f>IFERROR(__xludf.DUMMYFUNCTION("""COMPUTED_VALUE"""),"PLAN PARA LA IMPLEMENTACIÓN DE LAS HERRAMIENTAS DE LA METODOLOGÍA WCM (WORLD CLASS MANUFACTURING) DEL PILAR DE CALIDAD EN LA PLANTA DE DETERGENTES EN POLVO DE UNILEVER ANDINA BOLIVIA S.A.")</f>
        <v>PLAN PARA LA IMPLEMENTACIÓN DE LAS HERRAMIENTAS DE LA METODOLOGÍA WCM (WORLD CLASS MANUFACTURING) DEL PILAR DE CALIDAD EN LA PLANTA DE DETERGENTES EN POLVO DE UNILEVER ANDINA BOLIVIA S.A.</v>
      </c>
      <c r="B686" s="58">
        <f>IFERROR(__xludf.DUMMYFUNCTION("""COMPUTED_VALUE"""),1.0)</f>
        <v>1</v>
      </c>
    </row>
    <row r="687">
      <c r="A687" s="58" t="str">
        <f>IFERROR(__xludf.DUMMYFUNCTION("""COMPUTED_VALUE"""),"PLAN PARA LA IMPLEMENTACIÓN DE LAS HERRAMIENTAS DE LA METODOLOGÍA WCM (WORLD CLASS MANUFACTURING) DEL PILAR DE CALIDADEN LA PLANTA DE DETERGENTES EN POLVO DE UNILEVER ANDINA BOLIVIA S.A.")</f>
        <v>PLAN PARA LA IMPLEMENTACIÓN DE LAS HERRAMIENTAS DE LA METODOLOGÍA WCM (WORLD CLASS MANUFACTURING) DEL PILAR DE CALIDADEN LA PLANTA DE DETERGENTES EN POLVO DE UNILEVER ANDINA BOLIVIA S.A.</v>
      </c>
      <c r="B687" s="58">
        <f>IFERROR(__xludf.DUMMYFUNCTION("""COMPUTED_VALUE"""),1.0)</f>
        <v>1</v>
      </c>
    </row>
    <row r="688">
      <c r="A688" s="58" t="str">
        <f>IFERROR(__xludf.DUMMYFUNCTION("""COMPUTED_VALUE"""),"PLANIFICACION Y CONTROL DE LA PRODUCCIÓN PARA LA EMPRESA “EMBOL S.A” EN EL DEPARTAMENTO DE LA PAZ-BOLIVIA")</f>
        <v>PLANIFICACION Y CONTROL DE LA PRODUCCIÓN PARA LA EMPRESA “EMBOL S.A” EN EL DEPARTAMENTO DE LA PAZ-BOLIVIA</v>
      </c>
      <c r="B688" s="58">
        <f>IFERROR(__xludf.DUMMYFUNCTION("""COMPUTED_VALUE"""),4.0)</f>
        <v>4</v>
      </c>
    </row>
    <row r="689">
      <c r="A689" s="58" t="str">
        <f>IFERROR(__xludf.DUMMYFUNCTION("""COMPUTED_VALUE"""),"PLANIFICACIÓN ESTRATÉGICA EN LA EMPRESA D' KAFFE")</f>
        <v>PLANIFICACIÓN ESTRATÉGICA EN LA EMPRESA D' KAFFE</v>
      </c>
      <c r="B689" s="58">
        <f>IFERROR(__xludf.DUMMYFUNCTION("""COMPUTED_VALUE"""),9.0)</f>
        <v>9</v>
      </c>
    </row>
    <row r="690">
      <c r="A690" s="58" t="str">
        <f>IFERROR(__xludf.DUMMYFUNCTION("""COMPUTED_VALUE"""),"PLANIFICACIÓN ESTRATÉGICA PARA LA CURTIEMBRE TAURO LTDA")</f>
        <v>PLANIFICACIÓN ESTRATÉGICA PARA LA CURTIEMBRE TAURO LTDA</v>
      </c>
      <c r="B690" s="58">
        <f>IFERROR(__xludf.DUMMYFUNCTION("""COMPUTED_VALUE"""),1.0)</f>
        <v>1</v>
      </c>
    </row>
    <row r="691">
      <c r="A691" s="58" t="str">
        <f>IFERROR(__xludf.DUMMYFUNCTION("""COMPUTED_VALUE"""),"PLANIFICACIÓN ESTRATÉGICA PARA LA EMPRESA CONSTRUCTORA SOHINCO S.R.L.")</f>
        <v>PLANIFICACIÓN ESTRATÉGICA PARA LA EMPRESA CONSTRUCTORA SOHINCO S.R.L.</v>
      </c>
      <c r="B691" s="58">
        <f>IFERROR(__xludf.DUMMYFUNCTION("""COMPUTED_VALUE"""),1.0)</f>
        <v>1</v>
      </c>
    </row>
    <row r="692">
      <c r="A692" s="58" t="str">
        <f>IFERROR(__xludf.DUMMYFUNCTION("""COMPUTED_VALUE"""),"PLANIFICACIÓN ESTRATÉGICA PARA LA EMPRESA DE EXTINTORES 3F CYLINDERS")</f>
        <v>PLANIFICACIÓN ESTRATÉGICA PARA LA EMPRESA DE EXTINTORES 3F CYLINDERS</v>
      </c>
      <c r="B692" s="58">
        <f>IFERROR(__xludf.DUMMYFUNCTION("""COMPUTED_VALUE"""),6.0)</f>
        <v>6</v>
      </c>
    </row>
    <row r="693">
      <c r="A693" s="58" t="str">
        <f>IFERROR(__xludf.DUMMYFUNCTION("""COMPUTED_VALUE"""),"PLANIFICACIÓN ESTRATÉGICA PARA LA EMPRESA DE PRODUCTOS ALIMENTICIOS ""LA GLORIETA""")</f>
        <v>PLANIFICACIÓN ESTRATÉGICA PARA LA EMPRESA DE PRODUCTOS ALIMENTICIOS "LA GLORIETA"</v>
      </c>
      <c r="B693" s="58">
        <f>IFERROR(__xludf.DUMMYFUNCTION("""COMPUTED_VALUE"""),1.0)</f>
        <v>1</v>
      </c>
    </row>
    <row r="694">
      <c r="A694" s="58" t="str">
        <f>IFERROR(__xludf.DUMMYFUNCTION("""COMPUTED_VALUE"""),"PLANIFICACIÓN ESTRATÉGICA PARA LA EMPRESA INDUSTRIAL EN MADERA RAMOS")</f>
        <v>PLANIFICACIÓN ESTRATÉGICA PARA LA EMPRESA INDUSTRIAL EN MADERA RAMOS</v>
      </c>
      <c r="B694" s="58">
        <f>IFERROR(__xludf.DUMMYFUNCTION("""COMPUTED_VALUE"""),4.0)</f>
        <v>4</v>
      </c>
    </row>
    <row r="695">
      <c r="A695" s="58" t="str">
        <f>IFERROR(__xludf.DUMMYFUNCTION("""COMPUTED_VALUE"""),"PLANIFICACIÓN ESTRATÉGICA PARA LA EMPRESA INQUIBOL")</f>
        <v>PLANIFICACIÓN ESTRATÉGICA PARA LA EMPRESA INQUIBOL</v>
      </c>
      <c r="B695" s="58">
        <f>IFERROR(__xludf.DUMMYFUNCTION("""COMPUTED_VALUE"""),1.0)</f>
        <v>1</v>
      </c>
    </row>
    <row r="696">
      <c r="A696" s="58" t="str">
        <f>IFERROR(__xludf.DUMMYFUNCTION("""COMPUTED_VALUE"""),"PLANIFICACIÓN ESTRATÉGICA PARA LA EMPRESA PROMAQ I+D LTDA.")</f>
        <v>PLANIFICACIÓN ESTRATÉGICA PARA LA EMPRESA PROMAQ I+D LTDA.</v>
      </c>
      <c r="B696" s="58">
        <f>IFERROR(__xludf.DUMMYFUNCTION("""COMPUTED_VALUE"""),12.0)</f>
        <v>12</v>
      </c>
    </row>
    <row r="697">
      <c r="A697" s="58" t="str">
        <f>IFERROR(__xludf.DUMMYFUNCTION("""COMPUTED_VALUE"""),"PLANIFICACIÓN ESTRATÉGICA PARA LA EMPRESA PURIFICADORA DE AGUA BAMBU COCHABAMBA")</f>
        <v>PLANIFICACIÓN ESTRATÉGICA PARA LA EMPRESA PURIFICADORA DE AGUA BAMBU COCHABAMBA</v>
      </c>
      <c r="B697" s="58">
        <f>IFERROR(__xludf.DUMMYFUNCTION("""COMPUTED_VALUE"""),9.0)</f>
        <v>9</v>
      </c>
    </row>
    <row r="698">
      <c r="A698" s="58" t="str">
        <f>IFERROR(__xludf.DUMMYFUNCTION("""COMPUTED_VALUE"""),"PLANIFICACIÓN ESTRATÉGICA PARA LA EMPRESA “BOMBORI”")</f>
        <v>PLANIFICACIÓN ESTRATÉGICA PARA LA EMPRESA “BOMBORI”</v>
      </c>
      <c r="B698" s="58">
        <f>IFERROR(__xludf.DUMMYFUNCTION("""COMPUTED_VALUE"""),1.0)</f>
        <v>1</v>
      </c>
    </row>
    <row r="699">
      <c r="A699" s="58" t="str">
        <f>IFERROR(__xludf.DUMMYFUNCTION("""COMPUTED_VALUE"""),"PLANIFICACIÓN ESTRATÉGICA PARA LA EMPRESA “SEASA S.A.” EN LA LÍNEA FRUT-ALL  TETRA BRIK")</f>
        <v>PLANIFICACIÓN ESTRATÉGICA PARA LA EMPRESA “SEASA S.A.” EN LA LÍNEA FRUT-ALL  TETRA BRIK</v>
      </c>
      <c r="B699" s="58">
        <f>IFERROR(__xludf.DUMMYFUNCTION("""COMPUTED_VALUE"""),7.0)</f>
        <v>7</v>
      </c>
    </row>
    <row r="700">
      <c r="A700" s="58" t="str">
        <f>IFERROR(__xludf.DUMMYFUNCTION("""COMPUTED_VALUE"""),"PLANIFICACIÓN ESTRATÉGICA PARA LA IMPRENTA “GRÁFICA CENTER”")</f>
        <v>PLANIFICACIÓN ESTRATÉGICA PARA LA IMPRENTA “GRÁFICA CENTER”</v>
      </c>
      <c r="B700" s="58">
        <f>IFERROR(__xludf.DUMMYFUNCTION("""COMPUTED_VALUE"""),1.0)</f>
        <v>1</v>
      </c>
    </row>
    <row r="701">
      <c r="A701" s="58" t="str">
        <f>IFERROR(__xludf.DUMMYFUNCTION("""COMPUTED_VALUE"""),"PLANIFICACIÓN ESTRATÉGICA PARA “MUEBLERÍA NOBLEZA”.")</f>
        <v>PLANIFICACIÓN ESTRATÉGICA PARA “MUEBLERÍA NOBLEZA”.</v>
      </c>
      <c r="B701" s="58">
        <f>IFERROR(__xludf.DUMMYFUNCTION("""COMPUTED_VALUE"""),4.0)</f>
        <v>4</v>
      </c>
    </row>
    <row r="702">
      <c r="A702" s="58" t="str">
        <f>IFERROR(__xludf.DUMMYFUNCTION("""COMPUTED_VALUE"""),"PLANIFICACIÓN ESTRATÉGICA Y OPERATIVA PARA LA EMPRESA BEFRUT S.R.L")</f>
        <v>PLANIFICACIÓN ESTRATÉGICA Y OPERATIVA PARA LA EMPRESA BEFRUT S.R.L</v>
      </c>
      <c r="B702" s="58">
        <f>IFERROR(__xludf.DUMMYFUNCTION("""COMPUTED_VALUE"""),2.0)</f>
        <v>2</v>
      </c>
    </row>
    <row r="703">
      <c r="A703" s="58" t="str">
        <f>IFERROR(__xludf.DUMMYFUNCTION("""COMPUTED_VALUE"""),"PLANIFICACIÓN ESTRATÉGICA Y OPERATIVA PARA LA EMPRESA CONFECCIONES ROSTLER.")</f>
        <v>PLANIFICACIÓN ESTRATÉGICA Y OPERATIVA PARA LA EMPRESA CONFECCIONES ROSTLER.</v>
      </c>
      <c r="B703" s="58">
        <f>IFERROR(__xludf.DUMMYFUNCTION("""COMPUTED_VALUE"""),4.0)</f>
        <v>4</v>
      </c>
    </row>
    <row r="704">
      <c r="A704" s="58" t="str">
        <f>IFERROR(__xludf.DUMMYFUNCTION("""COMPUTED_VALUE"""),"PLANIFICACIÓN Y CONTROL DE LA PRODUCCIÓN DE LA EMPRESA COBOCE-CERAMIL")</f>
        <v>PLANIFICACIÓN Y CONTROL DE LA PRODUCCIÓN DE LA EMPRESA COBOCE-CERAMIL</v>
      </c>
      <c r="B704" s="58">
        <f>IFERROR(__xludf.DUMMYFUNCTION("""COMPUTED_VALUE"""),2.0)</f>
        <v>2</v>
      </c>
    </row>
    <row r="705">
      <c r="A705" s="58" t="str">
        <f>IFERROR(__xludf.DUMMYFUNCTION("""COMPUTED_VALUE"""),"PLANIFICACIÓN Y CONTROL DE LA PRODUCCIÓN PARA EMBOL S.A.")</f>
        <v>PLANIFICACIÓN Y CONTROL DE LA PRODUCCIÓN PARA EMBOL S.A.</v>
      </c>
      <c r="B705" s="58">
        <f>IFERROR(__xludf.DUMMYFUNCTION("""COMPUTED_VALUE"""),7.0)</f>
        <v>7</v>
      </c>
    </row>
    <row r="706">
      <c r="A706" s="58" t="str">
        <f>IFERROR(__xludf.DUMMYFUNCTION("""COMPUTED_VALUE"""),"PLANIFICACIÓN Y CONTROL DE LA PRODUCCIÓN PARA LA EMPRESA ECOFIBRA S.R.L. DE LA CIUDAD DE COCHABAMBA")</f>
        <v>PLANIFICACIÓN Y CONTROL DE LA PRODUCCIÓN PARA LA EMPRESA ECOFIBRA S.R.L. DE LA CIUDAD DE COCHABAMBA</v>
      </c>
      <c r="B706" s="58">
        <f>IFERROR(__xludf.DUMMYFUNCTION("""COMPUTED_VALUE"""),1.0)</f>
        <v>1</v>
      </c>
    </row>
    <row r="707">
      <c r="A707" s="58" t="str">
        <f>IFERROR(__xludf.DUMMYFUNCTION("""COMPUTED_VALUE"""),"PLANIFICACIÓN Y CONTROL DE LA PRODUCCIÓN PARA LA EMPRESA FADESA METAL S.R.L.")</f>
        <v>PLANIFICACIÓN Y CONTROL DE LA PRODUCCIÓN PARA LA EMPRESA FADESA METAL S.R.L.</v>
      </c>
      <c r="B707" s="58">
        <f>IFERROR(__xludf.DUMMYFUNCTION("""COMPUTED_VALUE"""),16.0)</f>
        <v>16</v>
      </c>
    </row>
    <row r="708">
      <c r="A708" s="58" t="str">
        <f>IFERROR(__xludf.DUMMYFUNCTION("""COMPUTED_VALUE"""),"PLANIFICACIÓN, PROGRAMACION Y CONTROL DE LA PRODUCCIÓN PARA LA OBTENCION DE EXTRACTOS DE LAS ESPECIES LLAVE T` IKA (TRIPODANTHUS ACUTIFOLIUS) Y LOCOTO (CAPSICUM PUBESCENS)")</f>
        <v>PLANIFICACIÓN, PROGRAMACION Y CONTROL DE LA PRODUCCIÓN PARA LA OBTENCION DE EXTRACTOS DE LAS ESPECIES LLAVE T` IKA (TRIPODANTHUS ACUTIFOLIUS) Y LOCOTO (CAPSICUM PUBESCENS)</v>
      </c>
      <c r="B708" s="58">
        <f>IFERROR(__xludf.DUMMYFUNCTION("""COMPUTED_VALUE"""),1.0)</f>
        <v>1</v>
      </c>
    </row>
    <row r="709">
      <c r="A709" s="58" t="str">
        <f>IFERROR(__xludf.DUMMYFUNCTION("""COMPUTED_VALUE"""),"PLANTA PROCESADORA DE KAÑAWA (CHENOPODIUM PALLIDICAULE AELLEN), (ESTUDIO DE FACTIBILIDAD)")</f>
        <v>PLANTA PROCESADORA DE KAÑAWA (CHENOPODIUM PALLIDICAULE AELLEN), (ESTUDIO DE FACTIBILIDAD)</v>
      </c>
      <c r="B709" s="58">
        <f>IFERROR(__xludf.DUMMYFUNCTION("""COMPUTED_VALUE"""),1.0)</f>
        <v>1</v>
      </c>
    </row>
    <row r="710">
      <c r="A710" s="58" t="str">
        <f>IFERROR(__xludf.DUMMYFUNCTION("""COMPUTED_VALUE"""),"POTENCIAMIENTO DEL SISTEMA DE GESTIÓN DE CALIDAD DE LA CÁMARA DEPARTAMENTAL DE INDUSTRIA EN LOS REQUISITOS 5.5.1, 6.2.1  DE LA NORMA ISO 9001:2008, BASADO EN UNA GESTIÓN DE RECURSOS HUMANOS POR COMPETENCIAS.")</f>
        <v>POTENCIAMIENTO DEL SISTEMA DE GESTIÓN DE CALIDAD DE LA CÁMARA DEPARTAMENTAL DE INDUSTRIA EN LOS REQUISITOS 5.5.1, 6.2.1  DE LA NORMA ISO 9001:2008, BASADO EN UNA GESTIÓN DE RECURSOS HUMANOS POR COMPETENCIAS.</v>
      </c>
      <c r="B710" s="58">
        <f>IFERROR(__xludf.DUMMYFUNCTION("""COMPUTED_VALUE"""),1.0)</f>
        <v>1</v>
      </c>
    </row>
    <row r="711">
      <c r="A711" s="58" t="str">
        <f>IFERROR(__xludf.DUMMYFUNCTION("""COMPUTED_VALUE"""),"PROGRAMA DE MEJORAMIENTO DE LA OPERATIVA LOGÍSTICA EN EL ÁREA DE ALMACENES COMO UN COMPONENTE ESTRATÉGICO PARA LA COMERCIALIZADORA “AGRO IMPORT COLUMBIA S.R.L""")</f>
        <v>PROGRAMA DE MEJORAMIENTO DE LA OPERATIVA LOGÍSTICA EN EL ÁREA DE ALMACENES COMO UN COMPONENTE ESTRATÉGICO PARA LA COMERCIALIZADORA “AGRO IMPORT COLUMBIA S.R.L"</v>
      </c>
      <c r="B711" s="58">
        <f>IFERROR(__xludf.DUMMYFUNCTION("""COMPUTED_VALUE"""),4.0)</f>
        <v>4</v>
      </c>
    </row>
    <row r="712">
      <c r="A712" s="58" t="str">
        <f>IFERROR(__xludf.DUMMYFUNCTION("""COMPUTED_VALUE"""),"PROGRAMA DE PLANIFICACIÓN PARA LA LOGÍSTICA Y PRODUCCIÓN EN LA PLANTA HORMIGONERA DE COBOCE HORMIGÓN")</f>
        <v>PROGRAMA DE PLANIFICACIÓN PARA LA LOGÍSTICA Y PRODUCCIÓN EN LA PLANTA HORMIGONERA DE COBOCE HORMIGÓN</v>
      </c>
      <c r="B712" s="58">
        <f>IFERROR(__xludf.DUMMYFUNCTION("""COMPUTED_VALUE"""),1.0)</f>
        <v>1</v>
      </c>
    </row>
    <row r="713">
      <c r="A713" s="58" t="str">
        <f>IFERROR(__xludf.DUMMYFUNCTION("""COMPUTED_VALUE"""),"PROGRAMA DE PLANIFICACIÓN PARA LOGÍSTICA Y PRODUCCIÓN EN LA PLANTA HORMIGONERA DE COBOCE HORMIGÓN")</f>
        <v>PROGRAMA DE PLANIFICACIÓN PARA LOGÍSTICA Y PRODUCCIÓN EN LA PLANTA HORMIGONERA DE COBOCE HORMIGÓN</v>
      </c>
      <c r="B713" s="58">
        <f>IFERROR(__xludf.DUMMYFUNCTION("""COMPUTED_VALUE"""),1.0)</f>
        <v>1</v>
      </c>
    </row>
    <row r="714">
      <c r="A714" s="58" t="str">
        <f>IFERROR(__xludf.DUMMYFUNCTION("""COMPUTED_VALUE"""),"PROGRAMA DE PREVENCIÓN EN MATERIA
DE GESTIÓN DE SEGURIDAD E HIGIENE
INDUSTRIAL PARA LA FABRICA
DE CERÁMICA “COBOCE” LTDA.")</f>
        <v>PROGRAMA DE PREVENCIÓN EN MATERIA
DE GESTIÓN DE SEGURIDAD E HIGIENE
INDUSTRIAL PARA LA FABRICA
DE CERÁMICA “COBOCE” LTDA.</v>
      </c>
      <c r="B714" s="58">
        <f>IFERROR(__xludf.DUMMYFUNCTION("""COMPUTED_VALUE"""),2.0)</f>
        <v>2</v>
      </c>
    </row>
    <row r="715">
      <c r="A715" s="58" t="str">
        <f>IFERROR(__xludf.DUMMYFUNCTION("""COMPUTED_VALUE"""),"PROGRAMA DE PREVENCIÓN EN MATERIA DE GESTIÓN DE SEGURIDAD E HIGIENE INDUSTRIAL PARA LA FÁBRICA DE CERÁMICA COBOCE LTDA.")</f>
        <v>PROGRAMA DE PREVENCIÓN EN MATERIA DE GESTIÓN DE SEGURIDAD E HIGIENE INDUSTRIAL PARA LA FÁBRICA DE CERÁMICA COBOCE LTDA.</v>
      </c>
      <c r="B715" s="58">
        <f>IFERROR(__xludf.DUMMYFUNCTION("""COMPUTED_VALUE"""),4.0)</f>
        <v>4</v>
      </c>
    </row>
    <row r="716">
      <c r="A716" s="58" t="str">
        <f>IFERROR(__xludf.DUMMYFUNCTION("""COMPUTED_VALUE"""),"PROGRAMA DE SEGURIDAD Y SALUD EN EL TRABAJO EN BASE A LOS REQUISITOS DE LA NORMA TÉCNICA DE SEGURIDAD INDUSTRIAL 009/18 (NTS – 009/18) PARA LA EMPRESA TEKNOLIFT DE LA CIUDAD DE COCHABAMBA")</f>
        <v>PROGRAMA DE SEGURIDAD Y SALUD EN EL TRABAJO EN BASE A LOS REQUISITOS DE LA NORMA TÉCNICA DE SEGURIDAD INDUSTRIAL 009/18 (NTS – 009/18) PARA LA EMPRESA TEKNOLIFT DE LA CIUDAD DE COCHABAMBA</v>
      </c>
      <c r="B716" s="58">
        <f>IFERROR(__xludf.DUMMYFUNCTION("""COMPUTED_VALUE"""),11.0)</f>
        <v>11</v>
      </c>
    </row>
    <row r="717">
      <c r="A717" s="58" t="str">
        <f>IFERROR(__xludf.DUMMYFUNCTION("""COMPUTED_VALUE"""),"PROGRAMA DE SEGURIDAD Y SALUD EN EL TRABAJO PARA LA PLANTA DE ALIMENTO                                       BALANCEADO DE LA ASOCIACIÓN DE PRODUCTORES DE LECHE DEL VALLE DE COCHABAMBA (APL) VINCULADOS AL CLÚSTER LÁCTEOS DE LA UMSS.")</f>
        <v>PROGRAMA DE SEGURIDAD Y SALUD EN EL TRABAJO PARA LA PLANTA DE ALIMENTO                                       BALANCEADO DE LA ASOCIACIÓN DE PRODUCTORES DE LECHE DEL VALLE DE COCHABAMBA (APL) VINCULADOS AL CLÚSTER LÁCTEOS DE LA UMSS.</v>
      </c>
      <c r="B717" s="58">
        <f>IFERROR(__xludf.DUMMYFUNCTION("""COMPUTED_VALUE"""),2.0)</f>
        <v>2</v>
      </c>
    </row>
    <row r="718">
      <c r="A718" s="58" t="str">
        <f>IFERROR(__xludf.DUMMYFUNCTION("""COMPUTED_VALUE"""),"PROGRAMA DE SEGURIDAD Y SALUD EN EL TRABAJO SEGÚN LA NORMA TECNICA NTS-009/18 PARA LA EMPRESA BIOMEDICAL”.")</f>
        <v>PROGRAMA DE SEGURIDAD Y SALUD EN EL TRABAJO SEGÚN LA NORMA TECNICA NTS-009/18 PARA LA EMPRESA BIOMEDICAL”.</v>
      </c>
      <c r="B718" s="58">
        <f>IFERROR(__xludf.DUMMYFUNCTION("""COMPUTED_VALUE"""),12.0)</f>
        <v>12</v>
      </c>
    </row>
    <row r="719">
      <c r="A719" s="58" t="str">
        <f>IFERROR(__xludf.DUMMYFUNCTION("""COMPUTED_VALUE"""),"PROGRAMA DE SEGURIDAD Y SALUD EN EL TRABAJO SEGÚN LA NORMA TÉCNICA DE SEGURIDAD 009/18 (NTS 009/18) PARA EL PROGRAMA DE DESARROLLO DE TECNOLOGÍAS DE FABRICACIÓN (PDTF) DE LA UMSS")</f>
        <v>PROGRAMA DE SEGURIDAD Y SALUD EN EL TRABAJO SEGÚN LA NORMA TÉCNICA DE SEGURIDAD 009/18 (NTS 009/18) PARA EL PROGRAMA DE DESARROLLO DE TECNOLOGÍAS DE FABRICACIÓN (PDTF) DE LA UMSS</v>
      </c>
      <c r="B719" s="58">
        <f>IFERROR(__xludf.DUMMYFUNCTION("""COMPUTED_VALUE"""),5.0)</f>
        <v>5</v>
      </c>
    </row>
    <row r="720">
      <c r="A720" s="58" t="str">
        <f>IFERROR(__xludf.DUMMYFUNCTION("""COMPUTED_VALUE"""),"PROPUESTA DE DISEÑO DEL PROGRAMA DE SEGURIDAD Y SALUD EN EL TRABAJO SEGÚN LA NTS 009/18 PARA LA EMPRESA INDUSTRIAS QUÍMICA NACIONAL UBICADA EN LA CIUDAD DE COCHABAMBA")</f>
        <v>PROPUESTA DE DISEÑO DEL PROGRAMA DE SEGURIDAD Y SALUD EN EL TRABAJO SEGÚN LA NTS 009/18 PARA LA EMPRESA INDUSTRIAS QUÍMICA NACIONAL UBICADA EN LA CIUDAD DE COCHABAMBA</v>
      </c>
      <c r="B720" s="58">
        <f>IFERROR(__xludf.DUMMYFUNCTION("""COMPUTED_VALUE"""),8.0)</f>
        <v>8</v>
      </c>
    </row>
    <row r="721">
      <c r="A721" s="58" t="str">
        <f>IFERROR(__xludf.DUMMYFUNCTION("""COMPUTED_VALUE"""),"PROPUESTA DE MEJORA INTEGRADA")</f>
        <v>PROPUESTA DE MEJORA INTEGRADA</v>
      </c>
      <c r="B721" s="58">
        <f>IFERROR(__xludf.DUMMYFUNCTION("""COMPUTED_VALUE"""),4.0)</f>
        <v>4</v>
      </c>
    </row>
    <row r="722">
      <c r="A722" s="58" t="str">
        <f>IFERROR(__xludf.DUMMYFUNCTION("""COMPUTED_VALUE"""),"PROPUESTA DE UN MODELO DE GESTIÓN DE RESÍDUOS SÓLIDOS DOMICILIARIOS PARA EL MUNICIPIO DE SANTIVAÑEZ")</f>
        <v>PROPUESTA DE UN MODELO DE GESTIÓN DE RESÍDUOS SÓLIDOS DOMICILIARIOS PARA EL MUNICIPIO DE SANTIVAÑEZ</v>
      </c>
      <c r="B722" s="58">
        <f>IFERROR(__xludf.DUMMYFUNCTION("""COMPUTED_VALUE"""),2.0)</f>
        <v>2</v>
      </c>
    </row>
    <row r="723">
      <c r="A723" s="58" t="str">
        <f>IFERROR(__xludf.DUMMYFUNCTION("""COMPUTED_VALUE"""),"PROPUESTA DE UN MODELO DE GESTIÓN DEL DESEMPEÑO PARA LOS RECURSOS HUMANOS DE LA OFICIALÍA MAYOR ADMINISTRATIVA Y FINANCIERA DE LA H.A.M. DE COCHABAMBA")</f>
        <v>PROPUESTA DE UN MODELO DE GESTIÓN DEL DESEMPEÑO PARA LOS RECURSOS HUMANOS DE LA OFICIALÍA MAYOR ADMINISTRATIVA Y FINANCIERA DE LA H.A.M. DE COCHABAMBA</v>
      </c>
      <c r="B723" s="58">
        <f>IFERROR(__xludf.DUMMYFUNCTION("""COMPUTED_VALUE"""),3.0)</f>
        <v>3</v>
      </c>
    </row>
    <row r="724">
      <c r="A724" s="58" t="str">
        <f>IFERROR(__xludf.DUMMYFUNCTION("""COMPUTED_VALUE"""),"PROPUESTA DE UN MODELO DE MEJORA CONTINUA BASADO EN UN SISTEMA DE GESTIÓN DE CALIDAD SEGÚN NORMA ISO17025:2005 PARA LA UNIDAD DE LABORATORIO DE MEDIDAS DE ELFEC S.A.")</f>
        <v>PROPUESTA DE UN MODELO DE MEJORA CONTINUA BASADO EN UN SISTEMA DE GESTIÓN DE CALIDAD SEGÚN NORMA ISO17025:2005 PARA LA UNIDAD DE LABORATORIO DE MEDIDAS DE ELFEC S.A.</v>
      </c>
      <c r="B724" s="58">
        <f>IFERROR(__xludf.DUMMYFUNCTION("""COMPUTED_VALUE"""),2.0)</f>
        <v>2</v>
      </c>
    </row>
    <row r="725">
      <c r="A725" s="58" t="str">
        <f>IFERROR(__xludf.DUMMYFUNCTION("""COMPUTED_VALUE"""),"PROPUESTA DE UN MODELO DE MEJORA CONTINUA BASADO EN UN SISTEMA DE GESTIÓN DE CALIDAD SEGÚN NORMA NB-ISO-IEC 17025:2005 PARA LA UNIDAD DE LABORATORIO DE MEDIDAS - LABMED DE
ELFEC S.A.")</f>
        <v>PROPUESTA DE UN MODELO DE MEJORA CONTINUA BASADO EN UN SISTEMA DE GESTIÓN DE CALIDAD SEGÚN NORMA NB-ISO-IEC 17025:2005 PARA LA UNIDAD DE LABORATORIO DE MEDIDAS - LABMED DE
ELFEC S.A.</v>
      </c>
      <c r="B725" s="58">
        <f>IFERROR(__xludf.DUMMYFUNCTION("""COMPUTED_VALUE"""),1.0)</f>
        <v>1</v>
      </c>
    </row>
    <row r="726">
      <c r="A726" s="58" t="str">
        <f>IFERROR(__xludf.DUMMYFUNCTION("""COMPUTED_VALUE"""),"PROPUESTA DE UN MODELO DE MEJORA CONTINUA BASADO EN UN SISTEMA DE GESTIÓN DE CALIDAD SEGÚN NORMA NB-ISO-IEC 17025:2005 PARA LA UNIDAD DE LABORATORIO DE MEDIDAS - LABMED DE ELFEC S.A.”")</f>
        <v>PROPUESTA DE UN MODELO DE MEJORA CONTINUA BASADO EN UN SISTEMA DE GESTIÓN DE CALIDAD SEGÚN NORMA NB-ISO-IEC 17025:2005 PARA LA UNIDAD DE LABORATORIO DE MEDIDAS - LABMED DE ELFEC S.A.”</v>
      </c>
      <c r="B726" s="58">
        <f>IFERROR(__xludf.DUMMYFUNCTION("""COMPUTED_VALUE"""),1.0)</f>
        <v>1</v>
      </c>
    </row>
    <row r="727">
      <c r="A727" s="58" t="str">
        <f>IFERROR(__xludf.DUMMYFUNCTION("""COMPUTED_VALUE"""),"PROPUESTA DE UN MODELO ORGANIZACIONAL PARA LA UNIVERSIDAD MAYOR DE SAN SIMÓN")</f>
        <v>PROPUESTA DE UN MODELO ORGANIZACIONAL PARA LA UNIVERSIDAD MAYOR DE SAN SIMÓN</v>
      </c>
      <c r="B727" s="58">
        <f>IFERROR(__xludf.DUMMYFUNCTION("""COMPUTED_VALUE"""),1.0)</f>
        <v>1</v>
      </c>
    </row>
    <row r="728">
      <c r="A728" s="58" t="str">
        <f>IFERROR(__xludf.DUMMYFUNCTION("""COMPUTED_VALUE"""),"PROPUESTA DE UN SISTEMA DE GESTION AMBIENTAL PARA EL DEPARTAMENTO DE QUIMICA DE LA FACULTAD DE CIENCIAS Y TECNOLOGÍA DE LA U.M.S.S.")</f>
        <v>PROPUESTA DE UN SISTEMA DE GESTION AMBIENTAL PARA EL DEPARTAMENTO DE QUIMICA DE LA FACULTAD DE CIENCIAS Y TECNOLOGÍA DE LA U.M.S.S.</v>
      </c>
      <c r="B728" s="58">
        <f>IFERROR(__xludf.DUMMYFUNCTION("""COMPUTED_VALUE"""),2.0)</f>
        <v>2</v>
      </c>
    </row>
    <row r="729">
      <c r="A729" s="58" t="str">
        <f>IFERROR(__xludf.DUMMYFUNCTION("""COMPUTED_VALUE"""),"PROPUESTA DE UN SISTEMA DE GESTIÓN EN SEGURIDAD Y SALUD OCUPACIONAL CONFORME A LA NORMA OHSAS 18001 PARA LA EMPRESA MACAWS S.R.L.")</f>
        <v>PROPUESTA DE UN SISTEMA DE GESTIÓN EN SEGURIDAD Y SALUD OCUPACIONAL CONFORME A LA NORMA OHSAS 18001 PARA LA EMPRESA MACAWS S.R.L.</v>
      </c>
      <c r="B729" s="58">
        <f>IFERROR(__xludf.DUMMYFUNCTION("""COMPUTED_VALUE"""),4.0)</f>
        <v>4</v>
      </c>
    </row>
    <row r="730">
      <c r="A730" s="58" t="str">
        <f>IFERROR(__xludf.DUMMYFUNCTION("""COMPUTED_VALUE"""),"PROPUESTA PARA EL MEJORAMIENTO DE LA PLANIFICACIÓN EMPRESARIAL Y OPERATIVA EN EL CENTRO INTEGRAL ARTESANÍAS SIME")</f>
        <v>PROPUESTA PARA EL MEJORAMIENTO DE LA PLANIFICACIÓN EMPRESARIAL Y OPERATIVA EN EL CENTRO INTEGRAL ARTESANÍAS SIME</v>
      </c>
      <c r="B730" s="58">
        <f>IFERROR(__xludf.DUMMYFUNCTION("""COMPUTED_VALUE"""),1.0)</f>
        <v>1</v>
      </c>
    </row>
    <row r="731">
      <c r="A731" s="58" t="str">
        <f>IFERROR(__xludf.DUMMYFUNCTION("""COMPUTED_VALUE"""),"PROPUESTA PARA LA OPTIMIZACIÓN DE LA CADENA DE SUMINISTRO PARA LA EMPRESA HAMMER JEANS BAJO LA METODOLOGÍA DEL MODELO SUPPLY CHAIN OPERATIONS REFERENCE (SCOR), ASISTIDA POR TECNOLOGÍAS DE LA INFORMACIÓN Y COMUNICACIÓN (TIC)")</f>
        <v>PROPUESTA PARA LA OPTIMIZACIÓN DE LA CADENA DE SUMINISTRO PARA LA EMPRESA HAMMER JEANS BAJO LA METODOLOGÍA DEL MODELO SUPPLY CHAIN OPERATIONS REFERENCE (SCOR), ASISTIDA POR TECNOLOGÍAS DE LA INFORMACIÓN Y COMUNICACIÓN (TIC)</v>
      </c>
      <c r="B731" s="58">
        <f>IFERROR(__xludf.DUMMYFUNCTION("""COMPUTED_VALUE"""),4.0)</f>
        <v>4</v>
      </c>
    </row>
    <row r="732">
      <c r="A732" s="58" t="str">
        <f>IFERROR(__xludf.DUMMYFUNCTION("""COMPUTED_VALUE"""),"PROPUESTA TÉCNICA Y FINANCIERA PARA MEJORAR LA PRODUCTIVIDAD DE EUCALIPTOL EN EL CENTRO DE TECNOLOGÍA AGROINDUSTRIAL DE LA FCYT - UMSS")</f>
        <v>PROPUESTA TÉCNICA Y FINANCIERA PARA MEJORAR LA PRODUCTIVIDAD DE EUCALIPTOL EN EL CENTRO DE TECNOLOGÍA AGROINDUSTRIAL DE LA FCYT - UMSS</v>
      </c>
      <c r="B732" s="58">
        <f>IFERROR(__xludf.DUMMYFUNCTION("""COMPUTED_VALUE"""),6.0)</f>
        <v>6</v>
      </c>
    </row>
    <row r="733">
      <c r="A733" s="58" t="str">
        <f>IFERROR(__xludf.DUMMYFUNCTION("""COMPUTED_VALUE"""),"PROPUESTA Y DESARROLLO DE UN SISTEMA DE GESTION DE CALIDAD EN BASE A LA NORMA ISO 9001:2008 EN LA EMPRESA GRINAL S.R.L.")</f>
        <v>PROPUESTA Y DESARROLLO DE UN SISTEMA DE GESTION DE CALIDAD EN BASE A LA NORMA ISO 9001:2008 EN LA EMPRESA GRINAL S.R.L.</v>
      </c>
      <c r="B733" s="58">
        <f>IFERROR(__xludf.DUMMYFUNCTION("""COMPUTED_VALUE"""),1.0)</f>
        <v>1</v>
      </c>
    </row>
    <row r="734">
      <c r="A734" s="58" t="str">
        <f>IFERROR(__xludf.DUMMYFUNCTION("""COMPUTED_VALUE"""),"PROPUESTAS DE MEJORAS DE ADECUACIÓN AMBIENTAL PARA LAS UNIDADES PRODUCTIVAS DEL PARQUE INDUSTRIAL DE SANTIVAÑEZ")</f>
        <v>PROPUESTAS DE MEJORAS DE ADECUACIÓN AMBIENTAL PARA LAS UNIDADES PRODUCTIVAS DEL PARQUE INDUSTRIAL DE SANTIVAÑEZ</v>
      </c>
      <c r="B734" s="58">
        <f>IFERROR(__xludf.DUMMYFUNCTION("""COMPUTED_VALUE"""),1.0)</f>
        <v>1</v>
      </c>
    </row>
    <row r="735">
      <c r="A735" s="58" t="str">
        <f>IFERROR(__xludf.DUMMYFUNCTION("""COMPUTED_VALUE"""),"PROYECTO DE  FACTIBILIDAD  EN LA ELABORACIÓN DE HARINA DE TRIGO TIPO (000) EN LA SUB   CENTRAL YURAJ MOLINO POCONA (SCYM)")</f>
        <v>PROYECTO DE  FACTIBILIDAD  EN LA ELABORACIÓN DE HARINA DE TRIGO TIPO (000) EN LA SUB   CENTRAL YURAJ MOLINO POCONA (SCYM)</v>
      </c>
      <c r="B735" s="58">
        <f>IFERROR(__xludf.DUMMYFUNCTION("""COMPUTED_VALUE"""),4.0)</f>
        <v>4</v>
      </c>
    </row>
    <row r="736">
      <c r="A736" s="58" t="str">
        <f>IFERROR(__xludf.DUMMYFUNCTION("""COMPUTED_VALUE"""),"PROYECTO DE  FACTIBILIDAD  PARA LA FABRICACIÓN DE FIDEOS ENRIQUECIDOS  CON HARINA DE PLÁTANO")</f>
        <v>PROYECTO DE  FACTIBILIDAD  PARA LA FABRICACIÓN DE FIDEOS ENRIQUECIDOS  CON HARINA DE PLÁTANO</v>
      </c>
      <c r="B736" s="58">
        <f>IFERROR(__xludf.DUMMYFUNCTION("""COMPUTED_VALUE"""),3.0)</f>
        <v>3</v>
      </c>
    </row>
    <row r="737">
      <c r="A737" s="58" t="str">
        <f>IFERROR(__xludf.DUMMYFUNCTION("""COMPUTED_VALUE"""),"PROYECTO DE FACTIBILIDAD DE PRODUCCION DE CEREALES EXTRUIDOS PARA DESAYUNO EN LA REGION ANDINA DEL DEPARTAMENTO DE COCHABAMBA")</f>
        <v>PROYECTO DE FACTIBILIDAD DE PRODUCCION DE CEREALES EXTRUIDOS PARA DESAYUNO EN LA REGION ANDINA DEL DEPARTAMENTO DE COCHABAMBA</v>
      </c>
      <c r="B737" s="58">
        <f>IFERROR(__xludf.DUMMYFUNCTION("""COMPUTED_VALUE"""),1.0)</f>
        <v>1</v>
      </c>
    </row>
    <row r="738">
      <c r="A738" s="58" t="str">
        <f>IFERROR(__xludf.DUMMYFUNCTION("""COMPUTED_VALUE"""),"PROYECTO DE FACTIBILIDAD DE PRODUCCIÓN DE CEREALES EXTRUIDOS PARA DESAYUNO EN LA REGIÓN ANDINA DEL DEPARTAMENTO DE COCHABAMBA.")</f>
        <v>PROYECTO DE FACTIBILIDAD DE PRODUCCIÓN DE CEREALES EXTRUIDOS PARA DESAYUNO EN LA REGIÓN ANDINA DEL DEPARTAMENTO DE COCHABAMBA.</v>
      </c>
      <c r="B738" s="58">
        <f>IFERROR(__xludf.DUMMYFUNCTION("""COMPUTED_VALUE"""),1.0)</f>
        <v>1</v>
      </c>
    </row>
    <row r="739">
      <c r="A739" s="58" t="str">
        <f>IFERROR(__xludf.DUMMYFUNCTION("""COMPUTED_VALUE"""),"PROYECTO DE FACTIBILIDAD DE UNA PLANTA INDUSTRIALIZADORA DEL AJONJOLÍ Y SUS DERIVADOS")</f>
        <v>PROYECTO DE FACTIBILIDAD DE UNA PLANTA INDUSTRIALIZADORA DEL AJONJOLÍ Y SUS DERIVADOS</v>
      </c>
      <c r="B739" s="58">
        <f>IFERROR(__xludf.DUMMYFUNCTION("""COMPUTED_VALUE"""),2.0)</f>
        <v>2</v>
      </c>
    </row>
    <row r="740">
      <c r="A740" s="58" t="str">
        <f>IFERROR(__xludf.DUMMYFUNCTION("""COMPUTED_VALUE"""),"PROYECTO DE FACTIBILIDAD DE UNA PLANTA PROCESADORA DE BROMELINA EN EL TRÓPICO DE COCHABAMBA")</f>
        <v>PROYECTO DE FACTIBILIDAD DE UNA PLANTA PROCESADORA DE BROMELINA EN EL TRÓPICO DE COCHABAMBA</v>
      </c>
      <c r="B740" s="58">
        <f>IFERROR(__xludf.DUMMYFUNCTION("""COMPUTED_VALUE"""),1.0)</f>
        <v>1</v>
      </c>
    </row>
    <row r="741">
      <c r="A741" s="58" t="str">
        <f>IFERROR(__xludf.DUMMYFUNCTION("""COMPUTED_VALUE"""),"PROYECTO DE FACTIBILIDAD ECONÓMICA Y FINANCIERA PARA LA INSTALACIÓN DE UNA PLANTA PROCESADORA DE CAMU CAMU")</f>
        <v>PROYECTO DE FACTIBILIDAD ECONÓMICA Y FINANCIERA PARA LA INSTALACIÓN DE UNA PLANTA PROCESADORA DE CAMU CAMU</v>
      </c>
      <c r="B741" s="58">
        <f>IFERROR(__xludf.DUMMYFUNCTION("""COMPUTED_VALUE"""),8.0)</f>
        <v>8</v>
      </c>
    </row>
    <row r="742">
      <c r="A742" s="58" t="str">
        <f>IFERROR(__xludf.DUMMYFUNCTION("""COMPUTED_VALUE"""),"PROYECTO DE FACTIBILIDAD PARA EL DESARROLLO DE CONCENTRADO DE TOMATE Y CONCENTRADO DE AJÍ  PARA LA EMPRESA CORDILL S.A.")</f>
        <v>PROYECTO DE FACTIBILIDAD PARA EL DESARROLLO DE CONCENTRADO DE TOMATE Y CONCENTRADO DE AJÍ  PARA LA EMPRESA CORDILL S.A.</v>
      </c>
      <c r="B742" s="58">
        <f>IFERROR(__xludf.DUMMYFUNCTION("""COMPUTED_VALUE"""),3.0)</f>
        <v>3</v>
      </c>
    </row>
    <row r="743">
      <c r="A743" s="58" t="str">
        <f>IFERROR(__xludf.DUMMYFUNCTION("""COMPUTED_VALUE"""),"PROYECTO DE FACTIBILIDAD PARA IMPLEMENTAR UNA PANADERIA VEGANA EN LA CIUDAD DE COCHABAMBA BOLIVIA")</f>
        <v>PROYECTO DE FACTIBILIDAD PARA IMPLEMENTAR UNA PANADERIA VEGANA EN LA CIUDAD DE COCHABAMBA BOLIVIA</v>
      </c>
      <c r="B743" s="58">
        <f>IFERROR(__xludf.DUMMYFUNCTION("""COMPUTED_VALUE"""),1.0)</f>
        <v>1</v>
      </c>
    </row>
    <row r="744">
      <c r="A744" s="58" t="str">
        <f>IFERROR(__xludf.DUMMYFUNCTION("""COMPUTED_VALUE"""),"PROYECTO DE FACTIBILIDAD PARA IMPLEMENTAR UNA PANADERÍA VEGANA EN LA CIUDAD DE COCHABAMBA BOLIVIA")</f>
        <v>PROYECTO DE FACTIBILIDAD PARA IMPLEMENTAR UNA PANADERÍA VEGANA EN LA CIUDAD DE COCHABAMBA BOLIVIA</v>
      </c>
      <c r="B744" s="58">
        <f>IFERROR(__xludf.DUMMYFUNCTION("""COMPUTED_VALUE"""),2.0)</f>
        <v>2</v>
      </c>
    </row>
    <row r="745">
      <c r="A745" s="58" t="str">
        <f>IFERROR(__xludf.DUMMYFUNCTION("""COMPUTED_VALUE"""),"PROYECTO DE FACTIBILIDAD PARA IMPLEMENTAR UNA PLANTA PROCESADORA DE HARINA Y HOJUELAS DE YACÓN")</f>
        <v>PROYECTO DE FACTIBILIDAD PARA IMPLEMENTAR UNA PLANTA PROCESADORA DE HARINA Y HOJUELAS DE YACÓN</v>
      </c>
      <c r="B745" s="58">
        <f>IFERROR(__xludf.DUMMYFUNCTION("""COMPUTED_VALUE"""),2.0)</f>
        <v>2</v>
      </c>
    </row>
    <row r="746">
      <c r="A746" s="58" t="str">
        <f>IFERROR(__xludf.DUMMYFUNCTION("""COMPUTED_VALUE"""),"PROYECTO DE FACTIBILIDAD PARA LA
IMPLEMENTACIÓN DE UNA PLANTA PROCESADORA DE
JUGOS DE NARANJA, PIÑA Y MARACUYÁ A SER
COMERCIALIZADAS COMO DESAYUNO ESCOLAR")</f>
        <v>PROYECTO DE FACTIBILIDAD PARA LA
IMPLEMENTACIÓN DE UNA PLANTA PROCESADORA DE
JUGOS DE NARANJA, PIÑA Y MARACUYÁ A SER
COMERCIALIZADAS COMO DESAYUNO ESCOLAR</v>
      </c>
      <c r="B746" s="58">
        <f>IFERROR(__xludf.DUMMYFUNCTION("""COMPUTED_VALUE"""),3.0)</f>
        <v>3</v>
      </c>
    </row>
    <row r="747">
      <c r="A747" s="58" t="str">
        <f>IFERROR(__xludf.DUMMYFUNCTION("""COMPUTED_VALUE"""),"PROYECTO DE FACTIBILIDAD PARA LA CREACIÓN DE UN SUPERMERCADO EN LA LOCALIDAD DE IVIRGARZAMA, MUNICIPIO DE PUERTO VILLARROEL")</f>
        <v>PROYECTO DE FACTIBILIDAD PARA LA CREACIÓN DE UN SUPERMERCADO EN LA LOCALIDAD DE IVIRGARZAMA, MUNICIPIO DE PUERTO VILLARROEL</v>
      </c>
      <c r="B747" s="58">
        <f>IFERROR(__xludf.DUMMYFUNCTION("""COMPUTED_VALUE"""),1.0)</f>
        <v>1</v>
      </c>
    </row>
    <row r="748">
      <c r="A748" s="58" t="str">
        <f>IFERROR(__xludf.DUMMYFUNCTION("""COMPUTED_VALUE"""),"PROYECTO DE FACTIBILIDAD PARA LA CREACIÓN DE UNA EMPRESA COMERCIALIZADORA DE PLANTAS DE TRATAMIENTO PARA LAS AGUAS GRISES")</f>
        <v>PROYECTO DE FACTIBILIDAD PARA LA CREACIÓN DE UNA EMPRESA COMERCIALIZADORA DE PLANTAS DE TRATAMIENTO PARA LAS AGUAS GRISES</v>
      </c>
      <c r="B748" s="58">
        <f>IFERROR(__xludf.DUMMYFUNCTION("""COMPUTED_VALUE"""),2.0)</f>
        <v>2</v>
      </c>
    </row>
    <row r="749">
      <c r="A749" s="58" t="str">
        <f>IFERROR(__xludf.DUMMYFUNCTION("""COMPUTED_VALUE"""),"PROYECTO DE FACTIBILIDAD PARA LA CRIANZA DE TRUCHA EN LA COMUNIDAD DE VILLA VICTORIA, BOLIVAR")</f>
        <v>PROYECTO DE FACTIBILIDAD PARA LA CRIANZA DE TRUCHA EN LA COMUNIDAD DE VILLA VICTORIA, BOLIVAR</v>
      </c>
      <c r="B749" s="58">
        <f>IFERROR(__xludf.DUMMYFUNCTION("""COMPUTED_VALUE"""),2.0)</f>
        <v>2</v>
      </c>
    </row>
    <row r="750">
      <c r="A750" s="58" t="str">
        <f>IFERROR(__xludf.DUMMYFUNCTION("""COMPUTED_VALUE"""),"PROYECTO DE FACTIBILIDAD PARA LA ELABORACIÓN DE MERMELADA A BASE DE CARAMBOLA.")</f>
        <v>PROYECTO DE FACTIBILIDAD PARA LA ELABORACIÓN DE MERMELADA A BASE DE CARAMBOLA.</v>
      </c>
      <c r="B750" s="58">
        <f>IFERROR(__xludf.DUMMYFUNCTION("""COMPUTED_VALUE"""),1.0)</f>
        <v>1</v>
      </c>
    </row>
    <row r="751">
      <c r="A751" s="58" t="str">
        <f>IFERROR(__xludf.DUMMYFUNCTION("""COMPUTED_VALUE"""),"PROYECTO DE FACTIBILIDAD PARA LA ELABORACIÓN DE SAZONADOR DE CARNE A BASE DE PAPA EN EL DEPARTAMENTO DE COCHABAMBA")</f>
        <v>PROYECTO DE FACTIBILIDAD PARA LA ELABORACIÓN DE SAZONADOR DE CARNE A BASE DE PAPA EN EL DEPARTAMENTO DE COCHABAMBA</v>
      </c>
      <c r="B751" s="58">
        <f>IFERROR(__xludf.DUMMYFUNCTION("""COMPUTED_VALUE"""),8.0)</f>
        <v>8</v>
      </c>
    </row>
    <row r="752">
      <c r="A752" s="58" t="str">
        <f>IFERROR(__xludf.DUMMYFUNCTION("""COMPUTED_VALUE"""),"PROYECTO DE FACTIBILIDAD PARA LA EXPORTACIÓN DE PAPAYA EN CONSERVA A LA REPUBLICA ARGENTINA")</f>
        <v>PROYECTO DE FACTIBILIDAD PARA LA EXPORTACIÓN DE PAPAYA EN CONSERVA A LA REPUBLICA ARGENTINA</v>
      </c>
      <c r="B752" s="58">
        <f>IFERROR(__xludf.DUMMYFUNCTION("""COMPUTED_VALUE"""),3.0)</f>
        <v>3</v>
      </c>
    </row>
    <row r="753">
      <c r="A753" s="58" t="str">
        <f>IFERROR(__xludf.DUMMYFUNCTION("""COMPUTED_VALUE"""),"PROYECTO DE FACTIBILIDAD PARA LA IMPLEMENTACION DE UNA PLANTA INDUSTRIALIZADORA DE HARINA DE COPOAZÚ, DIRIGIDO AL MERCADO DE COCHABAMBA")</f>
        <v>PROYECTO DE FACTIBILIDAD PARA LA IMPLEMENTACION DE UNA PLANTA INDUSTRIALIZADORA DE HARINA DE COPOAZÚ, DIRIGIDO AL MERCADO DE COCHABAMBA</v>
      </c>
      <c r="B753" s="58">
        <f>IFERROR(__xludf.DUMMYFUNCTION("""COMPUTED_VALUE"""),18.0)</f>
        <v>18</v>
      </c>
    </row>
    <row r="754">
      <c r="A754" s="58" t="str">
        <f>IFERROR(__xludf.DUMMYFUNCTION("""COMPUTED_VALUE"""),"PROYECTO DE FACTIBILIDAD PARA LA IMPLEMENTACION DE UNA PLANTA PROCESADORA DE ACEITE A BASE DE SEMILLAS DE MORINGA OLEÍFERA EN EL DEPARTAMENTO DE COCHABAMBA")</f>
        <v>PROYECTO DE FACTIBILIDAD PARA LA IMPLEMENTACION DE UNA PLANTA PROCESADORA DE ACEITE A BASE DE SEMILLAS DE MORINGA OLEÍFERA EN EL DEPARTAMENTO DE COCHABAMBA</v>
      </c>
      <c r="B754" s="58">
        <f>IFERROR(__xludf.DUMMYFUNCTION("""COMPUTED_VALUE"""),36.0)</f>
        <v>36</v>
      </c>
    </row>
    <row r="755">
      <c r="A755" s="58" t="str">
        <f>IFERROR(__xludf.DUMMYFUNCTION("""COMPUTED_VALUE"""),"PROYECTO DE FACTIBILIDAD PARA LA IMPLEMENTACION DE UNA PLANTA PROCESADORA DE MANTEQUILLA Y LLAJWA DE MANI EN EL DEPARTAMENTO DE COCHABAMBA")</f>
        <v>PROYECTO DE FACTIBILIDAD PARA LA IMPLEMENTACION DE UNA PLANTA PROCESADORA DE MANTEQUILLA Y LLAJWA DE MANI EN EL DEPARTAMENTO DE COCHABAMBA</v>
      </c>
      <c r="B755" s="58">
        <f>IFERROR(__xludf.DUMMYFUNCTION("""COMPUTED_VALUE"""),16.0)</f>
        <v>16</v>
      </c>
    </row>
    <row r="756">
      <c r="A756" s="58" t="str">
        <f>IFERROR(__xludf.DUMMYFUNCTION("""COMPUTED_VALUE"""),"PROYECTO DE FACTIBILIDAD PARA LA IMPLEMENTACION DE UNA SUCURSAL DE HEMODIALISIS PARA LA EMPRESA ""HEMO D SERVICIOS DE DIALISIS S.R.L""")</f>
        <v>PROYECTO DE FACTIBILIDAD PARA LA IMPLEMENTACION DE UNA SUCURSAL DE HEMODIALISIS PARA LA EMPRESA "HEMO D SERVICIOS DE DIALISIS S.R.L"</v>
      </c>
      <c r="B756" s="58">
        <f>IFERROR(__xludf.DUMMYFUNCTION("""COMPUTED_VALUE"""),2.0)</f>
        <v>2</v>
      </c>
    </row>
    <row r="757">
      <c r="A757"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B757" s="58">
        <f>IFERROR(__xludf.DUMMYFUNCTION("""COMPUTED_VALUE"""),1.0)</f>
        <v>1</v>
      </c>
    </row>
    <row r="758">
      <c r="A758" s="58" t="str">
        <f>IFERROR(__xludf.DUMMYFUNCTION("""COMPUTED_VALUE"""),"PROYECTO DE FACTIBILIDAD PARA LA IMPLEMENTACIÓN DE
UNA PLANTA DE ELABORACIÓN DE HARINA DE VÍSCERAS DE
POLLO")</f>
        <v>PROYECTO DE FACTIBILIDAD PARA LA IMPLEMENTACIÓN DE
UNA PLANTA DE ELABORACIÓN DE HARINA DE VÍSCERAS DE
POLLO</v>
      </c>
      <c r="B758" s="58">
        <f>IFERROR(__xludf.DUMMYFUNCTION("""COMPUTED_VALUE"""),1.0)</f>
        <v>1</v>
      </c>
    </row>
    <row r="759">
      <c r="A759" s="58" t="str">
        <f>IFERROR(__xludf.DUMMYFUNCTION("""COMPUTED_VALUE"""),"PROYECTO DE FACTIBILIDAD PARA LA IMPLEMENTACIÓN DE
UNA PLANTA PROCESADORA DE PULPA DE ASAÍ PARA LA
ELABORACIÓN DE JUGO EN EL DEPARTAMENTO DE
COCHABAMBA")</f>
        <v>PROYECTO DE FACTIBILIDAD PARA LA IMPLEMENTACIÓN DE
UNA PLANTA PROCESADORA DE PULPA DE ASAÍ PARA LA
ELABORACIÓN DE JUGO EN EL DEPARTAMENTO DE
COCHABAMBA</v>
      </c>
      <c r="B759" s="58">
        <f>IFERROR(__xludf.DUMMYFUNCTION("""COMPUTED_VALUE"""),1.0)</f>
        <v>1</v>
      </c>
    </row>
    <row r="760">
      <c r="A760" s="58" t="str">
        <f>IFERROR(__xludf.DUMMYFUNCTION("""COMPUTED_VALUE"""),"PROYECTO DE FACTIBILIDAD PARA LA IMPLEMENTACIÓN DE UN CRIADERO DE PEJERREY EN EL MUNICIPIO DE VACAS, PROVINCIA DE ARANI")</f>
        <v>PROYECTO DE FACTIBILIDAD PARA LA IMPLEMENTACIÓN DE UN CRIADERO DE PEJERREY EN EL MUNICIPIO DE VACAS, PROVINCIA DE ARANI</v>
      </c>
      <c r="B760" s="58">
        <f>IFERROR(__xludf.DUMMYFUNCTION("""COMPUTED_VALUE"""),1.0)</f>
        <v>1</v>
      </c>
    </row>
    <row r="761">
      <c r="A761" s="58" t="str">
        <f>IFERROR(__xludf.DUMMYFUNCTION("""COMPUTED_VALUE"""),"PROYECTO DE FACTIBILIDAD PARA LA IMPLEMENTACIÓN DE UN CRIADERO DE TRUCHAS EN LA COMUNIDAD DE MONTE PUNCO, MUNICIPIO DE POCONA")</f>
        <v>PROYECTO DE FACTIBILIDAD PARA LA IMPLEMENTACIÓN DE UN CRIADERO DE TRUCHAS EN LA COMUNIDAD DE MONTE PUNCO, MUNICIPIO DE POCONA</v>
      </c>
      <c r="B761" s="58">
        <f>IFERROR(__xludf.DUMMYFUNCTION("""COMPUTED_VALUE"""),1.0)</f>
        <v>1</v>
      </c>
    </row>
    <row r="762">
      <c r="A762" s="58" t="str">
        <f>IFERROR(__xludf.DUMMYFUNCTION("""COMPUTED_VALUE"""),"PROYECTO DE FACTIBILIDAD PARA LA IMPLEMENTACIÓN DE UNA EMPRESA DEDICADA A LA PRODUCCIÓN DE BOLSAS DE TELA EN EL DEPARTAMENTO DE COCHABAMBA")</f>
        <v>PROYECTO DE FACTIBILIDAD PARA LA IMPLEMENTACIÓN DE UNA EMPRESA DEDICADA A LA PRODUCCIÓN DE BOLSAS DE TELA EN EL DEPARTAMENTO DE COCHABAMBA</v>
      </c>
      <c r="B762" s="58">
        <f>IFERROR(__xludf.DUMMYFUNCTION("""COMPUTED_VALUE"""),12.0)</f>
        <v>12</v>
      </c>
    </row>
    <row r="763">
      <c r="A763" s="58" t="str">
        <f>IFERROR(__xludf.DUMMYFUNCTION("""COMPUTED_VALUE"""),"PROYECTO DE FACTIBILIDAD PARA LA IMPLEMENTACIÓN DE UNA LÍNEA PRODUCTIVA DE YOGURT, DE UNA FRACCIÓN DE LACTOSUERO Y LECHE ENTERA EN LA PLANTA PILOTO DE TRANSFORMACIÓN DE DERIVADOS LÁCTEOS DE LA FACULTAD DE CIENCIAS AGRÍCOLAS Y PECUARIAS “DR. MARTIN CÁRDENA"&amp;"S” - UMSS")</f>
        <v>PROYECTO DE FACTIBILIDAD PARA LA IMPLEMENTACIÓN DE UNA LÍNEA PRODUCTIVA DE YOGURT, DE UNA FRACCIÓN DE LACTOSUERO Y LECHE ENTERA EN LA PLANTA PILOTO DE TRANSFORMACIÓN DE DERIVADOS LÁCTEOS DE LA FACULTAD DE CIENCIAS AGRÍCOLAS Y PECUARIAS “DR. MARTIN CÁRDENAS” - UMSS</v>
      </c>
      <c r="B763" s="58">
        <f>IFERROR(__xludf.DUMMYFUNCTION("""COMPUTED_VALUE"""),7.0)</f>
        <v>7</v>
      </c>
    </row>
    <row r="764">
      <c r="A764" s="58" t="str">
        <f>IFERROR(__xludf.DUMMYFUNCTION("""COMPUTED_VALUE"""),"PROYECTO DE FACTIBILIDAD PARA LA IMPLEMENTACIÓN DE UNA PLANTA
PROCESADORA DE BETÚN PARA CALZADOS A BASE DE MATERIA ORGÁNICA EN EL
DEPARTAMENTO DE COCHABAMBA")</f>
        <v>PROYECTO DE FACTIBILIDAD PARA LA IMPLEMENTACIÓN DE UNA PLANTA
PROCESADORA DE BETÚN PARA CALZADOS A BASE DE MATERIA ORGÁNICA EN EL
DEPARTAMENTO DE COCHABAMBA</v>
      </c>
      <c r="B764" s="58">
        <f>IFERROR(__xludf.DUMMYFUNCTION("""COMPUTED_VALUE"""),7.0)</f>
        <v>7</v>
      </c>
    </row>
    <row r="765">
      <c r="A765" s="58" t="str">
        <f>IFERROR(__xludf.DUMMYFUNCTION("""COMPUTED_VALUE"""),"PROYECTO DE FACTIBILIDAD PARA LA IMPLEMENTACIÓN DE UNA PLANTA DE ELABORACIÓN DE QUESO MADURADO")</f>
        <v>PROYECTO DE FACTIBILIDAD PARA LA IMPLEMENTACIÓN DE UNA PLANTA DE ELABORACIÓN DE QUESO MADURADO</v>
      </c>
      <c r="B765" s="58">
        <f>IFERROR(__xludf.DUMMYFUNCTION("""COMPUTED_VALUE"""),3.0)</f>
        <v>3</v>
      </c>
    </row>
    <row r="766">
      <c r="A766" s="58" t="str">
        <f>IFERROR(__xludf.DUMMYFUNCTION("""COMPUTED_VALUE"""),"PROYECTO DE FACTIBILIDAD PARA LA IMPLEMENTACIÓN DE UNA PLANTA DE EXTRUSIÓN, SOPLADO E INYECTADO DE PLÁSTICO EN TELECOMUNICACIONES PARA LA EMPRESA EXSMECON INGENIEROS SRL EN EL PARQUE INDUSTRIAL SANTIVAÑES")</f>
        <v>PROYECTO DE FACTIBILIDAD PARA LA IMPLEMENTACIÓN DE UNA PLANTA DE EXTRUSIÓN, SOPLADO E INYECTADO DE PLÁSTICO EN TELECOMUNICACIONES PARA LA EMPRESA EXSMECON INGENIEROS SRL EN EL PARQUE INDUSTRIAL SANTIVAÑES</v>
      </c>
      <c r="B766" s="58">
        <f>IFERROR(__xludf.DUMMYFUNCTION("""COMPUTED_VALUE"""),4.0)</f>
        <v>4</v>
      </c>
    </row>
    <row r="767">
      <c r="A767" s="58" t="str">
        <f>IFERROR(__xludf.DUMMYFUNCTION("""COMPUTED_VALUE"""),"PROYECTO DE FACTIBILIDAD PARA LA IMPLEMENTACIÓN DE UNA PLANTA DE MUEBLES MINIMALISTAS PARA LOS MERCADOS DE COCHABAMBA Y ORURO")</f>
        <v>PROYECTO DE FACTIBILIDAD PARA LA IMPLEMENTACIÓN DE UNA PLANTA DE MUEBLES MINIMALISTAS PARA LOS MERCADOS DE COCHABAMBA Y ORURO</v>
      </c>
      <c r="B767" s="58">
        <f>IFERROR(__xludf.DUMMYFUNCTION("""COMPUTED_VALUE"""),3.0)</f>
        <v>3</v>
      </c>
    </row>
    <row r="768">
      <c r="A768" s="58" t="str">
        <f>IFERROR(__xludf.DUMMYFUNCTION("""COMPUTED_VALUE"""),"PROYECTO DE FACTIBILIDAD PARA LA IMPLEMENTACIÓN DE UNA PLANTA DE PRODUCCIÓN DE BARRAS DE ACERO CORRUGADO, A PARTIR DE CHATARRA.")</f>
        <v>PROYECTO DE FACTIBILIDAD PARA LA IMPLEMENTACIÓN DE UNA PLANTA DE PRODUCCIÓN DE BARRAS DE ACERO CORRUGADO, A PARTIR DE CHATARRA.</v>
      </c>
      <c r="B768" s="58">
        <f>IFERROR(__xludf.DUMMYFUNCTION("""COMPUTED_VALUE"""),4.0)</f>
        <v>4</v>
      </c>
    </row>
    <row r="769">
      <c r="A769" s="58" t="str">
        <f>IFERROR(__xludf.DUMMYFUNCTION("""COMPUTED_VALUE"""),"PROYECTO DE FACTIBILIDAD PARA LA IMPLEMENTACIÓN DE UNA PLANTA DE PRODUCCIÓN DE HARINA DE PLUMAS HIDROLIZADAS DE POLLO EN COCHABAMBA")</f>
        <v>PROYECTO DE FACTIBILIDAD PARA LA IMPLEMENTACIÓN DE UNA PLANTA DE PRODUCCIÓN DE HARINA DE PLUMAS HIDROLIZADAS DE POLLO EN COCHABAMBA</v>
      </c>
      <c r="B769" s="58">
        <f>IFERROR(__xludf.DUMMYFUNCTION("""COMPUTED_VALUE"""),8.0)</f>
        <v>8</v>
      </c>
    </row>
    <row r="770">
      <c r="A770" s="58" t="str">
        <f>IFERROR(__xludf.DUMMYFUNCTION("""COMPUTED_VALUE"""),"PROYECTO DE FACTIBILIDAD PARA LA IMPLEMENTACIÓN DE UNA PLANTA DE PRODUCCIÓN DE HELADO CON ALOE VERA EN EL DEPARTAMENTO DE COCHABAMBA")</f>
        <v>PROYECTO DE FACTIBILIDAD PARA LA IMPLEMENTACIÓN DE UNA PLANTA DE PRODUCCIÓN DE HELADO CON ALOE VERA EN EL DEPARTAMENTO DE COCHABAMBA</v>
      </c>
      <c r="B770" s="58">
        <f>IFERROR(__xludf.DUMMYFUNCTION("""COMPUTED_VALUE"""),25.0)</f>
        <v>25</v>
      </c>
    </row>
    <row r="771">
      <c r="A771" s="58" t="str">
        <f>IFERROR(__xludf.DUMMYFUNCTION("""COMPUTED_VALUE"""),"PROYECTO DE FACTIBILIDAD PARA LA IMPLEMENTACIÓN DE UNA PLANTA DE PRODUCCIÓN DE JUGO DE CAMU CAMU EN EL DEPARTAMENTO DE COCHABAMBA")</f>
        <v>PROYECTO DE FACTIBILIDAD PARA LA IMPLEMENTACIÓN DE UNA PLANTA DE PRODUCCIÓN DE JUGO DE CAMU CAMU EN EL DEPARTAMENTO DE COCHABAMBA</v>
      </c>
      <c r="B771" s="58">
        <f>IFERROR(__xludf.DUMMYFUNCTION("""COMPUTED_VALUE"""),2.0)</f>
        <v>2</v>
      </c>
    </row>
    <row r="772">
      <c r="A772" s="58" t="str">
        <f>IFERROR(__xludf.DUMMYFUNCTION("""COMPUTED_VALUE"""),"PROYECTO DE FACTIBILIDAD PARA LA IMPLEMENTACIÓN DE UNA PLANTA DE PRODUCCIÓN DE ROCA FOSFÓRICA PARA USO AGRÍCOLA EN EL PARQUE INDUSTRIAL DE SANTIVAÑEZ")</f>
        <v>PROYECTO DE FACTIBILIDAD PARA LA IMPLEMENTACIÓN DE UNA PLANTA DE PRODUCCIÓN DE ROCA FOSFÓRICA PARA USO AGRÍCOLA EN EL PARQUE INDUSTRIAL DE SANTIVAÑEZ</v>
      </c>
      <c r="B772" s="58">
        <f>IFERROR(__xludf.DUMMYFUNCTION("""COMPUTED_VALUE"""),1.0)</f>
        <v>1</v>
      </c>
    </row>
    <row r="773">
      <c r="A773" s="58" t="str">
        <f>IFERROR(__xludf.DUMMYFUNCTION("""COMPUTED_VALUE"""),"PROYECTO DE FACTIBILIDAD PARA LA IMPLEMENTACIÓN DE UNA PLANTA DE PRODUCCIÓN DE ZUMO DE NARANJA EMBOTELLADA EN LA CIUDAD DE COCHABAMBA")</f>
        <v>PROYECTO DE FACTIBILIDAD PARA LA IMPLEMENTACIÓN DE UNA PLANTA DE PRODUCCIÓN DE ZUMO DE NARANJA EMBOTELLADA EN LA CIUDAD DE COCHABAMBA</v>
      </c>
      <c r="B773" s="58">
        <f>IFERROR(__xludf.DUMMYFUNCTION("""COMPUTED_VALUE"""),4.0)</f>
        <v>4</v>
      </c>
    </row>
    <row r="774">
      <c r="A774" s="58" t="str">
        <f>IFERROR(__xludf.DUMMYFUNCTION("""COMPUTED_VALUE"""),"PROYECTO DE FACTIBILIDAD PARA LA IMPLEMENTACIÓN DE UNA PLANTA INDUSTRIAL DE ENLATADO DE HABA EN EL MUNICIPIO DE CERCADO")</f>
        <v>PROYECTO DE FACTIBILIDAD PARA LA IMPLEMENTACIÓN DE UNA PLANTA INDUSTRIAL DE ENLATADO DE HABA EN EL MUNICIPIO DE CERCADO</v>
      </c>
      <c r="B774" s="58">
        <f>IFERROR(__xludf.DUMMYFUNCTION("""COMPUTED_VALUE"""),1.0)</f>
        <v>1</v>
      </c>
    </row>
    <row r="775">
      <c r="A775" s="58" t="str">
        <f>IFERROR(__xludf.DUMMYFUNCTION("""COMPUTED_VALUE"""),"PROYECTO DE FACTIBILIDAD PARA LA IMPLEMENTACIÓN DE UNA PLANTA PANIFICADORA INDUSTRIAL Y DE REPOSTERÍA EN EL MUNICIPIO DE PUERTO VILLARROEL")</f>
        <v>PROYECTO DE FACTIBILIDAD PARA LA IMPLEMENTACIÓN DE UNA PLANTA PANIFICADORA INDUSTRIAL Y DE REPOSTERÍA EN EL MUNICIPIO DE PUERTO VILLARROEL</v>
      </c>
      <c r="B775" s="58">
        <f>IFERROR(__xludf.DUMMYFUNCTION("""COMPUTED_VALUE"""),2.0)</f>
        <v>2</v>
      </c>
    </row>
    <row r="776">
      <c r="A776" s="58" t="str">
        <f>IFERROR(__xludf.DUMMYFUNCTION("""COMPUTED_VALUE"""),"PROYECTO DE FACTIBILIDAD PARA LA IMPLEMENTACIÓN DE UNA PLANTA PARA LA ELABORACIÒN DE QUESOS EN LA PROVINCIA DE PUNATA-COCHABAMBA")</f>
        <v>PROYECTO DE FACTIBILIDAD PARA LA IMPLEMENTACIÓN DE UNA PLANTA PARA LA ELABORACIÒN DE QUESOS EN LA PROVINCIA DE PUNATA-COCHABAMBA</v>
      </c>
      <c r="B776" s="58">
        <f>IFERROR(__xludf.DUMMYFUNCTION("""COMPUTED_VALUE"""),5.0)</f>
        <v>5</v>
      </c>
    </row>
    <row r="777">
      <c r="A777" s="58" t="str">
        <f>IFERROR(__xludf.DUMMYFUNCTION("""COMPUTED_VALUE"""),"PROYECTO DE FACTIBILIDAD PARA LA IMPLEMENTACIÓN DE UNA PLANTA PARA LA PRODUCCIÓN DE HARINA DE PLÁTANO Y OTROS DERIVADOS EN EL MUNICIPIO DE SACABA")</f>
        <v>PROYECTO DE FACTIBILIDAD PARA LA IMPLEMENTACIÓN DE UNA PLANTA PARA LA PRODUCCIÓN DE HARINA DE PLÁTANO Y OTROS DERIVADOS EN EL MUNICIPIO DE SACABA</v>
      </c>
      <c r="B777" s="58">
        <f>IFERROR(__xludf.DUMMYFUNCTION("""COMPUTED_VALUE"""),2.0)</f>
        <v>2</v>
      </c>
    </row>
    <row r="778">
      <c r="A778" s="58" t="str">
        <f>IFERROR(__xludf.DUMMYFUNCTION("""COMPUTED_VALUE"""),"PROYECTO DE FACTIBILIDAD PARA LA IMPLEMENTACIÓN DE UNA PLANTA PROCESADORA DE ACEITE DE AJONJOLÍ EN COCHABAMBA")</f>
        <v>PROYECTO DE FACTIBILIDAD PARA LA IMPLEMENTACIÓN DE UNA PLANTA PROCESADORA DE ACEITE DE AJONJOLÍ EN COCHABAMBA</v>
      </c>
      <c r="B778" s="58">
        <f>IFERROR(__xludf.DUMMYFUNCTION("""COMPUTED_VALUE"""),2.0)</f>
        <v>2</v>
      </c>
    </row>
    <row r="779">
      <c r="A779" s="58" t="str">
        <f>IFERROR(__xludf.DUMMYFUNCTION("""COMPUTED_VALUE"""),"PROYECTO DE FACTIBILIDAD PARA LA IMPLEMENTACIÓN DE UNA PLANTA PROCESADORA DE ACEITE EN BASE A SEMILLAS DE AJONJOLÍ PARA LA CIUDAD DE COCHABAMBA")</f>
        <v>PROYECTO DE FACTIBILIDAD PARA LA IMPLEMENTACIÓN DE UNA PLANTA PROCESADORA DE ACEITE EN BASE A SEMILLAS DE AJONJOLÍ PARA LA CIUDAD DE COCHABAMBA</v>
      </c>
      <c r="B779" s="58">
        <f>IFERROR(__xludf.DUMMYFUNCTION("""COMPUTED_VALUE"""),12.0)</f>
        <v>12</v>
      </c>
    </row>
    <row r="780">
      <c r="A780" s="58" t="str">
        <f>IFERROR(__xludf.DUMMYFUNCTION("""COMPUTED_VALUE"""),"PROYECTO DE FACTIBILIDAD PARA LA IMPLEMENTACIÓN DE UNA PLANTA PROCESADORA DE BIODIESEL EN INDUSTRIAS ADM-SAO S.A.")</f>
        <v>PROYECTO DE FACTIBILIDAD PARA LA IMPLEMENTACIÓN DE UNA PLANTA PROCESADORA DE BIODIESEL EN INDUSTRIAS ADM-SAO S.A.</v>
      </c>
      <c r="B780" s="58">
        <f>IFERROR(__xludf.DUMMYFUNCTION("""COMPUTED_VALUE"""),13.0)</f>
        <v>13</v>
      </c>
    </row>
    <row r="781">
      <c r="A781" s="58" t="str">
        <f>IFERROR(__xludf.DUMMYFUNCTION("""COMPUTED_VALUE"""),"PROYECTO DE FACTIBILIDAD PARA LA IMPLEMENTACIÓN DE UNA PLANTA PROCESADORA DE HARINA DE TEMBE DIRIGIDO AL MERCADO DE COCHABAMBA")</f>
        <v>PROYECTO DE FACTIBILIDAD PARA LA IMPLEMENTACIÓN DE UNA PLANTA PROCESADORA DE HARINA DE TEMBE DIRIGIDO AL MERCADO DE COCHABAMBA</v>
      </c>
      <c r="B781" s="58">
        <f>IFERROR(__xludf.DUMMYFUNCTION("""COMPUTED_VALUE"""),12.0)</f>
        <v>12</v>
      </c>
    </row>
    <row r="782">
      <c r="A782" s="58" t="str">
        <f>IFERROR(__xludf.DUMMYFUNCTION("""COMPUTED_VALUE"""),"PROYECTO DE FACTIBILIDAD PARA LA IMPLEMENTACIÓN DE UNA PLANTA PROCESADORA DE HOJUELAS DE CEREAL A BASE DE MAÍZ Y ALGARROBA PARA EL DEPARTAMENTO DE COCHABAMBA")</f>
        <v>PROYECTO DE FACTIBILIDAD PARA LA IMPLEMENTACIÓN DE UNA PLANTA PROCESADORA DE HOJUELAS DE CEREAL A BASE DE MAÍZ Y ALGARROBA PARA EL DEPARTAMENTO DE COCHABAMBA</v>
      </c>
      <c r="B782" s="58">
        <f>IFERROR(__xludf.DUMMYFUNCTION("""COMPUTED_VALUE"""),3.0)</f>
        <v>3</v>
      </c>
    </row>
    <row r="783">
      <c r="A783" s="58" t="str">
        <f>IFERROR(__xludf.DUMMYFUNCTION("""COMPUTED_VALUE"""),"PROYECTO DE FACTIBILIDAD PARA LA IMPLEMENTACIÓN DE UNA PLANTA PROCESADORA DE HONGOS FRESCOS AGARICUS BISPORUS (CHAMPIÑÓN), UBICADO EN EL DEPARTAMENTO DE COCHABAMBA")</f>
        <v>PROYECTO DE FACTIBILIDAD PARA LA IMPLEMENTACIÓN DE UNA PLANTA PROCESADORA DE HONGOS FRESCOS AGARICUS BISPORUS (CHAMPIÑÓN), UBICADO EN EL DEPARTAMENTO DE COCHABAMBA</v>
      </c>
      <c r="B783" s="58">
        <f>IFERROR(__xludf.DUMMYFUNCTION("""COMPUTED_VALUE"""),1.0)</f>
        <v>1</v>
      </c>
    </row>
    <row r="784">
      <c r="A784" s="58" t="str">
        <f>IFERROR(__xludf.DUMMYFUNCTION("""COMPUTED_VALUE"""),"PROYECTO DE FACTIBILIDAD PARA LA IMPLEMENTACIÓN DE UNA PLANTA PROCESADORA DE JUGOS DE FRUTA DE NARANJA, PIÑA Y MARACUYA PARA SER COMERCIALIZADOS COMO DESAYUNO ESCOLAR")</f>
        <v>PROYECTO DE FACTIBILIDAD PARA LA IMPLEMENTACIÓN DE UNA PLANTA PROCESADORA DE JUGOS DE FRUTA DE NARANJA, PIÑA Y MARACUYA PARA SER COMERCIALIZADOS COMO DESAYUNO ESCOLAR</v>
      </c>
      <c r="B784" s="58">
        <f>IFERROR(__xludf.DUMMYFUNCTION("""COMPUTED_VALUE"""),9.0)</f>
        <v>9</v>
      </c>
    </row>
    <row r="785">
      <c r="A785" s="58" t="str">
        <f>IFERROR(__xludf.DUMMYFUNCTION("""COMPUTED_VALUE"""),"PROYECTO DE FACTIBILIDAD PARA LA IMPLEMENTACIÓN DE UNA PLANTA PROCESADORA DE JUGOS DE NARANJA, PIÑA Y MARACUYÁ A SER COMERCIALIZADAS COMO DESAYUNO ESCOLAR")</f>
        <v>PROYECTO DE FACTIBILIDAD PARA LA IMPLEMENTACIÓN DE UNA PLANTA PROCESADORA DE JUGOS DE NARANJA, PIÑA Y MARACUYÁ A SER COMERCIALIZADAS COMO DESAYUNO ESCOLAR</v>
      </c>
      <c r="B785" s="58">
        <f>IFERROR(__xludf.DUMMYFUNCTION("""COMPUTED_VALUE"""),1.0)</f>
        <v>1</v>
      </c>
    </row>
    <row r="786">
      <c r="A786" s="58" t="str">
        <f>IFERROR(__xludf.DUMMYFUNCTION("""COMPUTED_VALUE"""),"PROYECTO DE FACTIBILIDAD PARA LA IMPLEMENTACIÓN DE UNA PLANTA PROCESADORA DE LOS DERIVADOS DE LA GUANÁBANA EN EL DEPARTAMENTO DE COCHABAMBA")</f>
        <v>PROYECTO DE FACTIBILIDAD PARA LA IMPLEMENTACIÓN DE UNA PLANTA PROCESADORA DE LOS DERIVADOS DE LA GUANÁBANA EN EL DEPARTAMENTO DE COCHABAMBA</v>
      </c>
      <c r="B786" s="58">
        <f>IFERROR(__xludf.DUMMYFUNCTION("""COMPUTED_VALUE"""),5.0)</f>
        <v>5</v>
      </c>
    </row>
    <row r="787">
      <c r="A787" s="58" t="str">
        <f>IFERROR(__xludf.DUMMYFUNCTION("""COMPUTED_VALUE"""),"PROYECTO DE FACTIBILIDAD PARA LA IMPLEMENTACIÓN DE UNA PLANTA PROCESADORA DE LÁCTEOS PARA LA ASOCIACIÓN DE PRODUCTORES LECHEROS A.P.L. PERTENECIENTES AL CLUSTER DE ALIMENTOS COCHABAMBA.")</f>
        <v>PROYECTO DE FACTIBILIDAD PARA LA IMPLEMENTACIÓN DE UNA PLANTA PROCESADORA DE LÁCTEOS PARA LA ASOCIACIÓN DE PRODUCTORES LECHEROS A.P.L. PERTENECIENTES AL CLUSTER DE ALIMENTOS COCHABAMBA.</v>
      </c>
      <c r="B787" s="58">
        <f>IFERROR(__xludf.DUMMYFUNCTION("""COMPUTED_VALUE"""),1.0)</f>
        <v>1</v>
      </c>
    </row>
    <row r="788">
      <c r="A788" s="58" t="str">
        <f>IFERROR(__xludf.DUMMYFUNCTION("""COMPUTED_VALUE"""),"PROYECTO DE FACTIBILIDAD PARA LA IMPLEMENTACIÓN DE UNA PLANTA PROCESADORA DE MERMELADA  DE CAMOTE CON PIÑA EN EL EJE METROPOLITANO DE COCHABAMBA")</f>
        <v>PROYECTO DE FACTIBILIDAD PARA LA IMPLEMENTACIÓN DE UNA PLANTA PROCESADORA DE MERMELADA  DE CAMOTE CON PIÑA EN EL EJE METROPOLITANO DE COCHABAMBA</v>
      </c>
      <c r="B788" s="58">
        <f>IFERROR(__xludf.DUMMYFUNCTION("""COMPUTED_VALUE"""),1.0)</f>
        <v>1</v>
      </c>
    </row>
    <row r="789">
      <c r="A789"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B789" s="58">
        <f>IFERROR(__xludf.DUMMYFUNCTION("""COMPUTED_VALUE"""),3.0)</f>
        <v>3</v>
      </c>
    </row>
    <row r="790">
      <c r="A790"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B790" s="58">
        <f>IFERROR(__xludf.DUMMYFUNCTION("""COMPUTED_VALUE"""),1.0)</f>
        <v>1</v>
      </c>
    </row>
    <row r="791">
      <c r="A791" s="58" t="str">
        <f>IFERROR(__xludf.DUMMYFUNCTION("""COMPUTED_VALUE"""),"PROYECTO DE FACTIBILIDAD PARA LA IMPLEMENTACIÓN DE UNA PLANTA PROCESADORA DE MERMELADA DE CAMOTE CON PIÑA EN EL EJE METROPOLITANO DE COCHABAMBA")</f>
        <v>PROYECTO DE FACTIBILIDAD PARA LA IMPLEMENTACIÓN DE UNA PLANTA PROCESADORA DE MERMELADA DE CAMOTE CON PIÑA EN EL EJE METROPOLITANO DE COCHABAMBA</v>
      </c>
      <c r="B791" s="58">
        <f>IFERROR(__xludf.DUMMYFUNCTION("""COMPUTED_VALUE"""),1.0)</f>
        <v>1</v>
      </c>
    </row>
    <row r="792">
      <c r="A792" s="58" t="str">
        <f>IFERROR(__xludf.DUMMYFUNCTION("""COMPUTED_VALUE"""),"PROYECTO DE FACTIBILIDAD PARA LA IMPLEMENTACIÓN DE UNA PLANTA PROCESADORA DE PROTEÍNA DE QUINUA PARA LA EXPORTACIÓN A LA UNIÓN EUROPEA")</f>
        <v>PROYECTO DE FACTIBILIDAD PARA LA IMPLEMENTACIÓN DE UNA PLANTA PROCESADORA DE PROTEÍNA DE QUINUA PARA LA EXPORTACIÓN A LA UNIÓN EUROPEA</v>
      </c>
      <c r="B792" s="58">
        <f>IFERROR(__xludf.DUMMYFUNCTION("""COMPUTED_VALUE"""),6.0)</f>
        <v>6</v>
      </c>
    </row>
    <row r="793">
      <c r="A793" s="58" t="str">
        <f>IFERROR(__xludf.DUMMYFUNCTION("""COMPUTED_VALUE"""),"PROYECTO DE FACTIBILIDAD PARA LA IMPLEMENTACIÓN DE UNA PLANTA PROCESADORA DE PULPA ASAÍ PARA LA ELABORACIÓN DE JUGO EN EL DEPARTAMENTO DE COCHABAMBA")</f>
        <v>PROYECTO DE FACTIBILIDAD PARA LA IMPLEMENTACIÓN DE UNA PLANTA PROCESADORA DE PULPA ASAÍ PARA LA ELABORACIÓN DE JUGO EN EL DEPARTAMENTO DE COCHABAMBA</v>
      </c>
      <c r="B793" s="58">
        <f>IFERROR(__xludf.DUMMYFUNCTION("""COMPUTED_VALUE"""),3.0)</f>
        <v>3</v>
      </c>
    </row>
    <row r="794">
      <c r="A794" s="58" t="str">
        <f>IFERROR(__xludf.DUMMYFUNCTION("""COMPUTED_VALUE"""),"PROYECTO DE FACTIBILIDAD PARA LA IMPLEMENTACIÓN DE UNA PLANTA PROCESADORA DE PURÉ DE FRUTAS TROPICALES PARA LA EXPORTACIÓN A LA UNIÓN EUROPEA.")</f>
        <v>PROYECTO DE FACTIBILIDAD PARA LA IMPLEMENTACIÓN DE UNA PLANTA PROCESADORA DE PURÉ DE FRUTAS TROPICALES PARA LA EXPORTACIÓN A LA UNIÓN EUROPEA.</v>
      </c>
      <c r="B794" s="58">
        <f>IFERROR(__xludf.DUMMYFUNCTION("""COMPUTED_VALUE"""),4.0)</f>
        <v>4</v>
      </c>
    </row>
    <row r="795">
      <c r="A795" s="58" t="str">
        <f>IFERROR(__xludf.DUMMYFUNCTION("""COMPUTED_VALUE"""),"PROYECTO DE FACTIBILIDAD PARA LA IMPLEMENTACIÓN DE UNA PLANTA PROCESADORA DE YOGURT A BASE DE PULPA DE ALOE VERA EN LA CIUDAD DE COCHABAMBA")</f>
        <v>PROYECTO DE FACTIBILIDAD PARA LA IMPLEMENTACIÓN DE UNA PLANTA PROCESADORA DE YOGURT A BASE DE PULPA DE ALOE VERA EN LA CIUDAD DE COCHABAMBA</v>
      </c>
      <c r="B795" s="58">
        <f>IFERROR(__xludf.DUMMYFUNCTION("""COMPUTED_VALUE"""),7.0)</f>
        <v>7</v>
      </c>
    </row>
    <row r="796">
      <c r="A796" s="58" t="str">
        <f>IFERROR(__xludf.DUMMYFUNCTION("""COMPUTED_VALUE"""),"PROYECTO DE FACTIBILIDAD PARA LA IMPLEMENTACIÓN DE UNA PLANTA PROCESADORA DE YOGURT PARA LA EMPRESA “K-PRICHO INDUSTRIAS LÁCTEAS”")</f>
        <v>PROYECTO DE FACTIBILIDAD PARA LA IMPLEMENTACIÓN DE UNA PLANTA PROCESADORA DE YOGURT PARA LA EMPRESA “K-PRICHO INDUSTRIAS LÁCTEAS”</v>
      </c>
      <c r="B796" s="58">
        <f>IFERROR(__xludf.DUMMYFUNCTION("""COMPUTED_VALUE"""),1.0)</f>
        <v>1</v>
      </c>
    </row>
    <row r="797">
      <c r="A797" s="58" t="str">
        <f>IFERROR(__xludf.DUMMYFUNCTION("""COMPUTED_VALUE"""),"PROYECTO DE FACTIBILIDAD PARA LA IMPLEMENTACIÓN DE UNA PLANTA PRODUCTORA DE BOLSAS PLÁSTICAS BIODEGRADABLES A BASE DE ALMIDÓN DE MANDIOCA EN EL DEPARTAMENTO DE COCHABAMBA.")</f>
        <v>PROYECTO DE FACTIBILIDAD PARA LA IMPLEMENTACIÓN DE UNA PLANTA PRODUCTORA DE BOLSAS PLÁSTICAS BIODEGRADABLES A BASE DE ALMIDÓN DE MANDIOCA EN EL DEPARTAMENTO DE COCHABAMBA.</v>
      </c>
      <c r="B797" s="58">
        <f>IFERROR(__xludf.DUMMYFUNCTION("""COMPUTED_VALUE"""),6.0)</f>
        <v>6</v>
      </c>
    </row>
    <row r="798">
      <c r="A798" s="58" t="str">
        <f>IFERROR(__xludf.DUMMYFUNCTION("""COMPUTED_VALUE"""),"PROYECTO DE FACTIBILIDAD PARA LA IMPLEMENTACIÓN DE UNA PLANTA PRODUCTORA DE HAMBURGUESAS DE QUINUA
EN COCHABAMBA")</f>
        <v>PROYECTO DE FACTIBILIDAD PARA LA IMPLEMENTACIÓN DE UNA PLANTA PRODUCTORA DE HAMBURGUESAS DE QUINUA
EN COCHABAMBA</v>
      </c>
      <c r="B798" s="58">
        <f>IFERROR(__xludf.DUMMYFUNCTION("""COMPUTED_VALUE"""),1.0)</f>
        <v>1</v>
      </c>
    </row>
    <row r="799">
      <c r="A799" s="58" t="str">
        <f>IFERROR(__xludf.DUMMYFUNCTION("""COMPUTED_VALUE"""),"PROYECTO DE FACTIBILIDAD PARA LA IMPLEMENTACIÓN DE UNA PLANTA PRODUCTORA DE HAMBURGUESAS DE QUINUA EN COCHABAMBA")</f>
        <v>PROYECTO DE FACTIBILIDAD PARA LA IMPLEMENTACIÓN DE UNA PLANTA PRODUCTORA DE HAMBURGUESAS DE QUINUA EN COCHABAMBA</v>
      </c>
      <c r="B799" s="58">
        <f>IFERROR(__xludf.DUMMYFUNCTION("""COMPUTED_VALUE"""),8.0)</f>
        <v>8</v>
      </c>
    </row>
    <row r="800">
      <c r="A800" s="58" t="str">
        <f>IFERROR(__xludf.DUMMYFUNCTION("""COMPUTED_VALUE"""),"PROYECTO DE FACTIBILIDAD PARA LA IMPLEMENTACIÓN DE UNA PLANTA PRODUCTORA DE LADRILLOS A PARTIR DE RESIDUOS DE CONSTRUCCIÓN Y DEMOLICIÓN (RCD) EN COCHABAMBA")</f>
        <v>PROYECTO DE FACTIBILIDAD PARA LA IMPLEMENTACIÓN DE UNA PLANTA PRODUCTORA DE LADRILLOS A PARTIR DE RESIDUOS DE CONSTRUCCIÓN Y DEMOLICIÓN (RCD) EN COCHABAMBA</v>
      </c>
      <c r="B800" s="58">
        <f>IFERROR(__xludf.DUMMYFUNCTION("""COMPUTED_VALUE"""),1.0)</f>
        <v>1</v>
      </c>
    </row>
    <row r="801">
      <c r="A801" s="58" t="str">
        <f>IFERROR(__xludf.DUMMYFUNCTION("""COMPUTED_VALUE"""),"PROYECTO DE FACTIBILIDAD PARA LA IMPLEMENTACIÓN DE UNA PLANTA PRODUCTORA DE LECHE DE SOYA")</f>
        <v>PROYECTO DE FACTIBILIDAD PARA LA IMPLEMENTACIÓN DE UNA PLANTA PRODUCTORA DE LECHE DE SOYA</v>
      </c>
      <c r="B801" s="58">
        <f>IFERROR(__xludf.DUMMYFUNCTION("""COMPUTED_VALUE"""),5.0)</f>
        <v>5</v>
      </c>
    </row>
    <row r="802">
      <c r="A802" s="58" t="str">
        <f>IFERROR(__xludf.DUMMYFUNCTION("""COMPUTED_VALUE"""),"PROYECTO DE FACTIBILIDAD PARA LA IMPLEMENTACIÓN DE UNA PLANTA PRODUCTORA DE SALSA DE PALTA PARA EL MERCADO COCHABAMBINO")</f>
        <v>PROYECTO DE FACTIBILIDAD PARA LA IMPLEMENTACIÓN DE UNA PLANTA PRODUCTORA DE SALSA DE PALTA PARA EL MERCADO COCHABAMBINO</v>
      </c>
      <c r="B802" s="58">
        <f>IFERROR(__xludf.DUMMYFUNCTION("""COMPUTED_VALUE"""),2.0)</f>
        <v>2</v>
      </c>
    </row>
    <row r="803">
      <c r="A803" s="58" t="str">
        <f>IFERROR(__xludf.DUMMYFUNCTION("""COMPUTED_VALUE"""),"PROYECTO DE FACTIBILIDAD PARA LA IMPLEMENTACIÓN DE UNA PLANTA PRODUCTORA DE SALSA DE PALTA PARA EL MERCADO COCHABAMBINO.")</f>
        <v>PROYECTO DE FACTIBILIDAD PARA LA IMPLEMENTACIÓN DE UNA PLANTA PRODUCTORA DE SALSA DE PALTA PARA EL MERCADO COCHABAMBINO.</v>
      </c>
      <c r="B803" s="58">
        <f>IFERROR(__xludf.DUMMYFUNCTION("""COMPUTED_VALUE"""),1.0)</f>
        <v>1</v>
      </c>
    </row>
    <row r="804">
      <c r="A804" s="58" t="str">
        <f>IFERROR(__xludf.DUMMYFUNCTION("""COMPUTED_VALUE"""),"PROYECTO DE FACTIBILIDAD PARA LA IMPLEMENTACIÓN DE UNA PLANTA PRODUCTORA DE YOGUR BIOLÓGICO ENRIQUECIDO CON QUINUA, PARA CERCADO-COCHABAMBA.")</f>
        <v>PROYECTO DE FACTIBILIDAD PARA LA IMPLEMENTACIÓN DE UNA PLANTA PRODUCTORA DE YOGUR BIOLÓGICO ENRIQUECIDO CON QUINUA, PARA CERCADO-COCHABAMBA.</v>
      </c>
      <c r="B804" s="58">
        <f>IFERROR(__xludf.DUMMYFUNCTION("""COMPUTED_VALUE"""),10.0)</f>
        <v>10</v>
      </c>
    </row>
    <row r="805">
      <c r="A805" s="58" t="str">
        <f>IFERROR(__xludf.DUMMYFUNCTION("""COMPUTED_VALUE"""),"PROYECTO DE FACTIBILIDAD PARA LA IMPLEMENTACIÓN DE UNA PLANTA RECAUCHUTADORA DE LLANTAS PARA LA EMPRESA IMPORTADORA BADRA S.R.L. EN EL DEPARTAMENTO DE COCHABAMBA")</f>
        <v>PROYECTO DE FACTIBILIDAD PARA LA IMPLEMENTACIÓN DE UNA PLANTA RECAUCHUTADORA DE LLANTAS PARA LA EMPRESA IMPORTADORA BADRA S.R.L. EN EL DEPARTAMENTO DE COCHABAMBA</v>
      </c>
      <c r="B805" s="58">
        <f>IFERROR(__xludf.DUMMYFUNCTION("""COMPUTED_VALUE"""),2.0)</f>
        <v>2</v>
      </c>
    </row>
    <row r="806">
      <c r="A806" s="58" t="str">
        <f>IFERROR(__xludf.DUMMYFUNCTION("""COMPUTED_VALUE"""),"PROYECTO DE FACTIBILIDAD PARA LA IMPLEMENTACIÓN DEBUN CRIADERO DE TRUCHAS EN LA COMUNIDAD DE MONTE PUNCO, MUNICIPIO DE POCONA")</f>
        <v>PROYECTO DE FACTIBILIDAD PARA LA IMPLEMENTACIÓN DEBUN CRIADERO DE TRUCHAS EN LA COMUNIDAD DE MONTE PUNCO, MUNICIPIO DE POCONA</v>
      </c>
      <c r="B806" s="58">
        <f>IFERROR(__xludf.DUMMYFUNCTION("""COMPUTED_VALUE"""),1.0)</f>
        <v>1</v>
      </c>
    </row>
    <row r="807">
      <c r="A807" s="58" t="str">
        <f>IFERROR(__xludf.DUMMYFUNCTION("""COMPUTED_VALUE"""),"PROYECTO DE FACTIBILIDAD PARA LA IMPLEMENTACIÓN DEL SUPERMERCADO SUPERGAR EN LA CIUDAD DE TARIJA.")</f>
        <v>PROYECTO DE FACTIBILIDAD PARA LA IMPLEMENTACIÓN DEL SUPERMERCADO SUPERGAR EN LA CIUDAD DE TARIJA.</v>
      </c>
      <c r="B807" s="58">
        <f>IFERROR(__xludf.DUMMYFUNCTION("""COMPUTED_VALUE"""),1.0)</f>
        <v>1</v>
      </c>
    </row>
    <row r="808">
      <c r="A808" s="58" t="str">
        <f>IFERROR(__xludf.DUMMYFUNCTION("""COMPUTED_VALUE"""),"PROYECTO DE FACTIBILIDAD PARA LA IMPLEMENTAR Y DIVERSIFICAR LA PRODUCCIÓN DE BOTELLONES PARA AGUA DE MESA A BASE DE POLIPROPILENO EN LA EMPRESA INPROMAT")</f>
        <v>PROYECTO DE FACTIBILIDAD PARA LA IMPLEMENTAR Y DIVERSIFICAR LA PRODUCCIÓN DE BOTELLONES PARA AGUA DE MESA A BASE DE POLIPROPILENO EN LA EMPRESA INPROMAT</v>
      </c>
      <c r="B808" s="58">
        <f>IFERROR(__xludf.DUMMYFUNCTION("""COMPUTED_VALUE"""),4.0)</f>
        <v>4</v>
      </c>
    </row>
    <row r="809">
      <c r="A809" s="58" t="str">
        <f>IFERROR(__xludf.DUMMYFUNCTION("""COMPUTED_VALUE"""),"PROYECTO DE FACTIBILIDAD PARA LA INSTALACION DE
UNA PLANTA PRODUCTORA DE “CEREALES A BASE DE
QUINUA” DIRIGIDO AL MERCADO DE COCHABAMBA")</f>
        <v>PROYECTO DE FACTIBILIDAD PARA LA INSTALACION DE
UNA PLANTA PRODUCTORA DE “CEREALES A BASE DE
QUINUA” DIRIGIDO AL MERCADO DE COCHABAMBA</v>
      </c>
      <c r="B809" s="58">
        <f>IFERROR(__xludf.DUMMYFUNCTION("""COMPUTED_VALUE"""),1.0)</f>
        <v>1</v>
      </c>
    </row>
    <row r="810">
      <c r="A810" s="58" t="str">
        <f>IFERROR(__xludf.DUMMYFUNCTION("""COMPUTED_VALUE"""),"PROYECTO DE FACTIBILIDAD PARA LA INSTALACIÓN DE UNA LAVANDERÍA INDUSTRIAL DE JEANS PARA LA EMPRESA BREY JEANS")</f>
        <v>PROYECTO DE FACTIBILIDAD PARA LA INSTALACIÓN DE UNA LAVANDERÍA INDUSTRIAL DE JEANS PARA LA EMPRESA BREY JEANS</v>
      </c>
      <c r="B810" s="58">
        <f>IFERROR(__xludf.DUMMYFUNCTION("""COMPUTED_VALUE"""),1.0)</f>
        <v>1</v>
      </c>
    </row>
    <row r="811">
      <c r="A811" s="58" t="str">
        <f>IFERROR(__xludf.DUMMYFUNCTION("""COMPUTED_VALUE"""),"PROYECTO DE FACTIBILIDAD PARA LA INSTALACIÓN DE UNA PLANTA DE EMBUTIDOS TIPO VIENA EN BASE A LA CARNE DE LLAMA (LAMA GLAMA")</f>
        <v>PROYECTO DE FACTIBILIDAD PARA LA INSTALACIÓN DE UNA PLANTA DE EMBUTIDOS TIPO VIENA EN BASE A LA CARNE DE LLAMA (LAMA GLAMA</v>
      </c>
      <c r="B811" s="58">
        <f>IFERROR(__xludf.DUMMYFUNCTION("""COMPUTED_VALUE"""),5.0)</f>
        <v>5</v>
      </c>
    </row>
    <row r="812">
      <c r="A812" s="58" t="str">
        <f>IFERROR(__xludf.DUMMYFUNCTION("""COMPUTED_VALUE"""),"PROYECTO DE FACTIBILIDAD PARA LA INSTALACIÓN DE UNA PLANTA DE PRODUCCIÓN DE PLATOS BIODEGRADABLES A BASE DE DESECHOS DE CAÑA DE AZÚCAR PARA EL MUNICIPIO DE COCHABAMBA")</f>
        <v>PROYECTO DE FACTIBILIDAD PARA LA INSTALACIÓN DE UNA PLANTA DE PRODUCCIÓN DE PLATOS BIODEGRADABLES A BASE DE DESECHOS DE CAÑA DE AZÚCAR PARA EL MUNICIPIO DE COCHABAMBA</v>
      </c>
      <c r="B812" s="58">
        <f>IFERROR(__xludf.DUMMYFUNCTION("""COMPUTED_VALUE"""),2.0)</f>
        <v>2</v>
      </c>
    </row>
    <row r="813">
      <c r="A813" s="58" t="str">
        <f>IFERROR(__xludf.DUMMYFUNCTION("""COMPUTED_VALUE"""),"PROYECTO DE FACTIBILIDAD PARA LA INSTALACIÓN DE UNA PLANTA DESHIDRATADORA DE DURAZNO, CIRUELA Y UVA EN EL VALLE ALTO")</f>
        <v>PROYECTO DE FACTIBILIDAD PARA LA INSTALACIÓN DE UNA PLANTA DESHIDRATADORA DE DURAZNO, CIRUELA Y UVA EN EL VALLE ALTO</v>
      </c>
      <c r="B813" s="58">
        <f>IFERROR(__xludf.DUMMYFUNCTION("""COMPUTED_VALUE"""),10.0)</f>
        <v>10</v>
      </c>
    </row>
    <row r="814">
      <c r="A814" s="58" t="str">
        <f>IFERROR(__xludf.DUMMYFUNCTION("""COMPUTED_VALUE"""),"PROYECTO DE FACTIBILIDAD PARA LA INSTALACIÓN DE UNA PLANTA ELABORADORA DE SHAMPOO A BASE DE JENGIBRE EN LA CIUDAD DE COCHABAMBA")</f>
        <v>PROYECTO DE FACTIBILIDAD PARA LA INSTALACIÓN DE UNA PLANTA ELABORADORA DE SHAMPOO A BASE DE JENGIBRE EN LA CIUDAD DE COCHABAMBA</v>
      </c>
      <c r="B814" s="58">
        <f>IFERROR(__xludf.DUMMYFUNCTION("""COMPUTED_VALUE"""),10.0)</f>
        <v>10</v>
      </c>
    </row>
    <row r="815">
      <c r="A815" s="58" t="str">
        <f>IFERROR(__xludf.DUMMYFUNCTION("""COMPUTED_VALUE"""),"PROYECTO DE FACTIBILIDAD PARA LA INSTALACIÓN DE UNA PLANTA ELABORADORA DE SHAMPOO A BASE DE ROMERO EN EL ÁREA METROPOLITANA DE COCHABAMBA")</f>
        <v>PROYECTO DE FACTIBILIDAD PARA LA INSTALACIÓN DE UNA PLANTA ELABORADORA DE SHAMPOO A BASE DE ROMERO EN EL ÁREA METROPOLITANA DE COCHABAMBA</v>
      </c>
      <c r="B815" s="58">
        <f>IFERROR(__xludf.DUMMYFUNCTION("""COMPUTED_VALUE"""),28.0)</f>
        <v>28</v>
      </c>
    </row>
    <row r="816">
      <c r="A816" s="58" t="str">
        <f>IFERROR(__xludf.DUMMYFUNCTION("""COMPUTED_VALUE"""),"PROYECTO DE FACTIBILIDAD PARA LA INSTALACIÓN DE UNA PLANTA INDUSTRIALIZADORA DE ARVEJA EN LA CIUDAD DE COCHABAMBA")</f>
        <v>PROYECTO DE FACTIBILIDAD PARA LA INSTALACIÓN DE UNA PLANTA INDUSTRIALIZADORA DE ARVEJA EN LA CIUDAD DE COCHABAMBA</v>
      </c>
      <c r="B816" s="58">
        <f>IFERROR(__xludf.DUMMYFUNCTION("""COMPUTED_VALUE"""),3.0)</f>
        <v>3</v>
      </c>
    </row>
    <row r="817">
      <c r="A817" s="58" t="str">
        <f>IFERROR(__xludf.DUMMYFUNCTION("""COMPUTED_VALUE"""),"PROYECTO DE FACTIBILIDAD PARA LA INSTALACIÓN DE UNA PLANTA PROCESADORA DE GALLETAS DE SORGO PARA EL EJE METROPOLITANO DEL DEPARTAMENTO DE COCHABAMBA.")</f>
        <v>PROYECTO DE FACTIBILIDAD PARA LA INSTALACIÓN DE UNA PLANTA PROCESADORA DE GALLETAS DE SORGO PARA EL EJE METROPOLITANO DEL DEPARTAMENTO DE COCHABAMBA.</v>
      </c>
      <c r="B817" s="58">
        <f>IFERROR(__xludf.DUMMYFUNCTION("""COMPUTED_VALUE"""),5.0)</f>
        <v>5</v>
      </c>
    </row>
    <row r="818">
      <c r="A818" s="58" t="str">
        <f>IFERROR(__xludf.DUMMYFUNCTION("""COMPUTED_VALUE"""),"PROYECTO DE FACTIBILIDAD PARA LA INSTALACIÓN DE UNA PLANTA PROCESADORA DE PULPA DE CUPUAZU")</f>
        <v>PROYECTO DE FACTIBILIDAD PARA LA INSTALACIÓN DE UNA PLANTA PROCESADORA DE PULPA DE CUPUAZU</v>
      </c>
      <c r="B818" s="58">
        <f>IFERROR(__xludf.DUMMYFUNCTION("""COMPUTED_VALUE"""),3.0)</f>
        <v>3</v>
      </c>
    </row>
    <row r="819">
      <c r="A819" s="58" t="str">
        <f>IFERROR(__xludf.DUMMYFUNCTION("""COMPUTED_VALUE"""),"PROYECTO DE FACTIBILIDAD PARA LA INSTALACIÓN DE UNA PLANTA PRODUCTORA DE SUPLEMENTO ALIMENTARIO PARA ANIMALES DE GRANJA A PARTIR DE MORINGA (OLEÍFERA)")</f>
        <v>PROYECTO DE FACTIBILIDAD PARA LA INSTALACIÓN DE UNA PLANTA PRODUCTORA DE SUPLEMENTO ALIMENTARIO PARA ANIMALES DE GRANJA A PARTIR DE MORINGA (OLEÍFERA)</v>
      </c>
      <c r="B819" s="58">
        <f>IFERROR(__xludf.DUMMYFUNCTION("""COMPUTED_VALUE"""),1.0)</f>
        <v>1</v>
      </c>
    </row>
    <row r="820">
      <c r="A820" s="58" t="str">
        <f>IFERROR(__xludf.DUMMYFUNCTION("""COMPUTED_VALUE"""),"PROYECTO DE FACTIBILIDAD PARA LA INSTALACIÓN DE UNA PLANTA PRODUCTORA DE “CEREALES A BASE DE QUINUA” DIRIGIDO AL MERCADO DE COCHABAMBA")</f>
        <v>PROYECTO DE FACTIBILIDAD PARA LA INSTALACIÓN DE UNA PLANTA PRODUCTORA DE “CEREALES A BASE DE QUINUA” DIRIGIDO AL MERCADO DE COCHABAMBA</v>
      </c>
      <c r="B820" s="58">
        <f>IFERROR(__xludf.DUMMYFUNCTION("""COMPUTED_VALUE"""),8.0)</f>
        <v>8</v>
      </c>
    </row>
    <row r="821">
      <c r="A821" s="58" t="str">
        <f>IFERROR(__xludf.DUMMYFUNCTION("""COMPUTED_VALUE"""),"PROYECTO DE FACTIBILIDAD PARA LA INSTALACIÓN INDUSTRIAL DE UNA PLANTA DE RECICLADO MECÁNICO PARA LA OBTENCIÓN DE FIBRA DE POLIÉSTER A PARTIR DE BOTELLAS PLÁSTICAS DE PET EN COCHABAMBA Y SANTA CRUZ")</f>
        <v>PROYECTO DE FACTIBILIDAD PARA LA INSTALACIÓN INDUSTRIAL DE UNA PLANTA DE RECICLADO MECÁNICO PARA LA OBTENCIÓN DE FIBRA DE POLIÉSTER A PARTIR DE BOTELLAS PLÁSTICAS DE PET EN COCHABAMBA Y SANTA CRUZ</v>
      </c>
      <c r="B821" s="58">
        <f>IFERROR(__xludf.DUMMYFUNCTION("""COMPUTED_VALUE"""),1.0)</f>
        <v>1</v>
      </c>
    </row>
    <row r="822">
      <c r="A822" s="58" t="str">
        <f>IFERROR(__xludf.DUMMYFUNCTION("""COMPUTED_VALUE"""),"PROYECTO DE FACTIBILIDAD PARA LA PRODUCCION Y COMERCIALIZACION DEL ACEITE DE CHIA")</f>
        <v>PROYECTO DE FACTIBILIDAD PARA LA PRODUCCION Y COMERCIALIZACION DEL ACEITE DE CHIA</v>
      </c>
      <c r="B822" s="58">
        <f>IFERROR(__xludf.DUMMYFUNCTION("""COMPUTED_VALUE"""),4.0)</f>
        <v>4</v>
      </c>
    </row>
    <row r="823">
      <c r="A823" s="58" t="str">
        <f>IFERROR(__xludf.DUMMYFUNCTION("""COMPUTED_VALUE"""),"PROYECTO DE FACTIBILIDAD PARA LA PRODUCCIÓN DE BARRAS ENERGÉTICAS LIBRES DE GLUTEN PARA LAS ASOCIACIONES DE PRODUCTORES DE MANÍ DE MIZQUE Y VILLA SERRANO (APROMAM)")</f>
        <v>PROYECTO DE FACTIBILIDAD PARA LA PRODUCCIÓN DE BARRAS ENERGÉTICAS LIBRES DE GLUTEN PARA LAS ASOCIACIONES DE PRODUCTORES DE MANÍ DE MIZQUE Y VILLA SERRANO (APROMAM)</v>
      </c>
      <c r="B823" s="58">
        <f>IFERROR(__xludf.DUMMYFUNCTION("""COMPUTED_VALUE"""),2.0)</f>
        <v>2</v>
      </c>
    </row>
    <row r="824">
      <c r="A824" s="58" t="str">
        <f>IFERROR(__xludf.DUMMYFUNCTION("""COMPUTED_VALUE"""),"PROYECTO DE FACTIBILIDAD PARA LA PRODUCCIÓN DE TEJAS A PARTIR DE
LLANTAS RECICLADAS EN COCHABAMBA")</f>
        <v>PROYECTO DE FACTIBILIDAD PARA LA PRODUCCIÓN DE TEJAS A PARTIR DE
LLANTAS RECICLADAS EN COCHABAMBA</v>
      </c>
      <c r="B824" s="58">
        <f>IFERROR(__xludf.DUMMYFUNCTION("""COMPUTED_VALUE"""),1.0)</f>
        <v>1</v>
      </c>
    </row>
    <row r="825">
      <c r="A825" s="58" t="str">
        <f>IFERROR(__xludf.DUMMYFUNCTION("""COMPUTED_VALUE"""),"PROYECTO DE FACTIBILIDAD PARA LAIMPLEMENTACIÓN DE UNA PLANTA PROCESADORA DE JUGOS DE NARANJA, PIÑA Y MARACUYÁ A SER COMERCIALIZADAS COMO DESAYUNO ESCOLAR")</f>
        <v>PROYECTO DE FACTIBILIDAD PARA LAIMPLEMENTACIÓN DE UNA PLANTA PROCESADORA DE JUGOS DE NARANJA, PIÑA Y MARACUYÁ A SER COMERCIALIZADAS COMO DESAYUNO ESCOLAR</v>
      </c>
      <c r="B825" s="58">
        <f>IFERROR(__xludf.DUMMYFUNCTION("""COMPUTED_VALUE"""),1.0)</f>
        <v>1</v>
      </c>
    </row>
    <row r="826">
      <c r="A826" s="58" t="str">
        <f>IFERROR(__xludf.DUMMYFUNCTION("""COMPUTED_VALUE"""),"PROYECTO DE FACTIBILIDAD PARA UNA PLANTA DE BIOETANOL A PARTIR DEL APROVECHAMIENTO DE CAÑA DE AZÚCAR EN EL DEPARTAMENTO DE COCHABAMBA")</f>
        <v>PROYECTO DE FACTIBILIDAD PARA UNA PLANTA DE BIOETANOL A PARTIR DEL APROVECHAMIENTO DE CAÑA DE AZÚCAR EN EL DEPARTAMENTO DE COCHABAMBA</v>
      </c>
      <c r="B826" s="58">
        <f>IFERROR(__xludf.DUMMYFUNCTION("""COMPUTED_VALUE"""),10.0)</f>
        <v>10</v>
      </c>
    </row>
    <row r="827">
      <c r="A827" s="58" t="str">
        <f>IFERROR(__xludf.DUMMYFUNCTION("""COMPUTED_VALUE"""),"PROYECTO DE FACTIBILIDAD PRODUCTIVA Y COMERCIAL PARA LA IMPLEMENTACIÓN DE UNA PLANTA PELADORA DE MAÍZ EN LA PROVINCIA GERMAN JORDÁN – CLIZA")</f>
        <v>PROYECTO DE FACTIBILIDAD PRODUCTIVA Y COMERCIAL PARA LA IMPLEMENTACIÓN DE UNA PLANTA PELADORA DE MAÍZ EN LA PROVINCIA GERMAN JORDÁN – CLIZA</v>
      </c>
      <c r="B827" s="58">
        <f>IFERROR(__xludf.DUMMYFUNCTION("""COMPUTED_VALUE"""),4.0)</f>
        <v>4</v>
      </c>
    </row>
    <row r="828">
      <c r="A828" s="58" t="str">
        <f>IFERROR(__xludf.DUMMYFUNCTION("""COMPUTED_VALUE"""),"PROYECTO DE FACTIBILIDAD TECNICA Y FINANCIERA PARA LA IMPLEMENTACION DE UNA NUEVA LINEA DE PRODUCCION DE CARNE (HAMBURGUESA) VEGANA A BASE DE OKARA PARA LA EMPRESA NORDLAND LTDA. EN LA CIUDAD DE COCHABAMBA")</f>
        <v>PROYECTO DE FACTIBILIDAD TECNICA Y FINANCIERA PARA LA IMPLEMENTACION DE UNA NUEVA LINEA DE PRODUCCION DE CARNE (HAMBURGUESA) VEGANA A BASE DE OKARA PARA LA EMPRESA NORDLAND LTDA. EN LA CIUDAD DE COCHABAMBA</v>
      </c>
      <c r="B828" s="58">
        <f>IFERROR(__xludf.DUMMYFUNCTION("""COMPUTED_VALUE"""),5.0)</f>
        <v>5</v>
      </c>
    </row>
    <row r="829">
      <c r="A829" s="58" t="str">
        <f>IFERROR(__xludf.DUMMYFUNCTION("""COMPUTED_VALUE"""),"PROYECTO DE FACTIBILIDAD TECNICA Y FINANCIERA PARA LA INSTALACION DE UNA PLANTA PROCESADORA DE HARINA DE OCA EN COCHABAMBA")</f>
        <v>PROYECTO DE FACTIBILIDAD TECNICA Y FINANCIERA PARA LA INSTALACION DE UNA PLANTA PROCESADORA DE HARINA DE OCA EN COCHABAMBA</v>
      </c>
      <c r="B829" s="58">
        <f>IFERROR(__xludf.DUMMYFUNCTION("""COMPUTED_VALUE"""),3.0)</f>
        <v>3</v>
      </c>
    </row>
    <row r="830">
      <c r="A830" s="58" t="str">
        <f>IFERROR(__xludf.DUMMYFUNCTION("""COMPUTED_VALUE"""),"PROYECTO DE FACTIBILIDAD TÉCNICA ECONÓMICA PARA LA INSTALACIÓN DE UNA PLANTA PROCESADORA DE MERMELADA DE TOMATE EN LA LOCALIDAD DE TIPA TIPA.")</f>
        <v>PROYECTO DE FACTIBILIDAD TÉCNICA ECONÓMICA PARA LA INSTALACIÓN DE UNA PLANTA PROCESADORA DE MERMELADA DE TOMATE EN LA LOCALIDAD DE TIPA TIPA.</v>
      </c>
      <c r="B830" s="58">
        <f>IFERROR(__xludf.DUMMYFUNCTION("""COMPUTED_VALUE"""),2.0)</f>
        <v>2</v>
      </c>
    </row>
    <row r="831">
      <c r="A831" s="58" t="str">
        <f>IFERROR(__xludf.DUMMYFUNCTION("""COMPUTED_VALUE"""),"PROYECTO DE FACTIBILIDAD TÉCNICA Y FINANCIERA PARA LA IMPLEMENTACIÓN DE UNA PLANTA PROCESADORA DE HARINA DE PAPA EN LA COMUNIDAD DE CHAPISIRCA-TIQUIPAYA")</f>
        <v>PROYECTO DE FACTIBILIDAD TÉCNICA Y FINANCIERA PARA LA IMPLEMENTACIÓN DE UNA PLANTA PROCESADORA DE HARINA DE PAPA EN LA COMUNIDAD DE CHAPISIRCA-TIQUIPAYA</v>
      </c>
      <c r="B831" s="58">
        <f>IFERROR(__xludf.DUMMYFUNCTION("""COMPUTED_VALUE"""),7.0)</f>
        <v>7</v>
      </c>
    </row>
    <row r="832">
      <c r="A832" s="58" t="str">
        <f>IFERROR(__xludf.DUMMYFUNCTION("""COMPUTED_VALUE"""),"PROYECTO DE FACTIBILIDAD TÉCNICA Y FINANCIERA PARA LA IMPLEMENTACIÓN DE UNA PLANTA PROCESADORA DE JARABE DE FRUCTUOSA DE YACÓN (POLYMNIA SONCHIFOLIA) EN EL EJE METROPOLITANO DEL DEPARTAMENTO DE COCHABAMBA")</f>
        <v>PROYECTO DE FACTIBILIDAD TÉCNICA Y FINANCIERA PARA LA IMPLEMENTACIÓN DE UNA PLANTA PROCESADORA DE JARABE DE FRUCTUOSA DE YACÓN (POLYMNIA SONCHIFOLIA) EN EL EJE METROPOLITANO DEL DEPARTAMENTO DE COCHABAMBA</v>
      </c>
      <c r="B832" s="58">
        <f>IFERROR(__xludf.DUMMYFUNCTION("""COMPUTED_VALUE"""),4.0)</f>
        <v>4</v>
      </c>
    </row>
    <row r="833">
      <c r="A833" s="58" t="str">
        <f>IFERROR(__xludf.DUMMYFUNCTION("""COMPUTED_VALUE"""),"PROYECTO DE FACTIBILIDAD TÉCNICO Y COMERCIAL PARA UNA NUEVA LÍNEA INDUSTRIAL DE MERMELADA PARA TUFRU S.R.L")</f>
        <v>PROYECTO DE FACTIBILIDAD TÉCNICO Y COMERCIAL PARA UNA NUEVA LÍNEA INDUSTRIAL DE MERMELADA PARA TUFRU S.R.L</v>
      </c>
      <c r="B833" s="58">
        <f>IFERROR(__xludf.DUMMYFUNCTION("""COMPUTED_VALUE"""),3.0)</f>
        <v>3</v>
      </c>
    </row>
    <row r="834">
      <c r="A834" s="58" t="str">
        <f>IFERROR(__xludf.DUMMYFUNCTION("""COMPUTED_VALUE"""),"PROYECTO DE PRE-FACTIBILIDAD PARA LA INSTALACIÓN DE UNA PLANTA DE PRODUCCIÓN  DE “LECHUGA Y TOMATE HIDROPÓNICA” EN EL EJE METROPOLITANO DE COCHABAMBA.")</f>
        <v>PROYECTO DE PRE-FACTIBILIDAD PARA LA INSTALACIÓN DE UNA PLANTA DE PRODUCCIÓN  DE “LECHUGA Y TOMATE HIDROPÓNICA” EN EL EJE METROPOLITANO DE COCHABAMBA.</v>
      </c>
      <c r="B834" s="58">
        <f>IFERROR(__xludf.DUMMYFUNCTION("""COMPUTED_VALUE"""),4.0)</f>
        <v>4</v>
      </c>
    </row>
    <row r="835">
      <c r="A835" s="58" t="str">
        <f>IFERROR(__xludf.DUMMYFUNCTION("""COMPUTED_VALUE"""),"PROYECTO DE PRE-FACTIBILIDAD PARA LA INSTALACIÓN DE UNA PLANTA DE PRODUCCIÓN DE “LECHUGA Y TOMATE HIDROPÓNICA” EN EL EJE METROPOLITANO DE COCHABAMBA.")</f>
        <v>PROYECTO DE PRE-FACTIBILIDAD PARA LA INSTALACIÓN DE UNA PLANTA DE PRODUCCIÓN DE “LECHUGA Y TOMATE HIDROPÓNICA” EN EL EJE METROPOLITANO DE COCHABAMBA.</v>
      </c>
      <c r="B835" s="58">
        <f>IFERROR(__xludf.DUMMYFUNCTION("""COMPUTED_VALUE"""),1.0)</f>
        <v>1</v>
      </c>
    </row>
    <row r="836">
      <c r="A836" s="58" t="str">
        <f>IFERROR(__xludf.DUMMYFUNCTION("""COMPUTED_VALUE"""),"PROYECTO DE TRANSFORMACIÓN CURRICULAR PARA LA CARRERA LICENCIATURA EN INGENIERÍA INDUSTRIAL DE LA FACULTAD DE  CIENCIAS Y TECNOLOGÍA DE LA UNIVERSIDAD MAYOR DE SAN SIMÓN")</f>
        <v>PROYECTO DE TRANSFORMACIÓN CURRICULAR PARA LA CARRERA LICENCIATURA EN INGENIERÍA INDUSTRIAL DE LA FACULTAD DE  CIENCIAS Y TECNOLOGÍA DE LA UNIVERSIDAD MAYOR DE SAN SIMÓN</v>
      </c>
      <c r="B836" s="58">
        <f>IFERROR(__xludf.DUMMYFUNCTION("""COMPUTED_VALUE"""),2.0)</f>
        <v>2</v>
      </c>
    </row>
    <row r="837">
      <c r="A837" s="58" t="str">
        <f>IFERROR(__xludf.DUMMYFUNCTION("""COMPUTED_VALUE"""),"PROYECTO DE TRANSFORMACIÓN CURRICULAR PARA LA CARRERA LICENCIATURA EN INGENIERÍA INDUSTRIAL DE LA FACULTAD DE CIENCIAS Y TECNOLOGÍA DE LA UNIVERSIDAD MAYOR DE SAN SIMÓN")</f>
        <v>PROYECTO DE TRANSFORMACIÓN CURRICULAR PARA LA CARRERA LICENCIATURA EN INGENIERÍA INDUSTRIAL DE LA FACULTAD DE CIENCIAS Y TECNOLOGÍA DE LA UNIVERSIDAD MAYOR DE SAN SIMÓN</v>
      </c>
      <c r="B837" s="58">
        <f>IFERROR(__xludf.DUMMYFUNCTION("""COMPUTED_VALUE"""),1.0)</f>
        <v>1</v>
      </c>
    </row>
    <row r="838">
      <c r="A838" s="58" t="str">
        <f>IFERROR(__xludf.DUMMYFUNCTION("""COMPUTED_VALUE"""),"PROYECTO DE VIABILIDAD PARA LA IMPLEMENTACION DE UNA PLANTA PROCESADORA DE VINO DE UVA EN LA LOCALIDAD DE MIZQUE - COCHABAMBA")</f>
        <v>PROYECTO DE VIABILIDAD PARA LA IMPLEMENTACION DE UNA PLANTA PROCESADORA DE VINO DE UVA EN LA LOCALIDAD DE MIZQUE - COCHABAMBA</v>
      </c>
      <c r="B838" s="58">
        <f>IFERROR(__xludf.DUMMYFUNCTION("""COMPUTED_VALUE"""),1.0)</f>
        <v>1</v>
      </c>
    </row>
    <row r="839">
      <c r="A839" s="58" t="str">
        <f>IFERROR(__xludf.DUMMYFUNCTION("""COMPUTED_VALUE"""),"PROYECTO DE VIABILIDAD PARA LA IMPLEMENTACIÓN DE UNA PLANTA PROCESADORA DE VINO DE UVA EN LA LOCALIDAD DE MIZQUE - COCHABAMBA")</f>
        <v>PROYECTO DE VIABILIDAD PARA LA IMPLEMENTACIÓN DE UNA PLANTA PROCESADORA DE VINO DE UVA EN LA LOCALIDAD DE MIZQUE - COCHABAMBA</v>
      </c>
      <c r="B839" s="58">
        <f>IFERROR(__xludf.DUMMYFUNCTION("""COMPUTED_VALUE"""),2.0)</f>
        <v>2</v>
      </c>
    </row>
    <row r="840">
      <c r="A840" s="58" t="str">
        <f>IFERROR(__xludf.DUMMYFUNCTION("""COMPUTED_VALUE"""),"REDISEÑO DEL PROCESO PRODUCTIVO EN LA SECCIÓN CARPINTERÍA, DEPENDIENTE DE SERVICIOS GENERALES DE LA UNIVERSIDAD MAYOR DE SAN SIMÓN")</f>
        <v>REDISEÑO DEL PROCESO PRODUCTIVO EN LA SECCIÓN CARPINTERÍA, DEPENDIENTE DE SERVICIOS GENERALES DE LA UNIVERSIDAD MAYOR DE SAN SIMÓN</v>
      </c>
      <c r="B840" s="58">
        <f>IFERROR(__xludf.DUMMYFUNCTION("""COMPUTED_VALUE"""),2.0)</f>
        <v>2</v>
      </c>
    </row>
    <row r="841">
      <c r="A841" s="58" t="str">
        <f>IFERROR(__xludf.DUMMYFUNCTION("""COMPUTED_VALUE"""),"REDISEÑOS DE PROCESOS OPERATIVOS PARA LA ADAPTACIÓN DE UN SISTEMA ERP DE INDUSTRIAS NAHÍ CORPORACIÓN S.R.L.")</f>
        <v>REDISEÑOS DE PROCESOS OPERATIVOS PARA LA ADAPTACIÓN DE UN SISTEMA ERP DE INDUSTRIAS NAHÍ CORPORACIÓN S.R.L.</v>
      </c>
      <c r="B841" s="58">
        <f>IFERROR(__xludf.DUMMYFUNCTION("""COMPUTED_VALUE"""),2.0)</f>
        <v>2</v>
      </c>
    </row>
    <row r="842">
      <c r="A842" s="58" t="str">
        <f>IFERROR(__xludf.DUMMYFUNCTION("""COMPUTED_VALUE"""),"REDUCCION DEL TIEMPO EN LOS CAMBIOS DE CALIBRE DE LA LINEA DE PRODUCCION DE PLANTA “SACABA SD, PEPSI” APLICANDO HERRAMIENTAS DE LA METODOLOGIA SMED")</f>
        <v>REDUCCION DEL TIEMPO EN LOS CAMBIOS DE CALIBRE DE LA LINEA DE PRODUCCION DE PLANTA “SACABA SD, PEPSI” APLICANDO HERRAMIENTAS DE LA METODOLOGIA SMED</v>
      </c>
      <c r="B842" s="58">
        <f>IFERROR(__xludf.DUMMYFUNCTION("""COMPUTED_VALUE"""),10.0)</f>
        <v>10</v>
      </c>
    </row>
    <row r="843">
      <c r="A843" s="58" t="str">
        <f>IFERROR(__xludf.DUMMYFUNCTION("""COMPUTED_VALUE"""),"REDUCCIÓN DEL TIEMPO DE CAMBIO DE FORMATO EN LAS MÁQUINAS ENVASADORAS DE DETERGENTES B3 Y T1 DE LA EMPRESA UNILEVER ANDINA BOLIVIA S.A. APLICANDO LA HERRAMIENTA SMED")</f>
        <v>REDUCCIÓN DEL TIEMPO DE CAMBIO DE FORMATO EN LAS MÁQUINAS ENVASADORAS DE DETERGENTES B3 Y T1 DE LA EMPRESA UNILEVER ANDINA BOLIVIA S.A. APLICANDO LA HERRAMIENTA SMED</v>
      </c>
      <c r="B843" s="58">
        <f>IFERROR(__xludf.DUMMYFUNCTION("""COMPUTED_VALUE"""),2.0)</f>
        <v>2</v>
      </c>
    </row>
    <row r="844">
      <c r="A844" s="58" t="str">
        <f>IFERROR(__xludf.DUMMYFUNCTION("""COMPUTED_VALUE"""),"REESTRUCTURACIÓN DEL ÁREA PRODUCTIVA Y ADMINISTRATIVA DE LA EMPRESA DE CONFECCIONES ""GARELI JEANS"" BAJO UN ENFOQUE DE REINGENIERÍA")</f>
        <v>REESTRUCTURACIÓN DEL ÁREA PRODUCTIVA Y ADMINISTRATIVA DE LA EMPRESA DE CONFECCIONES "GARELI JEANS" BAJO UN ENFOQUE DE REINGENIERÍA</v>
      </c>
      <c r="B844" s="58">
        <f>IFERROR(__xludf.DUMMYFUNCTION("""COMPUTED_VALUE"""),1.0)</f>
        <v>1</v>
      </c>
    </row>
    <row r="845">
      <c r="A845" s="58" t="str">
        <f>IFERROR(__xludf.DUMMYFUNCTION("""COMPUTED_VALUE"""),"REESTRUCTURACIÓN DEL ÁREA PRODUCTIVA Y ADMINISTRATIVA DE LA EMPRESA DE CONFECCIONES GARELI JEANS” BAJO UN ENFOQUE DE REINGENIERÍA")</f>
        <v>REESTRUCTURACIÓN DEL ÁREA PRODUCTIVA Y ADMINISTRATIVA DE LA EMPRESA DE CONFECCIONES GARELI JEANS” BAJO UN ENFOQUE DE REINGENIERÍA</v>
      </c>
      <c r="B845" s="58">
        <f>IFERROR(__xludf.DUMMYFUNCTION("""COMPUTED_VALUE"""),1.0)</f>
        <v>1</v>
      </c>
    </row>
    <row r="846">
      <c r="A846" s="58" t="str">
        <f>IFERROR(__xludf.DUMMYFUNCTION("""COMPUTED_VALUE"""),"REFORMULACIÓN DEL PLAN ESTRATÉGICO DEL 2002 PARA EL CENTRO DE BIOTECNOLOGÍA DE LA FCYT DE LA UMSS")</f>
        <v>REFORMULACIÓN DEL PLAN ESTRATÉGICO DEL 2002 PARA EL CENTRO DE BIOTECNOLOGÍA DE LA FCYT DE LA UMSS</v>
      </c>
      <c r="B846" s="58">
        <f>IFERROR(__xludf.DUMMYFUNCTION("""COMPUTED_VALUE"""),2.0)</f>
        <v>2</v>
      </c>
    </row>
    <row r="847">
      <c r="A847" s="58" t="str">
        <f>IFERROR(__xludf.DUMMYFUNCTION("""COMPUTED_VALUE"""),"REORGANIZACIÓN DE LAS INSTALACIONES LECHERAS DE LA EMPRESA VERTIENTE BAJO UN ENFOQUE DE REINGENIERÍA")</f>
        <v>REORGANIZACIÓN DE LAS INSTALACIONES LECHERAS DE LA EMPRESA VERTIENTE BAJO UN ENFOQUE DE REINGENIERÍA</v>
      </c>
      <c r="B847" s="58">
        <f>IFERROR(__xludf.DUMMYFUNCTION("""COMPUTED_VALUE"""),2.0)</f>
        <v>2</v>
      </c>
    </row>
    <row r="848">
      <c r="A848" s="58" t="str">
        <f>IFERROR(__xludf.DUMMYFUNCTION("""COMPUTED_VALUE"""),"REORGANIZACIÓN DEL PROCESO PRODUCTIVO EN LA EMPRESA INDUSTRIA DE CONDUCTORES (IDECON)")</f>
        <v>REORGANIZACIÓN DEL PROCESO PRODUCTIVO EN LA EMPRESA INDUSTRIA DE CONDUCTORES (IDECON)</v>
      </c>
      <c r="B848" s="58">
        <f>IFERROR(__xludf.DUMMYFUNCTION("""COMPUTED_VALUE"""),3.0)</f>
        <v>3</v>
      </c>
    </row>
    <row r="849">
      <c r="A849" s="58" t="str">
        <f>IFERROR(__xludf.DUMMYFUNCTION("""COMPUTED_VALUE"""),"SISTEMA DE CONTROL DE CALIDAD DE PRODUCTO
TERMINADO DE INCERPAZ")</f>
        <v>SISTEMA DE CONTROL DE CALIDAD DE PRODUCTO
TERMINADO DE INCERPAZ</v>
      </c>
      <c r="B849" s="58">
        <f>IFERROR(__xludf.DUMMYFUNCTION("""COMPUTED_VALUE"""),1.0)</f>
        <v>1</v>
      </c>
    </row>
    <row r="850">
      <c r="A850" s="58" t="str">
        <f>IFERROR(__xludf.DUMMYFUNCTION("""COMPUTED_VALUE"""),"SISTEMA DE CONTROL DE CALIDAD DE PRODUCTO TERMINADO DE INCERPAZ.")</f>
        <v>SISTEMA DE CONTROL DE CALIDAD DE PRODUCTO TERMINADO DE INCERPAZ.</v>
      </c>
      <c r="B850" s="58">
        <f>IFERROR(__xludf.DUMMYFUNCTION("""COMPUTED_VALUE"""),4.0)</f>
        <v>4</v>
      </c>
    </row>
    <row r="851">
      <c r="A851" s="58" t="str">
        <f>IFERROR(__xludf.DUMMYFUNCTION("""COMPUTED_VALUE"""),"SISTEMA DE COSTOS PARA LA INDUSTRIA PANIFICADORA “SOTO”")</f>
        <v>SISTEMA DE COSTOS PARA LA INDUSTRIA PANIFICADORA “SOTO”</v>
      </c>
      <c r="B851" s="58">
        <f>IFERROR(__xludf.DUMMYFUNCTION("""COMPUTED_VALUE"""),1.0)</f>
        <v>1</v>
      </c>
    </row>
    <row r="852">
      <c r="A852" s="58" t="str">
        <f>IFERROR(__xludf.DUMMYFUNCTION("""COMPUTED_VALUE"""),"SISTEMA DE GESTION EN SEGURIDAD INDUSTRIAL Y SALUD OCUPACIONAL PARA LA PLANTA DE FABRICACION DE ENVASES PLASTICOS PILPLAST DEL MUNICIPIO DE COLCAPIRHUA")</f>
        <v>SISTEMA DE GESTION EN SEGURIDAD INDUSTRIAL Y SALUD OCUPACIONAL PARA LA PLANTA DE FABRICACION DE ENVASES PLASTICOS PILPLAST DEL MUNICIPIO DE COLCAPIRHUA</v>
      </c>
      <c r="B852" s="58">
        <f>IFERROR(__xludf.DUMMYFUNCTION("""COMPUTED_VALUE"""),5.0)</f>
        <v>5</v>
      </c>
    </row>
    <row r="853">
      <c r="A853" s="58" t="str">
        <f>IFERROR(__xludf.DUMMYFUNCTION("""COMPUTED_VALUE"""),"SISTEMA DE GESTIÓN DE CALIDAD BASADO EN LA NORMA ISO 9001:2008 PARA UNILEVER           ANDINA BOLIVIA S.A. EN EL CENTRO NACIONAL DE DISTRIBUCIÓN")</f>
        <v>SISTEMA DE GESTIÓN DE CALIDAD BASADO EN LA NORMA ISO 9001:2008 PARA UNILEVER           ANDINA BOLIVIA S.A. EN EL CENTRO NACIONAL DE DISTRIBUCIÓN</v>
      </c>
      <c r="B853" s="58">
        <f>IFERROR(__xludf.DUMMYFUNCTION("""COMPUTED_VALUE"""),2.0)</f>
        <v>2</v>
      </c>
    </row>
    <row r="854">
      <c r="A854" s="58" t="str">
        <f>IFERROR(__xludf.DUMMYFUNCTION("""COMPUTED_VALUE"""),"SISTEMA DE GESTIÓN DE LA CALIDAD SEGÚN CERTIFICACIÓN DE PRODUCTO CON SELLO IBNORCA DE CONFORMIDAD CON NB 325001 PARA “LA CASCADA S.A")</f>
        <v>SISTEMA DE GESTIÓN DE LA CALIDAD SEGÚN CERTIFICACIÓN DE PRODUCTO CON SELLO IBNORCA DE CONFORMIDAD CON NB 325001 PARA “LA CASCADA S.A</v>
      </c>
      <c r="B854" s="58">
        <f>IFERROR(__xludf.DUMMYFUNCTION("""COMPUTED_VALUE"""),1.0)</f>
        <v>1</v>
      </c>
    </row>
    <row r="855">
      <c r="A855" s="58" t="str">
        <f>IFERROR(__xludf.DUMMYFUNCTION("""COMPUTED_VALUE"""),"SISTEMA DE GESTIÓN DE SEGURIDAD Y SALUD EN EL TRABAJO BASADO EN LA NORMA NB/ISO 45001:2018 PARA LA EMPRESA COBOCE CERAMIL EN EL PARQUE INDUSTRIAL DE SANTIVAÑEZ")</f>
        <v>SISTEMA DE GESTIÓN DE SEGURIDAD Y SALUD EN EL TRABAJO BASADO EN LA NORMA NB/ISO 45001:2018 PARA LA EMPRESA COBOCE CERAMIL EN EL PARQUE INDUSTRIAL DE SANTIVAÑEZ</v>
      </c>
      <c r="B855" s="58">
        <f>IFERROR(__xludf.DUMMYFUNCTION("""COMPUTED_VALUE"""),11.0)</f>
        <v>11</v>
      </c>
    </row>
    <row r="856">
      <c r="A856" s="58" t="str">
        <f>IFERROR(__xludf.DUMMYFUNCTION("""COMPUTED_VALUE"""),"SISTEMA DE GESTIÓN DE SEGURIDAD Y SALUD EN ELTRABAJO BASADO EN LA NORMA NB/ISO 45001:2018 PARA LA EMPRESA COBOCE CERAMIL EN EL PARQUE INDUSTRIAL DE SANTIVAÑEZ PROYECTO DE GRADO, PRESENTADO PARA OPTAR AL DIPLOMADO ACADÉMICO")</f>
        <v>SISTEMA DE GESTIÓN DE SEGURIDAD Y SALUD EN ELTRABAJO BASADO EN LA NORMA NB/ISO 45001:2018 PARA LA EMPRESA COBOCE CERAMIL EN EL PARQUE INDUSTRIAL DE SANTIVAÑEZ PROYECTO DE GRADO, PRESENTADO PARA OPTAR AL DIPLOMADO ACADÉMICO</v>
      </c>
      <c r="B856" s="58">
        <f>IFERROR(__xludf.DUMMYFUNCTION("""COMPUTED_VALUE"""),1.0)</f>
        <v>1</v>
      </c>
    </row>
    <row r="857">
      <c r="A857" s="58" t="str">
        <f>IFERROR(__xludf.DUMMYFUNCTION("""COMPUTED_VALUE"""),"SISTEMA DE GESTIÓN EN SEGURIDAD Y SALUD OCUPACIONAL BASADO EN LA NORMA OHSAS 18001 PARA LA EMPRESA SABSA")</f>
        <v>SISTEMA DE GESTIÓN EN SEGURIDAD Y SALUD OCUPACIONAL BASADO EN LA NORMA OHSAS 18001 PARA LA EMPRESA SABSA</v>
      </c>
      <c r="B857" s="58">
        <f>IFERROR(__xludf.DUMMYFUNCTION("""COMPUTED_VALUE"""),2.0)</f>
        <v>2</v>
      </c>
    </row>
    <row r="858">
      <c r="A858" s="58" t="str">
        <f>IFERROR(__xludf.DUMMYFUNCTION("""COMPUTED_VALUE"""),"SISTEMA DE GESTIÓN EN SEGURIDAD Y SALUD OCUPACIONAL DE ACUERDO A LA   NORMA OHSAS 18001, PARA EL “COMPLEJO AVICOLA TORRICO S.R.L.”")</f>
        <v>SISTEMA DE GESTIÓN EN SEGURIDAD Y SALUD OCUPACIONAL DE ACUERDO A LA   NORMA OHSAS 18001, PARA EL “COMPLEJO AVICOLA TORRICO S.R.L.”</v>
      </c>
      <c r="B858" s="58">
        <f>IFERROR(__xludf.DUMMYFUNCTION("""COMPUTED_VALUE"""),2.0)</f>
        <v>2</v>
      </c>
    </row>
    <row r="859">
      <c r="A859" s="58" t="str">
        <f>IFERROR(__xludf.DUMMYFUNCTION("""COMPUTED_VALUE"""),"SISTEMA DE GESTIÓN EN SEGURIDAD Y SALUD OCUPACIONAL DE ACUERDO A LA NORMA OHSAS 18001:2007 PARA LA EMPRESA PLAXBURG")</f>
        <v>SISTEMA DE GESTIÓN EN SEGURIDAD Y SALUD OCUPACIONAL DE ACUERDO A LA NORMA OHSAS 18001:2007 PARA LA EMPRESA PLAXBURG</v>
      </c>
      <c r="B859" s="58">
        <f>IFERROR(__xludf.DUMMYFUNCTION("""COMPUTED_VALUE"""),1.0)</f>
        <v>1</v>
      </c>
    </row>
    <row r="860">
      <c r="A860" s="58" t="str">
        <f>IFERROR(__xludf.DUMMYFUNCTION("""COMPUTED_VALUE"""),"SISTEMA DE INFORMACIÓN DE OPERACIONES BAJO LÍNEA DE CRÉDITO PARA EL BANCO BISA S.A. (REGIONAL COCHABAMBA)")</f>
        <v>SISTEMA DE INFORMACIÓN DE OPERACIONES BAJO LÍNEA DE CRÉDITO PARA EL BANCO BISA S.A. (REGIONAL COCHABAMBA)</v>
      </c>
      <c r="B860" s="58">
        <f>IFERROR(__xludf.DUMMYFUNCTION("""COMPUTED_VALUE"""),5.0)</f>
        <v>5</v>
      </c>
    </row>
    <row r="861">
      <c r="A861" s="58" t="str">
        <f>IFERROR(__xludf.DUMMYFUNCTION("""COMPUTED_VALUE"""),"SISTEMA DE PLANIFICACIÓN Y CONTROL DE LA PRODUCCIÓN DE LA EMPRESA CREACIONES ROBERTH")</f>
        <v>SISTEMA DE PLANIFICACIÓN Y CONTROL DE LA PRODUCCIÓN DE LA EMPRESA CREACIONES ROBERTH</v>
      </c>
      <c r="B861" s="58">
        <f>IFERROR(__xludf.DUMMYFUNCTION("""COMPUTED_VALUE"""),1.0)</f>
        <v>1</v>
      </c>
    </row>
    <row r="862">
      <c r="A862" s="58" t="str">
        <f>IFERROR(__xludf.DUMMYFUNCTION("""COMPUTED_VALUE"""),"SISTEMA DE REDUCCIÓN DE DESPERDICIOS MEDIANTE PROGRAMACIÓN DE OPERACIONES TIPO JAT-MRP, EN LA LÍNEA DE YOGURES DE PIL ANDINA S.A")</f>
        <v>SISTEMA DE REDUCCIÓN DE DESPERDICIOS MEDIANTE PROGRAMACIÓN DE OPERACIONES TIPO JAT-MRP, EN LA LÍNEA DE YOGURES DE PIL ANDINA S.A</v>
      </c>
      <c r="B862" s="58">
        <f>IFERROR(__xludf.DUMMYFUNCTION("""COMPUTED_VALUE"""),1.0)</f>
        <v>1</v>
      </c>
    </row>
    <row r="863">
      <c r="A863" s="58" t="str">
        <f>IFERROR(__xludf.DUMMYFUNCTION("""COMPUTED_VALUE"""),"TRANSFERENCIA, ADECUACIÓN E IMPLEMENTACIÓN DEL SISTEMA INTEGRADO DE GESTIÓN DE LA EMPRESA ELÉCTRICA VALLE HERMOSO S.A. EN LA CENTRAL TERMOELÉCTRICA EL ALTO")</f>
        <v>TRANSFERENCIA, ADECUACIÓN E IMPLEMENTACIÓN DEL SISTEMA INTEGRADO DE GESTIÓN DE LA EMPRESA ELÉCTRICA VALLE HERMOSO S.A. EN LA CENTRAL TERMOELÉCTRICA EL ALTO</v>
      </c>
      <c r="B863" s="58">
        <f>IFERROR(__xludf.DUMMYFUNCTION("""COMPUTED_VALUE"""),1.0)</f>
        <v>1</v>
      </c>
    </row>
    <row r="864">
      <c r="A864" s="58" t="str">
        <f>IFERROR(__xludf.DUMMYFUNCTION("""COMPUTED_VALUE"""),"“DESARROLLO DE UN MODELO DE ADMINISTRACIÓN ESTRATÉGICA PARA LA EMPRESA DE SERVICIOS LAREDO”.")</f>
        <v>“DESARROLLO DE UN MODELO DE ADMINISTRACIÓN ESTRATÉGICA PARA LA EMPRESA DE SERVICIOS LAREDO”.</v>
      </c>
      <c r="B864" s="58">
        <f>IFERROR(__xludf.DUMMYFUNCTION("""COMPUTED_VALUE"""),5.0)</f>
        <v>5</v>
      </c>
    </row>
    <row r="865">
      <c r="A865" s="58" t="str">
        <f>IFERROR(__xludf.DUMMYFUNCTION("""COMPUTED_VALUE"""),"“DESARROLLO DE UN SISTEMA INTEGRADO PARA EL ALMACÉN DE LA EMPRESA DE INGENIERÍA Y SERVICIOS INTEGRALES COCHABAMBA S.A. (INTEGRA S.A.)”")</f>
        <v>“DESARROLLO DE UN SISTEMA INTEGRADO PARA EL ALMACÉN DE LA EMPRESA DE INGENIERÍA Y SERVICIOS INTEGRALES COCHABAMBA S.A. (INTEGRA S.A.)”</v>
      </c>
      <c r="B865" s="58">
        <f>IFERROR(__xludf.DUMMYFUNCTION("""COMPUTED_VALUE"""),3.0)</f>
        <v>3</v>
      </c>
    </row>
    <row r="866">
      <c r="A866" s="58" t="str">
        <f>IFERROR(__xludf.DUMMYFUNCTION("""COMPUTED_VALUE"""),"“DISEÑO DE UN MODELO INTEGRADO PARA LA OPTIMIZACIÓN DEL SISTEMA DE DISTRIBUCIÓN DE LOS PRODUCTOS DE PIL ANDINA S.A.”")</f>
        <v>“DISEÑO DE UN MODELO INTEGRADO PARA LA OPTIMIZACIÓN DEL SISTEMA DE DISTRIBUCIÓN DE LOS PRODUCTOS DE PIL ANDINA S.A.”</v>
      </c>
      <c r="B866" s="58">
        <f>IFERROR(__xludf.DUMMYFUNCTION("""COMPUTED_VALUE"""),6.0)</f>
        <v>6</v>
      </c>
    </row>
    <row r="867">
      <c r="A867" s="58" t="str">
        <f>IFERROR(__xludf.DUMMYFUNCTION("""COMPUTED_VALUE"""),"“DISEÑO DE UN SISTEMA DE GESTIÓN Y ASEGURAMIENTO DE LA CALIDAD DE LOS RESULTADOS DE CALIBRACIÓN, MEDICIÓN Y ENSAYO PARA EL LABORATORIO DE CALIBRACIÓN DEL LAB S.A. EN CONFORMIDAD A LA NORMA ISO/IEC 17025”")</f>
        <v>“DISEÑO DE UN SISTEMA DE GESTIÓN Y ASEGURAMIENTO DE LA CALIDAD DE LOS RESULTADOS DE CALIBRACIÓN, MEDICIÓN Y ENSAYO PARA EL LABORATORIO DE CALIBRACIÓN DEL LAB S.A. EN CONFORMIDAD A LA NORMA ISO/IEC 17025”</v>
      </c>
      <c r="B867" s="58">
        <f>IFERROR(__xludf.DUMMYFUNCTION("""COMPUTED_VALUE"""),1.0)</f>
        <v>1</v>
      </c>
    </row>
    <row r="868">
      <c r="A868" s="58" t="str">
        <f>IFERROR(__xludf.DUMMYFUNCTION("""COMPUTED_VALUE"""),"“DISEÑO Y PROPUESTA DE IMPLEMENTACIÓN DEL PLAN DE SEGURIDAD INDUSTRIAL PARA LAS DEPENDENCIAS DE SERVICIOS GENERALES DE LA UNIVERSIDAD MAYOR DE SAN SIMÓN”.")</f>
        <v>“DISEÑO Y PROPUESTA DE IMPLEMENTACIÓN DEL PLAN DE SEGURIDAD INDUSTRIAL PARA LAS DEPENDENCIAS DE SERVICIOS GENERALES DE LA UNIVERSIDAD MAYOR DE SAN SIMÓN”.</v>
      </c>
      <c r="B868" s="58">
        <f>IFERROR(__xludf.DUMMYFUNCTION("""COMPUTED_VALUE"""),3.0)</f>
        <v>3</v>
      </c>
    </row>
    <row r="869">
      <c r="A869" s="58" t="str">
        <f>IFERROR(__xludf.DUMMYFUNCTION("""COMPUTED_VALUE"""),"“ESTUDIO DE UN SISTEMA DE GESTIÓN DE LA CALIDAD  PARA  LA IMPLEMENTACIÓN  DE LA  NORMA ISO 9001: 2000 EN LA EMPRESA “IRBA LTDA.”")</f>
        <v>“ESTUDIO DE UN SISTEMA DE GESTIÓN DE LA CALIDAD  PARA  LA IMPLEMENTACIÓN  DE LA  NORMA ISO 9001: 2000 EN LA EMPRESA “IRBA LTDA.”</v>
      </c>
      <c r="B869" s="58">
        <f>IFERROR(__xludf.DUMMYFUNCTION("""COMPUTED_VALUE"""),2.0)</f>
        <v>2</v>
      </c>
    </row>
    <row r="870">
      <c r="A870" s="58" t="str">
        <f>IFERROR(__xludf.DUMMYFUNCTION("""COMPUTED_VALUE"""),"“FACTIBILIDAD TÉCNICA- ECONÓMICA PARA LA INSTALACIÓN  DE UNA PLANTA DE RECICLAJE DE AGUAS RESIDUALES DENTRO DE UN S.G.A. (I.S.O. 14000)”")</f>
        <v>“FACTIBILIDAD TÉCNICA- ECONÓMICA PARA LA INSTALACIÓN  DE UNA PLANTA DE RECICLAJE DE AGUAS RESIDUALES DENTRO DE UN S.G.A. (I.S.O. 14000)”</v>
      </c>
      <c r="B870" s="58">
        <f>IFERROR(__xludf.DUMMYFUNCTION("""COMPUTED_VALUE"""),1.0)</f>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17.88"/>
    <col customWidth="1" min="3" max="3" width="18.0"/>
  </cols>
  <sheetData>
    <row r="1">
      <c r="A1" s="59" t="str">
        <f>IFERROR(__xludf.DUMMYFUNCTION("query(Analytics!A:D,""SELECT A,C, COUNT(C) GROUP BY A,C"")"),"Usuario")</f>
        <v>Usuario</v>
      </c>
      <c r="B1" s="58" t="str">
        <f>IFERROR(__xludf.DUMMYFUNCTION("""COMPUTED_VALUE"""),"Categoria tesis")</f>
        <v>Categoria tesis</v>
      </c>
      <c r="C1" s="58" t="str">
        <f>IFERROR(__xludf.DUMMYFUNCTION("""COMPUTED_VALUE"""),"count Categoria tesis")</f>
        <v>count Categoria tesis</v>
      </c>
    </row>
    <row r="2">
      <c r="A2" s="58" t="str">
        <f>IFERROR(__xludf.DUMMYFUNCTION("""COMPUTED_VALUE"""),"200201034@est.umss.edu")</f>
        <v>200201034@est.umss.edu</v>
      </c>
      <c r="B2" s="58" t="str">
        <f>IFERROR(__xludf.DUMMYFUNCTION("""COMPUTED_VALUE"""),"PLAN DE NEGOCIOS")</f>
        <v>PLAN DE NEGOCIOS</v>
      </c>
      <c r="C2" s="58">
        <f>IFERROR(__xludf.DUMMYFUNCTION("""COMPUTED_VALUE"""),1.0)</f>
        <v>1</v>
      </c>
    </row>
    <row r="3">
      <c r="A3" s="58" t="str">
        <f>IFERROR(__xludf.DUMMYFUNCTION("""COMPUTED_VALUE"""),"200201034@est.umss.edu")</f>
        <v>200201034@est.umss.edu</v>
      </c>
      <c r="B3" s="58" t="str">
        <f>IFERROR(__xludf.DUMMYFUNCTION("""COMPUTED_VALUE"""),"SEGURIDAD INDUSTRIAL")</f>
        <v>SEGURIDAD INDUSTRIAL</v>
      </c>
      <c r="C3" s="58">
        <f>IFERROR(__xludf.DUMMYFUNCTION("""COMPUTED_VALUE"""),4.0)</f>
        <v>4</v>
      </c>
    </row>
    <row r="4">
      <c r="A4" s="58" t="str">
        <f>IFERROR(__xludf.DUMMYFUNCTION("""COMPUTED_VALUE"""),"200206658@est.umss.edu")</f>
        <v>200206658@est.umss.edu</v>
      </c>
      <c r="B4" s="58" t="str">
        <f>IFERROR(__xludf.DUMMYFUNCTION("""COMPUTED_VALUE"""),"FACTIBILIDAD")</f>
        <v>FACTIBILIDAD</v>
      </c>
      <c r="C4" s="58">
        <f>IFERROR(__xludf.DUMMYFUNCTION("""COMPUTED_VALUE"""),1.0)</f>
        <v>1</v>
      </c>
    </row>
    <row r="5">
      <c r="A5" s="58" t="str">
        <f>IFERROR(__xludf.DUMMYFUNCTION("""COMPUTED_VALUE"""),"200603057@est.umss.edu")</f>
        <v>200603057@est.umss.edu</v>
      </c>
      <c r="B5" s="58" t="str">
        <f>IFERROR(__xludf.DUMMYFUNCTION("""COMPUTED_VALUE"""),"FACTIBILIDAD")</f>
        <v>FACTIBILIDAD</v>
      </c>
      <c r="C5" s="58">
        <f>IFERROR(__xludf.DUMMYFUNCTION("""COMPUTED_VALUE"""),12.0)</f>
        <v>12</v>
      </c>
    </row>
    <row r="6">
      <c r="A6" s="58" t="str">
        <f>IFERROR(__xludf.DUMMYFUNCTION("""COMPUTED_VALUE"""),"200607229@est.umss.edu")</f>
        <v>200607229@est.umss.edu</v>
      </c>
      <c r="B6" s="58" t="str">
        <f>IFERROR(__xludf.DUMMYFUNCTION("""COMPUTED_VALUE"""),"FACTIBILIDAD")</f>
        <v>FACTIBILIDAD</v>
      </c>
      <c r="C6" s="58">
        <f>IFERROR(__xludf.DUMMYFUNCTION("""COMPUTED_VALUE"""),2.0)</f>
        <v>2</v>
      </c>
    </row>
    <row r="7">
      <c r="A7" s="58" t="str">
        <f>IFERROR(__xludf.DUMMYFUNCTION("""COMPUTED_VALUE"""),"200607229@est.umss.edu")</f>
        <v>200607229@est.umss.edu</v>
      </c>
      <c r="B7" s="58" t="str">
        <f>IFERROR(__xludf.DUMMYFUNCTION("""COMPUTED_VALUE"""),"MARKETING/MERCADOTECNIA")</f>
        <v>MARKETING/MERCADOTECNIA</v>
      </c>
      <c r="C7" s="58">
        <f>IFERROR(__xludf.DUMMYFUNCTION("""COMPUTED_VALUE"""),1.0)</f>
        <v>1</v>
      </c>
    </row>
    <row r="8">
      <c r="A8" s="58" t="str">
        <f>IFERROR(__xludf.DUMMYFUNCTION("""COMPUTED_VALUE"""),"200703419@est.umss.edu")</f>
        <v>200703419@est.umss.edu</v>
      </c>
      <c r="B8" s="58" t="str">
        <f>IFERROR(__xludf.DUMMYFUNCTION("""COMPUTED_VALUE"""),"SEGURIDAD INDUSTRIAL")</f>
        <v>SEGURIDAD INDUSTRIAL</v>
      </c>
      <c r="C8" s="58">
        <f>IFERROR(__xludf.DUMMYFUNCTION("""COMPUTED_VALUE"""),2.0)</f>
        <v>2</v>
      </c>
    </row>
    <row r="9">
      <c r="A9" s="58" t="str">
        <f>IFERROR(__xludf.DUMMYFUNCTION("""COMPUTED_VALUE"""),"200703463@est.umss.edu")</f>
        <v>200703463@est.umss.edu</v>
      </c>
      <c r="B9" s="58" t="str">
        <f>IFERROR(__xludf.DUMMYFUNCTION("""COMPUTED_VALUE"""),"CALIDAD")</f>
        <v>CALIDAD</v>
      </c>
      <c r="C9" s="58">
        <f>IFERROR(__xludf.DUMMYFUNCTION("""COMPUTED_VALUE"""),5.0)</f>
        <v>5</v>
      </c>
    </row>
    <row r="10">
      <c r="A10" s="58" t="str">
        <f>IFERROR(__xludf.DUMMYFUNCTION("""COMPUTED_VALUE"""),"200703463@est.umss.edu")</f>
        <v>200703463@est.umss.edu</v>
      </c>
      <c r="B10" s="58" t="str">
        <f>IFERROR(__xludf.DUMMYFUNCTION("""COMPUTED_VALUE"""),"FACTIBILIDAD")</f>
        <v>FACTIBILIDAD</v>
      </c>
      <c r="C10" s="58">
        <f>IFERROR(__xludf.DUMMYFUNCTION("""COMPUTED_VALUE"""),4.0)</f>
        <v>4</v>
      </c>
    </row>
    <row r="11">
      <c r="A11" s="58" t="str">
        <f>IFERROR(__xludf.DUMMYFUNCTION("""COMPUTED_VALUE"""),"200707213@est.umss.edu")</f>
        <v>200707213@est.umss.edu</v>
      </c>
      <c r="B11" s="58" t="str">
        <f>IFERROR(__xludf.DUMMYFUNCTION("""COMPUTED_VALUE"""),"ACADÉMICOS")</f>
        <v>ACADÉMICOS</v>
      </c>
      <c r="C11" s="58">
        <f>IFERROR(__xludf.DUMMYFUNCTION("""COMPUTED_VALUE"""),1.0)</f>
        <v>1</v>
      </c>
    </row>
    <row r="12">
      <c r="A12" s="58" t="str">
        <f>IFERROR(__xludf.DUMMYFUNCTION("""COMPUTED_VALUE"""),"200707213@est.umss.edu")</f>
        <v>200707213@est.umss.edu</v>
      </c>
      <c r="B12" s="58" t="str">
        <f>IFERROR(__xludf.DUMMYFUNCTION("""COMPUTED_VALUE"""),"DISEÑO")</f>
        <v>DISEÑO</v>
      </c>
      <c r="C12" s="58">
        <f>IFERROR(__xludf.DUMMYFUNCTION("""COMPUTED_VALUE"""),1.0)</f>
        <v>1</v>
      </c>
    </row>
    <row r="13">
      <c r="A13" s="58" t="str">
        <f>IFERROR(__xludf.DUMMYFUNCTION("""COMPUTED_VALUE"""),"200707213@est.umss.edu")</f>
        <v>200707213@est.umss.edu</v>
      </c>
      <c r="B13" s="58" t="str">
        <f>IFERROR(__xludf.DUMMYFUNCTION("""COMPUTED_VALUE"""),"PLANIFICACIÓN Y CONTROL DE LA PRODUCCIÓN")</f>
        <v>PLANIFICACIÓN Y CONTROL DE LA PRODUCCIÓN</v>
      </c>
      <c r="C13" s="58">
        <f>IFERROR(__xludf.DUMMYFUNCTION("""COMPUTED_VALUE"""),2.0)</f>
        <v>2</v>
      </c>
    </row>
    <row r="14">
      <c r="A14" s="58" t="str">
        <f>IFERROR(__xludf.DUMMYFUNCTION("""COMPUTED_VALUE"""),"200808252@est.umss.edu")</f>
        <v>200808252@est.umss.edu</v>
      </c>
      <c r="B14" s="58" t="str">
        <f>IFERROR(__xludf.DUMMYFUNCTION("""COMPUTED_VALUE"""),"FACTIBILIDAD")</f>
        <v>FACTIBILIDAD</v>
      </c>
      <c r="C14" s="58">
        <f>IFERROR(__xludf.DUMMYFUNCTION("""COMPUTED_VALUE"""),1.0)</f>
        <v>1</v>
      </c>
    </row>
    <row r="15">
      <c r="A15" s="58" t="str">
        <f>IFERROR(__xludf.DUMMYFUNCTION("""COMPUTED_VALUE"""),"200809197@est.umss.edu")</f>
        <v>200809197@est.umss.edu</v>
      </c>
      <c r="B15" s="58" t="str">
        <f>IFERROR(__xludf.DUMMYFUNCTION("""COMPUTED_VALUE"""),"FACTIBILIDAD")</f>
        <v>FACTIBILIDAD</v>
      </c>
      <c r="C15" s="58">
        <f>IFERROR(__xludf.DUMMYFUNCTION("""COMPUTED_VALUE"""),2.0)</f>
        <v>2</v>
      </c>
    </row>
    <row r="16">
      <c r="A16" s="58" t="str">
        <f>IFERROR(__xludf.DUMMYFUNCTION("""COMPUTED_VALUE"""),"200809197@est.umss.edu")</f>
        <v>200809197@est.umss.edu</v>
      </c>
      <c r="B16" s="58" t="str">
        <f>IFERROR(__xludf.DUMMYFUNCTION("""COMPUTED_VALUE"""),"OTROS")</f>
        <v>OTROS</v>
      </c>
      <c r="C16" s="58">
        <f>IFERROR(__xludf.DUMMYFUNCTION("""COMPUTED_VALUE"""),1.0)</f>
        <v>1</v>
      </c>
    </row>
    <row r="17">
      <c r="A17" s="58" t="str">
        <f>IFERROR(__xludf.DUMMYFUNCTION("""COMPUTED_VALUE"""),"200809197@est.umss.edu")</f>
        <v>200809197@est.umss.edu</v>
      </c>
      <c r="B17" s="58" t="str">
        <f>IFERROR(__xludf.DUMMYFUNCTION("""COMPUTED_VALUE"""),"SISTEMAS INTEGRADOS")</f>
        <v>SISTEMAS INTEGRADOS</v>
      </c>
      <c r="C17" s="58">
        <f>IFERROR(__xludf.DUMMYFUNCTION("""COMPUTED_VALUE"""),1.0)</f>
        <v>1</v>
      </c>
    </row>
    <row r="18">
      <c r="A18" s="58" t="str">
        <f>IFERROR(__xludf.DUMMYFUNCTION("""COMPUTED_VALUE"""),"200901787@est.umss.edu")</f>
        <v>200901787@est.umss.edu</v>
      </c>
      <c r="B18" s="58" t="str">
        <f>IFERROR(__xludf.DUMMYFUNCTION("""COMPUTED_VALUE"""),"CALIDAD")</f>
        <v>CALIDAD</v>
      </c>
      <c r="C18" s="58">
        <f>IFERROR(__xludf.DUMMYFUNCTION("""COMPUTED_VALUE"""),1.0)</f>
        <v>1</v>
      </c>
    </row>
    <row r="19">
      <c r="A19" s="58" t="str">
        <f>IFERROR(__xludf.DUMMYFUNCTION("""COMPUTED_VALUE"""),"200901787@est.umss.edu")</f>
        <v>200901787@est.umss.edu</v>
      </c>
      <c r="B19" s="58" t="str">
        <f>IFERROR(__xludf.DUMMYFUNCTION("""COMPUTED_VALUE"""),"GESTIÓN ESTRATÉGICA")</f>
        <v>GESTIÓN ESTRATÉGICA</v>
      </c>
      <c r="C19" s="58">
        <f>IFERROR(__xludf.DUMMYFUNCTION("""COMPUTED_VALUE"""),1.0)</f>
        <v>1</v>
      </c>
    </row>
    <row r="20">
      <c r="A20" s="58" t="str">
        <f>IFERROR(__xludf.DUMMYFUNCTION("""COMPUTED_VALUE"""),"200901787@est.umss.edu")</f>
        <v>200901787@est.umss.edu</v>
      </c>
      <c r="B20" s="58" t="str">
        <f>IFERROR(__xludf.DUMMYFUNCTION("""COMPUTED_VALUE"""),"OPTIMIZACIÓN")</f>
        <v>OPTIMIZACIÓN</v>
      </c>
      <c r="C20" s="58">
        <f>IFERROR(__xludf.DUMMYFUNCTION("""COMPUTED_VALUE"""),1.0)</f>
        <v>1</v>
      </c>
    </row>
    <row r="21">
      <c r="A21" s="58" t="str">
        <f>IFERROR(__xludf.DUMMYFUNCTION("""COMPUTED_VALUE"""),"200901787@est.umss.edu")</f>
        <v>200901787@est.umss.edu</v>
      </c>
      <c r="B21" s="58" t="str">
        <f>IFERROR(__xludf.DUMMYFUNCTION("""COMPUTED_VALUE"""),"ORGANIZACIÓN INDUSTRIAL")</f>
        <v>ORGANIZACIÓN INDUSTRIAL</v>
      </c>
      <c r="C21" s="58">
        <f>IFERROR(__xludf.DUMMYFUNCTION("""COMPUTED_VALUE"""),2.0)</f>
        <v>2</v>
      </c>
    </row>
    <row r="22">
      <c r="A22" s="58" t="str">
        <f>IFERROR(__xludf.DUMMYFUNCTION("""COMPUTED_VALUE"""),"200901787@est.umss.edu")</f>
        <v>200901787@est.umss.edu</v>
      </c>
      <c r="B22" s="58" t="str">
        <f>IFERROR(__xludf.DUMMYFUNCTION("""COMPUTED_VALUE"""),"PLANIFICACIÓN Y CONTROL DE LA PRODUCCIÓN")</f>
        <v>PLANIFICACIÓN Y CONTROL DE LA PRODUCCIÓN</v>
      </c>
      <c r="C22" s="58">
        <f>IFERROR(__xludf.DUMMYFUNCTION("""COMPUTED_VALUE"""),1.0)</f>
        <v>1</v>
      </c>
    </row>
    <row r="23">
      <c r="A23" s="58" t="str">
        <f>IFERROR(__xludf.DUMMYFUNCTION("""COMPUTED_VALUE"""),"200901787@est.umss.edu")</f>
        <v>200901787@est.umss.edu</v>
      </c>
      <c r="B23" s="58" t="str">
        <f>IFERROR(__xludf.DUMMYFUNCTION("""COMPUTED_VALUE"""),"SEGURIDAD INDUSTRIAL")</f>
        <v>SEGURIDAD INDUSTRIAL</v>
      </c>
      <c r="C23" s="58">
        <f>IFERROR(__xludf.DUMMYFUNCTION("""COMPUTED_VALUE"""),2.0)</f>
        <v>2</v>
      </c>
    </row>
    <row r="24">
      <c r="A24" s="58" t="str">
        <f>IFERROR(__xludf.DUMMYFUNCTION("""COMPUTED_VALUE"""),"201000042@est.umss.edu")</f>
        <v>201000042@est.umss.edu</v>
      </c>
      <c r="B24" s="58" t="str">
        <f>IFERROR(__xludf.DUMMYFUNCTION("""COMPUTED_VALUE"""),"FACTIBILIDAD")</f>
        <v>FACTIBILIDAD</v>
      </c>
      <c r="C24" s="58">
        <f>IFERROR(__xludf.DUMMYFUNCTION("""COMPUTED_VALUE"""),2.0)</f>
        <v>2</v>
      </c>
    </row>
    <row r="25">
      <c r="A25" s="58" t="str">
        <f>IFERROR(__xludf.DUMMYFUNCTION("""COMPUTED_VALUE"""),"201001356@est.umss.edu")</f>
        <v>201001356@est.umss.edu</v>
      </c>
      <c r="B25" s="58" t="str">
        <f>IFERROR(__xludf.DUMMYFUNCTION("""COMPUTED_VALUE"""),"SISTEMAS INTEGRADOS")</f>
        <v>SISTEMAS INTEGRADOS</v>
      </c>
      <c r="C25" s="58">
        <f>IFERROR(__xludf.DUMMYFUNCTION("""COMPUTED_VALUE"""),1.0)</f>
        <v>1</v>
      </c>
    </row>
    <row r="26">
      <c r="A26" s="58" t="str">
        <f>IFERROR(__xludf.DUMMYFUNCTION("""COMPUTED_VALUE"""),"201001362@est.umss.edu")</f>
        <v>201001362@est.umss.edu</v>
      </c>
      <c r="B26" s="58" t="str">
        <f>IFERROR(__xludf.DUMMYFUNCTION("""COMPUTED_VALUE"""),"EVALUACIÓN TÉCNICA")</f>
        <v>EVALUACIÓN TÉCNICA</v>
      </c>
      <c r="C26" s="58">
        <f>IFERROR(__xludf.DUMMYFUNCTION("""COMPUTED_VALUE"""),1.0)</f>
        <v>1</v>
      </c>
    </row>
    <row r="27">
      <c r="A27" s="58" t="str">
        <f>IFERROR(__xludf.DUMMYFUNCTION("""COMPUTED_VALUE"""),"201001362@est.umss.edu")</f>
        <v>201001362@est.umss.edu</v>
      </c>
      <c r="B27" s="58" t="str">
        <f>IFERROR(__xludf.DUMMYFUNCTION("""COMPUTED_VALUE"""),"FACTIBILIDAD")</f>
        <v>FACTIBILIDAD</v>
      </c>
      <c r="C27" s="58">
        <f>IFERROR(__xludf.DUMMYFUNCTION("""COMPUTED_VALUE"""),4.0)</f>
        <v>4</v>
      </c>
    </row>
    <row r="28">
      <c r="A28" s="58" t="str">
        <f>IFERROR(__xludf.DUMMYFUNCTION("""COMPUTED_VALUE"""),"201001362@est.umss.edu")</f>
        <v>201001362@est.umss.edu</v>
      </c>
      <c r="B28" s="58" t="str">
        <f>IFERROR(__xludf.DUMMYFUNCTION("""COMPUTED_VALUE"""),"GESTIÓN ESTRATÉGICA")</f>
        <v>GESTIÓN ESTRATÉGICA</v>
      </c>
      <c r="C28" s="58">
        <f>IFERROR(__xludf.DUMMYFUNCTION("""COMPUTED_VALUE"""),1.0)</f>
        <v>1</v>
      </c>
    </row>
    <row r="29">
      <c r="A29" s="58" t="str">
        <f>IFERROR(__xludf.DUMMYFUNCTION("""COMPUTED_VALUE"""),"201001364@est.umss.edu")</f>
        <v>201001364@est.umss.edu</v>
      </c>
      <c r="B29" s="58" t="str">
        <f>IFERROR(__xludf.DUMMYFUNCTION("""COMPUTED_VALUE"""),"FACTIBILIDAD")</f>
        <v>FACTIBILIDAD</v>
      </c>
      <c r="C29" s="58">
        <f>IFERROR(__xludf.DUMMYFUNCTION("""COMPUTED_VALUE"""),1.0)</f>
        <v>1</v>
      </c>
    </row>
    <row r="30">
      <c r="A30" s="58" t="str">
        <f>IFERROR(__xludf.DUMMYFUNCTION("""COMPUTED_VALUE"""),"201001364@est.umss.edu")</f>
        <v>201001364@est.umss.edu</v>
      </c>
      <c r="B30" s="58" t="str">
        <f>IFERROR(__xludf.DUMMYFUNCTION("""COMPUTED_VALUE"""),"SEGURIDAD INDUSTRIAL")</f>
        <v>SEGURIDAD INDUSTRIAL</v>
      </c>
      <c r="C30" s="58">
        <f>IFERROR(__xludf.DUMMYFUNCTION("""COMPUTED_VALUE"""),8.0)</f>
        <v>8</v>
      </c>
    </row>
    <row r="31">
      <c r="A31" s="58" t="str">
        <f>IFERROR(__xludf.DUMMYFUNCTION("""COMPUTED_VALUE"""),"201005621@est.umss.edu")</f>
        <v>201005621@est.umss.edu</v>
      </c>
      <c r="B31" s="58" t="str">
        <f>IFERROR(__xludf.DUMMYFUNCTION("""COMPUTED_VALUE"""),"FACTIBILIDAD")</f>
        <v>FACTIBILIDAD</v>
      </c>
      <c r="C31" s="58">
        <f>IFERROR(__xludf.DUMMYFUNCTION("""COMPUTED_VALUE"""),2.0)</f>
        <v>2</v>
      </c>
    </row>
    <row r="32">
      <c r="A32" s="58" t="str">
        <f>IFERROR(__xludf.DUMMYFUNCTION("""COMPUTED_VALUE"""),"201005621@est.umss.edu")</f>
        <v>201005621@est.umss.edu</v>
      </c>
      <c r="B32" s="58" t="str">
        <f>IFERROR(__xludf.DUMMYFUNCTION("""COMPUTED_VALUE"""),"PLANIFICACIÓN Y CONTROL DE LA PRODUCCIÓN")</f>
        <v>PLANIFICACIÓN Y CONTROL DE LA PRODUCCIÓN</v>
      </c>
      <c r="C32" s="58">
        <f>IFERROR(__xludf.DUMMYFUNCTION("""COMPUTED_VALUE"""),2.0)</f>
        <v>2</v>
      </c>
    </row>
    <row r="33">
      <c r="A33" s="58" t="str">
        <f>IFERROR(__xludf.DUMMYFUNCTION("""COMPUTED_VALUE"""),"201008019@est.umss.edu")</f>
        <v>201008019@est.umss.edu</v>
      </c>
      <c r="B33" s="58" t="str">
        <f>IFERROR(__xludf.DUMMYFUNCTION("""COMPUTED_VALUE"""),"FACTIBILIDAD")</f>
        <v>FACTIBILIDAD</v>
      </c>
      <c r="C33" s="58">
        <f>IFERROR(__xludf.DUMMYFUNCTION("""COMPUTED_VALUE"""),3.0)</f>
        <v>3</v>
      </c>
    </row>
    <row r="34">
      <c r="A34" s="58" t="str">
        <f>IFERROR(__xludf.DUMMYFUNCTION("""COMPUTED_VALUE"""),"201008019@est.umss.edu")</f>
        <v>201008019@est.umss.edu</v>
      </c>
      <c r="B34" s="58" t="str">
        <f>IFERROR(__xludf.DUMMYFUNCTION("""COMPUTED_VALUE"""),"SEGURIDAD INDUSTRIAL")</f>
        <v>SEGURIDAD INDUSTRIAL</v>
      </c>
      <c r="C34" s="58">
        <f>IFERROR(__xludf.DUMMYFUNCTION("""COMPUTED_VALUE"""),14.0)</f>
        <v>14</v>
      </c>
    </row>
    <row r="35">
      <c r="A35" s="58" t="str">
        <f>IFERROR(__xludf.DUMMYFUNCTION("""COMPUTED_VALUE"""),"201100274@est.umss.edu")</f>
        <v>201100274@est.umss.edu</v>
      </c>
      <c r="B35" s="58" t="str">
        <f>IFERROR(__xludf.DUMMYFUNCTION("""COMPUTED_VALUE"""),"CALIDAD")</f>
        <v>CALIDAD</v>
      </c>
      <c r="C35" s="58">
        <f>IFERROR(__xludf.DUMMYFUNCTION("""COMPUTED_VALUE"""),2.0)</f>
        <v>2</v>
      </c>
    </row>
    <row r="36">
      <c r="A36" s="58" t="str">
        <f>IFERROR(__xludf.DUMMYFUNCTION("""COMPUTED_VALUE"""),"201100274@est.umss.edu")</f>
        <v>201100274@est.umss.edu</v>
      </c>
      <c r="B36" s="58" t="str">
        <f>IFERROR(__xludf.DUMMYFUNCTION("""COMPUTED_VALUE"""),"FACTIBILIDAD")</f>
        <v>FACTIBILIDAD</v>
      </c>
      <c r="C36" s="58">
        <f>IFERROR(__xludf.DUMMYFUNCTION("""COMPUTED_VALUE"""),4.0)</f>
        <v>4</v>
      </c>
    </row>
    <row r="37">
      <c r="A37" s="58" t="str">
        <f>IFERROR(__xludf.DUMMYFUNCTION("""COMPUTED_VALUE"""),"201100413@est.umss.edu")</f>
        <v>201100413@est.umss.edu</v>
      </c>
      <c r="B37" s="58" t="str">
        <f>IFERROR(__xludf.DUMMYFUNCTION("""COMPUTED_VALUE"""),"FACTIBILIDAD")</f>
        <v>FACTIBILIDAD</v>
      </c>
      <c r="C37" s="58">
        <f>IFERROR(__xludf.DUMMYFUNCTION("""COMPUTED_VALUE"""),2.0)</f>
        <v>2</v>
      </c>
    </row>
    <row r="38">
      <c r="A38" s="58" t="str">
        <f>IFERROR(__xludf.DUMMYFUNCTION("""COMPUTED_VALUE"""),"201100413@est.umss.edu")</f>
        <v>201100413@est.umss.edu</v>
      </c>
      <c r="B38" s="58" t="str">
        <f>IFERROR(__xludf.DUMMYFUNCTION("""COMPUTED_VALUE"""),"SEGURIDAD INDUSTRIAL")</f>
        <v>SEGURIDAD INDUSTRIAL</v>
      </c>
      <c r="C38" s="58">
        <f>IFERROR(__xludf.DUMMYFUNCTION("""COMPUTED_VALUE"""),12.0)</f>
        <v>12</v>
      </c>
    </row>
    <row r="39">
      <c r="A39" s="58" t="str">
        <f>IFERROR(__xludf.DUMMYFUNCTION("""COMPUTED_VALUE"""),"201103651@est.edu.umss")</f>
        <v>201103651@est.edu.umss</v>
      </c>
      <c r="B39" s="58" t="str">
        <f>IFERROR(__xludf.DUMMYFUNCTION("""COMPUTED_VALUE"""),"FACTIBILIDAD")</f>
        <v>FACTIBILIDAD</v>
      </c>
      <c r="C39" s="58">
        <f>IFERROR(__xludf.DUMMYFUNCTION("""COMPUTED_VALUE"""),1.0)</f>
        <v>1</v>
      </c>
    </row>
    <row r="40">
      <c r="A40" s="58" t="str">
        <f>IFERROR(__xludf.DUMMYFUNCTION("""COMPUTED_VALUE"""),"201103651@est.umss.edu")</f>
        <v>201103651@est.umss.edu</v>
      </c>
      <c r="B40" s="58"/>
      <c r="C40" s="58">
        <f>IFERROR(__xludf.DUMMYFUNCTION("""COMPUTED_VALUE"""),0.0)</f>
        <v>0</v>
      </c>
    </row>
    <row r="41">
      <c r="A41" s="58" t="str">
        <f>IFERROR(__xludf.DUMMYFUNCTION("""COMPUTED_VALUE"""),"201103651@est.umss.edu")</f>
        <v>201103651@est.umss.edu</v>
      </c>
      <c r="B41" s="58" t="str">
        <f>IFERROR(__xludf.DUMMYFUNCTION("""COMPUTED_VALUE"""),"FACTIBILIDAD")</f>
        <v>FACTIBILIDAD</v>
      </c>
      <c r="C41" s="58">
        <f>IFERROR(__xludf.DUMMYFUNCTION("""COMPUTED_VALUE"""),55.0)</f>
        <v>55</v>
      </c>
    </row>
    <row r="42">
      <c r="A42" s="58" t="str">
        <f>IFERROR(__xludf.DUMMYFUNCTION("""COMPUTED_VALUE"""),"201103651@est.umss.edu")</f>
        <v>201103651@est.umss.edu</v>
      </c>
      <c r="B42" s="58" t="str">
        <f>IFERROR(__xludf.DUMMYFUNCTION("""COMPUTED_VALUE"""),"GESTIÓN ESTRATÉGICA")</f>
        <v>GESTIÓN ESTRATÉGICA</v>
      </c>
      <c r="C42" s="58">
        <f>IFERROR(__xludf.DUMMYFUNCTION("""COMPUTED_VALUE"""),2.0)</f>
        <v>2</v>
      </c>
    </row>
    <row r="43">
      <c r="A43" s="58" t="str">
        <f>IFERROR(__xludf.DUMMYFUNCTION("""COMPUTED_VALUE"""),"201108081@est.umss.edu")</f>
        <v>201108081@est.umss.edu</v>
      </c>
      <c r="B43" s="58" t="str">
        <f>IFERROR(__xludf.DUMMYFUNCTION("""COMPUTED_VALUE"""),"FACTIBILIDAD")</f>
        <v>FACTIBILIDAD</v>
      </c>
      <c r="C43" s="58">
        <f>IFERROR(__xludf.DUMMYFUNCTION("""COMPUTED_VALUE"""),1.0)</f>
        <v>1</v>
      </c>
    </row>
    <row r="44">
      <c r="A44" s="58" t="str">
        <f>IFERROR(__xludf.DUMMYFUNCTION("""COMPUTED_VALUE"""),"201108081@est.umss.edu")</f>
        <v>201108081@est.umss.edu</v>
      </c>
      <c r="B44" s="58" t="str">
        <f>IFERROR(__xludf.DUMMYFUNCTION("""COMPUTED_VALUE"""),"SEGURIDAD INDUSTRIAL")</f>
        <v>SEGURIDAD INDUSTRIAL</v>
      </c>
      <c r="C44" s="58">
        <f>IFERROR(__xludf.DUMMYFUNCTION("""COMPUTED_VALUE"""),4.0)</f>
        <v>4</v>
      </c>
    </row>
    <row r="45">
      <c r="A45" s="58" t="str">
        <f>IFERROR(__xludf.DUMMYFUNCTION("""COMPUTED_VALUE"""),"201110788@est.edu.bo")</f>
        <v>201110788@est.edu.bo</v>
      </c>
      <c r="B45" s="58" t="str">
        <f>IFERROR(__xludf.DUMMYFUNCTION("""COMPUTED_VALUE"""),"FACTIBILIDAD")</f>
        <v>FACTIBILIDAD</v>
      </c>
      <c r="C45" s="58">
        <f>IFERROR(__xludf.DUMMYFUNCTION("""COMPUTED_VALUE"""),3.0)</f>
        <v>3</v>
      </c>
    </row>
    <row r="46">
      <c r="A46" s="58" t="str">
        <f>IFERROR(__xludf.DUMMYFUNCTION("""COMPUTED_VALUE"""),"201110788@est.umss.bo")</f>
        <v>201110788@est.umss.bo</v>
      </c>
      <c r="B46" s="58" t="str">
        <f>IFERROR(__xludf.DUMMYFUNCTION("""COMPUTED_VALUE"""),"FACTIBILIDAD")</f>
        <v>FACTIBILIDAD</v>
      </c>
      <c r="C46" s="58">
        <f>IFERROR(__xludf.DUMMYFUNCTION("""COMPUTED_VALUE"""),2.0)</f>
        <v>2</v>
      </c>
    </row>
    <row r="47">
      <c r="A47" s="58" t="str">
        <f>IFERROR(__xludf.DUMMYFUNCTION("""COMPUTED_VALUE"""),"201110788@est.umss.edu")</f>
        <v>201110788@est.umss.edu</v>
      </c>
      <c r="B47" s="58" t="str">
        <f>IFERROR(__xludf.DUMMYFUNCTION("""COMPUTED_VALUE"""),"FACTIBILIDAD")</f>
        <v>FACTIBILIDAD</v>
      </c>
      <c r="C47" s="58">
        <f>IFERROR(__xludf.DUMMYFUNCTION("""COMPUTED_VALUE"""),3.0)</f>
        <v>3</v>
      </c>
    </row>
    <row r="48">
      <c r="A48" s="58" t="str">
        <f>IFERROR(__xludf.DUMMYFUNCTION("""COMPUTED_VALUE"""),"201110791@est.umss.edu")</f>
        <v>201110791@est.umss.edu</v>
      </c>
      <c r="B48" s="58" t="str">
        <f>IFERROR(__xludf.DUMMYFUNCTION("""COMPUTED_VALUE"""),"FACTIBILIDAD")</f>
        <v>FACTIBILIDAD</v>
      </c>
      <c r="C48" s="58">
        <f>IFERROR(__xludf.DUMMYFUNCTION("""COMPUTED_VALUE"""),4.0)</f>
        <v>4</v>
      </c>
    </row>
    <row r="49">
      <c r="A49" s="58" t="str">
        <f>IFERROR(__xludf.DUMMYFUNCTION("""COMPUTED_VALUE"""),"201110791@est.umss.edu")</f>
        <v>201110791@est.umss.edu</v>
      </c>
      <c r="B49" s="58" t="str">
        <f>IFERROR(__xludf.DUMMYFUNCTION("""COMPUTED_VALUE"""),"INGENIERÍA DE MÉTODOS")</f>
        <v>INGENIERÍA DE MÉTODOS</v>
      </c>
      <c r="C49" s="58">
        <f>IFERROR(__xludf.DUMMYFUNCTION("""COMPUTED_VALUE"""),2.0)</f>
        <v>2</v>
      </c>
    </row>
    <row r="50">
      <c r="A50" s="58" t="str">
        <f>IFERROR(__xludf.DUMMYFUNCTION("""COMPUTED_VALUE"""),"201110791@est.umss.edu")</f>
        <v>201110791@est.umss.edu</v>
      </c>
      <c r="B50" s="58" t="str">
        <f>IFERROR(__xludf.DUMMYFUNCTION("""COMPUTED_VALUE"""),"SEGURIDAD INDUSTRIAL")</f>
        <v>SEGURIDAD INDUSTRIAL</v>
      </c>
      <c r="C50" s="58">
        <f>IFERROR(__xludf.DUMMYFUNCTION("""COMPUTED_VALUE"""),5.0)</f>
        <v>5</v>
      </c>
    </row>
    <row r="51">
      <c r="A51" s="58" t="str">
        <f>IFERROR(__xludf.DUMMYFUNCTION("""COMPUTED_VALUE"""),"201200551@est.umss.edu")</f>
        <v>201200551@est.umss.edu</v>
      </c>
      <c r="B51" s="58" t="str">
        <f>IFERROR(__xludf.DUMMYFUNCTION("""COMPUTED_VALUE"""),"FACTIBILIDAD")</f>
        <v>FACTIBILIDAD</v>
      </c>
      <c r="C51" s="58">
        <f>IFERROR(__xludf.DUMMYFUNCTION("""COMPUTED_VALUE"""),3.0)</f>
        <v>3</v>
      </c>
    </row>
    <row r="52">
      <c r="A52" s="58" t="str">
        <f>IFERROR(__xludf.DUMMYFUNCTION("""COMPUTED_VALUE"""),"201200551@est.umss.edu")</f>
        <v>201200551@est.umss.edu</v>
      </c>
      <c r="B52" s="58" t="str">
        <f>IFERROR(__xludf.DUMMYFUNCTION("""COMPUTED_VALUE"""),"SEGURIDAD INDUSTRIAL")</f>
        <v>SEGURIDAD INDUSTRIAL</v>
      </c>
      <c r="C52" s="58">
        <f>IFERROR(__xludf.DUMMYFUNCTION("""COMPUTED_VALUE"""),2.0)</f>
        <v>2</v>
      </c>
    </row>
    <row r="53">
      <c r="A53" s="58" t="str">
        <f>IFERROR(__xludf.DUMMYFUNCTION("""COMPUTED_VALUE"""),"201200566@est.umss.edu")</f>
        <v>201200566@est.umss.edu</v>
      </c>
      <c r="B53" s="58" t="str">
        <f>IFERROR(__xludf.DUMMYFUNCTION("""COMPUTED_VALUE"""),"CALIDAD")</f>
        <v>CALIDAD</v>
      </c>
      <c r="C53" s="58">
        <f>IFERROR(__xludf.DUMMYFUNCTION("""COMPUTED_VALUE"""),5.0)</f>
        <v>5</v>
      </c>
    </row>
    <row r="54">
      <c r="A54" s="58" t="str">
        <f>IFERROR(__xludf.DUMMYFUNCTION("""COMPUTED_VALUE"""),"201200566@est.umss.edu")</f>
        <v>201200566@est.umss.edu</v>
      </c>
      <c r="B54" s="58" t="str">
        <f>IFERROR(__xludf.DUMMYFUNCTION("""COMPUTED_VALUE"""),"FACTIBILIDAD")</f>
        <v>FACTIBILIDAD</v>
      </c>
      <c r="C54" s="58">
        <f>IFERROR(__xludf.DUMMYFUNCTION("""COMPUTED_VALUE"""),20.0)</f>
        <v>20</v>
      </c>
    </row>
    <row r="55">
      <c r="A55" s="58" t="str">
        <f>IFERROR(__xludf.DUMMYFUNCTION("""COMPUTED_VALUE"""),"201200566@est.umss.edu")</f>
        <v>201200566@est.umss.edu</v>
      </c>
      <c r="B55" s="58" t="str">
        <f>IFERROR(__xludf.DUMMYFUNCTION("""COMPUTED_VALUE"""),"GESTIÓN ESTRATÉGICA")</f>
        <v>GESTIÓN ESTRATÉGICA</v>
      </c>
      <c r="C55" s="58">
        <f>IFERROR(__xludf.DUMMYFUNCTION("""COMPUTED_VALUE"""),1.0)</f>
        <v>1</v>
      </c>
    </row>
    <row r="56">
      <c r="A56" s="58" t="str">
        <f>IFERROR(__xludf.DUMMYFUNCTION("""COMPUTED_VALUE"""),"201200566@est.umss.edu")</f>
        <v>201200566@est.umss.edu</v>
      </c>
      <c r="B56" s="58" t="str">
        <f>IFERROR(__xludf.DUMMYFUNCTION("""COMPUTED_VALUE"""),"INGENIERÍA DE MÉTODOS")</f>
        <v>INGENIERÍA DE MÉTODOS</v>
      </c>
      <c r="C56" s="58">
        <f>IFERROR(__xludf.DUMMYFUNCTION("""COMPUTED_VALUE"""),21.0)</f>
        <v>21</v>
      </c>
    </row>
    <row r="57">
      <c r="A57" s="58" t="str">
        <f>IFERROR(__xludf.DUMMYFUNCTION("""COMPUTED_VALUE"""),"201200566@est.umss.edu")</f>
        <v>201200566@est.umss.edu</v>
      </c>
      <c r="B57" s="58" t="str">
        <f>IFERROR(__xludf.DUMMYFUNCTION("""COMPUTED_VALUE"""),"OPTIMIZACIÓN")</f>
        <v>OPTIMIZACIÓN</v>
      </c>
      <c r="C57" s="58">
        <f>IFERROR(__xludf.DUMMYFUNCTION("""COMPUTED_VALUE"""),28.0)</f>
        <v>28</v>
      </c>
    </row>
    <row r="58">
      <c r="A58" s="58" t="str">
        <f>IFERROR(__xludf.DUMMYFUNCTION("""COMPUTED_VALUE"""),"201200566@est.umss.edu")</f>
        <v>201200566@est.umss.edu</v>
      </c>
      <c r="B58" s="58" t="str">
        <f>IFERROR(__xludf.DUMMYFUNCTION("""COMPUTED_VALUE"""),"OTROS")</f>
        <v>OTROS</v>
      </c>
      <c r="C58" s="58">
        <f>IFERROR(__xludf.DUMMYFUNCTION("""COMPUTED_VALUE"""),4.0)</f>
        <v>4</v>
      </c>
    </row>
    <row r="59">
      <c r="A59" s="58" t="str">
        <f>IFERROR(__xludf.DUMMYFUNCTION("""COMPUTED_VALUE"""),"201200566@est.umss.edu")</f>
        <v>201200566@est.umss.edu</v>
      </c>
      <c r="B59" s="58" t="str">
        <f>IFERROR(__xludf.DUMMYFUNCTION("""COMPUTED_VALUE"""),"PLANIFICACIÓN Y CONTROL DE LA PRODUCCIÓN")</f>
        <v>PLANIFICACIÓN Y CONTROL DE LA PRODUCCIÓN</v>
      </c>
      <c r="C59" s="58">
        <f>IFERROR(__xludf.DUMMYFUNCTION("""COMPUTED_VALUE"""),2.0)</f>
        <v>2</v>
      </c>
    </row>
    <row r="60">
      <c r="A60" s="58" t="str">
        <f>IFERROR(__xludf.DUMMYFUNCTION("""COMPUTED_VALUE"""),"201200566@est.umss.edu")</f>
        <v>201200566@est.umss.edu</v>
      </c>
      <c r="B60" s="58" t="str">
        <f>IFERROR(__xludf.DUMMYFUNCTION("""COMPUTED_VALUE"""),"PROCESOS INDUSTRIALES")</f>
        <v>PROCESOS INDUSTRIALES</v>
      </c>
      <c r="C60" s="58">
        <f>IFERROR(__xludf.DUMMYFUNCTION("""COMPUTED_VALUE"""),1.0)</f>
        <v>1</v>
      </c>
    </row>
    <row r="61">
      <c r="A61" s="58" t="str">
        <f>IFERROR(__xludf.DUMMYFUNCTION("""COMPUTED_VALUE"""),"201200566@est.umss.edu")</f>
        <v>201200566@est.umss.edu</v>
      </c>
      <c r="B61" s="58" t="str">
        <f>IFERROR(__xludf.DUMMYFUNCTION("""COMPUTED_VALUE"""),"SEGURIDAD INDUSTRIAL")</f>
        <v>SEGURIDAD INDUSTRIAL</v>
      </c>
      <c r="C61" s="58">
        <f>IFERROR(__xludf.DUMMYFUNCTION("""COMPUTED_VALUE"""),1.0)</f>
        <v>1</v>
      </c>
    </row>
    <row r="62">
      <c r="A62" s="58" t="str">
        <f>IFERROR(__xludf.DUMMYFUNCTION("""COMPUTED_VALUE"""),"201200568@est.umss.edu")</f>
        <v>201200568@est.umss.edu</v>
      </c>
      <c r="B62" s="58" t="str">
        <f>IFERROR(__xludf.DUMMYFUNCTION("""COMPUTED_VALUE"""),"GESTIÓN ESTRATÉGICA")</f>
        <v>GESTIÓN ESTRATÉGICA</v>
      </c>
      <c r="C62" s="58">
        <f>IFERROR(__xludf.DUMMYFUNCTION("""COMPUTED_VALUE"""),3.0)</f>
        <v>3</v>
      </c>
    </row>
    <row r="63">
      <c r="A63" s="58" t="str">
        <f>IFERROR(__xludf.DUMMYFUNCTION("""COMPUTED_VALUE"""),"201206875@est.umss.edu")</f>
        <v>201206875@est.umss.edu</v>
      </c>
      <c r="B63" s="58" t="str">
        <f>IFERROR(__xludf.DUMMYFUNCTION("""COMPUTED_VALUE"""),"PLANIFICACIÓN Y CONTROL DE LA PRODUCCIÓN")</f>
        <v>PLANIFICACIÓN Y CONTROL DE LA PRODUCCIÓN</v>
      </c>
      <c r="C63" s="58">
        <f>IFERROR(__xludf.DUMMYFUNCTION("""COMPUTED_VALUE"""),1.0)</f>
        <v>1</v>
      </c>
    </row>
    <row r="64">
      <c r="A64" s="58" t="str">
        <f>IFERROR(__xludf.DUMMYFUNCTION("""COMPUTED_VALUE"""),"201209070@est.umss.edu")</f>
        <v>201209070@est.umss.edu</v>
      </c>
      <c r="B64" s="58" t="str">
        <f>IFERROR(__xludf.DUMMYFUNCTION("""COMPUTED_VALUE"""),"FACTIBILIDAD")</f>
        <v>FACTIBILIDAD</v>
      </c>
      <c r="C64" s="58">
        <f>IFERROR(__xludf.DUMMYFUNCTION("""COMPUTED_VALUE"""),9.0)</f>
        <v>9</v>
      </c>
    </row>
    <row r="65">
      <c r="A65" s="58" t="str">
        <f>IFERROR(__xludf.DUMMYFUNCTION("""COMPUTED_VALUE"""),"201209109@est.umss.edu")</f>
        <v>201209109@est.umss.edu</v>
      </c>
      <c r="B65" s="58" t="str">
        <f>IFERROR(__xludf.DUMMYFUNCTION("""COMPUTED_VALUE"""),"FACTIBILIDAD")</f>
        <v>FACTIBILIDAD</v>
      </c>
      <c r="C65" s="58">
        <f>IFERROR(__xludf.DUMMYFUNCTION("""COMPUTED_VALUE"""),4.0)</f>
        <v>4</v>
      </c>
    </row>
    <row r="66">
      <c r="A66" s="58" t="str">
        <f>IFERROR(__xludf.DUMMYFUNCTION("""COMPUTED_VALUE"""),"201300135@est.umss.edu")</f>
        <v>201300135@est.umss.edu</v>
      </c>
      <c r="B66" s="58" t="str">
        <f>IFERROR(__xludf.DUMMYFUNCTION("""COMPUTED_VALUE"""),"ACADÉMICOS")</f>
        <v>ACADÉMICOS</v>
      </c>
      <c r="C66" s="58">
        <f>IFERROR(__xludf.DUMMYFUNCTION("""COMPUTED_VALUE"""),1.0)</f>
        <v>1</v>
      </c>
    </row>
    <row r="67">
      <c r="A67" s="58" t="str">
        <f>IFERROR(__xludf.DUMMYFUNCTION("""COMPUTED_VALUE"""),"201300135@est.umss.edu")</f>
        <v>201300135@est.umss.edu</v>
      </c>
      <c r="B67" s="58" t="str">
        <f>IFERROR(__xludf.DUMMYFUNCTION("""COMPUTED_VALUE"""),"EVALUACIÓN TÉCNICA")</f>
        <v>EVALUACIÓN TÉCNICA</v>
      </c>
      <c r="C67" s="58">
        <f>IFERROR(__xludf.DUMMYFUNCTION("""COMPUTED_VALUE"""),2.0)</f>
        <v>2</v>
      </c>
    </row>
    <row r="68">
      <c r="A68" s="58" t="str">
        <f>IFERROR(__xludf.DUMMYFUNCTION("""COMPUTED_VALUE"""),"201300135@est.umss.edu")</f>
        <v>201300135@est.umss.edu</v>
      </c>
      <c r="B68" s="58" t="str">
        <f>IFERROR(__xludf.DUMMYFUNCTION("""COMPUTED_VALUE"""),"PLANIFICACIÓN Y CONTROL DE LA PRODUCCIÓN")</f>
        <v>PLANIFICACIÓN Y CONTROL DE LA PRODUCCIÓN</v>
      </c>
      <c r="C68" s="58">
        <f>IFERROR(__xludf.DUMMYFUNCTION("""COMPUTED_VALUE"""),4.0)</f>
        <v>4</v>
      </c>
    </row>
    <row r="69">
      <c r="A69" s="58" t="str">
        <f>IFERROR(__xludf.DUMMYFUNCTION("""COMPUTED_VALUE"""),"201300148@est.umss.edu")</f>
        <v>201300148@est.umss.edu</v>
      </c>
      <c r="B69" s="58" t="str">
        <f>IFERROR(__xludf.DUMMYFUNCTION("""COMPUTED_VALUE"""),"FACTIBILIDAD")</f>
        <v>FACTIBILIDAD</v>
      </c>
      <c r="C69" s="58">
        <f>IFERROR(__xludf.DUMMYFUNCTION("""COMPUTED_VALUE"""),1.0)</f>
        <v>1</v>
      </c>
    </row>
    <row r="70">
      <c r="A70" s="58" t="str">
        <f>IFERROR(__xludf.DUMMYFUNCTION("""COMPUTED_VALUE"""),"201300155@est.umss.edu")</f>
        <v>201300155@est.umss.edu</v>
      </c>
      <c r="B70" s="58" t="str">
        <f>IFERROR(__xludf.DUMMYFUNCTION("""COMPUTED_VALUE"""),"MARKETING/MERCADOTECNIA")</f>
        <v>MARKETING/MERCADOTECNIA</v>
      </c>
      <c r="C70" s="58">
        <f>IFERROR(__xludf.DUMMYFUNCTION("""COMPUTED_VALUE"""),1.0)</f>
        <v>1</v>
      </c>
    </row>
    <row r="71">
      <c r="A71" s="58" t="str">
        <f>IFERROR(__xludf.DUMMYFUNCTION("""COMPUTED_VALUE"""),"201300260@est.umss.edu")</f>
        <v>201300260@est.umss.edu</v>
      </c>
      <c r="B71" s="58" t="str">
        <f>IFERROR(__xludf.DUMMYFUNCTION("""COMPUTED_VALUE"""),"FACTIBILIDAD")</f>
        <v>FACTIBILIDAD</v>
      </c>
      <c r="C71" s="58">
        <f>IFERROR(__xludf.DUMMYFUNCTION("""COMPUTED_VALUE"""),3.0)</f>
        <v>3</v>
      </c>
    </row>
    <row r="72">
      <c r="A72" s="58" t="str">
        <f>IFERROR(__xludf.DUMMYFUNCTION("""COMPUTED_VALUE"""),"201300260@est.umss.edu")</f>
        <v>201300260@est.umss.edu</v>
      </c>
      <c r="B72" s="58" t="str">
        <f>IFERROR(__xludf.DUMMYFUNCTION("""COMPUTED_VALUE"""),"GESTIÓN ESTRATÉGICA")</f>
        <v>GESTIÓN ESTRATÉGICA</v>
      </c>
      <c r="C72" s="58">
        <f>IFERROR(__xludf.DUMMYFUNCTION("""COMPUTED_VALUE"""),3.0)</f>
        <v>3</v>
      </c>
    </row>
    <row r="73">
      <c r="A73" s="58" t="str">
        <f>IFERROR(__xludf.DUMMYFUNCTION("""COMPUTED_VALUE"""),"201300260@est.umss.edu")</f>
        <v>201300260@est.umss.edu</v>
      </c>
      <c r="B73" s="58" t="str">
        <f>IFERROR(__xludf.DUMMYFUNCTION("""COMPUTED_VALUE"""),"MARKETING/MERCADOTECNIA")</f>
        <v>MARKETING/MERCADOTECNIA</v>
      </c>
      <c r="C73" s="58">
        <f>IFERROR(__xludf.DUMMYFUNCTION("""COMPUTED_VALUE"""),2.0)</f>
        <v>2</v>
      </c>
    </row>
    <row r="74">
      <c r="A74" s="58" t="str">
        <f>IFERROR(__xludf.DUMMYFUNCTION("""COMPUTED_VALUE"""),"201300260@est.umss.edu")</f>
        <v>201300260@est.umss.edu</v>
      </c>
      <c r="B74" s="58" t="str">
        <f>IFERROR(__xludf.DUMMYFUNCTION("""COMPUTED_VALUE"""),"PLAN DE NEGOCIOS")</f>
        <v>PLAN DE NEGOCIOS</v>
      </c>
      <c r="C74" s="58">
        <f>IFERROR(__xludf.DUMMYFUNCTION("""COMPUTED_VALUE"""),3.0)</f>
        <v>3</v>
      </c>
    </row>
    <row r="75">
      <c r="A75" s="58" t="str">
        <f>IFERROR(__xludf.DUMMYFUNCTION("""COMPUTED_VALUE"""),"201300263@est.umss.edu")</f>
        <v>201300263@est.umss.edu</v>
      </c>
      <c r="B75" s="58" t="str">
        <f>IFERROR(__xludf.DUMMYFUNCTION("""COMPUTED_VALUE"""),"FACTIBILIDAD")</f>
        <v>FACTIBILIDAD</v>
      </c>
      <c r="C75" s="58">
        <f>IFERROR(__xludf.DUMMYFUNCTION("""COMPUTED_VALUE"""),1.0)</f>
        <v>1</v>
      </c>
    </row>
    <row r="76">
      <c r="A76" s="58" t="str">
        <f>IFERROR(__xludf.DUMMYFUNCTION("""COMPUTED_VALUE"""),"201300914@est.umss.edu")</f>
        <v>201300914@est.umss.edu</v>
      </c>
      <c r="B76" s="58" t="str">
        <f>IFERROR(__xludf.DUMMYFUNCTION("""COMPUTED_VALUE"""),"FACTIBILIDAD")</f>
        <v>FACTIBILIDAD</v>
      </c>
      <c r="C76" s="58">
        <f>IFERROR(__xludf.DUMMYFUNCTION("""COMPUTED_VALUE"""),5.0)</f>
        <v>5</v>
      </c>
    </row>
    <row r="77">
      <c r="A77" s="58" t="str">
        <f>IFERROR(__xludf.DUMMYFUNCTION("""COMPUTED_VALUE"""),"201300914@est.umss.edu")</f>
        <v>201300914@est.umss.edu</v>
      </c>
      <c r="B77" s="58" t="str">
        <f>IFERROR(__xludf.DUMMYFUNCTION("""COMPUTED_VALUE"""),"OPTIMIZACIÓN")</f>
        <v>OPTIMIZACIÓN</v>
      </c>
      <c r="C77" s="58">
        <f>IFERROR(__xludf.DUMMYFUNCTION("""COMPUTED_VALUE"""),2.0)</f>
        <v>2</v>
      </c>
    </row>
    <row r="78">
      <c r="A78" s="58" t="str">
        <f>IFERROR(__xludf.DUMMYFUNCTION("""COMPUTED_VALUE"""),"201300914@est.umss.edu")</f>
        <v>201300914@est.umss.edu</v>
      </c>
      <c r="B78" s="58" t="str">
        <f>IFERROR(__xludf.DUMMYFUNCTION("""COMPUTED_VALUE"""),"SEGURIDAD INDUSTRIAL")</f>
        <v>SEGURIDAD INDUSTRIAL</v>
      </c>
      <c r="C78" s="58">
        <f>IFERROR(__xludf.DUMMYFUNCTION("""COMPUTED_VALUE"""),2.0)</f>
        <v>2</v>
      </c>
    </row>
    <row r="79">
      <c r="A79" s="58" t="str">
        <f>IFERROR(__xludf.DUMMYFUNCTION("""COMPUTED_VALUE"""),"201301238@est.umss.edu")</f>
        <v>201301238@est.umss.edu</v>
      </c>
      <c r="B79" s="58" t="str">
        <f>IFERROR(__xludf.DUMMYFUNCTION("""COMPUTED_VALUE"""),"CALIDAD")</f>
        <v>CALIDAD</v>
      </c>
      <c r="C79" s="58">
        <f>IFERROR(__xludf.DUMMYFUNCTION("""COMPUTED_VALUE"""),4.0)</f>
        <v>4</v>
      </c>
    </row>
    <row r="80">
      <c r="A80" s="58" t="str">
        <f>IFERROR(__xludf.DUMMYFUNCTION("""COMPUTED_VALUE"""),"201301238@est.umss.edu")</f>
        <v>201301238@est.umss.edu</v>
      </c>
      <c r="B80" s="58" t="str">
        <f>IFERROR(__xludf.DUMMYFUNCTION("""COMPUTED_VALUE"""),"FACTIBILIDAD")</f>
        <v>FACTIBILIDAD</v>
      </c>
      <c r="C80" s="58">
        <f>IFERROR(__xludf.DUMMYFUNCTION("""COMPUTED_VALUE"""),2.0)</f>
        <v>2</v>
      </c>
    </row>
    <row r="81">
      <c r="A81" s="58" t="str">
        <f>IFERROR(__xludf.DUMMYFUNCTION("""COMPUTED_VALUE"""),"201301238@est.umss.edu")</f>
        <v>201301238@est.umss.edu</v>
      </c>
      <c r="B81" s="58" t="str">
        <f>IFERROR(__xludf.DUMMYFUNCTION("""COMPUTED_VALUE"""),"INGENIERÍA DE MÉTODOS")</f>
        <v>INGENIERÍA DE MÉTODOS</v>
      </c>
      <c r="C81" s="58">
        <f>IFERROR(__xludf.DUMMYFUNCTION("""COMPUTED_VALUE"""),2.0)</f>
        <v>2</v>
      </c>
    </row>
    <row r="82">
      <c r="A82" s="58" t="str">
        <f>IFERROR(__xludf.DUMMYFUNCTION("""COMPUTED_VALUE"""),"201301238@est.umss.edu")</f>
        <v>201301238@est.umss.edu</v>
      </c>
      <c r="B82" s="58" t="str">
        <f>IFERROR(__xludf.DUMMYFUNCTION("""COMPUTED_VALUE"""),"MANTENIMIENTO")</f>
        <v>MANTENIMIENTO</v>
      </c>
      <c r="C82" s="58">
        <f>IFERROR(__xludf.DUMMYFUNCTION("""COMPUTED_VALUE"""),7.0)</f>
        <v>7</v>
      </c>
    </row>
    <row r="83">
      <c r="A83" s="58" t="str">
        <f>IFERROR(__xludf.DUMMYFUNCTION("""COMPUTED_VALUE"""),"201301238@est.umss.edu")</f>
        <v>201301238@est.umss.edu</v>
      </c>
      <c r="B83" s="58" t="str">
        <f>IFERROR(__xludf.DUMMYFUNCTION("""COMPUTED_VALUE"""),"OPTIMIZACIÓN")</f>
        <v>OPTIMIZACIÓN</v>
      </c>
      <c r="C83" s="58">
        <f>IFERROR(__xludf.DUMMYFUNCTION("""COMPUTED_VALUE"""),2.0)</f>
        <v>2</v>
      </c>
    </row>
    <row r="84">
      <c r="A84" s="58" t="str">
        <f>IFERROR(__xludf.DUMMYFUNCTION("""COMPUTED_VALUE"""),"201301238@est.umss.edu")</f>
        <v>201301238@est.umss.edu</v>
      </c>
      <c r="B84" s="58" t="str">
        <f>IFERROR(__xludf.DUMMYFUNCTION("""COMPUTED_VALUE"""),"PROCESOS INDUSTRIALES")</f>
        <v>PROCESOS INDUSTRIALES</v>
      </c>
      <c r="C84" s="58">
        <f>IFERROR(__xludf.DUMMYFUNCTION("""COMPUTED_VALUE"""),1.0)</f>
        <v>1</v>
      </c>
    </row>
    <row r="85">
      <c r="A85" s="58" t="str">
        <f>IFERROR(__xludf.DUMMYFUNCTION("""COMPUTED_VALUE"""),"201301238@est.umss.edu")</f>
        <v>201301238@est.umss.edu</v>
      </c>
      <c r="B85" s="58" t="str">
        <f>IFERROR(__xludf.DUMMYFUNCTION("""COMPUTED_VALUE"""),"SEGURIDAD INDUSTRIAL")</f>
        <v>SEGURIDAD INDUSTRIAL</v>
      </c>
      <c r="C85" s="58">
        <f>IFERROR(__xludf.DUMMYFUNCTION("""COMPUTED_VALUE"""),1.0)</f>
        <v>1</v>
      </c>
    </row>
    <row r="86">
      <c r="A86" s="58" t="str">
        <f>IFERROR(__xludf.DUMMYFUNCTION("""COMPUTED_VALUE"""),"201307334@est.umss.edu")</f>
        <v>201307334@est.umss.edu</v>
      </c>
      <c r="B86" s="58" t="str">
        <f>IFERROR(__xludf.DUMMYFUNCTION("""COMPUTED_VALUE"""),"ACADÉMICOS")</f>
        <v>ACADÉMICOS</v>
      </c>
      <c r="C86" s="58">
        <f>IFERROR(__xludf.DUMMYFUNCTION("""COMPUTED_VALUE"""),1.0)</f>
        <v>1</v>
      </c>
    </row>
    <row r="87">
      <c r="A87" s="58" t="str">
        <f>IFERROR(__xludf.DUMMYFUNCTION("""COMPUTED_VALUE"""),"201307334@est.umss.edu")</f>
        <v>201307334@est.umss.edu</v>
      </c>
      <c r="B87" s="58" t="str">
        <f>IFERROR(__xludf.DUMMYFUNCTION("""COMPUTED_VALUE"""),"OPTIMIZACIÓN")</f>
        <v>OPTIMIZACIÓN</v>
      </c>
      <c r="C87" s="58">
        <f>IFERROR(__xludf.DUMMYFUNCTION("""COMPUTED_VALUE"""),1.0)</f>
        <v>1</v>
      </c>
    </row>
    <row r="88">
      <c r="A88" s="58" t="str">
        <f>IFERROR(__xludf.DUMMYFUNCTION("""COMPUTED_VALUE"""),"201307334@est.umss.edu")</f>
        <v>201307334@est.umss.edu</v>
      </c>
      <c r="B88" s="58" t="str">
        <f>IFERROR(__xludf.DUMMYFUNCTION("""COMPUTED_VALUE"""),"PLANIFICACIÓN Y CONTROL DE LA PRODUCCIÓN")</f>
        <v>PLANIFICACIÓN Y CONTROL DE LA PRODUCCIÓN</v>
      </c>
      <c r="C88" s="58">
        <f>IFERROR(__xludf.DUMMYFUNCTION("""COMPUTED_VALUE"""),9.0)</f>
        <v>9</v>
      </c>
    </row>
    <row r="89">
      <c r="A89" s="58" t="str">
        <f>IFERROR(__xludf.DUMMYFUNCTION("""COMPUTED_VALUE"""),"201309559@est.umss.edu")</f>
        <v>201309559@est.umss.edu</v>
      </c>
      <c r="B89" s="58" t="str">
        <f>IFERROR(__xludf.DUMMYFUNCTION("""COMPUTED_VALUE"""),"CALIDAD")</f>
        <v>CALIDAD</v>
      </c>
      <c r="C89" s="58">
        <f>IFERROR(__xludf.DUMMYFUNCTION("""COMPUTED_VALUE"""),1.0)</f>
        <v>1</v>
      </c>
    </row>
    <row r="90">
      <c r="A90" s="58" t="str">
        <f>IFERROR(__xludf.DUMMYFUNCTION("""COMPUTED_VALUE"""),"201309559@est.umss.edu")</f>
        <v>201309559@est.umss.edu</v>
      </c>
      <c r="B90" s="58" t="str">
        <f>IFERROR(__xludf.DUMMYFUNCTION("""COMPUTED_VALUE"""),"OPTIMIZACIÓN")</f>
        <v>OPTIMIZACIÓN</v>
      </c>
      <c r="C90" s="58">
        <f>IFERROR(__xludf.DUMMYFUNCTION("""COMPUTED_VALUE"""),1.0)</f>
        <v>1</v>
      </c>
    </row>
    <row r="91">
      <c r="A91" s="58" t="str">
        <f>IFERROR(__xludf.DUMMYFUNCTION("""COMPUTED_VALUE"""),"201309559@est.umss.edu")</f>
        <v>201309559@est.umss.edu</v>
      </c>
      <c r="B91" s="58" t="str">
        <f>IFERROR(__xludf.DUMMYFUNCTION("""COMPUTED_VALUE"""),"PLAN DE NEGOCIOS")</f>
        <v>PLAN DE NEGOCIOS</v>
      </c>
      <c r="C91" s="58">
        <f>IFERROR(__xludf.DUMMYFUNCTION("""COMPUTED_VALUE"""),1.0)</f>
        <v>1</v>
      </c>
    </row>
    <row r="92">
      <c r="A92" s="58" t="str">
        <f>IFERROR(__xludf.DUMMYFUNCTION("""COMPUTED_VALUE"""),"201309560@est.umss.edu")</f>
        <v>201309560@est.umss.edu</v>
      </c>
      <c r="B92" s="58" t="str">
        <f>IFERROR(__xludf.DUMMYFUNCTION("""COMPUTED_VALUE"""),"ACADÉMICOS")</f>
        <v>ACADÉMICOS</v>
      </c>
      <c r="C92" s="58">
        <f>IFERROR(__xludf.DUMMYFUNCTION("""COMPUTED_VALUE"""),1.0)</f>
        <v>1</v>
      </c>
    </row>
    <row r="93">
      <c r="A93" s="58" t="str">
        <f>IFERROR(__xludf.DUMMYFUNCTION("""COMPUTED_VALUE"""),"201309560@est.umss.edu")</f>
        <v>201309560@est.umss.edu</v>
      </c>
      <c r="B93" s="58" t="str">
        <f>IFERROR(__xludf.DUMMYFUNCTION("""COMPUTED_VALUE"""),"CALIDAD")</f>
        <v>CALIDAD</v>
      </c>
      <c r="C93" s="58">
        <f>IFERROR(__xludf.DUMMYFUNCTION("""COMPUTED_VALUE"""),3.0)</f>
        <v>3</v>
      </c>
    </row>
    <row r="94">
      <c r="A94" s="58" t="str">
        <f>IFERROR(__xludf.DUMMYFUNCTION("""COMPUTED_VALUE"""),"201309560@est.umss.edu")</f>
        <v>201309560@est.umss.edu</v>
      </c>
      <c r="B94" s="58" t="str">
        <f>IFERROR(__xludf.DUMMYFUNCTION("""COMPUTED_VALUE"""),"OTROS")</f>
        <v>OTROS</v>
      </c>
      <c r="C94" s="58">
        <f>IFERROR(__xludf.DUMMYFUNCTION("""COMPUTED_VALUE"""),1.0)</f>
        <v>1</v>
      </c>
    </row>
    <row r="95">
      <c r="A95" s="58" t="str">
        <f>IFERROR(__xludf.DUMMYFUNCTION("""COMPUTED_VALUE"""),"201309560@est.umss.edu")</f>
        <v>201309560@est.umss.edu</v>
      </c>
      <c r="B95" s="58" t="str">
        <f>IFERROR(__xludf.DUMMYFUNCTION("""COMPUTED_VALUE"""),"SEGURIDAD INDUSTRIAL")</f>
        <v>SEGURIDAD INDUSTRIAL</v>
      </c>
      <c r="C95" s="58">
        <f>IFERROR(__xludf.DUMMYFUNCTION("""COMPUTED_VALUE"""),1.0)</f>
        <v>1</v>
      </c>
    </row>
    <row r="96">
      <c r="A96" s="58" t="str">
        <f>IFERROR(__xludf.DUMMYFUNCTION("""COMPUTED_VALUE"""),"201309568@edu.umss.edu")</f>
        <v>201309568@edu.umss.edu</v>
      </c>
      <c r="B96" s="58"/>
      <c r="C96" s="58">
        <f>IFERROR(__xludf.DUMMYFUNCTION("""COMPUTED_VALUE"""),0.0)</f>
        <v>0</v>
      </c>
    </row>
    <row r="97">
      <c r="A97" s="58" t="str">
        <f>IFERROR(__xludf.DUMMYFUNCTION("""COMPUTED_VALUE"""),"201309568@edu.umss.edu")</f>
        <v>201309568@edu.umss.edu</v>
      </c>
      <c r="B97" s="58" t="str">
        <f>IFERROR(__xludf.DUMMYFUNCTION("""COMPUTED_VALUE"""),"FACTIBILIDAD")</f>
        <v>FACTIBILIDAD</v>
      </c>
      <c r="C97" s="58">
        <f>IFERROR(__xludf.DUMMYFUNCTION("""COMPUTED_VALUE"""),3.0)</f>
        <v>3</v>
      </c>
    </row>
    <row r="98">
      <c r="A98" s="58" t="str">
        <f>IFERROR(__xludf.DUMMYFUNCTION("""COMPUTED_VALUE"""),"201309568@est.umss.edu")</f>
        <v>201309568@est.umss.edu</v>
      </c>
      <c r="B98" s="58"/>
      <c r="C98" s="58">
        <f>IFERROR(__xludf.DUMMYFUNCTION("""COMPUTED_VALUE"""),0.0)</f>
        <v>0</v>
      </c>
    </row>
    <row r="99">
      <c r="A99" s="58" t="str">
        <f>IFERROR(__xludf.DUMMYFUNCTION("""COMPUTED_VALUE"""),"201309568@est.umss.edu")</f>
        <v>201309568@est.umss.edu</v>
      </c>
      <c r="B99" s="58" t="str">
        <f>IFERROR(__xludf.DUMMYFUNCTION("""COMPUTED_VALUE"""),"FACTIBILIDAD")</f>
        <v>FACTIBILIDAD</v>
      </c>
      <c r="C99" s="58">
        <f>IFERROR(__xludf.DUMMYFUNCTION("""COMPUTED_VALUE"""),13.0)</f>
        <v>13</v>
      </c>
    </row>
    <row r="100">
      <c r="A100" s="58" t="str">
        <f>IFERROR(__xludf.DUMMYFUNCTION("""COMPUTED_VALUE"""),"201309568@est.umss.edu")</f>
        <v>201309568@est.umss.edu</v>
      </c>
      <c r="B100" s="58" t="str">
        <f>IFERROR(__xludf.DUMMYFUNCTION("""COMPUTED_VALUE"""),"GESTIÓN ESTRATÉGICA")</f>
        <v>GESTIÓN ESTRATÉGICA</v>
      </c>
      <c r="C100" s="58">
        <f>IFERROR(__xludf.DUMMYFUNCTION("""COMPUTED_VALUE"""),1.0)</f>
        <v>1</v>
      </c>
    </row>
    <row r="101">
      <c r="A101" s="58" t="str">
        <f>IFERROR(__xludf.DUMMYFUNCTION("""COMPUTED_VALUE"""),"201309568@est.umss.edu")</f>
        <v>201309568@est.umss.edu</v>
      </c>
      <c r="B101" s="58" t="str">
        <f>IFERROR(__xludf.DUMMYFUNCTION("""COMPUTED_VALUE"""),"OPTIMIZACIÓN")</f>
        <v>OPTIMIZACIÓN</v>
      </c>
      <c r="C101" s="58">
        <f>IFERROR(__xludf.DUMMYFUNCTION("""COMPUTED_VALUE"""),2.0)</f>
        <v>2</v>
      </c>
    </row>
    <row r="102">
      <c r="A102" s="58" t="str">
        <f>IFERROR(__xludf.DUMMYFUNCTION("""COMPUTED_VALUE"""),"201309568@est.umss.edu")</f>
        <v>201309568@est.umss.edu</v>
      </c>
      <c r="B102" s="58" t="str">
        <f>IFERROR(__xludf.DUMMYFUNCTION("""COMPUTED_VALUE"""),"PLANIFICACIÓN Y CONTROL DE LA PRODUCCIÓN")</f>
        <v>PLANIFICACIÓN Y CONTROL DE LA PRODUCCIÓN</v>
      </c>
      <c r="C102" s="58">
        <f>IFERROR(__xludf.DUMMYFUNCTION("""COMPUTED_VALUE"""),4.0)</f>
        <v>4</v>
      </c>
    </row>
    <row r="103">
      <c r="A103" s="58" t="str">
        <f>IFERROR(__xludf.DUMMYFUNCTION("""COMPUTED_VALUE"""),"201309568@est.umss.edu")</f>
        <v>201309568@est.umss.edu</v>
      </c>
      <c r="B103" s="58" t="str">
        <f>IFERROR(__xludf.DUMMYFUNCTION("""COMPUTED_VALUE"""),"SEGURIDAD INDUSTRIAL")</f>
        <v>SEGURIDAD INDUSTRIAL</v>
      </c>
      <c r="C103" s="58">
        <f>IFERROR(__xludf.DUMMYFUNCTION("""COMPUTED_VALUE"""),5.0)</f>
        <v>5</v>
      </c>
    </row>
    <row r="104">
      <c r="A104" s="58" t="str">
        <f>IFERROR(__xludf.DUMMYFUNCTION("""COMPUTED_VALUE"""),"201309577@est.umss.edu")</f>
        <v>201309577@est.umss.edu</v>
      </c>
      <c r="B104" s="58" t="str">
        <f>IFERROR(__xludf.DUMMYFUNCTION("""COMPUTED_VALUE"""),"FACTIBILIDAD")</f>
        <v>FACTIBILIDAD</v>
      </c>
      <c r="C104" s="58">
        <f>IFERROR(__xludf.DUMMYFUNCTION("""COMPUTED_VALUE"""),1.0)</f>
        <v>1</v>
      </c>
    </row>
    <row r="105">
      <c r="A105" s="58" t="str">
        <f>IFERROR(__xludf.DUMMYFUNCTION("""COMPUTED_VALUE"""),"201309765@est.umss.edu")</f>
        <v>201309765@est.umss.edu</v>
      </c>
      <c r="B105" s="58" t="str">
        <f>IFERROR(__xludf.DUMMYFUNCTION("""COMPUTED_VALUE"""),"EVALUACIÓN TÉCNICA")</f>
        <v>EVALUACIÓN TÉCNICA</v>
      </c>
      <c r="C105" s="58">
        <f>IFERROR(__xludf.DUMMYFUNCTION("""COMPUTED_VALUE"""),1.0)</f>
        <v>1</v>
      </c>
    </row>
    <row r="106">
      <c r="A106" s="58" t="str">
        <f>IFERROR(__xludf.DUMMYFUNCTION("""COMPUTED_VALUE"""),"201310392@est.umss.edu")</f>
        <v>201310392@est.umss.edu</v>
      </c>
      <c r="B106" s="58" t="str">
        <f>IFERROR(__xludf.DUMMYFUNCTION("""COMPUTED_VALUE"""),"EVALUACIÓN TÉCNICA")</f>
        <v>EVALUACIÓN TÉCNICA</v>
      </c>
      <c r="C106" s="58">
        <f>IFERROR(__xludf.DUMMYFUNCTION("""COMPUTED_VALUE"""),1.0)</f>
        <v>1</v>
      </c>
    </row>
    <row r="107">
      <c r="A107" s="58" t="str">
        <f>IFERROR(__xludf.DUMMYFUNCTION("""COMPUTED_VALUE"""),"201310463@est.umss.edu")</f>
        <v>201310463@est.umss.edu</v>
      </c>
      <c r="B107" s="58" t="str">
        <f>IFERROR(__xludf.DUMMYFUNCTION("""COMPUTED_VALUE"""),"ACADÉMICOS")</f>
        <v>ACADÉMICOS</v>
      </c>
      <c r="C107" s="58">
        <f>IFERROR(__xludf.DUMMYFUNCTION("""COMPUTED_VALUE"""),2.0)</f>
        <v>2</v>
      </c>
    </row>
    <row r="108">
      <c r="A108" s="58" t="str">
        <f>IFERROR(__xludf.DUMMYFUNCTION("""COMPUTED_VALUE"""),"201310463@est.umss.edu")</f>
        <v>201310463@est.umss.edu</v>
      </c>
      <c r="B108" s="58" t="str">
        <f>IFERROR(__xludf.DUMMYFUNCTION("""COMPUTED_VALUE"""),"CALIDAD")</f>
        <v>CALIDAD</v>
      </c>
      <c r="C108" s="58">
        <f>IFERROR(__xludf.DUMMYFUNCTION("""COMPUTED_VALUE"""),1.0)</f>
        <v>1</v>
      </c>
    </row>
    <row r="109">
      <c r="A109" s="58" t="str">
        <f>IFERROR(__xludf.DUMMYFUNCTION("""COMPUTED_VALUE"""),"201310463@est.umss.edu")</f>
        <v>201310463@est.umss.edu</v>
      </c>
      <c r="B109" s="58" t="str">
        <f>IFERROR(__xludf.DUMMYFUNCTION("""COMPUTED_VALUE"""),"DISEÑO")</f>
        <v>DISEÑO</v>
      </c>
      <c r="C109" s="58">
        <f>IFERROR(__xludf.DUMMYFUNCTION("""COMPUTED_VALUE"""),1.0)</f>
        <v>1</v>
      </c>
    </row>
    <row r="110">
      <c r="A110" s="58" t="str">
        <f>IFERROR(__xludf.DUMMYFUNCTION("""COMPUTED_VALUE"""),"201310463@est.umss.edu")</f>
        <v>201310463@est.umss.edu</v>
      </c>
      <c r="B110" s="58" t="str">
        <f>IFERROR(__xludf.DUMMYFUNCTION("""COMPUTED_VALUE"""),"EVALUACIÓN TÉCNICA")</f>
        <v>EVALUACIÓN TÉCNICA</v>
      </c>
      <c r="C110" s="58">
        <f>IFERROR(__xludf.DUMMYFUNCTION("""COMPUTED_VALUE"""),2.0)</f>
        <v>2</v>
      </c>
    </row>
    <row r="111">
      <c r="A111" s="58" t="str">
        <f>IFERROR(__xludf.DUMMYFUNCTION("""COMPUTED_VALUE"""),"201310463@est.umss.edu")</f>
        <v>201310463@est.umss.edu</v>
      </c>
      <c r="B111" s="58" t="str">
        <f>IFERROR(__xludf.DUMMYFUNCTION("""COMPUTED_VALUE"""),"FACTIBILIDAD")</f>
        <v>FACTIBILIDAD</v>
      </c>
      <c r="C111" s="58">
        <f>IFERROR(__xludf.DUMMYFUNCTION("""COMPUTED_VALUE"""),5.0)</f>
        <v>5</v>
      </c>
    </row>
    <row r="112">
      <c r="A112" s="58" t="str">
        <f>IFERROR(__xludf.DUMMYFUNCTION("""COMPUTED_VALUE"""),"201310463@est.umss.edu")</f>
        <v>201310463@est.umss.edu</v>
      </c>
      <c r="B112" s="58" t="str">
        <f>IFERROR(__xludf.DUMMYFUNCTION("""COMPUTED_VALUE"""),"GESTIÓN ESTRATÉGICA")</f>
        <v>GESTIÓN ESTRATÉGICA</v>
      </c>
      <c r="C112" s="58">
        <f>IFERROR(__xludf.DUMMYFUNCTION("""COMPUTED_VALUE"""),3.0)</f>
        <v>3</v>
      </c>
    </row>
    <row r="113">
      <c r="A113" s="58" t="str">
        <f>IFERROR(__xludf.DUMMYFUNCTION("""COMPUTED_VALUE"""),"201310463@est.umss.edu")</f>
        <v>201310463@est.umss.edu</v>
      </c>
      <c r="B113" s="58" t="str">
        <f>IFERROR(__xludf.DUMMYFUNCTION("""COMPUTED_VALUE"""),"INVESTIGACIÓN OPERATIVA")</f>
        <v>INVESTIGACIÓN OPERATIVA</v>
      </c>
      <c r="C113" s="58">
        <f>IFERROR(__xludf.DUMMYFUNCTION("""COMPUTED_VALUE"""),6.0)</f>
        <v>6</v>
      </c>
    </row>
    <row r="114">
      <c r="A114" s="58" t="str">
        <f>IFERROR(__xludf.DUMMYFUNCTION("""COMPUTED_VALUE"""),"201310463@est.umss.edu")</f>
        <v>201310463@est.umss.edu</v>
      </c>
      <c r="B114" s="58" t="str">
        <f>IFERROR(__xludf.DUMMYFUNCTION("""COMPUTED_VALUE"""),"MANTENIMIENTO")</f>
        <v>MANTENIMIENTO</v>
      </c>
      <c r="C114" s="58">
        <f>IFERROR(__xludf.DUMMYFUNCTION("""COMPUTED_VALUE"""),1.0)</f>
        <v>1</v>
      </c>
    </row>
    <row r="115">
      <c r="A115" s="58" t="str">
        <f>IFERROR(__xludf.DUMMYFUNCTION("""COMPUTED_VALUE"""),"201310463@est.umss.edu")</f>
        <v>201310463@est.umss.edu</v>
      </c>
      <c r="B115" s="58" t="str">
        <f>IFERROR(__xludf.DUMMYFUNCTION("""COMPUTED_VALUE"""),"ORGANIZACIÓN INDUSTRIAL")</f>
        <v>ORGANIZACIÓN INDUSTRIAL</v>
      </c>
      <c r="C115" s="58">
        <f>IFERROR(__xludf.DUMMYFUNCTION("""COMPUTED_VALUE"""),1.0)</f>
        <v>1</v>
      </c>
    </row>
    <row r="116">
      <c r="A116" s="58" t="str">
        <f>IFERROR(__xludf.DUMMYFUNCTION("""COMPUTED_VALUE"""),"201310463@est.umss.edu")</f>
        <v>201310463@est.umss.edu</v>
      </c>
      <c r="B116" s="58" t="str">
        <f>IFERROR(__xludf.DUMMYFUNCTION("""COMPUTED_VALUE"""),"OTROS")</f>
        <v>OTROS</v>
      </c>
      <c r="C116" s="58">
        <f>IFERROR(__xludf.DUMMYFUNCTION("""COMPUTED_VALUE"""),1.0)</f>
        <v>1</v>
      </c>
    </row>
    <row r="117">
      <c r="A117" s="58" t="str">
        <f>IFERROR(__xludf.DUMMYFUNCTION("""COMPUTED_VALUE"""),"201310463@est.umss.edu")</f>
        <v>201310463@est.umss.edu</v>
      </c>
      <c r="B117" s="58" t="str">
        <f>IFERROR(__xludf.DUMMYFUNCTION("""COMPUTED_VALUE"""),"PLAN DE NEGOCIOS")</f>
        <v>PLAN DE NEGOCIOS</v>
      </c>
      <c r="C117" s="58">
        <f>IFERROR(__xludf.DUMMYFUNCTION("""COMPUTED_VALUE"""),2.0)</f>
        <v>2</v>
      </c>
    </row>
    <row r="118">
      <c r="A118" s="58" t="str">
        <f>IFERROR(__xludf.DUMMYFUNCTION("""COMPUTED_VALUE"""),"201310463@est.umss.edu")</f>
        <v>201310463@est.umss.edu</v>
      </c>
      <c r="B118" s="58" t="str">
        <f>IFERROR(__xludf.DUMMYFUNCTION("""COMPUTED_VALUE"""),"PROCESOS INDUSTRIALES")</f>
        <v>PROCESOS INDUSTRIALES</v>
      </c>
      <c r="C118" s="58">
        <f>IFERROR(__xludf.DUMMYFUNCTION("""COMPUTED_VALUE"""),1.0)</f>
        <v>1</v>
      </c>
    </row>
    <row r="119">
      <c r="A119" s="58" t="str">
        <f>IFERROR(__xludf.DUMMYFUNCTION("""COMPUTED_VALUE"""),"201310463@est.umss.edu")</f>
        <v>201310463@est.umss.edu</v>
      </c>
      <c r="B119" s="58" t="str">
        <f>IFERROR(__xludf.DUMMYFUNCTION("""COMPUTED_VALUE"""),"SEGURIDAD INDUSTRIAL")</f>
        <v>SEGURIDAD INDUSTRIAL</v>
      </c>
      <c r="C119" s="58">
        <f>IFERROR(__xludf.DUMMYFUNCTION("""COMPUTED_VALUE"""),1.0)</f>
        <v>1</v>
      </c>
    </row>
    <row r="120">
      <c r="A120" s="58" t="str">
        <f>IFERROR(__xludf.DUMMYFUNCTION("""COMPUTED_VALUE"""),"201310463@est.umss.edu")</f>
        <v>201310463@est.umss.edu</v>
      </c>
      <c r="B120" s="58" t="str">
        <f>IFERROR(__xludf.DUMMYFUNCTION("""COMPUTED_VALUE"""),"SISTEMAS DE INFORMACIÓN")</f>
        <v>SISTEMAS DE INFORMACIÓN</v>
      </c>
      <c r="C120" s="58">
        <f>IFERROR(__xludf.DUMMYFUNCTION("""COMPUTED_VALUE"""),10.0)</f>
        <v>10</v>
      </c>
    </row>
    <row r="121">
      <c r="A121" s="58" t="str">
        <f>IFERROR(__xludf.DUMMYFUNCTION("""COMPUTED_VALUE"""),"201310463@est.umss.edu")</f>
        <v>201310463@est.umss.edu</v>
      </c>
      <c r="B121" s="58" t="str">
        <f>IFERROR(__xludf.DUMMYFUNCTION("""COMPUTED_VALUE"""),"SISTEMAS INTEGRADOS")</f>
        <v>SISTEMAS INTEGRADOS</v>
      </c>
      <c r="C121" s="58">
        <f>IFERROR(__xludf.DUMMYFUNCTION("""COMPUTED_VALUE"""),3.0)</f>
        <v>3</v>
      </c>
    </row>
    <row r="122">
      <c r="A122" s="58" t="str">
        <f>IFERROR(__xludf.DUMMYFUNCTION("""COMPUTED_VALUE"""),"201311169@st.umss.edu")</f>
        <v>201311169@st.umss.edu</v>
      </c>
      <c r="B122" s="58" t="str">
        <f>IFERROR(__xludf.DUMMYFUNCTION("""COMPUTED_VALUE"""),"FACTIBILIDAD")</f>
        <v>FACTIBILIDAD</v>
      </c>
      <c r="C122" s="58">
        <f>IFERROR(__xludf.DUMMYFUNCTION("""COMPUTED_VALUE"""),1.0)</f>
        <v>1</v>
      </c>
    </row>
    <row r="123">
      <c r="A123" s="58" t="str">
        <f>IFERROR(__xludf.DUMMYFUNCTION("""COMPUTED_VALUE"""),"201400135@est.umss.edu")</f>
        <v>201400135@est.umss.edu</v>
      </c>
      <c r="B123" s="58" t="str">
        <f>IFERROR(__xludf.DUMMYFUNCTION("""COMPUTED_VALUE"""),"FACTIBILIDAD")</f>
        <v>FACTIBILIDAD</v>
      </c>
      <c r="C123" s="58">
        <f>IFERROR(__xludf.DUMMYFUNCTION("""COMPUTED_VALUE"""),1.0)</f>
        <v>1</v>
      </c>
    </row>
    <row r="124">
      <c r="A124" s="58" t="str">
        <f>IFERROR(__xludf.DUMMYFUNCTION("""COMPUTED_VALUE"""),"201400139@est.umss.edu")</f>
        <v>201400139@est.umss.edu</v>
      </c>
      <c r="B124" s="58" t="str">
        <f>IFERROR(__xludf.DUMMYFUNCTION("""COMPUTED_VALUE"""),"OPTIMIZACIÓN")</f>
        <v>OPTIMIZACIÓN</v>
      </c>
      <c r="C124" s="58">
        <f>IFERROR(__xludf.DUMMYFUNCTION("""COMPUTED_VALUE"""),3.0)</f>
        <v>3</v>
      </c>
    </row>
    <row r="125">
      <c r="A125" s="58" t="str">
        <f>IFERROR(__xludf.DUMMYFUNCTION("""COMPUTED_VALUE"""),"201400177@est.umss.edu")</f>
        <v>201400177@est.umss.edu</v>
      </c>
      <c r="B125" s="58" t="str">
        <f>IFERROR(__xludf.DUMMYFUNCTION("""COMPUTED_VALUE"""),"FACTIBILIDAD")</f>
        <v>FACTIBILIDAD</v>
      </c>
      <c r="C125" s="58">
        <f>IFERROR(__xludf.DUMMYFUNCTION("""COMPUTED_VALUE"""),4.0)</f>
        <v>4</v>
      </c>
    </row>
    <row r="126">
      <c r="A126" s="58" t="str">
        <f>IFERROR(__xludf.DUMMYFUNCTION("""COMPUTED_VALUE"""),"201400202@est.umss.edu")</f>
        <v>201400202@est.umss.edu</v>
      </c>
      <c r="B126" s="58" t="str">
        <f>IFERROR(__xludf.DUMMYFUNCTION("""COMPUTED_VALUE"""),"INGENIERÍA DE MÉTODOS")</f>
        <v>INGENIERÍA DE MÉTODOS</v>
      </c>
      <c r="C126" s="58">
        <f>IFERROR(__xludf.DUMMYFUNCTION("""COMPUTED_VALUE"""),1.0)</f>
        <v>1</v>
      </c>
    </row>
    <row r="127">
      <c r="A127" s="58" t="str">
        <f>IFERROR(__xludf.DUMMYFUNCTION("""COMPUTED_VALUE"""),"201400203@est.umss.edu")</f>
        <v>201400203@est.umss.edu</v>
      </c>
      <c r="B127" s="58" t="str">
        <f>IFERROR(__xludf.DUMMYFUNCTION("""COMPUTED_VALUE"""),"FACTIBILIDAD")</f>
        <v>FACTIBILIDAD</v>
      </c>
      <c r="C127" s="58">
        <f>IFERROR(__xludf.DUMMYFUNCTION("""COMPUTED_VALUE"""),4.0)</f>
        <v>4</v>
      </c>
    </row>
    <row r="128">
      <c r="A128" s="58" t="str">
        <f>IFERROR(__xludf.DUMMYFUNCTION("""COMPUTED_VALUE"""),"201400203@est.umss.edu")</f>
        <v>201400203@est.umss.edu</v>
      </c>
      <c r="B128" s="58" t="str">
        <f>IFERROR(__xludf.DUMMYFUNCTION("""COMPUTED_VALUE"""),"SEGURIDAD INDUSTRIAL")</f>
        <v>SEGURIDAD INDUSTRIAL</v>
      </c>
      <c r="C128" s="58">
        <f>IFERROR(__xludf.DUMMYFUNCTION("""COMPUTED_VALUE"""),1.0)</f>
        <v>1</v>
      </c>
    </row>
    <row r="129">
      <c r="A129" s="58" t="str">
        <f>IFERROR(__xludf.DUMMYFUNCTION("""COMPUTED_VALUE"""),"201400221@est.umss.edu")</f>
        <v>201400221@est.umss.edu</v>
      </c>
      <c r="B129" s="58" t="str">
        <f>IFERROR(__xludf.DUMMYFUNCTION("""COMPUTED_VALUE"""),"SEGURIDAD INDUSTRIAL")</f>
        <v>SEGURIDAD INDUSTRIAL</v>
      </c>
      <c r="C129" s="58">
        <f>IFERROR(__xludf.DUMMYFUNCTION("""COMPUTED_VALUE"""),10.0)</f>
        <v>10</v>
      </c>
    </row>
    <row r="130">
      <c r="A130" s="58" t="str">
        <f>IFERROR(__xludf.DUMMYFUNCTION("""COMPUTED_VALUE"""),"201400240@est.umss.edu")</f>
        <v>201400240@est.umss.edu</v>
      </c>
      <c r="B130" s="58" t="str">
        <f>IFERROR(__xludf.DUMMYFUNCTION("""COMPUTED_VALUE"""),"ACADÉMICOS")</f>
        <v>ACADÉMICOS</v>
      </c>
      <c r="C130" s="58">
        <f>IFERROR(__xludf.DUMMYFUNCTION("""COMPUTED_VALUE"""),2.0)</f>
        <v>2</v>
      </c>
    </row>
    <row r="131">
      <c r="A131" s="58" t="str">
        <f>IFERROR(__xludf.DUMMYFUNCTION("""COMPUTED_VALUE"""),"201400240@est.umss.edu")</f>
        <v>201400240@est.umss.edu</v>
      </c>
      <c r="B131" s="58" t="str">
        <f>IFERROR(__xludf.DUMMYFUNCTION("""COMPUTED_VALUE"""),"CALIDAD")</f>
        <v>CALIDAD</v>
      </c>
      <c r="C131" s="58">
        <f>IFERROR(__xludf.DUMMYFUNCTION("""COMPUTED_VALUE"""),7.0)</f>
        <v>7</v>
      </c>
    </row>
    <row r="132">
      <c r="A132" s="58" t="str">
        <f>IFERROR(__xludf.DUMMYFUNCTION("""COMPUTED_VALUE"""),"201400240@est.umss.edu")</f>
        <v>201400240@est.umss.edu</v>
      </c>
      <c r="B132" s="58" t="str">
        <f>IFERROR(__xludf.DUMMYFUNCTION("""COMPUTED_VALUE"""),"RECURSOS HUMANOS")</f>
        <v>RECURSOS HUMANOS</v>
      </c>
      <c r="C132" s="58">
        <f>IFERROR(__xludf.DUMMYFUNCTION("""COMPUTED_VALUE"""),2.0)</f>
        <v>2</v>
      </c>
    </row>
    <row r="133">
      <c r="A133" s="58" t="str">
        <f>IFERROR(__xludf.DUMMYFUNCTION("""COMPUTED_VALUE"""),"201400288@est.umss.edu")</f>
        <v>201400288@est.umss.edu</v>
      </c>
      <c r="B133" s="58" t="str">
        <f>IFERROR(__xludf.DUMMYFUNCTION("""COMPUTED_VALUE"""),"FACTIBILIDAD")</f>
        <v>FACTIBILIDAD</v>
      </c>
      <c r="C133" s="58">
        <f>IFERROR(__xludf.DUMMYFUNCTION("""COMPUTED_VALUE"""),4.0)</f>
        <v>4</v>
      </c>
    </row>
    <row r="134">
      <c r="A134" s="58" t="str">
        <f>IFERROR(__xludf.DUMMYFUNCTION("""COMPUTED_VALUE"""),"201400305@est.umss.edu")</f>
        <v>201400305@est.umss.edu</v>
      </c>
      <c r="B134" s="58" t="str">
        <f>IFERROR(__xludf.DUMMYFUNCTION("""COMPUTED_VALUE"""),"FACTIBILIDAD")</f>
        <v>FACTIBILIDAD</v>
      </c>
      <c r="C134" s="58">
        <f>IFERROR(__xludf.DUMMYFUNCTION("""COMPUTED_VALUE"""),6.0)</f>
        <v>6</v>
      </c>
    </row>
    <row r="135">
      <c r="A135" s="58" t="str">
        <f>IFERROR(__xludf.DUMMYFUNCTION("""COMPUTED_VALUE"""),"201400961@est.umss.edu")</f>
        <v>201400961@est.umss.edu</v>
      </c>
      <c r="B135" s="58"/>
      <c r="C135" s="58">
        <f>IFERROR(__xludf.DUMMYFUNCTION("""COMPUTED_VALUE"""),0.0)</f>
        <v>0</v>
      </c>
    </row>
    <row r="136">
      <c r="A136" s="58" t="str">
        <f>IFERROR(__xludf.DUMMYFUNCTION("""COMPUTED_VALUE"""),"201400961@est.umss.edu")</f>
        <v>201400961@est.umss.edu</v>
      </c>
      <c r="B136" s="58" t="str">
        <f>IFERROR(__xludf.DUMMYFUNCTION("""COMPUTED_VALUE"""),"CALIDAD")</f>
        <v>CALIDAD</v>
      </c>
      <c r="C136" s="58">
        <f>IFERROR(__xludf.DUMMYFUNCTION("""COMPUTED_VALUE"""),5.0)</f>
        <v>5</v>
      </c>
    </row>
    <row r="137">
      <c r="A137" s="58" t="str">
        <f>IFERROR(__xludf.DUMMYFUNCTION("""COMPUTED_VALUE"""),"201400961@est.umss.edu")</f>
        <v>201400961@est.umss.edu</v>
      </c>
      <c r="B137" s="58" t="str">
        <f>IFERROR(__xludf.DUMMYFUNCTION("""COMPUTED_VALUE"""),"DISEÑO")</f>
        <v>DISEÑO</v>
      </c>
      <c r="C137" s="58">
        <f>IFERROR(__xludf.DUMMYFUNCTION("""COMPUTED_VALUE"""),1.0)</f>
        <v>1</v>
      </c>
    </row>
    <row r="138">
      <c r="A138" s="58" t="str">
        <f>IFERROR(__xludf.DUMMYFUNCTION("""COMPUTED_VALUE"""),"201400961@est.umss.edu")</f>
        <v>201400961@est.umss.edu</v>
      </c>
      <c r="B138" s="58" t="str">
        <f>IFERROR(__xludf.DUMMYFUNCTION("""COMPUTED_VALUE"""),"FACTIBILIDAD")</f>
        <v>FACTIBILIDAD</v>
      </c>
      <c r="C138" s="58">
        <f>IFERROR(__xludf.DUMMYFUNCTION("""COMPUTED_VALUE"""),9.0)</f>
        <v>9</v>
      </c>
    </row>
    <row r="139">
      <c r="A139" s="58" t="str">
        <f>IFERROR(__xludf.DUMMYFUNCTION("""COMPUTED_VALUE"""),"201400961@est.umss.edu")</f>
        <v>201400961@est.umss.edu</v>
      </c>
      <c r="B139" s="58" t="str">
        <f>IFERROR(__xludf.DUMMYFUNCTION("""COMPUTED_VALUE"""),"INGENIERÍA DE MÉTODOS")</f>
        <v>INGENIERÍA DE MÉTODOS</v>
      </c>
      <c r="C139" s="58">
        <f>IFERROR(__xludf.DUMMYFUNCTION("""COMPUTED_VALUE"""),4.0)</f>
        <v>4</v>
      </c>
    </row>
    <row r="140">
      <c r="A140" s="58" t="str">
        <f>IFERROR(__xludf.DUMMYFUNCTION("""COMPUTED_VALUE"""),"201400961@est.umss.edu")</f>
        <v>201400961@est.umss.edu</v>
      </c>
      <c r="B140" s="58" t="str">
        <f>IFERROR(__xludf.DUMMYFUNCTION("""COMPUTED_VALUE"""),"OPTIMIZACIÓN")</f>
        <v>OPTIMIZACIÓN</v>
      </c>
      <c r="C140" s="58">
        <f>IFERROR(__xludf.DUMMYFUNCTION("""COMPUTED_VALUE"""),2.0)</f>
        <v>2</v>
      </c>
    </row>
    <row r="141">
      <c r="A141" s="58" t="str">
        <f>IFERROR(__xludf.DUMMYFUNCTION("""COMPUTED_VALUE"""),"201400961@est.umss.edu")</f>
        <v>201400961@est.umss.edu</v>
      </c>
      <c r="B141" s="58" t="str">
        <f>IFERROR(__xludf.DUMMYFUNCTION("""COMPUTED_VALUE"""),"ORGANIZACIÓN INDUSTRIAL")</f>
        <v>ORGANIZACIÓN INDUSTRIAL</v>
      </c>
      <c r="C141" s="58">
        <f>IFERROR(__xludf.DUMMYFUNCTION("""COMPUTED_VALUE"""),1.0)</f>
        <v>1</v>
      </c>
    </row>
    <row r="142">
      <c r="A142" s="58" t="str">
        <f>IFERROR(__xludf.DUMMYFUNCTION("""COMPUTED_VALUE"""),"201400961@est.umss.edu")</f>
        <v>201400961@est.umss.edu</v>
      </c>
      <c r="B142" s="58" t="str">
        <f>IFERROR(__xludf.DUMMYFUNCTION("""COMPUTED_VALUE"""),"OTROS")</f>
        <v>OTROS</v>
      </c>
      <c r="C142" s="58">
        <f>IFERROR(__xludf.DUMMYFUNCTION("""COMPUTED_VALUE"""),1.0)</f>
        <v>1</v>
      </c>
    </row>
    <row r="143">
      <c r="A143" s="58" t="str">
        <f>IFERROR(__xludf.DUMMYFUNCTION("""COMPUTED_VALUE"""),"201400961@est.umss.edu")</f>
        <v>201400961@est.umss.edu</v>
      </c>
      <c r="B143" s="58" t="str">
        <f>IFERROR(__xludf.DUMMYFUNCTION("""COMPUTED_VALUE"""),"PLANIFICACIÓN Y CONTROL DE LA PRODUCCIÓN")</f>
        <v>PLANIFICACIÓN Y CONTROL DE LA PRODUCCIÓN</v>
      </c>
      <c r="C143" s="58">
        <f>IFERROR(__xludf.DUMMYFUNCTION("""COMPUTED_VALUE"""),2.0)</f>
        <v>2</v>
      </c>
    </row>
    <row r="144">
      <c r="A144" s="58" t="str">
        <f>IFERROR(__xludf.DUMMYFUNCTION("""COMPUTED_VALUE"""),"201407426@est.umss.edu")</f>
        <v>201407426@est.umss.edu</v>
      </c>
      <c r="B144" s="58"/>
      <c r="C144" s="58">
        <f>IFERROR(__xludf.DUMMYFUNCTION("""COMPUTED_VALUE"""),0.0)</f>
        <v>0</v>
      </c>
    </row>
    <row r="145">
      <c r="A145" s="58" t="str">
        <f>IFERROR(__xludf.DUMMYFUNCTION("""COMPUTED_VALUE"""),"201409245@est.umss.edu")</f>
        <v>201409245@est.umss.edu</v>
      </c>
      <c r="B145" s="58" t="str">
        <f>IFERROR(__xludf.DUMMYFUNCTION("""COMPUTED_VALUE"""),"CALIDAD")</f>
        <v>CALIDAD</v>
      </c>
      <c r="C145" s="58">
        <f>IFERROR(__xludf.DUMMYFUNCTION("""COMPUTED_VALUE"""),1.0)</f>
        <v>1</v>
      </c>
    </row>
    <row r="146">
      <c r="A146" s="58" t="str">
        <f>IFERROR(__xludf.DUMMYFUNCTION("""COMPUTED_VALUE"""),"201409245@est.umss.edu")</f>
        <v>201409245@est.umss.edu</v>
      </c>
      <c r="B146" s="58" t="str">
        <f>IFERROR(__xludf.DUMMYFUNCTION("""COMPUTED_VALUE"""),"FACTIBILIDAD")</f>
        <v>FACTIBILIDAD</v>
      </c>
      <c r="C146" s="58">
        <f>IFERROR(__xludf.DUMMYFUNCTION("""COMPUTED_VALUE"""),1.0)</f>
        <v>1</v>
      </c>
    </row>
    <row r="147">
      <c r="A147" s="58" t="str">
        <f>IFERROR(__xludf.DUMMYFUNCTION("""COMPUTED_VALUE"""),"201409245@est.umss.edu")</f>
        <v>201409245@est.umss.edu</v>
      </c>
      <c r="B147" s="58" t="str">
        <f>IFERROR(__xludf.DUMMYFUNCTION("""COMPUTED_VALUE"""),"PLANIFICACIÓN Y CONTROL DE LA PRODUCCIÓN")</f>
        <v>PLANIFICACIÓN Y CONTROL DE LA PRODUCCIÓN</v>
      </c>
      <c r="C147" s="58">
        <f>IFERROR(__xludf.DUMMYFUNCTION("""COMPUTED_VALUE"""),2.0)</f>
        <v>2</v>
      </c>
    </row>
    <row r="148">
      <c r="A148" s="58" t="str">
        <f>IFERROR(__xludf.DUMMYFUNCTION("""COMPUTED_VALUE"""),"201409247@est.umss.edu")</f>
        <v>201409247@est.umss.edu</v>
      </c>
      <c r="B148" s="58" t="str">
        <f>IFERROR(__xludf.DUMMYFUNCTION("""COMPUTED_VALUE"""),"CALIDAD")</f>
        <v>CALIDAD</v>
      </c>
      <c r="C148" s="58">
        <f>IFERROR(__xludf.DUMMYFUNCTION("""COMPUTED_VALUE"""),1.0)</f>
        <v>1</v>
      </c>
    </row>
    <row r="149">
      <c r="A149" s="58" t="str">
        <f>IFERROR(__xludf.DUMMYFUNCTION("""COMPUTED_VALUE"""),"201409247@est.umss.edu")</f>
        <v>201409247@est.umss.edu</v>
      </c>
      <c r="B149" s="58" t="str">
        <f>IFERROR(__xludf.DUMMYFUNCTION("""COMPUTED_VALUE"""),"FACTIBILIDAD")</f>
        <v>FACTIBILIDAD</v>
      </c>
      <c r="C149" s="58">
        <f>IFERROR(__xludf.DUMMYFUNCTION("""COMPUTED_VALUE"""),6.0)</f>
        <v>6</v>
      </c>
    </row>
    <row r="150">
      <c r="A150" s="58" t="str">
        <f>IFERROR(__xludf.DUMMYFUNCTION("""COMPUTED_VALUE"""),"201409247@est.umss.edu")</f>
        <v>201409247@est.umss.edu</v>
      </c>
      <c r="B150" s="58" t="str">
        <f>IFERROR(__xludf.DUMMYFUNCTION("""COMPUTED_VALUE"""),"INGENIERÍA DE MÉTODOS")</f>
        <v>INGENIERÍA DE MÉTODOS</v>
      </c>
      <c r="C150" s="58">
        <f>IFERROR(__xludf.DUMMYFUNCTION("""COMPUTED_VALUE"""),2.0)</f>
        <v>2</v>
      </c>
    </row>
    <row r="151">
      <c r="A151" s="58" t="str">
        <f>IFERROR(__xludf.DUMMYFUNCTION("""COMPUTED_VALUE"""),"201409247@est.umss.edu")</f>
        <v>201409247@est.umss.edu</v>
      </c>
      <c r="B151" s="58" t="str">
        <f>IFERROR(__xludf.DUMMYFUNCTION("""COMPUTED_VALUE"""),"PLANIFICACIÓN Y CONTROL DE LA PRODUCCIÓN")</f>
        <v>PLANIFICACIÓN Y CONTROL DE LA PRODUCCIÓN</v>
      </c>
      <c r="C151" s="58">
        <f>IFERROR(__xludf.DUMMYFUNCTION("""COMPUTED_VALUE"""),9.0)</f>
        <v>9</v>
      </c>
    </row>
    <row r="152">
      <c r="A152" s="58" t="str">
        <f>IFERROR(__xludf.DUMMYFUNCTION("""COMPUTED_VALUE"""),"201409247@est.umss.edu")</f>
        <v>201409247@est.umss.edu</v>
      </c>
      <c r="B152" s="58" t="str">
        <f>IFERROR(__xludf.DUMMYFUNCTION("""COMPUTED_VALUE"""),"SEGURIDAD INDUSTRIAL")</f>
        <v>SEGURIDAD INDUSTRIAL</v>
      </c>
      <c r="C152" s="58">
        <f>IFERROR(__xludf.DUMMYFUNCTION("""COMPUTED_VALUE"""),1.0)</f>
        <v>1</v>
      </c>
    </row>
    <row r="153">
      <c r="A153" s="58" t="str">
        <f>IFERROR(__xludf.DUMMYFUNCTION("""COMPUTED_VALUE"""),"201410660@est.umss.edu")</f>
        <v>201410660@est.umss.edu</v>
      </c>
      <c r="B153" s="58" t="str">
        <f>IFERROR(__xludf.DUMMYFUNCTION("""COMPUTED_VALUE"""),"SEGURIDAD INDUSTRIAL")</f>
        <v>SEGURIDAD INDUSTRIAL</v>
      </c>
      <c r="C153" s="58">
        <f>IFERROR(__xludf.DUMMYFUNCTION("""COMPUTED_VALUE"""),11.0)</f>
        <v>11</v>
      </c>
    </row>
    <row r="154">
      <c r="A154" s="58" t="str">
        <f>IFERROR(__xludf.DUMMYFUNCTION("""COMPUTED_VALUE"""),"201410661@est.umss.bo")</f>
        <v>201410661@est.umss.bo</v>
      </c>
      <c r="B154" s="58" t="str">
        <f>IFERROR(__xludf.DUMMYFUNCTION("""COMPUTED_VALUE"""),"DISEÑO")</f>
        <v>DISEÑO</v>
      </c>
      <c r="C154" s="58">
        <f>IFERROR(__xludf.DUMMYFUNCTION("""COMPUTED_VALUE"""),1.0)</f>
        <v>1</v>
      </c>
    </row>
    <row r="155">
      <c r="A155" s="58" t="str">
        <f>IFERROR(__xludf.DUMMYFUNCTION("""COMPUTED_VALUE"""),"201410661@est.umss.bo")</f>
        <v>201410661@est.umss.bo</v>
      </c>
      <c r="B155" s="58" t="str">
        <f>IFERROR(__xludf.DUMMYFUNCTION("""COMPUTED_VALUE"""),"OPTIMIZACIÓN")</f>
        <v>OPTIMIZACIÓN</v>
      </c>
      <c r="C155" s="58">
        <f>IFERROR(__xludf.DUMMYFUNCTION("""COMPUTED_VALUE"""),6.0)</f>
        <v>6</v>
      </c>
    </row>
    <row r="156">
      <c r="A156" s="58" t="str">
        <f>IFERROR(__xludf.DUMMYFUNCTION("""COMPUTED_VALUE"""),"201410661@est.umss.edu")</f>
        <v>201410661@est.umss.edu</v>
      </c>
      <c r="B156" s="58" t="str">
        <f>IFERROR(__xludf.DUMMYFUNCTION("""COMPUTED_VALUE"""),"MARKETING/MERCADOTECNIA")</f>
        <v>MARKETING/MERCADOTECNIA</v>
      </c>
      <c r="C156" s="58">
        <f>IFERROR(__xludf.DUMMYFUNCTION("""COMPUTED_VALUE"""),3.0)</f>
        <v>3</v>
      </c>
    </row>
    <row r="157">
      <c r="A157" s="58" t="str">
        <f>IFERROR(__xludf.DUMMYFUNCTION("""COMPUTED_VALUE"""),"201410673@est.umss.edu")</f>
        <v>201410673@est.umss.edu</v>
      </c>
      <c r="B157" s="58"/>
      <c r="C157" s="58">
        <f>IFERROR(__xludf.DUMMYFUNCTION("""COMPUTED_VALUE"""),0.0)</f>
        <v>0</v>
      </c>
    </row>
    <row r="158">
      <c r="A158" s="58" t="str">
        <f>IFERROR(__xludf.DUMMYFUNCTION("""COMPUTED_VALUE"""),"201410673@est.umss.edu")</f>
        <v>201410673@est.umss.edu</v>
      </c>
      <c r="B158" s="58" t="str">
        <f>IFERROR(__xludf.DUMMYFUNCTION("""COMPUTED_VALUE"""),"ACADÉMICOS")</f>
        <v>ACADÉMICOS</v>
      </c>
      <c r="C158" s="58">
        <f>IFERROR(__xludf.DUMMYFUNCTION("""COMPUTED_VALUE"""),2.0)</f>
        <v>2</v>
      </c>
    </row>
    <row r="159">
      <c r="A159" s="58" t="str">
        <f>IFERROR(__xludf.DUMMYFUNCTION("""COMPUTED_VALUE"""),"201410673@est.umss.edu")</f>
        <v>201410673@est.umss.edu</v>
      </c>
      <c r="B159" s="58" t="str">
        <f>IFERROR(__xludf.DUMMYFUNCTION("""COMPUTED_VALUE"""),"CALIDAD")</f>
        <v>CALIDAD</v>
      </c>
      <c r="C159" s="58">
        <f>IFERROR(__xludf.DUMMYFUNCTION("""COMPUTED_VALUE"""),55.0)</f>
        <v>55</v>
      </c>
    </row>
    <row r="160">
      <c r="A160" s="58" t="str">
        <f>IFERROR(__xludf.DUMMYFUNCTION("""COMPUTED_VALUE"""),"201410673@est.umss.edu")</f>
        <v>201410673@est.umss.edu</v>
      </c>
      <c r="B160" s="58" t="str">
        <f>IFERROR(__xludf.DUMMYFUNCTION("""COMPUTED_VALUE"""),"FACTIBILIDAD")</f>
        <v>FACTIBILIDAD</v>
      </c>
      <c r="C160" s="58">
        <f>IFERROR(__xludf.DUMMYFUNCTION("""COMPUTED_VALUE"""),4.0)</f>
        <v>4</v>
      </c>
    </row>
    <row r="161">
      <c r="A161" s="58" t="str">
        <f>IFERROR(__xludf.DUMMYFUNCTION("""COMPUTED_VALUE"""),"201410673@est.umss.edu")</f>
        <v>201410673@est.umss.edu</v>
      </c>
      <c r="B161" s="58" t="str">
        <f>IFERROR(__xludf.DUMMYFUNCTION("""COMPUTED_VALUE"""),"GESTIÓN ESTRATÉGICA")</f>
        <v>GESTIÓN ESTRATÉGICA</v>
      </c>
      <c r="C161" s="58">
        <f>IFERROR(__xludf.DUMMYFUNCTION("""COMPUTED_VALUE"""),2.0)</f>
        <v>2</v>
      </c>
    </row>
    <row r="162">
      <c r="A162" s="58" t="str">
        <f>IFERROR(__xludf.DUMMYFUNCTION("""COMPUTED_VALUE"""),"201410673@est.umss.edu")</f>
        <v>201410673@est.umss.edu</v>
      </c>
      <c r="B162" s="58" t="str">
        <f>IFERROR(__xludf.DUMMYFUNCTION("""COMPUTED_VALUE"""),"OTROS")</f>
        <v>OTROS</v>
      </c>
      <c r="C162" s="58">
        <f>IFERROR(__xludf.DUMMYFUNCTION("""COMPUTED_VALUE"""),1.0)</f>
        <v>1</v>
      </c>
    </row>
    <row r="163">
      <c r="A163" s="58" t="str">
        <f>IFERROR(__xludf.DUMMYFUNCTION("""COMPUTED_VALUE"""),"201410673@est.umss.edu")</f>
        <v>201410673@est.umss.edu</v>
      </c>
      <c r="B163" s="58" t="str">
        <f>IFERROR(__xludf.DUMMYFUNCTION("""COMPUTED_VALUE"""),"PLANIFICACIÓN Y CONTROL DE LA PRODUCCIÓN")</f>
        <v>PLANIFICACIÓN Y CONTROL DE LA PRODUCCIÓN</v>
      </c>
      <c r="C163" s="58">
        <f>IFERROR(__xludf.DUMMYFUNCTION("""COMPUTED_VALUE"""),9.0)</f>
        <v>9</v>
      </c>
    </row>
    <row r="164">
      <c r="A164" s="58" t="str">
        <f>IFERROR(__xludf.DUMMYFUNCTION("""COMPUTED_VALUE"""),"201410673@est.umss.edu")</f>
        <v>201410673@est.umss.edu</v>
      </c>
      <c r="B164" s="58" t="str">
        <f>IFERROR(__xludf.DUMMYFUNCTION("""COMPUTED_VALUE"""),"SEGURIDAD INDUSTRIAL")</f>
        <v>SEGURIDAD INDUSTRIAL</v>
      </c>
      <c r="C164" s="58">
        <f>IFERROR(__xludf.DUMMYFUNCTION("""COMPUTED_VALUE"""),3.0)</f>
        <v>3</v>
      </c>
    </row>
    <row r="165">
      <c r="A165" s="58" t="str">
        <f>IFERROR(__xludf.DUMMYFUNCTION("""COMPUTED_VALUE"""),"201410673@est.umss.edu")</f>
        <v>201410673@est.umss.edu</v>
      </c>
      <c r="B165" s="58" t="str">
        <f>IFERROR(__xludf.DUMMYFUNCTION("""COMPUTED_VALUE"""),"SISTEMAS INTEGRADOS")</f>
        <v>SISTEMAS INTEGRADOS</v>
      </c>
      <c r="C165" s="58">
        <f>IFERROR(__xludf.DUMMYFUNCTION("""COMPUTED_VALUE"""),2.0)</f>
        <v>2</v>
      </c>
    </row>
    <row r="166">
      <c r="A166" s="58" t="str">
        <f>IFERROR(__xludf.DUMMYFUNCTION("""COMPUTED_VALUE"""),"201410678@est.umss.edu")</f>
        <v>201410678@est.umss.edu</v>
      </c>
      <c r="B166" s="58" t="str">
        <f>IFERROR(__xludf.DUMMYFUNCTION("""COMPUTED_VALUE"""),"FACTIBILIDAD")</f>
        <v>FACTIBILIDAD</v>
      </c>
      <c r="C166" s="58">
        <f>IFERROR(__xludf.DUMMYFUNCTION("""COMPUTED_VALUE"""),6.0)</f>
        <v>6</v>
      </c>
    </row>
    <row r="167">
      <c r="A167" s="58" t="str">
        <f>IFERROR(__xludf.DUMMYFUNCTION("""COMPUTED_VALUE"""),"201410678@est.umss.edu")</f>
        <v>201410678@est.umss.edu</v>
      </c>
      <c r="B167" s="58" t="str">
        <f>IFERROR(__xludf.DUMMYFUNCTION("""COMPUTED_VALUE"""),"INGENIERÍA DE MÉTODOS")</f>
        <v>INGENIERÍA DE MÉTODOS</v>
      </c>
      <c r="C167" s="58">
        <f>IFERROR(__xludf.DUMMYFUNCTION("""COMPUTED_VALUE"""),1.0)</f>
        <v>1</v>
      </c>
    </row>
    <row r="168">
      <c r="A168" s="58" t="str">
        <f>IFERROR(__xludf.DUMMYFUNCTION("""COMPUTED_VALUE"""),"201410678@est.umss.edu")</f>
        <v>201410678@est.umss.edu</v>
      </c>
      <c r="B168" s="58" t="str">
        <f>IFERROR(__xludf.DUMMYFUNCTION("""COMPUTED_VALUE"""),"SEGURIDAD INDUSTRIAL")</f>
        <v>SEGURIDAD INDUSTRIAL</v>
      </c>
      <c r="C168" s="58">
        <f>IFERROR(__xludf.DUMMYFUNCTION("""COMPUTED_VALUE"""),1.0)</f>
        <v>1</v>
      </c>
    </row>
    <row r="169">
      <c r="A169" s="58" t="str">
        <f>IFERROR(__xludf.DUMMYFUNCTION("""COMPUTED_VALUE"""),"201410688@est.umss.edu")</f>
        <v>201410688@est.umss.edu</v>
      </c>
      <c r="B169" s="58" t="str">
        <f>IFERROR(__xludf.DUMMYFUNCTION("""COMPUTED_VALUE"""),"FACTIBILIDAD")</f>
        <v>FACTIBILIDAD</v>
      </c>
      <c r="C169" s="58">
        <f>IFERROR(__xludf.DUMMYFUNCTION("""COMPUTED_VALUE"""),8.0)</f>
        <v>8</v>
      </c>
    </row>
    <row r="170">
      <c r="A170" s="58" t="str">
        <f>IFERROR(__xludf.DUMMYFUNCTION("""COMPUTED_VALUE"""),"201410688@est.umss.edu")</f>
        <v>201410688@est.umss.edu</v>
      </c>
      <c r="B170" s="58" t="str">
        <f>IFERROR(__xludf.DUMMYFUNCTION("""COMPUTED_VALUE"""),"SEGURIDAD INDUSTRIAL")</f>
        <v>SEGURIDAD INDUSTRIAL</v>
      </c>
      <c r="C170" s="58">
        <f>IFERROR(__xludf.DUMMYFUNCTION("""COMPUTED_VALUE"""),1.0)</f>
        <v>1</v>
      </c>
    </row>
    <row r="171">
      <c r="A171" s="58" t="str">
        <f>IFERROR(__xludf.DUMMYFUNCTION("""COMPUTED_VALUE"""),"201500159@est.umss.edu")</f>
        <v>201500159@est.umss.edu</v>
      </c>
      <c r="B171" s="58" t="str">
        <f>IFERROR(__xludf.DUMMYFUNCTION("""COMPUTED_VALUE"""),"GESTIÓN ESTRATÉGICA")</f>
        <v>GESTIÓN ESTRATÉGICA</v>
      </c>
      <c r="C171" s="58">
        <f>IFERROR(__xludf.DUMMYFUNCTION("""COMPUTED_VALUE"""),2.0)</f>
        <v>2</v>
      </c>
    </row>
    <row r="172">
      <c r="A172" s="58" t="str">
        <f>IFERROR(__xludf.DUMMYFUNCTION("""COMPUTED_VALUE"""),"201500159@est.umss.edu")</f>
        <v>201500159@est.umss.edu</v>
      </c>
      <c r="B172" s="58" t="str">
        <f>IFERROR(__xludf.DUMMYFUNCTION("""COMPUTED_VALUE"""),"PLAN DE NEGOCIOS")</f>
        <v>PLAN DE NEGOCIOS</v>
      </c>
      <c r="C172" s="58">
        <f>IFERROR(__xludf.DUMMYFUNCTION("""COMPUTED_VALUE"""),1.0)</f>
        <v>1</v>
      </c>
    </row>
    <row r="173">
      <c r="A173" s="58" t="str">
        <f>IFERROR(__xludf.DUMMYFUNCTION("""COMPUTED_VALUE"""),"201500159@est.umss.edu")</f>
        <v>201500159@est.umss.edu</v>
      </c>
      <c r="B173" s="58" t="str">
        <f>IFERROR(__xludf.DUMMYFUNCTION("""COMPUTED_VALUE"""),"PLANIFICACIÓN Y CONTROL DE LA PRODUCCIÓN")</f>
        <v>PLANIFICACIÓN Y CONTROL DE LA PRODUCCIÓN</v>
      </c>
      <c r="C173" s="58">
        <f>IFERROR(__xludf.DUMMYFUNCTION("""COMPUTED_VALUE"""),4.0)</f>
        <v>4</v>
      </c>
    </row>
    <row r="174">
      <c r="A174" s="58" t="str">
        <f>IFERROR(__xludf.DUMMYFUNCTION("""COMPUTED_VALUE"""),"201502020@est.umss.edu")</f>
        <v>201502020@est.umss.edu</v>
      </c>
      <c r="B174" s="58" t="str">
        <f>IFERROR(__xludf.DUMMYFUNCTION("""COMPUTED_VALUE"""),"FACTIBILIDAD")</f>
        <v>FACTIBILIDAD</v>
      </c>
      <c r="C174" s="58">
        <f>IFERROR(__xludf.DUMMYFUNCTION("""COMPUTED_VALUE"""),3.0)</f>
        <v>3</v>
      </c>
    </row>
    <row r="175">
      <c r="A175" s="58" t="str">
        <f>IFERROR(__xludf.DUMMYFUNCTION("""COMPUTED_VALUE"""),"201502020@est.umss.edu")</f>
        <v>201502020@est.umss.edu</v>
      </c>
      <c r="B175" s="58" t="str">
        <f>IFERROR(__xludf.DUMMYFUNCTION("""COMPUTED_VALUE"""),"GESTIÓN ESTRATÉGICA")</f>
        <v>GESTIÓN ESTRATÉGICA</v>
      </c>
      <c r="C175" s="58">
        <f>IFERROR(__xludf.DUMMYFUNCTION("""COMPUTED_VALUE"""),1.0)</f>
        <v>1</v>
      </c>
    </row>
    <row r="176">
      <c r="A176" s="58" t="str">
        <f>IFERROR(__xludf.DUMMYFUNCTION("""COMPUTED_VALUE"""),"201502020@est.umss.edu")</f>
        <v>201502020@est.umss.edu</v>
      </c>
      <c r="B176" s="58" t="str">
        <f>IFERROR(__xludf.DUMMYFUNCTION("""COMPUTED_VALUE"""),"OTROS")</f>
        <v>OTROS</v>
      </c>
      <c r="C176" s="58">
        <f>IFERROR(__xludf.DUMMYFUNCTION("""COMPUTED_VALUE"""),1.0)</f>
        <v>1</v>
      </c>
    </row>
    <row r="177">
      <c r="A177" s="58" t="str">
        <f>IFERROR(__xludf.DUMMYFUNCTION("""COMPUTED_VALUE"""),"201502020@est.umss.edu")</f>
        <v>201502020@est.umss.edu</v>
      </c>
      <c r="B177" s="58" t="str">
        <f>IFERROR(__xludf.DUMMYFUNCTION("""COMPUTED_VALUE"""),"SEGURIDAD INDUSTRIAL")</f>
        <v>SEGURIDAD INDUSTRIAL</v>
      </c>
      <c r="C177" s="58">
        <f>IFERROR(__xludf.DUMMYFUNCTION("""COMPUTED_VALUE"""),11.0)</f>
        <v>11</v>
      </c>
    </row>
    <row r="178">
      <c r="A178" s="58" t="str">
        <f>IFERROR(__xludf.DUMMYFUNCTION("""COMPUTED_VALUE"""),"201502026@est.umss.edu")</f>
        <v>201502026@est.umss.edu</v>
      </c>
      <c r="B178" s="58" t="str">
        <f>IFERROR(__xludf.DUMMYFUNCTION("""COMPUTED_VALUE"""),"CALIDAD")</f>
        <v>CALIDAD</v>
      </c>
      <c r="C178" s="58">
        <f>IFERROR(__xludf.DUMMYFUNCTION("""COMPUTED_VALUE"""),3.0)</f>
        <v>3</v>
      </c>
    </row>
    <row r="179">
      <c r="A179" s="58" t="str">
        <f>IFERROR(__xludf.DUMMYFUNCTION("""COMPUTED_VALUE"""),"201502026@est.umss.edu")</f>
        <v>201502026@est.umss.edu</v>
      </c>
      <c r="B179" s="58" t="str">
        <f>IFERROR(__xludf.DUMMYFUNCTION("""COMPUTED_VALUE"""),"MARKETING/MERCADOTECNIA")</f>
        <v>MARKETING/MERCADOTECNIA</v>
      </c>
      <c r="C179" s="58">
        <f>IFERROR(__xludf.DUMMYFUNCTION("""COMPUTED_VALUE"""),1.0)</f>
        <v>1</v>
      </c>
    </row>
    <row r="180">
      <c r="A180" s="58" t="str">
        <f>IFERROR(__xludf.DUMMYFUNCTION("""COMPUTED_VALUE"""),"201502026@est.umss.edu")</f>
        <v>201502026@est.umss.edu</v>
      </c>
      <c r="B180" s="58" t="str">
        <f>IFERROR(__xludf.DUMMYFUNCTION("""COMPUTED_VALUE"""),"PLANIFICACIÓN Y CONTROL DE LA PRODUCCIÓN")</f>
        <v>PLANIFICACIÓN Y CONTROL DE LA PRODUCCIÓN</v>
      </c>
      <c r="C180" s="58">
        <f>IFERROR(__xludf.DUMMYFUNCTION("""COMPUTED_VALUE"""),1.0)</f>
        <v>1</v>
      </c>
    </row>
    <row r="181">
      <c r="A181" s="58" t="str">
        <f>IFERROR(__xludf.DUMMYFUNCTION("""COMPUTED_VALUE"""),"201502026@est.umss.edu")</f>
        <v>201502026@est.umss.edu</v>
      </c>
      <c r="B181" s="58" t="str">
        <f>IFERROR(__xludf.DUMMYFUNCTION("""COMPUTED_VALUE"""),"SISTEMAS DE INFORMACIÓN")</f>
        <v>SISTEMAS DE INFORMACIÓN</v>
      </c>
      <c r="C181" s="58">
        <f>IFERROR(__xludf.DUMMYFUNCTION("""COMPUTED_VALUE"""),2.0)</f>
        <v>2</v>
      </c>
    </row>
    <row r="182">
      <c r="A182" s="58" t="str">
        <f>IFERROR(__xludf.DUMMYFUNCTION("""COMPUTED_VALUE"""),"201502029@est.umss.edu")</f>
        <v>201502029@est.umss.edu</v>
      </c>
      <c r="B182" s="58" t="str">
        <f>IFERROR(__xludf.DUMMYFUNCTION("""COMPUTED_VALUE"""),"CALIDAD")</f>
        <v>CALIDAD</v>
      </c>
      <c r="C182" s="58">
        <f>IFERROR(__xludf.DUMMYFUNCTION("""COMPUTED_VALUE"""),1.0)</f>
        <v>1</v>
      </c>
    </row>
    <row r="183">
      <c r="A183" s="58" t="str">
        <f>IFERROR(__xludf.DUMMYFUNCTION("""COMPUTED_VALUE"""),"201502049@est.umss.edu")</f>
        <v>201502049@est.umss.edu</v>
      </c>
      <c r="B183" s="58" t="str">
        <f>IFERROR(__xludf.DUMMYFUNCTION("""COMPUTED_VALUE"""),"FACTIBILIDAD")</f>
        <v>FACTIBILIDAD</v>
      </c>
      <c r="C183" s="58">
        <f>IFERROR(__xludf.DUMMYFUNCTION("""COMPUTED_VALUE"""),13.0)</f>
        <v>13</v>
      </c>
    </row>
    <row r="184">
      <c r="A184" s="58" t="str">
        <f>IFERROR(__xludf.DUMMYFUNCTION("""COMPUTED_VALUE"""),"201502051@est.umss.edu")</f>
        <v>201502051@est.umss.edu</v>
      </c>
      <c r="B184" s="58" t="str">
        <f>IFERROR(__xludf.DUMMYFUNCTION("""COMPUTED_VALUE"""),"CALIDAD")</f>
        <v>CALIDAD</v>
      </c>
      <c r="C184" s="58">
        <f>IFERROR(__xludf.DUMMYFUNCTION("""COMPUTED_VALUE"""),1.0)</f>
        <v>1</v>
      </c>
    </row>
    <row r="185">
      <c r="A185" s="58" t="str">
        <f>IFERROR(__xludf.DUMMYFUNCTION("""COMPUTED_VALUE"""),"201502051@est.umss.edu")</f>
        <v>201502051@est.umss.edu</v>
      </c>
      <c r="B185" s="58" t="str">
        <f>IFERROR(__xludf.DUMMYFUNCTION("""COMPUTED_VALUE"""),"GESTIÓN ESTRATÉGICA")</f>
        <v>GESTIÓN ESTRATÉGICA</v>
      </c>
      <c r="C185" s="58">
        <f>IFERROR(__xludf.DUMMYFUNCTION("""COMPUTED_VALUE"""),3.0)</f>
        <v>3</v>
      </c>
    </row>
    <row r="186">
      <c r="A186" s="58" t="str">
        <f>IFERROR(__xludf.DUMMYFUNCTION("""COMPUTED_VALUE"""),"201502051@est.umss.edu")</f>
        <v>201502051@est.umss.edu</v>
      </c>
      <c r="B186" s="58" t="str">
        <f>IFERROR(__xludf.DUMMYFUNCTION("""COMPUTED_VALUE"""),"SEGURIDAD INDUSTRIAL")</f>
        <v>SEGURIDAD INDUSTRIAL</v>
      </c>
      <c r="C186" s="58">
        <f>IFERROR(__xludf.DUMMYFUNCTION("""COMPUTED_VALUE"""),3.0)</f>
        <v>3</v>
      </c>
    </row>
    <row r="187">
      <c r="A187" s="58" t="str">
        <f>IFERROR(__xludf.DUMMYFUNCTION("""COMPUTED_VALUE"""),"201502052@est.umss.edu")</f>
        <v>201502052@est.umss.edu</v>
      </c>
      <c r="B187" s="58" t="str">
        <f>IFERROR(__xludf.DUMMYFUNCTION("""COMPUTED_VALUE"""),"CALIDAD")</f>
        <v>CALIDAD</v>
      </c>
      <c r="C187" s="58">
        <f>IFERROR(__xludf.DUMMYFUNCTION("""COMPUTED_VALUE"""),1.0)</f>
        <v>1</v>
      </c>
    </row>
    <row r="188">
      <c r="A188" s="58" t="str">
        <f>IFERROR(__xludf.DUMMYFUNCTION("""COMPUTED_VALUE"""),"201502070@est.umss.edu")</f>
        <v>201502070@est.umss.edu</v>
      </c>
      <c r="B188" s="58" t="str">
        <f>IFERROR(__xludf.DUMMYFUNCTION("""COMPUTED_VALUE"""),"FACTIBILIDAD")</f>
        <v>FACTIBILIDAD</v>
      </c>
      <c r="C188" s="58">
        <f>IFERROR(__xludf.DUMMYFUNCTION("""COMPUTED_VALUE"""),6.0)</f>
        <v>6</v>
      </c>
    </row>
    <row r="189">
      <c r="A189" s="58" t="str">
        <f>IFERROR(__xludf.DUMMYFUNCTION("""COMPUTED_VALUE"""),"201502070@est.umss.edu")</f>
        <v>201502070@est.umss.edu</v>
      </c>
      <c r="B189" s="58" t="str">
        <f>IFERROR(__xludf.DUMMYFUNCTION("""COMPUTED_VALUE"""),"INGENIERÍA DE MÉTODOS")</f>
        <v>INGENIERÍA DE MÉTODOS</v>
      </c>
      <c r="C189" s="58">
        <f>IFERROR(__xludf.DUMMYFUNCTION("""COMPUTED_VALUE"""),1.0)</f>
        <v>1</v>
      </c>
    </row>
    <row r="190">
      <c r="A190" s="58" t="str">
        <f>IFERROR(__xludf.DUMMYFUNCTION("""COMPUTED_VALUE"""),"201502090@est.umss.edu")</f>
        <v>201502090@est.umss.edu</v>
      </c>
      <c r="B190" s="58" t="str">
        <f>IFERROR(__xludf.DUMMYFUNCTION("""COMPUTED_VALUE"""),"FACTIBILIDAD")</f>
        <v>FACTIBILIDAD</v>
      </c>
      <c r="C190" s="58">
        <f>IFERROR(__xludf.DUMMYFUNCTION("""COMPUTED_VALUE"""),10.0)</f>
        <v>10</v>
      </c>
    </row>
    <row r="191">
      <c r="A191" s="58" t="str">
        <f>IFERROR(__xludf.DUMMYFUNCTION("""COMPUTED_VALUE"""),"201502090@est.umss.edu")</f>
        <v>201502090@est.umss.edu</v>
      </c>
      <c r="B191" s="58" t="str">
        <f>IFERROR(__xludf.DUMMYFUNCTION("""COMPUTED_VALUE"""),"GESTIÓN ESTRATÉGICA")</f>
        <v>GESTIÓN ESTRATÉGICA</v>
      </c>
      <c r="C191" s="58">
        <f>IFERROR(__xludf.DUMMYFUNCTION("""COMPUTED_VALUE"""),3.0)</f>
        <v>3</v>
      </c>
    </row>
    <row r="192">
      <c r="A192" s="58" t="str">
        <f>IFERROR(__xludf.DUMMYFUNCTION("""COMPUTED_VALUE"""),"201502090@est.umss.edu")</f>
        <v>201502090@est.umss.edu</v>
      </c>
      <c r="B192" s="58" t="str">
        <f>IFERROR(__xludf.DUMMYFUNCTION("""COMPUTED_VALUE"""),"MANTENIMIENTO")</f>
        <v>MANTENIMIENTO</v>
      </c>
      <c r="C192" s="58">
        <f>IFERROR(__xludf.DUMMYFUNCTION("""COMPUTED_VALUE"""),1.0)</f>
        <v>1</v>
      </c>
    </row>
    <row r="193">
      <c r="A193" s="58" t="str">
        <f>IFERROR(__xludf.DUMMYFUNCTION("""COMPUTED_VALUE"""),"201502090@est.umss.edu")</f>
        <v>201502090@est.umss.edu</v>
      </c>
      <c r="B193" s="58" t="str">
        <f>IFERROR(__xludf.DUMMYFUNCTION("""COMPUTED_VALUE"""),"OPTIMIZACIÓN")</f>
        <v>OPTIMIZACIÓN</v>
      </c>
      <c r="C193" s="58">
        <f>IFERROR(__xludf.DUMMYFUNCTION("""COMPUTED_VALUE"""),2.0)</f>
        <v>2</v>
      </c>
    </row>
    <row r="194">
      <c r="A194" s="58" t="str">
        <f>IFERROR(__xludf.DUMMYFUNCTION("""COMPUTED_VALUE"""),"201502262@est.umss.edu")</f>
        <v>201502262@est.umss.edu</v>
      </c>
      <c r="B194" s="58" t="str">
        <f>IFERROR(__xludf.DUMMYFUNCTION("""COMPUTED_VALUE"""),"CALIDAD")</f>
        <v>CALIDAD</v>
      </c>
      <c r="C194" s="58">
        <f>IFERROR(__xludf.DUMMYFUNCTION("""COMPUTED_VALUE"""),1.0)</f>
        <v>1</v>
      </c>
    </row>
    <row r="195">
      <c r="A195" s="58" t="str">
        <f>IFERROR(__xludf.DUMMYFUNCTION("""COMPUTED_VALUE"""),"201502262@est.umss.edu")</f>
        <v>201502262@est.umss.edu</v>
      </c>
      <c r="B195" s="58" t="str">
        <f>IFERROR(__xludf.DUMMYFUNCTION("""COMPUTED_VALUE"""),"GESTIÓN ESTRATÉGICA")</f>
        <v>GESTIÓN ESTRATÉGICA</v>
      </c>
      <c r="C195" s="58">
        <f>IFERROR(__xludf.DUMMYFUNCTION("""COMPUTED_VALUE"""),2.0)</f>
        <v>2</v>
      </c>
    </row>
    <row r="196">
      <c r="A196" s="58" t="str">
        <f>IFERROR(__xludf.DUMMYFUNCTION("""COMPUTED_VALUE"""),"201502262@est.umss.edu")</f>
        <v>201502262@est.umss.edu</v>
      </c>
      <c r="B196" s="58" t="str">
        <f>IFERROR(__xludf.DUMMYFUNCTION("""COMPUTED_VALUE"""),"MANTENIMIENTO")</f>
        <v>MANTENIMIENTO</v>
      </c>
      <c r="C196" s="58">
        <f>IFERROR(__xludf.DUMMYFUNCTION("""COMPUTED_VALUE"""),1.0)</f>
        <v>1</v>
      </c>
    </row>
    <row r="197">
      <c r="A197" s="58" t="str">
        <f>IFERROR(__xludf.DUMMYFUNCTION("""COMPUTED_VALUE"""),"201502262@est.umss.edu")</f>
        <v>201502262@est.umss.edu</v>
      </c>
      <c r="B197" s="58" t="str">
        <f>IFERROR(__xludf.DUMMYFUNCTION("""COMPUTED_VALUE"""),"OPTIMIZACIÓN")</f>
        <v>OPTIMIZACIÓN</v>
      </c>
      <c r="C197" s="58">
        <f>IFERROR(__xludf.DUMMYFUNCTION("""COMPUTED_VALUE"""),3.0)</f>
        <v>3</v>
      </c>
    </row>
    <row r="198">
      <c r="A198" s="58" t="str">
        <f>IFERROR(__xludf.DUMMYFUNCTION("""COMPUTED_VALUE"""),"201502262@est.umss.edu")</f>
        <v>201502262@est.umss.edu</v>
      </c>
      <c r="B198" s="58" t="str">
        <f>IFERROR(__xludf.DUMMYFUNCTION("""COMPUTED_VALUE"""),"SEGURIDAD INDUSTRIAL")</f>
        <v>SEGURIDAD INDUSTRIAL</v>
      </c>
      <c r="C198" s="58">
        <f>IFERROR(__xludf.DUMMYFUNCTION("""COMPUTED_VALUE"""),3.0)</f>
        <v>3</v>
      </c>
    </row>
    <row r="199">
      <c r="A199" s="58" t="str">
        <f>IFERROR(__xludf.DUMMYFUNCTION("""COMPUTED_VALUE"""),"201504150@est.umss.edu")</f>
        <v>201504150@est.umss.edu</v>
      </c>
      <c r="B199" s="58" t="str">
        <f>IFERROR(__xludf.DUMMYFUNCTION("""COMPUTED_VALUE"""),"CALIDAD")</f>
        <v>CALIDAD</v>
      </c>
      <c r="C199" s="58">
        <f>IFERROR(__xludf.DUMMYFUNCTION("""COMPUTED_VALUE"""),1.0)</f>
        <v>1</v>
      </c>
    </row>
    <row r="200">
      <c r="A200" s="58" t="str">
        <f>IFERROR(__xludf.DUMMYFUNCTION("""COMPUTED_VALUE"""),"201504864@est.umss.edu")</f>
        <v>201504864@est.umss.edu</v>
      </c>
      <c r="B200" s="58" t="str">
        <f>IFERROR(__xludf.DUMMYFUNCTION("""COMPUTED_VALUE"""),"CALIDAD")</f>
        <v>CALIDAD</v>
      </c>
      <c r="C200" s="58">
        <f>IFERROR(__xludf.DUMMYFUNCTION("""COMPUTED_VALUE"""),2.0)</f>
        <v>2</v>
      </c>
    </row>
    <row r="201">
      <c r="A201" s="58" t="str">
        <f>IFERROR(__xludf.DUMMYFUNCTION("""COMPUTED_VALUE"""),"201504864@est.umss.edu")</f>
        <v>201504864@est.umss.edu</v>
      </c>
      <c r="B201" s="58" t="str">
        <f>IFERROR(__xludf.DUMMYFUNCTION("""COMPUTED_VALUE"""),"PLANIFICACIÓN Y CONTROL DE LA PRODUCCIÓN")</f>
        <v>PLANIFICACIÓN Y CONTROL DE LA PRODUCCIÓN</v>
      </c>
      <c r="C201" s="58">
        <f>IFERROR(__xludf.DUMMYFUNCTION("""COMPUTED_VALUE"""),1.0)</f>
        <v>1</v>
      </c>
    </row>
    <row r="202">
      <c r="A202" s="58" t="str">
        <f>IFERROR(__xludf.DUMMYFUNCTION("""COMPUTED_VALUE"""),"201504864@est.umss.edu")</f>
        <v>201504864@est.umss.edu</v>
      </c>
      <c r="B202" s="58" t="str">
        <f>IFERROR(__xludf.DUMMYFUNCTION("""COMPUTED_VALUE"""),"SEGURIDAD INDUSTRIAL")</f>
        <v>SEGURIDAD INDUSTRIAL</v>
      </c>
      <c r="C202" s="58">
        <f>IFERROR(__xludf.DUMMYFUNCTION("""COMPUTED_VALUE"""),10.0)</f>
        <v>10</v>
      </c>
    </row>
    <row r="203">
      <c r="A203" s="58" t="str">
        <f>IFERROR(__xludf.DUMMYFUNCTION("""COMPUTED_VALUE"""),"201504864@est.umss.edu")</f>
        <v>201504864@est.umss.edu</v>
      </c>
      <c r="B203" s="58" t="str">
        <f>IFERROR(__xludf.DUMMYFUNCTION("""COMPUTED_VALUE"""),"SISTEMAS INTEGRADOS")</f>
        <v>SISTEMAS INTEGRADOS</v>
      </c>
      <c r="C203" s="58">
        <f>IFERROR(__xludf.DUMMYFUNCTION("""COMPUTED_VALUE"""),1.0)</f>
        <v>1</v>
      </c>
    </row>
    <row r="204">
      <c r="A204" s="58" t="str">
        <f>IFERROR(__xludf.DUMMYFUNCTION("""COMPUTED_VALUE"""),"201504865@est.umss.edu")</f>
        <v>201504865@est.umss.edu</v>
      </c>
      <c r="B204" s="58" t="str">
        <f>IFERROR(__xludf.DUMMYFUNCTION("""COMPUTED_VALUE"""),"CALIDAD")</f>
        <v>CALIDAD</v>
      </c>
      <c r="C204" s="58">
        <f>IFERROR(__xludf.DUMMYFUNCTION("""COMPUTED_VALUE"""),3.0)</f>
        <v>3</v>
      </c>
    </row>
    <row r="205">
      <c r="A205" s="58" t="str">
        <f>IFERROR(__xludf.DUMMYFUNCTION("""COMPUTED_VALUE"""),"201504865@est.umss.edu")</f>
        <v>201504865@est.umss.edu</v>
      </c>
      <c r="B205" s="58" t="str">
        <f>IFERROR(__xludf.DUMMYFUNCTION("""COMPUTED_VALUE"""),"GESTIÓN ESTRATÉGICA")</f>
        <v>GESTIÓN ESTRATÉGICA</v>
      </c>
      <c r="C205" s="58">
        <f>IFERROR(__xludf.DUMMYFUNCTION("""COMPUTED_VALUE"""),2.0)</f>
        <v>2</v>
      </c>
    </row>
    <row r="206">
      <c r="A206" s="58" t="str">
        <f>IFERROR(__xludf.DUMMYFUNCTION("""COMPUTED_VALUE"""),"201504865@est.umss.edu")</f>
        <v>201504865@est.umss.edu</v>
      </c>
      <c r="B206" s="58" t="str">
        <f>IFERROR(__xludf.DUMMYFUNCTION("""COMPUTED_VALUE"""),"PLAN DE NEGOCIOS")</f>
        <v>PLAN DE NEGOCIOS</v>
      </c>
      <c r="C206" s="58">
        <f>IFERROR(__xludf.DUMMYFUNCTION("""COMPUTED_VALUE"""),43.0)</f>
        <v>43</v>
      </c>
    </row>
    <row r="207">
      <c r="A207" s="58" t="str">
        <f>IFERROR(__xludf.DUMMYFUNCTION("""COMPUTED_VALUE"""),"201504865@est.umss.edu")</f>
        <v>201504865@est.umss.edu</v>
      </c>
      <c r="B207" s="58" t="str">
        <f>IFERROR(__xludf.DUMMYFUNCTION("""COMPUTED_VALUE"""),"SEGURIDAD INDUSTRIAL")</f>
        <v>SEGURIDAD INDUSTRIAL</v>
      </c>
      <c r="C207" s="58">
        <f>IFERROR(__xludf.DUMMYFUNCTION("""COMPUTED_VALUE"""),1.0)</f>
        <v>1</v>
      </c>
    </row>
    <row r="208">
      <c r="A208" s="58" t="str">
        <f>IFERROR(__xludf.DUMMYFUNCTION("""COMPUTED_VALUE"""),"201504887@est.umss.edu")</f>
        <v>201504887@est.umss.edu</v>
      </c>
      <c r="B208" s="58" t="str">
        <f>IFERROR(__xludf.DUMMYFUNCTION("""COMPUTED_VALUE"""),"CALIDAD")</f>
        <v>CALIDAD</v>
      </c>
      <c r="C208" s="58">
        <f>IFERROR(__xludf.DUMMYFUNCTION("""COMPUTED_VALUE"""),6.0)</f>
        <v>6</v>
      </c>
    </row>
    <row r="209">
      <c r="A209" s="58" t="str">
        <f>IFERROR(__xludf.DUMMYFUNCTION("""COMPUTED_VALUE"""),"201504887@est.umss.edu")</f>
        <v>201504887@est.umss.edu</v>
      </c>
      <c r="B209" s="58" t="str">
        <f>IFERROR(__xludf.DUMMYFUNCTION("""COMPUTED_VALUE"""),"FACTIBILIDAD")</f>
        <v>FACTIBILIDAD</v>
      </c>
      <c r="C209" s="58">
        <f>IFERROR(__xludf.DUMMYFUNCTION("""COMPUTED_VALUE"""),1.0)</f>
        <v>1</v>
      </c>
    </row>
    <row r="210">
      <c r="A210" s="58" t="str">
        <f>IFERROR(__xludf.DUMMYFUNCTION("""COMPUTED_VALUE"""),"201504887@est.umss.edu")</f>
        <v>201504887@est.umss.edu</v>
      </c>
      <c r="B210" s="58" t="str">
        <f>IFERROR(__xludf.DUMMYFUNCTION("""COMPUTED_VALUE"""),"GESTIÓN ESTRATÉGICA")</f>
        <v>GESTIÓN ESTRATÉGICA</v>
      </c>
      <c r="C210" s="58">
        <f>IFERROR(__xludf.DUMMYFUNCTION("""COMPUTED_VALUE"""),1.0)</f>
        <v>1</v>
      </c>
    </row>
    <row r="211">
      <c r="A211" s="58" t="str">
        <f>IFERROR(__xludf.DUMMYFUNCTION("""COMPUTED_VALUE"""),"201504887@est.umss.edu")</f>
        <v>201504887@est.umss.edu</v>
      </c>
      <c r="B211" s="58" t="str">
        <f>IFERROR(__xludf.DUMMYFUNCTION("""COMPUTED_VALUE"""),"MANTENIMIENTO")</f>
        <v>MANTENIMIENTO</v>
      </c>
      <c r="C211" s="58">
        <f>IFERROR(__xludf.DUMMYFUNCTION("""COMPUTED_VALUE"""),2.0)</f>
        <v>2</v>
      </c>
    </row>
    <row r="212">
      <c r="A212" s="58" t="str">
        <f>IFERROR(__xludf.DUMMYFUNCTION("""COMPUTED_VALUE"""),"201504887@est.umss.edu")</f>
        <v>201504887@est.umss.edu</v>
      </c>
      <c r="B212" s="58" t="str">
        <f>IFERROR(__xludf.DUMMYFUNCTION("""COMPUTED_VALUE"""),"PLANIFICACIÓN Y CONTROL DE LA PRODUCCIÓN")</f>
        <v>PLANIFICACIÓN Y CONTROL DE LA PRODUCCIÓN</v>
      </c>
      <c r="C212" s="58">
        <f>IFERROR(__xludf.DUMMYFUNCTION("""COMPUTED_VALUE"""),1.0)</f>
        <v>1</v>
      </c>
    </row>
    <row r="213">
      <c r="A213" s="58" t="str">
        <f>IFERROR(__xludf.DUMMYFUNCTION("""COMPUTED_VALUE"""),"201504900@est.umss.edu")</f>
        <v>201504900@est.umss.edu</v>
      </c>
      <c r="B213" s="58" t="str">
        <f>IFERROR(__xludf.DUMMYFUNCTION("""COMPUTED_VALUE"""),"OPTIMIZACIÓN")</f>
        <v>OPTIMIZACIÓN</v>
      </c>
      <c r="C213" s="58">
        <f>IFERROR(__xludf.DUMMYFUNCTION("""COMPUTED_VALUE"""),1.0)</f>
        <v>1</v>
      </c>
    </row>
    <row r="214">
      <c r="A214" s="58" t="str">
        <f>IFERROR(__xludf.DUMMYFUNCTION("""COMPUTED_VALUE"""),"201505435@est.umss.edu")</f>
        <v>201505435@est.umss.edu</v>
      </c>
      <c r="B214" s="58" t="str">
        <f>IFERROR(__xludf.DUMMYFUNCTION("""COMPUTED_VALUE"""),"GESTIÓN ESTRATÉGICA")</f>
        <v>GESTIÓN ESTRATÉGICA</v>
      </c>
      <c r="C214" s="58">
        <f>IFERROR(__xludf.DUMMYFUNCTION("""COMPUTED_VALUE"""),1.0)</f>
        <v>1</v>
      </c>
    </row>
    <row r="215">
      <c r="A215" s="58" t="str">
        <f>IFERROR(__xludf.DUMMYFUNCTION("""COMPUTED_VALUE"""),"201505454@est.umss.edu")</f>
        <v>201505454@est.umss.edu</v>
      </c>
      <c r="B215" s="58" t="str">
        <f>IFERROR(__xludf.DUMMYFUNCTION("""COMPUTED_VALUE"""),"CALIDAD")</f>
        <v>CALIDAD</v>
      </c>
      <c r="C215" s="58">
        <f>IFERROR(__xludf.DUMMYFUNCTION("""COMPUTED_VALUE"""),5.0)</f>
        <v>5</v>
      </c>
    </row>
    <row r="216">
      <c r="A216" s="58" t="str">
        <f>IFERROR(__xludf.DUMMYFUNCTION("""COMPUTED_VALUE"""),"201505454@est.umss.edu")</f>
        <v>201505454@est.umss.edu</v>
      </c>
      <c r="B216" s="58" t="str">
        <f>IFERROR(__xludf.DUMMYFUNCTION("""COMPUTED_VALUE"""),"SEGURIDAD INDUSTRIAL")</f>
        <v>SEGURIDAD INDUSTRIAL</v>
      </c>
      <c r="C216" s="58">
        <f>IFERROR(__xludf.DUMMYFUNCTION("""COMPUTED_VALUE"""),4.0)</f>
        <v>4</v>
      </c>
    </row>
    <row r="217">
      <c r="A217" s="58" t="str">
        <f>IFERROR(__xludf.DUMMYFUNCTION("""COMPUTED_VALUE"""),"201505454@est.umss.edu")</f>
        <v>201505454@est.umss.edu</v>
      </c>
      <c r="B217" s="58" t="str">
        <f>IFERROR(__xludf.DUMMYFUNCTION("""COMPUTED_VALUE"""),"SISTEMAS INTEGRADOS")</f>
        <v>SISTEMAS INTEGRADOS</v>
      </c>
      <c r="C217" s="58">
        <f>IFERROR(__xludf.DUMMYFUNCTION("""COMPUTED_VALUE"""),2.0)</f>
        <v>2</v>
      </c>
    </row>
    <row r="218">
      <c r="A218" s="58" t="str">
        <f>IFERROR(__xludf.DUMMYFUNCTION("""COMPUTED_VALUE"""),"201505626@est.edu.umss")</f>
        <v>201505626@est.edu.umss</v>
      </c>
      <c r="B218" s="58" t="str">
        <f>IFERROR(__xludf.DUMMYFUNCTION("""COMPUTED_VALUE"""),"GESTIÓN ESTRATÉGICA")</f>
        <v>GESTIÓN ESTRATÉGICA</v>
      </c>
      <c r="C218" s="58">
        <f>IFERROR(__xludf.DUMMYFUNCTION("""COMPUTED_VALUE"""),4.0)</f>
        <v>4</v>
      </c>
    </row>
    <row r="219">
      <c r="A219" s="58" t="str">
        <f>IFERROR(__xludf.DUMMYFUNCTION("""COMPUTED_VALUE"""),"201505626@est.edu.umss")</f>
        <v>201505626@est.edu.umss</v>
      </c>
      <c r="B219" s="58" t="str">
        <f>IFERROR(__xludf.DUMMYFUNCTION("""COMPUTED_VALUE"""),"OTROS")</f>
        <v>OTROS</v>
      </c>
      <c r="C219" s="58">
        <f>IFERROR(__xludf.DUMMYFUNCTION("""COMPUTED_VALUE"""),1.0)</f>
        <v>1</v>
      </c>
    </row>
    <row r="220">
      <c r="A220" s="58" t="str">
        <f>IFERROR(__xludf.DUMMYFUNCTION("""COMPUTED_VALUE"""),"201505626@est.edu.umss")</f>
        <v>201505626@est.edu.umss</v>
      </c>
      <c r="B220" s="58" t="str">
        <f>IFERROR(__xludf.DUMMYFUNCTION("""COMPUTED_VALUE"""),"SEGURIDAD INDUSTRIAL")</f>
        <v>SEGURIDAD INDUSTRIAL</v>
      </c>
      <c r="C220" s="58">
        <f>IFERROR(__xludf.DUMMYFUNCTION("""COMPUTED_VALUE"""),12.0)</f>
        <v>12</v>
      </c>
    </row>
    <row r="221">
      <c r="A221" s="58" t="str">
        <f>IFERROR(__xludf.DUMMYFUNCTION("""COMPUTED_VALUE"""),"201505626@est.edu.umss")</f>
        <v>201505626@est.edu.umss</v>
      </c>
      <c r="B221" s="58" t="str">
        <f>IFERROR(__xludf.DUMMYFUNCTION("""COMPUTED_VALUE"""),"SISTEMAS INTEGRADOS")</f>
        <v>SISTEMAS INTEGRADOS</v>
      </c>
      <c r="C221" s="58">
        <f>IFERROR(__xludf.DUMMYFUNCTION("""COMPUTED_VALUE"""),1.0)</f>
        <v>1</v>
      </c>
    </row>
    <row r="222">
      <c r="A222" s="58" t="str">
        <f>IFERROR(__xludf.DUMMYFUNCTION("""COMPUTED_VALUE"""),"201505626@est.umss.edu")</f>
        <v>201505626@est.umss.edu</v>
      </c>
      <c r="B222" s="58" t="str">
        <f>IFERROR(__xludf.DUMMYFUNCTION("""COMPUTED_VALUE"""),"CALIDAD")</f>
        <v>CALIDAD</v>
      </c>
      <c r="C222" s="58">
        <f>IFERROR(__xludf.DUMMYFUNCTION("""COMPUTED_VALUE"""),1.0)</f>
        <v>1</v>
      </c>
    </row>
    <row r="223">
      <c r="A223" s="58" t="str">
        <f>IFERROR(__xludf.DUMMYFUNCTION("""COMPUTED_VALUE"""),"201505626@est.umss.edu")</f>
        <v>201505626@est.umss.edu</v>
      </c>
      <c r="B223" s="58" t="str">
        <f>IFERROR(__xludf.DUMMYFUNCTION("""COMPUTED_VALUE"""),"GESTIÓN ESTRATÉGICA")</f>
        <v>GESTIÓN ESTRATÉGICA</v>
      </c>
      <c r="C223" s="58">
        <f>IFERROR(__xludf.DUMMYFUNCTION("""COMPUTED_VALUE"""),1.0)</f>
        <v>1</v>
      </c>
    </row>
    <row r="224">
      <c r="A224" s="58" t="str">
        <f>IFERROR(__xludf.DUMMYFUNCTION("""COMPUTED_VALUE"""),"201506872@est.umss.edu")</f>
        <v>201506872@est.umss.edu</v>
      </c>
      <c r="B224" s="58" t="str">
        <f>IFERROR(__xludf.DUMMYFUNCTION("""COMPUTED_VALUE"""),"PROCESOS INDUSTRIALES")</f>
        <v>PROCESOS INDUSTRIALES</v>
      </c>
      <c r="C224" s="58">
        <f>IFERROR(__xludf.DUMMYFUNCTION("""COMPUTED_VALUE"""),1.0)</f>
        <v>1</v>
      </c>
    </row>
    <row r="225">
      <c r="A225" s="58" t="str">
        <f>IFERROR(__xludf.DUMMYFUNCTION("""COMPUTED_VALUE"""),"201506882@est.umss.edu")</f>
        <v>201506882@est.umss.edu</v>
      </c>
      <c r="B225" s="58" t="str">
        <f>IFERROR(__xludf.DUMMYFUNCTION("""COMPUTED_VALUE"""),"FACTIBILIDAD")</f>
        <v>FACTIBILIDAD</v>
      </c>
      <c r="C225" s="58">
        <f>IFERROR(__xludf.DUMMYFUNCTION("""COMPUTED_VALUE"""),2.0)</f>
        <v>2</v>
      </c>
    </row>
    <row r="226">
      <c r="A226" s="58" t="str">
        <f>IFERROR(__xludf.DUMMYFUNCTION("""COMPUTED_VALUE"""),"201506882@est.umss.edu")</f>
        <v>201506882@est.umss.edu</v>
      </c>
      <c r="B226" s="58" t="str">
        <f>IFERROR(__xludf.DUMMYFUNCTION("""COMPUTED_VALUE"""),"MARKETING/MERCADOTECNIA")</f>
        <v>MARKETING/MERCADOTECNIA</v>
      </c>
      <c r="C226" s="58">
        <f>IFERROR(__xludf.DUMMYFUNCTION("""COMPUTED_VALUE"""),2.0)</f>
        <v>2</v>
      </c>
    </row>
    <row r="227">
      <c r="A227" s="58" t="str">
        <f>IFERROR(__xludf.DUMMYFUNCTION("""COMPUTED_VALUE"""),"201506900@est.umss.edu")</f>
        <v>201506900@est.umss.edu</v>
      </c>
      <c r="B227" s="58" t="str">
        <f>IFERROR(__xludf.DUMMYFUNCTION("""COMPUTED_VALUE"""),"CALIDAD")</f>
        <v>CALIDAD</v>
      </c>
      <c r="C227" s="58">
        <f>IFERROR(__xludf.DUMMYFUNCTION("""COMPUTED_VALUE"""),1.0)</f>
        <v>1</v>
      </c>
    </row>
    <row r="228">
      <c r="A228" s="58" t="str">
        <f>IFERROR(__xludf.DUMMYFUNCTION("""COMPUTED_VALUE"""),"201506900@est.umss.edu")</f>
        <v>201506900@est.umss.edu</v>
      </c>
      <c r="B228" s="58" t="str">
        <f>IFERROR(__xludf.DUMMYFUNCTION("""COMPUTED_VALUE"""),"SEGURIDAD INDUSTRIAL")</f>
        <v>SEGURIDAD INDUSTRIAL</v>
      </c>
      <c r="C228" s="58">
        <f>IFERROR(__xludf.DUMMYFUNCTION("""COMPUTED_VALUE"""),3.0)</f>
        <v>3</v>
      </c>
    </row>
    <row r="229">
      <c r="A229" s="58" t="str">
        <f>IFERROR(__xludf.DUMMYFUNCTION("""COMPUTED_VALUE"""),"201508144@est.umss.edu")</f>
        <v>201508144@est.umss.edu</v>
      </c>
      <c r="B229" s="58" t="str">
        <f>IFERROR(__xludf.DUMMYFUNCTION("""COMPUTED_VALUE"""),"FACTIBILIDAD")</f>
        <v>FACTIBILIDAD</v>
      </c>
      <c r="C229" s="58">
        <f>IFERROR(__xludf.DUMMYFUNCTION("""COMPUTED_VALUE"""),9.0)</f>
        <v>9</v>
      </c>
    </row>
    <row r="230">
      <c r="A230" s="58" t="str">
        <f>IFERROR(__xludf.DUMMYFUNCTION("""COMPUTED_VALUE"""),"201508174@est.umss.edu")</f>
        <v>201508174@est.umss.edu</v>
      </c>
      <c r="B230" s="58" t="str">
        <f>IFERROR(__xludf.DUMMYFUNCTION("""COMPUTED_VALUE"""),"INGENIERÍA DE MÉTODOS")</f>
        <v>INGENIERÍA DE MÉTODOS</v>
      </c>
      <c r="C230" s="58">
        <f>IFERROR(__xludf.DUMMYFUNCTION("""COMPUTED_VALUE"""),1.0)</f>
        <v>1</v>
      </c>
    </row>
    <row r="231">
      <c r="A231" s="58" t="str">
        <f>IFERROR(__xludf.DUMMYFUNCTION("""COMPUTED_VALUE"""),"201508184@est.umss.edu")</f>
        <v>201508184@est.umss.edu</v>
      </c>
      <c r="B231" s="58" t="str">
        <f>IFERROR(__xludf.DUMMYFUNCTION("""COMPUTED_VALUE"""),"FACTIBILIDAD")</f>
        <v>FACTIBILIDAD</v>
      </c>
      <c r="C231" s="58">
        <f>IFERROR(__xludf.DUMMYFUNCTION("""COMPUTED_VALUE"""),5.0)</f>
        <v>5</v>
      </c>
    </row>
    <row r="232">
      <c r="A232" s="58" t="str">
        <f>IFERROR(__xludf.DUMMYFUNCTION("""COMPUTED_VALUE"""),"201508184@est.umss.edu")</f>
        <v>201508184@est.umss.edu</v>
      </c>
      <c r="B232" s="58" t="str">
        <f>IFERROR(__xludf.DUMMYFUNCTION("""COMPUTED_VALUE"""),"INGENIERÍA DE MÉTODOS")</f>
        <v>INGENIERÍA DE MÉTODOS</v>
      </c>
      <c r="C232" s="58">
        <f>IFERROR(__xludf.DUMMYFUNCTION("""COMPUTED_VALUE"""),1.0)</f>
        <v>1</v>
      </c>
    </row>
    <row r="233">
      <c r="A233" s="58" t="str">
        <f>IFERROR(__xludf.DUMMYFUNCTION("""COMPUTED_VALUE"""),"201508184@est.umss.edu")</f>
        <v>201508184@est.umss.edu</v>
      </c>
      <c r="B233" s="58" t="str">
        <f>IFERROR(__xludf.DUMMYFUNCTION("""COMPUTED_VALUE"""),"OTROS")</f>
        <v>OTROS</v>
      </c>
      <c r="C233" s="58">
        <f>IFERROR(__xludf.DUMMYFUNCTION("""COMPUTED_VALUE"""),1.0)</f>
        <v>1</v>
      </c>
    </row>
    <row r="234">
      <c r="A234" s="58" t="str">
        <f>IFERROR(__xludf.DUMMYFUNCTION("""COMPUTED_VALUE"""),"201508184@umss.edu.bo")</f>
        <v>201508184@umss.edu.bo</v>
      </c>
      <c r="B234" s="58" t="str">
        <f>IFERROR(__xludf.DUMMYFUNCTION("""COMPUTED_VALUE"""),"FACTIBILIDAD")</f>
        <v>FACTIBILIDAD</v>
      </c>
      <c r="C234" s="58">
        <f>IFERROR(__xludf.DUMMYFUNCTION("""COMPUTED_VALUE"""),1.0)</f>
        <v>1</v>
      </c>
    </row>
    <row r="235">
      <c r="A235" s="58" t="str">
        <f>IFERROR(__xludf.DUMMYFUNCTION("""COMPUTED_VALUE"""),"201508434@est.umss.edu")</f>
        <v>201508434@est.umss.edu</v>
      </c>
      <c r="B235" s="58" t="str">
        <f>IFERROR(__xludf.DUMMYFUNCTION("""COMPUTED_VALUE"""),"SEGURIDAD INDUSTRIAL")</f>
        <v>SEGURIDAD INDUSTRIAL</v>
      </c>
      <c r="C235" s="58">
        <f>IFERROR(__xludf.DUMMYFUNCTION("""COMPUTED_VALUE"""),1.0)</f>
        <v>1</v>
      </c>
    </row>
    <row r="236">
      <c r="A236" s="58" t="str">
        <f>IFERROR(__xludf.DUMMYFUNCTION("""COMPUTED_VALUE"""),"201512245@est.umss.edu")</f>
        <v>201512245@est.umss.edu</v>
      </c>
      <c r="B236" s="58" t="str">
        <f>IFERROR(__xludf.DUMMYFUNCTION("""COMPUTED_VALUE"""),"CALIDAD")</f>
        <v>CALIDAD</v>
      </c>
      <c r="C236" s="58">
        <f>IFERROR(__xludf.DUMMYFUNCTION("""COMPUTED_VALUE"""),1.0)</f>
        <v>1</v>
      </c>
    </row>
    <row r="237">
      <c r="A237" s="58" t="str">
        <f>IFERROR(__xludf.DUMMYFUNCTION("""COMPUTED_VALUE"""),"201512245@est.umss.edu")</f>
        <v>201512245@est.umss.edu</v>
      </c>
      <c r="B237" s="58" t="str">
        <f>IFERROR(__xludf.DUMMYFUNCTION("""COMPUTED_VALUE"""),"FACTIBILIDAD")</f>
        <v>FACTIBILIDAD</v>
      </c>
      <c r="C237" s="58">
        <f>IFERROR(__xludf.DUMMYFUNCTION("""COMPUTED_VALUE"""),2.0)</f>
        <v>2</v>
      </c>
    </row>
    <row r="238">
      <c r="A238" s="58" t="str">
        <f>IFERROR(__xludf.DUMMYFUNCTION("""COMPUTED_VALUE"""),"201512245@est.umss.edu")</f>
        <v>201512245@est.umss.edu</v>
      </c>
      <c r="B238" s="58" t="str">
        <f>IFERROR(__xludf.DUMMYFUNCTION("""COMPUTED_VALUE"""),"GESTIÓN ESTRATÉGICA")</f>
        <v>GESTIÓN ESTRATÉGICA</v>
      </c>
      <c r="C238" s="58">
        <f>IFERROR(__xludf.DUMMYFUNCTION("""COMPUTED_VALUE"""),1.0)</f>
        <v>1</v>
      </c>
    </row>
    <row r="239">
      <c r="A239" s="58" t="str">
        <f>IFERROR(__xludf.DUMMYFUNCTION("""COMPUTED_VALUE"""),"201512245@est.umss.edu")</f>
        <v>201512245@est.umss.edu</v>
      </c>
      <c r="B239" s="58" t="str">
        <f>IFERROR(__xludf.DUMMYFUNCTION("""COMPUTED_VALUE"""),"PLANIFICACIÓN Y CONTROL DE LA PRODUCCIÓN")</f>
        <v>PLANIFICACIÓN Y CONTROL DE LA PRODUCCIÓN</v>
      </c>
      <c r="C239" s="58">
        <f>IFERROR(__xludf.DUMMYFUNCTION("""COMPUTED_VALUE"""),3.0)</f>
        <v>3</v>
      </c>
    </row>
    <row r="240">
      <c r="A240" s="58" t="str">
        <f>IFERROR(__xludf.DUMMYFUNCTION("""COMPUTED_VALUE"""),"201512269@est.umss.edu")</f>
        <v>201512269@est.umss.edu</v>
      </c>
      <c r="B240" s="58" t="str">
        <f>IFERROR(__xludf.DUMMYFUNCTION("""COMPUTED_VALUE"""),"CALIDAD")</f>
        <v>CALIDAD</v>
      </c>
      <c r="C240" s="58">
        <f>IFERROR(__xludf.DUMMYFUNCTION("""COMPUTED_VALUE"""),1.0)</f>
        <v>1</v>
      </c>
    </row>
    <row r="241">
      <c r="A241" s="58" t="str">
        <f>IFERROR(__xludf.DUMMYFUNCTION("""COMPUTED_VALUE"""),"201512269@est.umss.edu")</f>
        <v>201512269@est.umss.edu</v>
      </c>
      <c r="B241" s="58" t="str">
        <f>IFERROR(__xludf.DUMMYFUNCTION("""COMPUTED_VALUE"""),"EVALUACIÓN TÉCNICA")</f>
        <v>EVALUACIÓN TÉCNICA</v>
      </c>
      <c r="C241" s="58">
        <f>IFERROR(__xludf.DUMMYFUNCTION("""COMPUTED_VALUE"""),1.0)</f>
        <v>1</v>
      </c>
    </row>
    <row r="242">
      <c r="A242" s="58" t="str">
        <f>IFERROR(__xludf.DUMMYFUNCTION("""COMPUTED_VALUE"""),"201512269@est.umss.edu")</f>
        <v>201512269@est.umss.edu</v>
      </c>
      <c r="B242" s="58" t="str">
        <f>IFERROR(__xludf.DUMMYFUNCTION("""COMPUTED_VALUE"""),"FACTIBILIDAD")</f>
        <v>FACTIBILIDAD</v>
      </c>
      <c r="C242" s="58">
        <f>IFERROR(__xludf.DUMMYFUNCTION("""COMPUTED_VALUE"""),26.0)</f>
        <v>26</v>
      </c>
    </row>
    <row r="243">
      <c r="A243" s="58" t="str">
        <f>IFERROR(__xludf.DUMMYFUNCTION("""COMPUTED_VALUE"""),"201512277@est.umss.edu")</f>
        <v>201512277@est.umss.edu</v>
      </c>
      <c r="B243" s="58" t="str">
        <f>IFERROR(__xludf.DUMMYFUNCTION("""COMPUTED_VALUE"""),"ACADÉMICOS")</f>
        <v>ACADÉMICOS</v>
      </c>
      <c r="C243" s="58">
        <f>IFERROR(__xludf.DUMMYFUNCTION("""COMPUTED_VALUE"""),1.0)</f>
        <v>1</v>
      </c>
    </row>
    <row r="244">
      <c r="A244" s="58" t="str">
        <f>IFERROR(__xludf.DUMMYFUNCTION("""COMPUTED_VALUE"""),"201512277@est.umss.edu")</f>
        <v>201512277@est.umss.edu</v>
      </c>
      <c r="B244" s="58" t="str">
        <f>IFERROR(__xludf.DUMMYFUNCTION("""COMPUTED_VALUE"""),"FACTIBILIDAD")</f>
        <v>FACTIBILIDAD</v>
      </c>
      <c r="C244" s="58">
        <f>IFERROR(__xludf.DUMMYFUNCTION("""COMPUTED_VALUE"""),8.0)</f>
        <v>8</v>
      </c>
    </row>
    <row r="245">
      <c r="A245" s="58" t="str">
        <f>IFERROR(__xludf.DUMMYFUNCTION("""COMPUTED_VALUE"""),"201512277@est.umss.edu")</f>
        <v>201512277@est.umss.edu</v>
      </c>
      <c r="B245" s="58" t="str">
        <f>IFERROR(__xludf.DUMMYFUNCTION("""COMPUTED_VALUE"""),"GESTIÓN ESTRATÉGICA")</f>
        <v>GESTIÓN ESTRATÉGICA</v>
      </c>
      <c r="C245" s="58">
        <f>IFERROR(__xludf.DUMMYFUNCTION("""COMPUTED_VALUE"""),1.0)</f>
        <v>1</v>
      </c>
    </row>
    <row r="246">
      <c r="A246" s="58" t="str">
        <f>IFERROR(__xludf.DUMMYFUNCTION("""COMPUTED_VALUE"""),"201512277@est.umss.edu")</f>
        <v>201512277@est.umss.edu</v>
      </c>
      <c r="B246" s="58" t="str">
        <f>IFERROR(__xludf.DUMMYFUNCTION("""COMPUTED_VALUE"""),"INGENIERÍA DE MÉTODOS")</f>
        <v>INGENIERÍA DE MÉTODOS</v>
      </c>
      <c r="C246" s="58">
        <f>IFERROR(__xludf.DUMMYFUNCTION("""COMPUTED_VALUE"""),1.0)</f>
        <v>1</v>
      </c>
    </row>
    <row r="247">
      <c r="A247" s="58" t="str">
        <f>IFERROR(__xludf.DUMMYFUNCTION("""COMPUTED_VALUE"""),"201512277@est.umss.edu")</f>
        <v>201512277@est.umss.edu</v>
      </c>
      <c r="B247" s="58" t="str">
        <f>IFERROR(__xludf.DUMMYFUNCTION("""COMPUTED_VALUE"""),"MANTENIMIENTO")</f>
        <v>MANTENIMIENTO</v>
      </c>
      <c r="C247" s="58">
        <f>IFERROR(__xludf.DUMMYFUNCTION("""COMPUTED_VALUE"""),1.0)</f>
        <v>1</v>
      </c>
    </row>
    <row r="248">
      <c r="A248" s="58" t="str">
        <f>IFERROR(__xludf.DUMMYFUNCTION("""COMPUTED_VALUE"""),"201512277@est.umss.edu")</f>
        <v>201512277@est.umss.edu</v>
      </c>
      <c r="B248" s="58" t="str">
        <f>IFERROR(__xludf.DUMMYFUNCTION("""COMPUTED_VALUE"""),"OPTIMIZACIÓN")</f>
        <v>OPTIMIZACIÓN</v>
      </c>
      <c r="C248" s="58">
        <f>IFERROR(__xludf.DUMMYFUNCTION("""COMPUTED_VALUE"""),1.0)</f>
        <v>1</v>
      </c>
    </row>
    <row r="249">
      <c r="A249" s="58" t="str">
        <f>IFERROR(__xludf.DUMMYFUNCTION("""COMPUTED_VALUE"""),"201512277@est.umss.edu")</f>
        <v>201512277@est.umss.edu</v>
      </c>
      <c r="B249" s="58" t="str">
        <f>IFERROR(__xludf.DUMMYFUNCTION("""COMPUTED_VALUE"""),"PLANIFICACIÓN Y CONTROL DE LA PRODUCCIÓN")</f>
        <v>PLANIFICACIÓN Y CONTROL DE LA PRODUCCIÓN</v>
      </c>
      <c r="C249" s="58">
        <f>IFERROR(__xludf.DUMMYFUNCTION("""COMPUTED_VALUE"""),3.0)</f>
        <v>3</v>
      </c>
    </row>
    <row r="250">
      <c r="A250" s="58" t="str">
        <f>IFERROR(__xludf.DUMMYFUNCTION("""COMPUTED_VALUE"""),"201512277@est.umss.edu")</f>
        <v>201512277@est.umss.edu</v>
      </c>
      <c r="B250" s="58" t="str">
        <f>IFERROR(__xludf.DUMMYFUNCTION("""COMPUTED_VALUE"""),"SEGURIDAD INDUSTRIAL")</f>
        <v>SEGURIDAD INDUSTRIAL</v>
      </c>
      <c r="C250" s="58">
        <f>IFERROR(__xludf.DUMMYFUNCTION("""COMPUTED_VALUE"""),1.0)</f>
        <v>1</v>
      </c>
    </row>
    <row r="251">
      <c r="A251" s="58" t="str">
        <f>IFERROR(__xludf.DUMMYFUNCTION("""COMPUTED_VALUE"""),"201600556@est.umss.edu")</f>
        <v>201600556@est.umss.edu</v>
      </c>
      <c r="B251" s="58" t="str">
        <f>IFERROR(__xludf.DUMMYFUNCTION("""COMPUTED_VALUE"""),"SEGURIDAD INDUSTRIAL")</f>
        <v>SEGURIDAD INDUSTRIAL</v>
      </c>
      <c r="C251" s="58">
        <f>IFERROR(__xludf.DUMMYFUNCTION("""COMPUTED_VALUE"""),1.0)</f>
        <v>1</v>
      </c>
    </row>
    <row r="252">
      <c r="A252" s="58" t="str">
        <f>IFERROR(__xludf.DUMMYFUNCTION("""COMPUTED_VALUE"""),"201602760@est.umss.edu")</f>
        <v>201602760@est.umss.edu</v>
      </c>
      <c r="B252" s="58" t="str">
        <f>IFERROR(__xludf.DUMMYFUNCTION("""COMPUTED_VALUE"""),"FACTIBILIDAD")</f>
        <v>FACTIBILIDAD</v>
      </c>
      <c r="C252" s="58">
        <f>IFERROR(__xludf.DUMMYFUNCTION("""COMPUTED_VALUE"""),3.0)</f>
        <v>3</v>
      </c>
    </row>
    <row r="253">
      <c r="A253" s="58" t="str">
        <f>IFERROR(__xludf.DUMMYFUNCTION("""COMPUTED_VALUE"""),"201602760@est.umss.edu")</f>
        <v>201602760@est.umss.edu</v>
      </c>
      <c r="B253" s="58" t="str">
        <f>IFERROR(__xludf.DUMMYFUNCTION("""COMPUTED_VALUE"""),"GESTION DE CALIDAD")</f>
        <v>GESTION DE CALIDAD</v>
      </c>
      <c r="C253" s="58">
        <f>IFERROR(__xludf.DUMMYFUNCTION("""COMPUTED_VALUE"""),1.0)</f>
        <v>1</v>
      </c>
    </row>
    <row r="254">
      <c r="A254" s="58" t="str">
        <f>IFERROR(__xludf.DUMMYFUNCTION("""COMPUTED_VALUE"""),"201602760@est.umss.edu")</f>
        <v>201602760@est.umss.edu</v>
      </c>
      <c r="B254" s="58" t="str">
        <f>IFERROR(__xludf.DUMMYFUNCTION("""COMPUTED_VALUE"""),"INGENIERÍA DE MÉTODOS")</f>
        <v>INGENIERÍA DE MÉTODOS</v>
      </c>
      <c r="C254" s="58">
        <f>IFERROR(__xludf.DUMMYFUNCTION("""COMPUTED_VALUE"""),1.0)</f>
        <v>1</v>
      </c>
    </row>
    <row r="255">
      <c r="A255" s="58" t="str">
        <f>IFERROR(__xludf.DUMMYFUNCTION("""COMPUTED_VALUE"""),"201602991@est.umss.edu")</f>
        <v>201602991@est.umss.edu</v>
      </c>
      <c r="B255" s="58" t="str">
        <f>IFERROR(__xludf.DUMMYFUNCTION("""COMPUTED_VALUE"""),"CALIDAD")</f>
        <v>CALIDAD</v>
      </c>
      <c r="C255" s="58">
        <f>IFERROR(__xludf.DUMMYFUNCTION("""COMPUTED_VALUE"""),1.0)</f>
        <v>1</v>
      </c>
    </row>
    <row r="256">
      <c r="A256" s="58" t="str">
        <f>IFERROR(__xludf.DUMMYFUNCTION("""COMPUTED_VALUE"""),"201602991@est.umss.edu")</f>
        <v>201602991@est.umss.edu</v>
      </c>
      <c r="B256" s="58" t="str">
        <f>IFERROR(__xludf.DUMMYFUNCTION("""COMPUTED_VALUE"""),"DISEÑO")</f>
        <v>DISEÑO</v>
      </c>
      <c r="C256" s="58">
        <f>IFERROR(__xludf.DUMMYFUNCTION("""COMPUTED_VALUE"""),2.0)</f>
        <v>2</v>
      </c>
    </row>
    <row r="257">
      <c r="A257" s="58" t="str">
        <f>IFERROR(__xludf.DUMMYFUNCTION("""COMPUTED_VALUE"""),"201602991@est.umss.edu")</f>
        <v>201602991@est.umss.edu</v>
      </c>
      <c r="B257" s="58" t="str">
        <f>IFERROR(__xludf.DUMMYFUNCTION("""COMPUTED_VALUE"""),"FACTIBILIDAD")</f>
        <v>FACTIBILIDAD</v>
      </c>
      <c r="C257" s="58">
        <f>IFERROR(__xludf.DUMMYFUNCTION("""COMPUTED_VALUE"""),1.0)</f>
        <v>1</v>
      </c>
    </row>
    <row r="258">
      <c r="A258" s="58" t="str">
        <f>IFERROR(__xludf.DUMMYFUNCTION("""COMPUTED_VALUE"""),"201602995@est.umss.edu")</f>
        <v>201602995@est.umss.edu</v>
      </c>
      <c r="B258" s="58" t="str">
        <f>IFERROR(__xludf.DUMMYFUNCTION("""COMPUTED_VALUE"""),"FACTIBILIDAD")</f>
        <v>FACTIBILIDAD</v>
      </c>
      <c r="C258" s="58">
        <f>IFERROR(__xludf.DUMMYFUNCTION("""COMPUTED_VALUE"""),6.0)</f>
        <v>6</v>
      </c>
    </row>
    <row r="259">
      <c r="A259" s="58" t="str">
        <f>IFERROR(__xludf.DUMMYFUNCTION("""COMPUTED_VALUE"""),"201603017@est.umss.edu")</f>
        <v>201603017@est.umss.edu</v>
      </c>
      <c r="B259" s="58" t="str">
        <f>IFERROR(__xludf.DUMMYFUNCTION("""COMPUTED_VALUE"""),"CALIDAD")</f>
        <v>CALIDAD</v>
      </c>
      <c r="C259" s="58">
        <f>IFERROR(__xludf.DUMMYFUNCTION("""COMPUTED_VALUE"""),5.0)</f>
        <v>5</v>
      </c>
    </row>
    <row r="260">
      <c r="A260" s="58" t="str">
        <f>IFERROR(__xludf.DUMMYFUNCTION("""COMPUTED_VALUE"""),"201603017@est.umss.edu")</f>
        <v>201603017@est.umss.edu</v>
      </c>
      <c r="B260" s="58" t="str">
        <f>IFERROR(__xludf.DUMMYFUNCTION("""COMPUTED_VALUE"""),"GESTIÓN ESTRATÉGICA")</f>
        <v>GESTIÓN ESTRATÉGICA</v>
      </c>
      <c r="C260" s="58">
        <f>IFERROR(__xludf.DUMMYFUNCTION("""COMPUTED_VALUE"""),1.0)</f>
        <v>1</v>
      </c>
    </row>
    <row r="261">
      <c r="A261" s="58" t="str">
        <f>IFERROR(__xludf.DUMMYFUNCTION("""COMPUTED_VALUE"""),"201603017@est.umss.edu")</f>
        <v>201603017@est.umss.edu</v>
      </c>
      <c r="B261" s="58" t="str">
        <f>IFERROR(__xludf.DUMMYFUNCTION("""COMPUTED_VALUE"""),"PLANIFICACIÓN Y CONTROL DE LA PRODUCCIÓN")</f>
        <v>PLANIFICACIÓN Y CONTROL DE LA PRODUCCIÓN</v>
      </c>
      <c r="C261" s="58">
        <f>IFERROR(__xludf.DUMMYFUNCTION("""COMPUTED_VALUE"""),1.0)</f>
        <v>1</v>
      </c>
    </row>
    <row r="262">
      <c r="A262" s="58" t="str">
        <f>IFERROR(__xludf.DUMMYFUNCTION("""COMPUTED_VALUE"""),"201603024@est.umss.edu")</f>
        <v>201603024@est.umss.edu</v>
      </c>
      <c r="B262" s="58" t="str">
        <f>IFERROR(__xludf.DUMMYFUNCTION("""COMPUTED_VALUE"""),"CALIDAD")</f>
        <v>CALIDAD</v>
      </c>
      <c r="C262" s="58">
        <f>IFERROR(__xludf.DUMMYFUNCTION("""COMPUTED_VALUE"""),4.0)</f>
        <v>4</v>
      </c>
    </row>
    <row r="263">
      <c r="A263" s="58" t="str">
        <f>IFERROR(__xludf.DUMMYFUNCTION("""COMPUTED_VALUE"""),"201603595@est.umss.edu")</f>
        <v>201603595@est.umss.edu</v>
      </c>
      <c r="B263" s="58"/>
      <c r="C263" s="58">
        <f>IFERROR(__xludf.DUMMYFUNCTION("""COMPUTED_VALUE"""),0.0)</f>
        <v>0</v>
      </c>
    </row>
    <row r="264">
      <c r="A264" s="58" t="str">
        <f>IFERROR(__xludf.DUMMYFUNCTION("""COMPUTED_VALUE"""),"201603595@est.umss.edu")</f>
        <v>201603595@est.umss.edu</v>
      </c>
      <c r="B264" s="58" t="str">
        <f>IFERROR(__xludf.DUMMYFUNCTION("""COMPUTED_VALUE"""),"CALIDAD")</f>
        <v>CALIDAD</v>
      </c>
      <c r="C264" s="58">
        <f>IFERROR(__xludf.DUMMYFUNCTION("""COMPUTED_VALUE"""),17.0)</f>
        <v>17</v>
      </c>
    </row>
    <row r="265">
      <c r="A265" s="58" t="str">
        <f>IFERROR(__xludf.DUMMYFUNCTION("""COMPUTED_VALUE"""),"201603595@est.umss.edu")</f>
        <v>201603595@est.umss.edu</v>
      </c>
      <c r="B265" s="58" t="str">
        <f>IFERROR(__xludf.DUMMYFUNCTION("""COMPUTED_VALUE"""),"FACTIBILIDAD")</f>
        <v>FACTIBILIDAD</v>
      </c>
      <c r="C265" s="58">
        <f>IFERROR(__xludf.DUMMYFUNCTION("""COMPUTED_VALUE"""),1.0)</f>
        <v>1</v>
      </c>
    </row>
    <row r="266">
      <c r="A266" s="58" t="str">
        <f>IFERROR(__xludf.DUMMYFUNCTION("""COMPUTED_VALUE"""),"201603595@est.umss.edu")</f>
        <v>201603595@est.umss.edu</v>
      </c>
      <c r="B266" s="58" t="str">
        <f>IFERROR(__xludf.DUMMYFUNCTION("""COMPUTED_VALUE"""),"OPTIMIZACIÓN")</f>
        <v>OPTIMIZACIÓN</v>
      </c>
      <c r="C266" s="58">
        <f>IFERROR(__xludf.DUMMYFUNCTION("""COMPUTED_VALUE"""),1.0)</f>
        <v>1</v>
      </c>
    </row>
    <row r="267">
      <c r="A267" s="58" t="str">
        <f>IFERROR(__xludf.DUMMYFUNCTION("""COMPUTED_VALUE"""),"201603595@est.umss.edu")</f>
        <v>201603595@est.umss.edu</v>
      </c>
      <c r="B267" s="58" t="str">
        <f>IFERROR(__xludf.DUMMYFUNCTION("""COMPUTED_VALUE"""),"OTROS")</f>
        <v>OTROS</v>
      </c>
      <c r="C267" s="58">
        <f>IFERROR(__xludf.DUMMYFUNCTION("""COMPUTED_VALUE"""),2.0)</f>
        <v>2</v>
      </c>
    </row>
    <row r="268">
      <c r="A268" s="58" t="str">
        <f>IFERROR(__xludf.DUMMYFUNCTION("""COMPUTED_VALUE"""),"201603595@est.umss.edu")</f>
        <v>201603595@est.umss.edu</v>
      </c>
      <c r="B268" s="58" t="str">
        <f>IFERROR(__xludf.DUMMYFUNCTION("""COMPUTED_VALUE"""),"SEGURIDAD INDUSTRIAL")</f>
        <v>SEGURIDAD INDUSTRIAL</v>
      </c>
      <c r="C268" s="58">
        <f>IFERROR(__xludf.DUMMYFUNCTION("""COMPUTED_VALUE"""),20.0)</f>
        <v>20</v>
      </c>
    </row>
    <row r="269">
      <c r="A269" s="58" t="str">
        <f>IFERROR(__xludf.DUMMYFUNCTION("""COMPUTED_VALUE"""),"201603595@est.umss.edu")</f>
        <v>201603595@est.umss.edu</v>
      </c>
      <c r="B269" s="58" t="str">
        <f>IFERROR(__xludf.DUMMYFUNCTION("""COMPUTED_VALUE"""),"SISTEMAS INTEGRADOS")</f>
        <v>SISTEMAS INTEGRADOS</v>
      </c>
      <c r="C269" s="58">
        <f>IFERROR(__xludf.DUMMYFUNCTION("""COMPUTED_VALUE"""),24.0)</f>
        <v>24</v>
      </c>
    </row>
    <row r="270">
      <c r="A270" s="58" t="str">
        <f>IFERROR(__xludf.DUMMYFUNCTION("""COMPUTED_VALUE"""),"201603596@est.umss.edu")</f>
        <v>201603596@est.umss.edu</v>
      </c>
      <c r="B270" s="58" t="str">
        <f>IFERROR(__xludf.DUMMYFUNCTION("""COMPUTED_VALUE"""),"ACADÉMICOS")</f>
        <v>ACADÉMICOS</v>
      </c>
      <c r="C270" s="58">
        <f>IFERROR(__xludf.DUMMYFUNCTION("""COMPUTED_VALUE"""),1.0)</f>
        <v>1</v>
      </c>
    </row>
    <row r="271">
      <c r="A271" s="58" t="str">
        <f>IFERROR(__xludf.DUMMYFUNCTION("""COMPUTED_VALUE"""),"201603596@est.umss.edu")</f>
        <v>201603596@est.umss.edu</v>
      </c>
      <c r="B271" s="58" t="str">
        <f>IFERROR(__xludf.DUMMYFUNCTION("""COMPUTED_VALUE"""),"EVALUACIÓN TÉCNICA")</f>
        <v>EVALUACIÓN TÉCNICA</v>
      </c>
      <c r="C271" s="58">
        <f>IFERROR(__xludf.DUMMYFUNCTION("""COMPUTED_VALUE"""),1.0)</f>
        <v>1</v>
      </c>
    </row>
    <row r="272">
      <c r="A272" s="58" t="str">
        <f>IFERROR(__xludf.DUMMYFUNCTION("""COMPUTED_VALUE"""),"201603596@est.umss.edu")</f>
        <v>201603596@est.umss.edu</v>
      </c>
      <c r="B272" s="58" t="str">
        <f>IFERROR(__xludf.DUMMYFUNCTION("""COMPUTED_VALUE"""),"FACTIBILIDAD")</f>
        <v>FACTIBILIDAD</v>
      </c>
      <c r="C272" s="58">
        <f>IFERROR(__xludf.DUMMYFUNCTION("""COMPUTED_VALUE"""),5.0)</f>
        <v>5</v>
      </c>
    </row>
    <row r="273">
      <c r="A273" s="58" t="str">
        <f>IFERROR(__xludf.DUMMYFUNCTION("""COMPUTED_VALUE"""),"201603596@est.umss.edu")</f>
        <v>201603596@est.umss.edu</v>
      </c>
      <c r="B273" s="58" t="str">
        <f>IFERROR(__xludf.DUMMYFUNCTION("""COMPUTED_VALUE"""),"MARKETING/MERCADOTECNIA")</f>
        <v>MARKETING/MERCADOTECNIA</v>
      </c>
      <c r="C273" s="58">
        <f>IFERROR(__xludf.DUMMYFUNCTION("""COMPUTED_VALUE"""),1.0)</f>
        <v>1</v>
      </c>
    </row>
    <row r="274">
      <c r="A274" s="58" t="str">
        <f>IFERROR(__xludf.DUMMYFUNCTION("""COMPUTED_VALUE"""),"201603596@est.umss.edu")</f>
        <v>201603596@est.umss.edu</v>
      </c>
      <c r="B274" s="58" t="str">
        <f>IFERROR(__xludf.DUMMYFUNCTION("""COMPUTED_VALUE"""),"ORGANIZACIÓN INDUSTRIAL")</f>
        <v>ORGANIZACIÓN INDUSTRIAL</v>
      </c>
      <c r="C274" s="58">
        <f>IFERROR(__xludf.DUMMYFUNCTION("""COMPUTED_VALUE"""),2.0)</f>
        <v>2</v>
      </c>
    </row>
    <row r="275">
      <c r="A275" s="58" t="str">
        <f>IFERROR(__xludf.DUMMYFUNCTION("""COMPUTED_VALUE"""),"201603596@est.umss.edu")</f>
        <v>201603596@est.umss.edu</v>
      </c>
      <c r="B275" s="58" t="str">
        <f>IFERROR(__xludf.DUMMYFUNCTION("""COMPUTED_VALUE"""),"PROCESOS INDUSTRIALES")</f>
        <v>PROCESOS INDUSTRIALES</v>
      </c>
      <c r="C275" s="58">
        <f>IFERROR(__xludf.DUMMYFUNCTION("""COMPUTED_VALUE"""),1.0)</f>
        <v>1</v>
      </c>
    </row>
    <row r="276">
      <c r="A276" s="58" t="str">
        <f>IFERROR(__xludf.DUMMYFUNCTION("""COMPUTED_VALUE"""),"201603615@est.umss.edu")</f>
        <v>201603615@est.umss.edu</v>
      </c>
      <c r="B276" s="58" t="str">
        <f>IFERROR(__xludf.DUMMYFUNCTION("""COMPUTED_VALUE"""),"CALIDAD")</f>
        <v>CALIDAD</v>
      </c>
      <c r="C276" s="58">
        <f>IFERROR(__xludf.DUMMYFUNCTION("""COMPUTED_VALUE"""),5.0)</f>
        <v>5</v>
      </c>
    </row>
    <row r="277">
      <c r="A277" s="58" t="str">
        <f>IFERROR(__xludf.DUMMYFUNCTION("""COMPUTED_VALUE"""),"201603615@est.umss.edu")</f>
        <v>201603615@est.umss.edu</v>
      </c>
      <c r="B277" s="58" t="str">
        <f>IFERROR(__xludf.DUMMYFUNCTION("""COMPUTED_VALUE"""),"PLANIFICACIÓN Y CONTROL DE LA PRODUCCIÓN")</f>
        <v>PLANIFICACIÓN Y CONTROL DE LA PRODUCCIÓN</v>
      </c>
      <c r="C277" s="58">
        <f>IFERROR(__xludf.DUMMYFUNCTION("""COMPUTED_VALUE"""),1.0)</f>
        <v>1</v>
      </c>
    </row>
    <row r="278">
      <c r="A278" s="58" t="str">
        <f>IFERROR(__xludf.DUMMYFUNCTION("""COMPUTED_VALUE"""),"201603615@est.umss.edu")</f>
        <v>201603615@est.umss.edu</v>
      </c>
      <c r="B278" s="58" t="str">
        <f>IFERROR(__xludf.DUMMYFUNCTION("""COMPUTED_VALUE"""),"SISTEMAS DE INFORMACIÓN")</f>
        <v>SISTEMAS DE INFORMACIÓN</v>
      </c>
      <c r="C278" s="58">
        <f>IFERROR(__xludf.DUMMYFUNCTION("""COMPUTED_VALUE"""),1.0)</f>
        <v>1</v>
      </c>
    </row>
    <row r="279">
      <c r="A279" s="58" t="str">
        <f>IFERROR(__xludf.DUMMYFUNCTION("""COMPUTED_VALUE"""),"201603616@est.umss.edu")</f>
        <v>201603616@est.umss.edu</v>
      </c>
      <c r="B279" s="58" t="str">
        <f>IFERROR(__xludf.DUMMYFUNCTION("""COMPUTED_VALUE"""),"CALIDAD")</f>
        <v>CALIDAD</v>
      </c>
      <c r="C279" s="58">
        <f>IFERROR(__xludf.DUMMYFUNCTION("""COMPUTED_VALUE"""),6.0)</f>
        <v>6</v>
      </c>
    </row>
    <row r="280">
      <c r="A280" s="58" t="str">
        <f>IFERROR(__xludf.DUMMYFUNCTION("""COMPUTED_VALUE"""),"201603616@est.umss.edu")</f>
        <v>201603616@est.umss.edu</v>
      </c>
      <c r="B280" s="58" t="str">
        <f>IFERROR(__xludf.DUMMYFUNCTION("""COMPUTED_VALUE"""),"EVALUACIÓN TÉCNICA")</f>
        <v>EVALUACIÓN TÉCNICA</v>
      </c>
      <c r="C280" s="58">
        <f>IFERROR(__xludf.DUMMYFUNCTION("""COMPUTED_VALUE"""),3.0)</f>
        <v>3</v>
      </c>
    </row>
    <row r="281">
      <c r="A281" s="58" t="str">
        <f>IFERROR(__xludf.DUMMYFUNCTION("""COMPUTED_VALUE"""),"201603616@est.umss.edu")</f>
        <v>201603616@est.umss.edu</v>
      </c>
      <c r="B281" s="58" t="str">
        <f>IFERROR(__xludf.DUMMYFUNCTION("""COMPUTED_VALUE"""),"FACTIBILIDAD")</f>
        <v>FACTIBILIDAD</v>
      </c>
      <c r="C281" s="58">
        <f>IFERROR(__xludf.DUMMYFUNCTION("""COMPUTED_VALUE"""),2.0)</f>
        <v>2</v>
      </c>
    </row>
    <row r="282">
      <c r="A282" s="58" t="str">
        <f>IFERROR(__xludf.DUMMYFUNCTION("""COMPUTED_VALUE"""),"201603616@est.umss.edu")</f>
        <v>201603616@est.umss.edu</v>
      </c>
      <c r="B282" s="58" t="str">
        <f>IFERROR(__xludf.DUMMYFUNCTION("""COMPUTED_VALUE"""),"MANTENIMIENTO")</f>
        <v>MANTENIMIENTO</v>
      </c>
      <c r="C282" s="58">
        <f>IFERROR(__xludf.DUMMYFUNCTION("""COMPUTED_VALUE"""),2.0)</f>
        <v>2</v>
      </c>
    </row>
    <row r="283">
      <c r="A283" s="58" t="str">
        <f>IFERROR(__xludf.DUMMYFUNCTION("""COMPUTED_VALUE"""),"201603616@est.umss.edu")</f>
        <v>201603616@est.umss.edu</v>
      </c>
      <c r="B283" s="58" t="str">
        <f>IFERROR(__xludf.DUMMYFUNCTION("""COMPUTED_VALUE"""),"OPTIMIZACIÓN")</f>
        <v>OPTIMIZACIÓN</v>
      </c>
      <c r="C283" s="58">
        <f>IFERROR(__xludf.DUMMYFUNCTION("""COMPUTED_VALUE"""),1.0)</f>
        <v>1</v>
      </c>
    </row>
    <row r="284">
      <c r="A284" s="58" t="str">
        <f>IFERROR(__xludf.DUMMYFUNCTION("""COMPUTED_VALUE"""),"201603625@est.umss.edu")</f>
        <v>201603625@est.umss.edu</v>
      </c>
      <c r="B284" s="58" t="str">
        <f>IFERROR(__xludf.DUMMYFUNCTION("""COMPUTED_VALUE"""),"ACADÉMICOS")</f>
        <v>ACADÉMICOS</v>
      </c>
      <c r="C284" s="58">
        <f>IFERROR(__xludf.DUMMYFUNCTION("""COMPUTED_VALUE"""),3.0)</f>
        <v>3</v>
      </c>
    </row>
    <row r="285">
      <c r="A285" s="58" t="str">
        <f>IFERROR(__xludf.DUMMYFUNCTION("""COMPUTED_VALUE"""),"201603625@est.umss.edu")</f>
        <v>201603625@est.umss.edu</v>
      </c>
      <c r="B285" s="58" t="str">
        <f>IFERROR(__xludf.DUMMYFUNCTION("""COMPUTED_VALUE"""),"FACTIBILIDAD")</f>
        <v>FACTIBILIDAD</v>
      </c>
      <c r="C285" s="58">
        <f>IFERROR(__xludf.DUMMYFUNCTION("""COMPUTED_VALUE"""),2.0)</f>
        <v>2</v>
      </c>
    </row>
    <row r="286">
      <c r="A286" s="58" t="str">
        <f>IFERROR(__xludf.DUMMYFUNCTION("""COMPUTED_VALUE"""),"201603630@est.umss.edu")</f>
        <v>201603630@est.umss.edu</v>
      </c>
      <c r="B286" s="58" t="str">
        <f>IFERROR(__xludf.DUMMYFUNCTION("""COMPUTED_VALUE"""),"CALIDAD")</f>
        <v>CALIDAD</v>
      </c>
      <c r="C286" s="58">
        <f>IFERROR(__xludf.DUMMYFUNCTION("""COMPUTED_VALUE"""),2.0)</f>
        <v>2</v>
      </c>
    </row>
    <row r="287">
      <c r="A287" s="58" t="str">
        <f>IFERROR(__xludf.DUMMYFUNCTION("""COMPUTED_VALUE"""),"201603630@est.umss.edu")</f>
        <v>201603630@est.umss.edu</v>
      </c>
      <c r="B287" s="58" t="str">
        <f>IFERROR(__xludf.DUMMYFUNCTION("""COMPUTED_VALUE"""),"DISEÑO")</f>
        <v>DISEÑO</v>
      </c>
      <c r="C287" s="58">
        <f>IFERROR(__xludf.DUMMYFUNCTION("""COMPUTED_VALUE"""),3.0)</f>
        <v>3</v>
      </c>
    </row>
    <row r="288">
      <c r="A288" s="58" t="str">
        <f>IFERROR(__xludf.DUMMYFUNCTION("""COMPUTED_VALUE"""),"201603630@est.umss.edu")</f>
        <v>201603630@est.umss.edu</v>
      </c>
      <c r="B288" s="58" t="str">
        <f>IFERROR(__xludf.DUMMYFUNCTION("""COMPUTED_VALUE"""),"EVALUACIÓN TÉCNICA")</f>
        <v>EVALUACIÓN TÉCNICA</v>
      </c>
      <c r="C288" s="58">
        <f>IFERROR(__xludf.DUMMYFUNCTION("""COMPUTED_VALUE"""),1.0)</f>
        <v>1</v>
      </c>
    </row>
    <row r="289">
      <c r="A289" s="58" t="str">
        <f>IFERROR(__xludf.DUMMYFUNCTION("""COMPUTED_VALUE"""),"201603630@est.umss.edu")</f>
        <v>201603630@est.umss.edu</v>
      </c>
      <c r="B289" s="58" t="str">
        <f>IFERROR(__xludf.DUMMYFUNCTION("""COMPUTED_VALUE"""),"FACTIBILIDAD")</f>
        <v>FACTIBILIDAD</v>
      </c>
      <c r="C289" s="58">
        <f>IFERROR(__xludf.DUMMYFUNCTION("""COMPUTED_VALUE"""),2.0)</f>
        <v>2</v>
      </c>
    </row>
    <row r="290">
      <c r="A290" s="58" t="str">
        <f>IFERROR(__xludf.DUMMYFUNCTION("""COMPUTED_VALUE"""),"201603630@est.umss.edu")</f>
        <v>201603630@est.umss.edu</v>
      </c>
      <c r="B290" s="58" t="str">
        <f>IFERROR(__xludf.DUMMYFUNCTION("""COMPUTED_VALUE"""),"INGENIERÍA DE MÉTODOS")</f>
        <v>INGENIERÍA DE MÉTODOS</v>
      </c>
      <c r="C290" s="58">
        <f>IFERROR(__xludf.DUMMYFUNCTION("""COMPUTED_VALUE"""),1.0)</f>
        <v>1</v>
      </c>
    </row>
    <row r="291">
      <c r="A291" s="58" t="str">
        <f>IFERROR(__xludf.DUMMYFUNCTION("""COMPUTED_VALUE"""),"201603630@est.umss.edu")</f>
        <v>201603630@est.umss.edu</v>
      </c>
      <c r="B291" s="58" t="str">
        <f>IFERROR(__xludf.DUMMYFUNCTION("""COMPUTED_VALUE"""),"MANTENIMIENTO")</f>
        <v>MANTENIMIENTO</v>
      </c>
      <c r="C291" s="58">
        <f>IFERROR(__xludf.DUMMYFUNCTION("""COMPUTED_VALUE"""),1.0)</f>
        <v>1</v>
      </c>
    </row>
    <row r="292">
      <c r="A292" s="58" t="str">
        <f>IFERROR(__xludf.DUMMYFUNCTION("""COMPUTED_VALUE"""),"201603635@est.umss.edu")</f>
        <v>201603635@est.umss.edu</v>
      </c>
      <c r="B292" s="58"/>
      <c r="C292" s="58">
        <f>IFERROR(__xludf.DUMMYFUNCTION("""COMPUTED_VALUE"""),0.0)</f>
        <v>0</v>
      </c>
    </row>
    <row r="293">
      <c r="A293" s="58" t="str">
        <f>IFERROR(__xludf.DUMMYFUNCTION("""COMPUTED_VALUE"""),"201603635@est.umss.edu")</f>
        <v>201603635@est.umss.edu</v>
      </c>
      <c r="B293" s="58" t="str">
        <f>IFERROR(__xludf.DUMMYFUNCTION("""COMPUTED_VALUE"""),"CALIDAD")</f>
        <v>CALIDAD</v>
      </c>
      <c r="C293" s="58">
        <f>IFERROR(__xludf.DUMMYFUNCTION("""COMPUTED_VALUE"""),2.0)</f>
        <v>2</v>
      </c>
    </row>
    <row r="294">
      <c r="A294" s="58" t="str">
        <f>IFERROR(__xludf.DUMMYFUNCTION("""COMPUTED_VALUE"""),"201603635@est.umss.edu")</f>
        <v>201603635@est.umss.edu</v>
      </c>
      <c r="B294" s="58" t="str">
        <f>IFERROR(__xludf.DUMMYFUNCTION("""COMPUTED_VALUE"""),"DISEÑO")</f>
        <v>DISEÑO</v>
      </c>
      <c r="C294" s="58">
        <f>IFERROR(__xludf.DUMMYFUNCTION("""COMPUTED_VALUE"""),7.0)</f>
        <v>7</v>
      </c>
    </row>
    <row r="295">
      <c r="A295" s="58" t="str">
        <f>IFERROR(__xludf.DUMMYFUNCTION("""COMPUTED_VALUE"""),"201603635@est.umss.edu")</f>
        <v>201603635@est.umss.edu</v>
      </c>
      <c r="B295" s="58" t="str">
        <f>IFERROR(__xludf.DUMMYFUNCTION("""COMPUTED_VALUE"""),"FACTIBILIDAD")</f>
        <v>FACTIBILIDAD</v>
      </c>
      <c r="C295" s="58">
        <f>IFERROR(__xludf.DUMMYFUNCTION("""COMPUTED_VALUE"""),11.0)</f>
        <v>11</v>
      </c>
    </row>
    <row r="296">
      <c r="A296" s="58" t="str">
        <f>IFERROR(__xludf.DUMMYFUNCTION("""COMPUTED_VALUE"""),"201603635@est.umss.edu")</f>
        <v>201603635@est.umss.edu</v>
      </c>
      <c r="B296" s="58" t="str">
        <f>IFERROR(__xludf.DUMMYFUNCTION("""COMPUTED_VALUE"""),"INGENIERÍA DE MÉTODOS")</f>
        <v>INGENIERÍA DE MÉTODOS</v>
      </c>
      <c r="C296" s="58">
        <f>IFERROR(__xludf.DUMMYFUNCTION("""COMPUTED_VALUE"""),2.0)</f>
        <v>2</v>
      </c>
    </row>
    <row r="297">
      <c r="A297" s="58" t="str">
        <f>IFERROR(__xludf.DUMMYFUNCTION("""COMPUTED_VALUE"""),"201603635@est.umss.edu")</f>
        <v>201603635@est.umss.edu</v>
      </c>
      <c r="B297" s="58" t="str">
        <f>IFERROR(__xludf.DUMMYFUNCTION("""COMPUTED_VALUE"""),"OTROS")</f>
        <v>OTROS</v>
      </c>
      <c r="C297" s="58">
        <f>IFERROR(__xludf.DUMMYFUNCTION("""COMPUTED_VALUE"""),1.0)</f>
        <v>1</v>
      </c>
    </row>
    <row r="298">
      <c r="A298" s="58" t="str">
        <f>IFERROR(__xludf.DUMMYFUNCTION("""COMPUTED_VALUE"""),"201603641@est.umss.edu")</f>
        <v>201603641@est.umss.edu</v>
      </c>
      <c r="B298" s="58" t="str">
        <f>IFERROR(__xludf.DUMMYFUNCTION("""COMPUTED_VALUE"""),"GESTIÓN ESTRATÉGICA")</f>
        <v>GESTIÓN ESTRATÉGICA</v>
      </c>
      <c r="C298" s="58">
        <f>IFERROR(__xludf.DUMMYFUNCTION("""COMPUTED_VALUE"""),1.0)</f>
        <v>1</v>
      </c>
    </row>
    <row r="299">
      <c r="A299" s="58" t="str">
        <f>IFERROR(__xludf.DUMMYFUNCTION("""COMPUTED_VALUE"""),"201603641@est.umss.edu")</f>
        <v>201603641@est.umss.edu</v>
      </c>
      <c r="B299" s="58" t="str">
        <f>IFERROR(__xludf.DUMMYFUNCTION("""COMPUTED_VALUE"""),"PLAN DE NEGOCIOS")</f>
        <v>PLAN DE NEGOCIOS</v>
      </c>
      <c r="C299" s="58">
        <f>IFERROR(__xludf.DUMMYFUNCTION("""COMPUTED_VALUE"""),1.0)</f>
        <v>1</v>
      </c>
    </row>
    <row r="300">
      <c r="A300" s="58" t="str">
        <f>IFERROR(__xludf.DUMMYFUNCTION("""COMPUTED_VALUE"""),"201603664@est.umss.edu")</f>
        <v>201603664@est.umss.edu</v>
      </c>
      <c r="B300" s="58" t="str">
        <f>IFERROR(__xludf.DUMMYFUNCTION("""COMPUTED_VALUE"""),"FACTIBILIDAD")</f>
        <v>FACTIBILIDAD</v>
      </c>
      <c r="C300" s="58">
        <f>IFERROR(__xludf.DUMMYFUNCTION("""COMPUTED_VALUE"""),2.0)</f>
        <v>2</v>
      </c>
    </row>
    <row r="301">
      <c r="A301" s="58" t="str">
        <f>IFERROR(__xludf.DUMMYFUNCTION("""COMPUTED_VALUE"""),"201603664@gmail.com")</f>
        <v>201603664@gmail.com</v>
      </c>
      <c r="B301" s="58" t="str">
        <f>IFERROR(__xludf.DUMMYFUNCTION("""COMPUTED_VALUE"""),"FACTIBILIDAD")</f>
        <v>FACTIBILIDAD</v>
      </c>
      <c r="C301" s="58">
        <f>IFERROR(__xludf.DUMMYFUNCTION("""COMPUTED_VALUE"""),6.0)</f>
        <v>6</v>
      </c>
    </row>
    <row r="302">
      <c r="A302" s="58" t="str">
        <f>IFERROR(__xludf.DUMMYFUNCTION("""COMPUTED_VALUE"""),"201603664@gmail.com")</f>
        <v>201603664@gmail.com</v>
      </c>
      <c r="B302" s="58" t="str">
        <f>IFERROR(__xludf.DUMMYFUNCTION("""COMPUTED_VALUE"""),"GESTIÓN ESTRATÉGICA")</f>
        <v>GESTIÓN ESTRATÉGICA</v>
      </c>
      <c r="C302" s="58">
        <f>IFERROR(__xludf.DUMMYFUNCTION("""COMPUTED_VALUE"""),1.0)</f>
        <v>1</v>
      </c>
    </row>
    <row r="303">
      <c r="A303" s="58" t="str">
        <f>IFERROR(__xludf.DUMMYFUNCTION("""COMPUTED_VALUE"""),"201603699@est.umss.edu")</f>
        <v>201603699@est.umss.edu</v>
      </c>
      <c r="B303" s="58" t="str">
        <f>IFERROR(__xludf.DUMMYFUNCTION("""COMPUTED_VALUE"""),"EVALUACIÓN TÉCNICA")</f>
        <v>EVALUACIÓN TÉCNICA</v>
      </c>
      <c r="C303" s="58">
        <f>IFERROR(__xludf.DUMMYFUNCTION("""COMPUTED_VALUE"""),1.0)</f>
        <v>1</v>
      </c>
    </row>
    <row r="304">
      <c r="A304" s="58" t="str">
        <f>IFERROR(__xludf.DUMMYFUNCTION("""COMPUTED_VALUE"""),"201603699@est.umss.edu")</f>
        <v>201603699@est.umss.edu</v>
      </c>
      <c r="B304" s="58" t="str">
        <f>IFERROR(__xludf.DUMMYFUNCTION("""COMPUTED_VALUE"""),"FACTIBILIDAD")</f>
        <v>FACTIBILIDAD</v>
      </c>
      <c r="C304" s="58">
        <f>IFERROR(__xludf.DUMMYFUNCTION("""COMPUTED_VALUE"""),10.0)</f>
        <v>10</v>
      </c>
    </row>
    <row r="305">
      <c r="A305" s="58" t="str">
        <f>IFERROR(__xludf.DUMMYFUNCTION("""COMPUTED_VALUE"""),"201603699@est.umss.edu")</f>
        <v>201603699@est.umss.edu</v>
      </c>
      <c r="B305" s="58" t="str">
        <f>IFERROR(__xludf.DUMMYFUNCTION("""COMPUTED_VALUE"""),"PROCESOS INDUSTRIALES")</f>
        <v>PROCESOS INDUSTRIALES</v>
      </c>
      <c r="C305" s="58">
        <f>IFERROR(__xludf.DUMMYFUNCTION("""COMPUTED_VALUE"""),1.0)</f>
        <v>1</v>
      </c>
    </row>
    <row r="306">
      <c r="A306" s="58" t="str">
        <f>IFERROR(__xludf.DUMMYFUNCTION("""COMPUTED_VALUE"""),"201603707@est.umss.edu")</f>
        <v>201603707@est.umss.edu</v>
      </c>
      <c r="B306" s="58" t="str">
        <f>IFERROR(__xludf.DUMMYFUNCTION("""COMPUTED_VALUE"""),"OPTIMIZACIÓN")</f>
        <v>OPTIMIZACIÓN</v>
      </c>
      <c r="C306" s="58">
        <f>IFERROR(__xludf.DUMMYFUNCTION("""COMPUTED_VALUE"""),1.0)</f>
        <v>1</v>
      </c>
    </row>
    <row r="307">
      <c r="A307" s="58" t="str">
        <f>IFERROR(__xludf.DUMMYFUNCTION("""COMPUTED_VALUE"""),"201603707@est.umss.edu")</f>
        <v>201603707@est.umss.edu</v>
      </c>
      <c r="B307" s="58" t="str">
        <f>IFERROR(__xludf.DUMMYFUNCTION("""COMPUTED_VALUE"""),"OTROS")</f>
        <v>OTROS</v>
      </c>
      <c r="C307" s="58">
        <f>IFERROR(__xludf.DUMMYFUNCTION("""COMPUTED_VALUE"""),2.0)</f>
        <v>2</v>
      </c>
    </row>
    <row r="308">
      <c r="A308" s="58" t="str">
        <f>IFERROR(__xludf.DUMMYFUNCTION("""COMPUTED_VALUE"""),"201603707@est.umss.edu")</f>
        <v>201603707@est.umss.edu</v>
      </c>
      <c r="B308" s="58" t="str">
        <f>IFERROR(__xludf.DUMMYFUNCTION("""COMPUTED_VALUE"""),"SEGURIDAD INDUSTRIAL")</f>
        <v>SEGURIDAD INDUSTRIAL</v>
      </c>
      <c r="C308" s="58">
        <f>IFERROR(__xludf.DUMMYFUNCTION("""COMPUTED_VALUE"""),3.0)</f>
        <v>3</v>
      </c>
    </row>
    <row r="309">
      <c r="A309" s="58" t="str">
        <f>IFERROR(__xludf.DUMMYFUNCTION("""COMPUTED_VALUE"""),"201603730@est.umss.edu")</f>
        <v>201603730@est.umss.edu</v>
      </c>
      <c r="B309" s="58" t="str">
        <f>IFERROR(__xludf.DUMMYFUNCTION("""COMPUTED_VALUE"""),"CALIDAD")</f>
        <v>CALIDAD</v>
      </c>
      <c r="C309" s="58">
        <f>IFERROR(__xludf.DUMMYFUNCTION("""COMPUTED_VALUE"""),1.0)</f>
        <v>1</v>
      </c>
    </row>
    <row r="310">
      <c r="A310" s="58" t="str">
        <f>IFERROR(__xludf.DUMMYFUNCTION("""COMPUTED_VALUE"""),"201603730@est.umss.edu")</f>
        <v>201603730@est.umss.edu</v>
      </c>
      <c r="B310" s="58" t="str">
        <f>IFERROR(__xludf.DUMMYFUNCTION("""COMPUTED_VALUE"""),"SEGURIDAD INDUSTRIAL")</f>
        <v>SEGURIDAD INDUSTRIAL</v>
      </c>
      <c r="C310" s="58">
        <f>IFERROR(__xludf.DUMMYFUNCTION("""COMPUTED_VALUE"""),8.0)</f>
        <v>8</v>
      </c>
    </row>
    <row r="311">
      <c r="A311" s="58" t="str">
        <f>IFERROR(__xludf.DUMMYFUNCTION("""COMPUTED_VALUE"""),"201603730@est.umss.edu")</f>
        <v>201603730@est.umss.edu</v>
      </c>
      <c r="B311" s="58" t="str">
        <f>IFERROR(__xludf.DUMMYFUNCTION("""COMPUTED_VALUE"""),"SISTEMAS DE INFORMACIÓN")</f>
        <v>SISTEMAS DE INFORMACIÓN</v>
      </c>
      <c r="C311" s="58">
        <f>IFERROR(__xludf.DUMMYFUNCTION("""COMPUTED_VALUE"""),1.0)</f>
        <v>1</v>
      </c>
    </row>
    <row r="312">
      <c r="A312" s="58" t="str">
        <f>IFERROR(__xludf.DUMMYFUNCTION("""COMPUTED_VALUE"""),"201603733@est.umss.edu")</f>
        <v>201603733@est.umss.edu</v>
      </c>
      <c r="B312" s="58" t="str">
        <f>IFERROR(__xludf.DUMMYFUNCTION("""COMPUTED_VALUE"""),"FACTIBILIDAD")</f>
        <v>FACTIBILIDAD</v>
      </c>
      <c r="C312" s="58">
        <f>IFERROR(__xludf.DUMMYFUNCTION("""COMPUTED_VALUE"""),4.0)</f>
        <v>4</v>
      </c>
    </row>
    <row r="313">
      <c r="A313" s="58" t="str">
        <f>IFERROR(__xludf.DUMMYFUNCTION("""COMPUTED_VALUE"""),"201603734@est.umss.edu")</f>
        <v>201603734@est.umss.edu</v>
      </c>
      <c r="B313" s="58" t="str">
        <f>IFERROR(__xludf.DUMMYFUNCTION("""COMPUTED_VALUE"""),"CALIDAD")</f>
        <v>CALIDAD</v>
      </c>
      <c r="C313" s="58">
        <f>IFERROR(__xludf.DUMMYFUNCTION("""COMPUTED_VALUE"""),1.0)</f>
        <v>1</v>
      </c>
    </row>
    <row r="314">
      <c r="A314" s="58" t="str">
        <f>IFERROR(__xludf.DUMMYFUNCTION("""COMPUTED_VALUE"""),"201603734@est.umss.edu")</f>
        <v>201603734@est.umss.edu</v>
      </c>
      <c r="B314" s="58" t="str">
        <f>IFERROR(__xludf.DUMMYFUNCTION("""COMPUTED_VALUE"""),"FACTIBILIDAD")</f>
        <v>FACTIBILIDAD</v>
      </c>
      <c r="C314" s="58">
        <f>IFERROR(__xludf.DUMMYFUNCTION("""COMPUTED_VALUE"""),1.0)</f>
        <v>1</v>
      </c>
    </row>
    <row r="315">
      <c r="A315" s="58" t="str">
        <f>IFERROR(__xludf.DUMMYFUNCTION("""COMPUTED_VALUE"""),"201603734@est.umss.edu")</f>
        <v>201603734@est.umss.edu</v>
      </c>
      <c r="B315" s="58" t="str">
        <f>IFERROR(__xludf.DUMMYFUNCTION("""COMPUTED_VALUE"""),"INGENIERÍA DE MÉTODOS")</f>
        <v>INGENIERÍA DE MÉTODOS</v>
      </c>
      <c r="C315" s="58">
        <f>IFERROR(__xludf.DUMMYFUNCTION("""COMPUTED_VALUE"""),9.0)</f>
        <v>9</v>
      </c>
    </row>
    <row r="316">
      <c r="A316" s="58" t="str">
        <f>IFERROR(__xludf.DUMMYFUNCTION("""COMPUTED_VALUE"""),"201603734@est.umss.edu")</f>
        <v>201603734@est.umss.edu</v>
      </c>
      <c r="B316" s="58" t="str">
        <f>IFERROR(__xludf.DUMMYFUNCTION("""COMPUTED_VALUE"""),"OPTIMIZACIÓN")</f>
        <v>OPTIMIZACIÓN</v>
      </c>
      <c r="C316" s="58">
        <f>IFERROR(__xludf.DUMMYFUNCTION("""COMPUTED_VALUE"""),1.0)</f>
        <v>1</v>
      </c>
    </row>
    <row r="317">
      <c r="A317" s="58" t="str">
        <f>IFERROR(__xludf.DUMMYFUNCTION("""COMPUTED_VALUE"""),"201603734@est.umss.edu")</f>
        <v>201603734@est.umss.edu</v>
      </c>
      <c r="B317" s="58" t="str">
        <f>IFERROR(__xludf.DUMMYFUNCTION("""COMPUTED_VALUE"""),"PLANIFICACIÓN Y CONTROL DE LA PRODUCCIÓN")</f>
        <v>PLANIFICACIÓN Y CONTROL DE LA PRODUCCIÓN</v>
      </c>
      <c r="C317" s="58">
        <f>IFERROR(__xludf.DUMMYFUNCTION("""COMPUTED_VALUE"""),1.0)</f>
        <v>1</v>
      </c>
    </row>
    <row r="318">
      <c r="A318" s="58" t="str">
        <f>IFERROR(__xludf.DUMMYFUNCTION("""COMPUTED_VALUE"""),"201603745@est.umss.edu")</f>
        <v>201603745@est.umss.edu</v>
      </c>
      <c r="B318" s="58" t="str">
        <f>IFERROR(__xludf.DUMMYFUNCTION("""COMPUTED_VALUE"""),"FACTIBILIDAD")</f>
        <v>FACTIBILIDAD</v>
      </c>
      <c r="C318" s="58">
        <f>IFERROR(__xludf.DUMMYFUNCTION("""COMPUTED_VALUE"""),3.0)</f>
        <v>3</v>
      </c>
    </row>
    <row r="319">
      <c r="A319" s="58" t="str">
        <f>IFERROR(__xludf.DUMMYFUNCTION("""COMPUTED_VALUE"""),"201603745@est.umss.edu")</f>
        <v>201603745@est.umss.edu</v>
      </c>
      <c r="B319" s="58" t="str">
        <f>IFERROR(__xludf.DUMMYFUNCTION("""COMPUTED_VALUE"""),"INGENIERÍA DE MÉTODOS")</f>
        <v>INGENIERÍA DE MÉTODOS</v>
      </c>
      <c r="C319" s="58">
        <f>IFERROR(__xludf.DUMMYFUNCTION("""COMPUTED_VALUE"""),2.0)</f>
        <v>2</v>
      </c>
    </row>
    <row r="320">
      <c r="A320" s="58" t="str">
        <f>IFERROR(__xludf.DUMMYFUNCTION("""COMPUTED_VALUE"""),"201603745@est.umss.edu")</f>
        <v>201603745@est.umss.edu</v>
      </c>
      <c r="B320" s="58" t="str">
        <f>IFERROR(__xludf.DUMMYFUNCTION("""COMPUTED_VALUE"""),"OPTIMIZACIÓN")</f>
        <v>OPTIMIZACIÓN</v>
      </c>
      <c r="C320" s="58">
        <f>IFERROR(__xludf.DUMMYFUNCTION("""COMPUTED_VALUE"""),3.0)</f>
        <v>3</v>
      </c>
    </row>
    <row r="321">
      <c r="A321" s="58" t="str">
        <f>IFERROR(__xludf.DUMMYFUNCTION("""COMPUTED_VALUE"""),"201603745@est.umss.edu")</f>
        <v>201603745@est.umss.edu</v>
      </c>
      <c r="B321" s="58" t="str">
        <f>IFERROR(__xludf.DUMMYFUNCTION("""COMPUTED_VALUE"""),"PLANIFICACIÓN Y CONTROL DE LA PRODUCCIÓN")</f>
        <v>PLANIFICACIÓN Y CONTROL DE LA PRODUCCIÓN</v>
      </c>
      <c r="C321" s="58">
        <f>IFERROR(__xludf.DUMMYFUNCTION("""COMPUTED_VALUE"""),4.0)</f>
        <v>4</v>
      </c>
    </row>
    <row r="322">
      <c r="A322" s="58" t="str">
        <f>IFERROR(__xludf.DUMMYFUNCTION("""COMPUTED_VALUE"""),"201603752@est.edu.bo")</f>
        <v>201603752@est.edu.bo</v>
      </c>
      <c r="B322" s="58" t="str">
        <f>IFERROR(__xludf.DUMMYFUNCTION("""COMPUTED_VALUE"""),"GESTIÓN ESTRATÉGICA")</f>
        <v>GESTIÓN ESTRATÉGICA</v>
      </c>
      <c r="C322" s="58">
        <f>IFERROR(__xludf.DUMMYFUNCTION("""COMPUTED_VALUE"""),3.0)</f>
        <v>3</v>
      </c>
    </row>
    <row r="323">
      <c r="A323" s="58" t="str">
        <f>IFERROR(__xludf.DUMMYFUNCTION("""COMPUTED_VALUE"""),"201603756@est.umss.edu")</f>
        <v>201603756@est.umss.edu</v>
      </c>
      <c r="B323" s="58"/>
      <c r="C323" s="58">
        <f>IFERROR(__xludf.DUMMYFUNCTION("""COMPUTED_VALUE"""),0.0)</f>
        <v>0</v>
      </c>
    </row>
    <row r="324">
      <c r="A324" s="58" t="str">
        <f>IFERROR(__xludf.DUMMYFUNCTION("""COMPUTED_VALUE"""),"201603756@est.umss.edu")</f>
        <v>201603756@est.umss.edu</v>
      </c>
      <c r="B324" s="58" t="str">
        <f>IFERROR(__xludf.DUMMYFUNCTION("""COMPUTED_VALUE"""),"DISEÑO")</f>
        <v>DISEÑO</v>
      </c>
      <c r="C324" s="58">
        <f>IFERROR(__xludf.DUMMYFUNCTION("""COMPUTED_VALUE"""),1.0)</f>
        <v>1</v>
      </c>
    </row>
    <row r="325">
      <c r="A325" s="58" t="str">
        <f>IFERROR(__xludf.DUMMYFUNCTION("""COMPUTED_VALUE"""),"201603756@est.umss.edu")</f>
        <v>201603756@est.umss.edu</v>
      </c>
      <c r="B325" s="58" t="str">
        <f>IFERROR(__xludf.DUMMYFUNCTION("""COMPUTED_VALUE"""),"INGENIERÍA DE MÉTODOS")</f>
        <v>INGENIERÍA DE MÉTODOS</v>
      </c>
      <c r="C325" s="58">
        <f>IFERROR(__xludf.DUMMYFUNCTION("""COMPUTED_VALUE"""),28.0)</f>
        <v>28</v>
      </c>
    </row>
    <row r="326">
      <c r="A326" s="58" t="str">
        <f>IFERROR(__xludf.DUMMYFUNCTION("""COMPUTED_VALUE"""),"201603756@est.umss.edu")</f>
        <v>201603756@est.umss.edu</v>
      </c>
      <c r="B326" s="58" t="str">
        <f>IFERROR(__xludf.DUMMYFUNCTION("""COMPUTED_VALUE"""),"OPTIMIZACIÓN")</f>
        <v>OPTIMIZACIÓN</v>
      </c>
      <c r="C326" s="58">
        <f>IFERROR(__xludf.DUMMYFUNCTION("""COMPUTED_VALUE"""),3.0)</f>
        <v>3</v>
      </c>
    </row>
    <row r="327">
      <c r="A327" s="58" t="str">
        <f>IFERROR(__xludf.DUMMYFUNCTION("""COMPUTED_VALUE"""),"201603756@est.umss.edu")</f>
        <v>201603756@est.umss.edu</v>
      </c>
      <c r="B327" s="58" t="str">
        <f>IFERROR(__xludf.DUMMYFUNCTION("""COMPUTED_VALUE"""),"ORGANIZACIÓN INDUSTRIAL")</f>
        <v>ORGANIZACIÓN INDUSTRIAL</v>
      </c>
      <c r="C327" s="58">
        <f>IFERROR(__xludf.DUMMYFUNCTION("""COMPUTED_VALUE"""),1.0)</f>
        <v>1</v>
      </c>
    </row>
    <row r="328">
      <c r="A328" s="58" t="str">
        <f>IFERROR(__xludf.DUMMYFUNCTION("""COMPUTED_VALUE"""),"201603756@est.umss.edu")</f>
        <v>201603756@est.umss.edu</v>
      </c>
      <c r="B328" s="58" t="str">
        <f>IFERROR(__xludf.DUMMYFUNCTION("""COMPUTED_VALUE"""),"PLANIFICACIÓN Y CONTROL DE LA PRODUCCIÓN")</f>
        <v>PLANIFICACIÓN Y CONTROL DE LA PRODUCCIÓN</v>
      </c>
      <c r="C328" s="58">
        <f>IFERROR(__xludf.DUMMYFUNCTION("""COMPUTED_VALUE"""),1.0)</f>
        <v>1</v>
      </c>
    </row>
    <row r="329">
      <c r="A329" s="58" t="str">
        <f>IFERROR(__xludf.DUMMYFUNCTION("""COMPUTED_VALUE"""),"201603756@est.umss.edu")</f>
        <v>201603756@est.umss.edu</v>
      </c>
      <c r="B329" s="58" t="str">
        <f>IFERROR(__xludf.DUMMYFUNCTION("""COMPUTED_VALUE"""),"PROCESOS INDUSTRIALES")</f>
        <v>PROCESOS INDUSTRIALES</v>
      </c>
      <c r="C329" s="58">
        <f>IFERROR(__xludf.DUMMYFUNCTION("""COMPUTED_VALUE"""),2.0)</f>
        <v>2</v>
      </c>
    </row>
    <row r="330">
      <c r="A330" s="58" t="str">
        <f>IFERROR(__xludf.DUMMYFUNCTION("""COMPUTED_VALUE"""),"201603756@est.umss.edu")</f>
        <v>201603756@est.umss.edu</v>
      </c>
      <c r="B330" s="58" t="str">
        <f>IFERROR(__xludf.DUMMYFUNCTION("""COMPUTED_VALUE"""),"SISTEMAS INTEGRADOS")</f>
        <v>SISTEMAS INTEGRADOS</v>
      </c>
      <c r="C330" s="58">
        <f>IFERROR(__xludf.DUMMYFUNCTION("""COMPUTED_VALUE"""),1.0)</f>
        <v>1</v>
      </c>
    </row>
    <row r="331">
      <c r="A331" s="58" t="str">
        <f>IFERROR(__xludf.DUMMYFUNCTION("""COMPUTED_VALUE"""),"201603765@est.umss.edu")</f>
        <v>201603765@est.umss.edu</v>
      </c>
      <c r="B331" s="58" t="str">
        <f>IFERROR(__xludf.DUMMYFUNCTION("""COMPUTED_VALUE"""),"FACTIBILIDAD")</f>
        <v>FACTIBILIDAD</v>
      </c>
      <c r="C331" s="58">
        <f>IFERROR(__xludf.DUMMYFUNCTION("""COMPUTED_VALUE"""),2.0)</f>
        <v>2</v>
      </c>
    </row>
    <row r="332">
      <c r="A332" s="58" t="str">
        <f>IFERROR(__xludf.DUMMYFUNCTION("""COMPUTED_VALUE"""),"201603780@est.umss.edu")</f>
        <v>201603780@est.umss.edu</v>
      </c>
      <c r="B332" s="58" t="str">
        <f>IFERROR(__xludf.DUMMYFUNCTION("""COMPUTED_VALUE"""),"FACTIBILIDAD")</f>
        <v>FACTIBILIDAD</v>
      </c>
      <c r="C332" s="58">
        <f>IFERROR(__xludf.DUMMYFUNCTION("""COMPUTED_VALUE"""),1.0)</f>
        <v>1</v>
      </c>
    </row>
    <row r="333">
      <c r="A333" s="58" t="str">
        <f>IFERROR(__xludf.DUMMYFUNCTION("""COMPUTED_VALUE"""),"201603782@est.umss.edu")</f>
        <v>201603782@est.umss.edu</v>
      </c>
      <c r="B333" s="58" t="str">
        <f>IFERROR(__xludf.DUMMYFUNCTION("""COMPUTED_VALUE"""),"FACTIBILIDAD")</f>
        <v>FACTIBILIDAD</v>
      </c>
      <c r="C333" s="58">
        <f>IFERROR(__xludf.DUMMYFUNCTION("""COMPUTED_VALUE"""),27.0)</f>
        <v>27</v>
      </c>
    </row>
    <row r="334">
      <c r="A334" s="58" t="str">
        <f>IFERROR(__xludf.DUMMYFUNCTION("""COMPUTED_VALUE"""),"201603790@est.umss.edu")</f>
        <v>201603790@est.umss.edu</v>
      </c>
      <c r="B334" s="58" t="str">
        <f>IFERROR(__xludf.DUMMYFUNCTION("""COMPUTED_VALUE"""),"ACADÉMICOS")</f>
        <v>ACADÉMICOS</v>
      </c>
      <c r="C334" s="58">
        <f>IFERROR(__xludf.DUMMYFUNCTION("""COMPUTED_VALUE"""),1.0)</f>
        <v>1</v>
      </c>
    </row>
    <row r="335">
      <c r="A335" s="58" t="str">
        <f>IFERROR(__xludf.DUMMYFUNCTION("""COMPUTED_VALUE"""),"201603790@est.umss.edu")</f>
        <v>201603790@est.umss.edu</v>
      </c>
      <c r="B335" s="58" t="str">
        <f>IFERROR(__xludf.DUMMYFUNCTION("""COMPUTED_VALUE"""),"CALIDAD")</f>
        <v>CALIDAD</v>
      </c>
      <c r="C335" s="58">
        <f>IFERROR(__xludf.DUMMYFUNCTION("""COMPUTED_VALUE"""),6.0)</f>
        <v>6</v>
      </c>
    </row>
    <row r="336">
      <c r="A336" s="58" t="str">
        <f>IFERROR(__xludf.DUMMYFUNCTION("""COMPUTED_VALUE"""),"201603790@est.umss.edu")</f>
        <v>201603790@est.umss.edu</v>
      </c>
      <c r="B336" s="58" t="str">
        <f>IFERROR(__xludf.DUMMYFUNCTION("""COMPUTED_VALUE"""),"ORGANIZACIÓN INDUSTRIAL")</f>
        <v>ORGANIZACIÓN INDUSTRIAL</v>
      </c>
      <c r="C336" s="58">
        <f>IFERROR(__xludf.DUMMYFUNCTION("""COMPUTED_VALUE"""),1.0)</f>
        <v>1</v>
      </c>
    </row>
    <row r="337">
      <c r="A337" s="58" t="str">
        <f>IFERROR(__xludf.DUMMYFUNCTION("""COMPUTED_VALUE"""),"201603790@est.umss.edu")</f>
        <v>201603790@est.umss.edu</v>
      </c>
      <c r="B337" s="58" t="str">
        <f>IFERROR(__xludf.DUMMYFUNCTION("""COMPUTED_VALUE"""),"SEGURIDAD INDUSTRIAL")</f>
        <v>SEGURIDAD INDUSTRIAL</v>
      </c>
      <c r="C337" s="58">
        <f>IFERROR(__xludf.DUMMYFUNCTION("""COMPUTED_VALUE"""),3.0)</f>
        <v>3</v>
      </c>
    </row>
    <row r="338">
      <c r="A338" s="58" t="str">
        <f>IFERROR(__xludf.DUMMYFUNCTION("""COMPUTED_VALUE"""),"201603794@est.umss.edu")</f>
        <v>201603794@est.umss.edu</v>
      </c>
      <c r="B338" s="58" t="str">
        <f>IFERROR(__xludf.DUMMYFUNCTION("""COMPUTED_VALUE"""),"FACTIBILIDAD")</f>
        <v>FACTIBILIDAD</v>
      </c>
      <c r="C338" s="58">
        <f>IFERROR(__xludf.DUMMYFUNCTION("""COMPUTED_VALUE"""),4.0)</f>
        <v>4</v>
      </c>
    </row>
    <row r="339">
      <c r="A339" s="58" t="str">
        <f>IFERROR(__xludf.DUMMYFUNCTION("""COMPUTED_VALUE"""),"201603794@est.umss.edu")</f>
        <v>201603794@est.umss.edu</v>
      </c>
      <c r="B339" s="58" t="str">
        <f>IFERROR(__xludf.DUMMYFUNCTION("""COMPUTED_VALUE"""),"OPTIMIZACIÓN")</f>
        <v>OPTIMIZACIÓN</v>
      </c>
      <c r="C339" s="58">
        <f>IFERROR(__xludf.DUMMYFUNCTION("""COMPUTED_VALUE"""),1.0)</f>
        <v>1</v>
      </c>
    </row>
    <row r="340">
      <c r="A340" s="58" t="str">
        <f>IFERROR(__xludf.DUMMYFUNCTION("""COMPUTED_VALUE"""),"201603807@est.umss.edu")</f>
        <v>201603807@est.umss.edu</v>
      </c>
      <c r="B340" s="58"/>
      <c r="C340" s="58">
        <f>IFERROR(__xludf.DUMMYFUNCTION("""COMPUTED_VALUE"""),0.0)</f>
        <v>0</v>
      </c>
    </row>
    <row r="341">
      <c r="A341" s="58" t="str">
        <f>IFERROR(__xludf.DUMMYFUNCTION("""COMPUTED_VALUE"""),"201603807@est.umss.edu")</f>
        <v>201603807@est.umss.edu</v>
      </c>
      <c r="B341" s="58" t="str">
        <f>IFERROR(__xludf.DUMMYFUNCTION("""COMPUTED_VALUE"""),"FACTIBILIDAD")</f>
        <v>FACTIBILIDAD</v>
      </c>
      <c r="C341" s="58">
        <f>IFERROR(__xludf.DUMMYFUNCTION("""COMPUTED_VALUE"""),9.0)</f>
        <v>9</v>
      </c>
    </row>
    <row r="342">
      <c r="A342" s="58" t="str">
        <f>IFERROR(__xludf.DUMMYFUNCTION("""COMPUTED_VALUE"""),"201603807@est.umss.edu")</f>
        <v>201603807@est.umss.edu</v>
      </c>
      <c r="B342" s="58" t="str">
        <f>IFERROR(__xludf.DUMMYFUNCTION("""COMPUTED_VALUE"""),"GESTIÓN ESTRATÉGICA")</f>
        <v>GESTIÓN ESTRATÉGICA</v>
      </c>
      <c r="C342" s="58">
        <f>IFERROR(__xludf.DUMMYFUNCTION("""COMPUTED_VALUE"""),1.0)</f>
        <v>1</v>
      </c>
    </row>
    <row r="343">
      <c r="A343" s="58" t="str">
        <f>IFERROR(__xludf.DUMMYFUNCTION("""COMPUTED_VALUE"""),"201603809@est.umss.edu")</f>
        <v>201603809@est.umss.edu</v>
      </c>
      <c r="B343" s="58" t="str">
        <f>IFERROR(__xludf.DUMMYFUNCTION("""COMPUTED_VALUE"""),"FACTIBILIDAD")</f>
        <v>FACTIBILIDAD</v>
      </c>
      <c r="C343" s="58">
        <f>IFERROR(__xludf.DUMMYFUNCTION("""COMPUTED_VALUE"""),8.0)</f>
        <v>8</v>
      </c>
    </row>
    <row r="344">
      <c r="A344" s="58" t="str">
        <f>IFERROR(__xludf.DUMMYFUNCTION("""COMPUTED_VALUE"""),"201603809@est.umss.edu")</f>
        <v>201603809@est.umss.edu</v>
      </c>
      <c r="B344" s="58" t="str">
        <f>IFERROR(__xludf.DUMMYFUNCTION("""COMPUTED_VALUE"""),"INGENIERÍA DE MÉTODOS")</f>
        <v>INGENIERÍA DE MÉTODOS</v>
      </c>
      <c r="C344" s="58">
        <f>IFERROR(__xludf.DUMMYFUNCTION("""COMPUTED_VALUE"""),1.0)</f>
        <v>1</v>
      </c>
    </row>
    <row r="345">
      <c r="A345" s="58" t="str">
        <f>IFERROR(__xludf.DUMMYFUNCTION("""COMPUTED_VALUE"""),"201603809@est.umss.edu")</f>
        <v>201603809@est.umss.edu</v>
      </c>
      <c r="B345" s="58" t="str">
        <f>IFERROR(__xludf.DUMMYFUNCTION("""COMPUTED_VALUE"""),"OPTIMIZACIÓN")</f>
        <v>OPTIMIZACIÓN</v>
      </c>
      <c r="C345" s="58">
        <f>IFERROR(__xludf.DUMMYFUNCTION("""COMPUTED_VALUE"""),1.0)</f>
        <v>1</v>
      </c>
    </row>
    <row r="346">
      <c r="A346" s="58" t="str">
        <f>IFERROR(__xludf.DUMMYFUNCTION("""COMPUTED_VALUE"""),"201604040@est.umss.edu")</f>
        <v>201604040@est.umss.edu</v>
      </c>
      <c r="B346" s="58" t="str">
        <f>IFERROR(__xludf.DUMMYFUNCTION("""COMPUTED_VALUE"""),"FACTIBILIDAD")</f>
        <v>FACTIBILIDAD</v>
      </c>
      <c r="C346" s="58">
        <f>IFERROR(__xludf.DUMMYFUNCTION("""COMPUTED_VALUE"""),1.0)</f>
        <v>1</v>
      </c>
    </row>
    <row r="347">
      <c r="A347" s="58" t="str">
        <f>IFERROR(__xludf.DUMMYFUNCTION("""COMPUTED_VALUE"""),"201606452@est.umss.edu")</f>
        <v>201606452@est.umss.edu</v>
      </c>
      <c r="B347" s="58" t="str">
        <f>IFERROR(__xludf.DUMMYFUNCTION("""COMPUTED_VALUE"""),"SEGURIDAD INDUSTRIAL")</f>
        <v>SEGURIDAD INDUSTRIAL</v>
      </c>
      <c r="C347" s="58">
        <f>IFERROR(__xludf.DUMMYFUNCTION("""COMPUTED_VALUE"""),4.0)</f>
        <v>4</v>
      </c>
    </row>
    <row r="348">
      <c r="A348" s="58" t="str">
        <f>IFERROR(__xludf.DUMMYFUNCTION("""COMPUTED_VALUE"""),"201607861@est.umss.edu")</f>
        <v>201607861@est.umss.edu</v>
      </c>
      <c r="B348" s="58" t="str">
        <f>IFERROR(__xludf.DUMMYFUNCTION("""COMPUTED_VALUE"""),"CALIDAD")</f>
        <v>CALIDAD</v>
      </c>
      <c r="C348" s="58">
        <f>IFERROR(__xludf.DUMMYFUNCTION("""COMPUTED_VALUE"""),2.0)</f>
        <v>2</v>
      </c>
    </row>
    <row r="349">
      <c r="A349" s="58" t="str">
        <f>IFERROR(__xludf.DUMMYFUNCTION("""COMPUTED_VALUE"""),"201607861@est.umss.edu")</f>
        <v>201607861@est.umss.edu</v>
      </c>
      <c r="B349" s="58" t="str">
        <f>IFERROR(__xludf.DUMMYFUNCTION("""COMPUTED_VALUE"""),"GESTIÓN ESTRATÉGICA")</f>
        <v>GESTIÓN ESTRATÉGICA</v>
      </c>
      <c r="C349" s="58">
        <f>IFERROR(__xludf.DUMMYFUNCTION("""COMPUTED_VALUE"""),4.0)</f>
        <v>4</v>
      </c>
    </row>
    <row r="350">
      <c r="A350" s="58" t="str">
        <f>IFERROR(__xludf.DUMMYFUNCTION("""COMPUTED_VALUE"""),"201607861@est.umss.edu")</f>
        <v>201607861@est.umss.edu</v>
      </c>
      <c r="B350" s="58" t="str">
        <f>IFERROR(__xludf.DUMMYFUNCTION("""COMPUTED_VALUE"""),"INGENIERÍA DE MÉTODOS")</f>
        <v>INGENIERÍA DE MÉTODOS</v>
      </c>
      <c r="C350" s="58">
        <f>IFERROR(__xludf.DUMMYFUNCTION("""COMPUTED_VALUE"""),2.0)</f>
        <v>2</v>
      </c>
    </row>
    <row r="351">
      <c r="A351" s="58" t="str">
        <f>IFERROR(__xludf.DUMMYFUNCTION("""COMPUTED_VALUE"""),"201607861@est.umss.edu")</f>
        <v>201607861@est.umss.edu</v>
      </c>
      <c r="B351" s="58" t="str">
        <f>IFERROR(__xludf.DUMMYFUNCTION("""COMPUTED_VALUE"""),"SEGURIDAD INDUSTRIAL")</f>
        <v>SEGURIDAD INDUSTRIAL</v>
      </c>
      <c r="C351" s="58">
        <f>IFERROR(__xludf.DUMMYFUNCTION("""COMPUTED_VALUE"""),14.0)</f>
        <v>14</v>
      </c>
    </row>
    <row r="352">
      <c r="A352" s="58" t="str">
        <f>IFERROR(__xludf.DUMMYFUNCTION("""COMPUTED_VALUE"""),"201607869@est.umss.edu")</f>
        <v>201607869@est.umss.edu</v>
      </c>
      <c r="B352" s="58" t="str">
        <f>IFERROR(__xludf.DUMMYFUNCTION("""COMPUTED_VALUE"""),"FACTIBILIDAD")</f>
        <v>FACTIBILIDAD</v>
      </c>
      <c r="C352" s="58">
        <f>IFERROR(__xludf.DUMMYFUNCTION("""COMPUTED_VALUE"""),4.0)</f>
        <v>4</v>
      </c>
    </row>
    <row r="353">
      <c r="A353" s="58" t="str">
        <f>IFERROR(__xludf.DUMMYFUNCTION("""COMPUTED_VALUE"""),"201607869@est.umss.edu")</f>
        <v>201607869@est.umss.edu</v>
      </c>
      <c r="B353" s="58" t="str">
        <f>IFERROR(__xludf.DUMMYFUNCTION("""COMPUTED_VALUE"""),"GESTIÓN ESTRATÉGICA")</f>
        <v>GESTIÓN ESTRATÉGICA</v>
      </c>
      <c r="C353" s="58">
        <f>IFERROR(__xludf.DUMMYFUNCTION("""COMPUTED_VALUE"""),2.0)</f>
        <v>2</v>
      </c>
    </row>
    <row r="354">
      <c r="A354" s="58" t="str">
        <f>IFERROR(__xludf.DUMMYFUNCTION("""COMPUTED_VALUE"""),"201607869@est.umss.edu")</f>
        <v>201607869@est.umss.edu</v>
      </c>
      <c r="B354" s="58" t="str">
        <f>IFERROR(__xludf.DUMMYFUNCTION("""COMPUTED_VALUE"""),"INGENIERÍA DE MÉTODOS")</f>
        <v>INGENIERÍA DE MÉTODOS</v>
      </c>
      <c r="C354" s="58">
        <f>IFERROR(__xludf.DUMMYFUNCTION("""COMPUTED_VALUE"""),1.0)</f>
        <v>1</v>
      </c>
    </row>
    <row r="355">
      <c r="A355" s="58" t="str">
        <f>IFERROR(__xludf.DUMMYFUNCTION("""COMPUTED_VALUE"""),"201607869@est.umss.edu")</f>
        <v>201607869@est.umss.edu</v>
      </c>
      <c r="B355" s="58" t="str">
        <f>IFERROR(__xludf.DUMMYFUNCTION("""COMPUTED_VALUE"""),"ORGANIZACIÓN INDUSTRIAL")</f>
        <v>ORGANIZACIÓN INDUSTRIAL</v>
      </c>
      <c r="C355" s="58">
        <f>IFERROR(__xludf.DUMMYFUNCTION("""COMPUTED_VALUE"""),1.0)</f>
        <v>1</v>
      </c>
    </row>
    <row r="356">
      <c r="A356" s="58" t="str">
        <f>IFERROR(__xludf.DUMMYFUNCTION("""COMPUTED_VALUE"""),"201607869@est.umss.edu")</f>
        <v>201607869@est.umss.edu</v>
      </c>
      <c r="B356" s="58" t="str">
        <f>IFERROR(__xludf.DUMMYFUNCTION("""COMPUTED_VALUE"""),"SEGURIDAD INDUSTRIAL")</f>
        <v>SEGURIDAD INDUSTRIAL</v>
      </c>
      <c r="C356" s="58">
        <f>IFERROR(__xludf.DUMMYFUNCTION("""COMPUTED_VALUE"""),8.0)</f>
        <v>8</v>
      </c>
    </row>
    <row r="357">
      <c r="A357" s="58" t="str">
        <f>IFERROR(__xludf.DUMMYFUNCTION("""COMPUTED_VALUE"""),"201607892@est.umss.edu")</f>
        <v>201607892@est.umss.edu</v>
      </c>
      <c r="B357" s="58" t="str">
        <f>IFERROR(__xludf.DUMMYFUNCTION("""COMPUTED_VALUE"""),"CALIDAD")</f>
        <v>CALIDAD</v>
      </c>
      <c r="C357" s="58">
        <f>IFERROR(__xludf.DUMMYFUNCTION("""COMPUTED_VALUE"""),2.0)</f>
        <v>2</v>
      </c>
    </row>
    <row r="358">
      <c r="A358" s="58" t="str">
        <f>IFERROR(__xludf.DUMMYFUNCTION("""COMPUTED_VALUE"""),"201607914@est.umss.edu")</f>
        <v>201607914@est.umss.edu</v>
      </c>
      <c r="B358" s="58" t="str">
        <f>IFERROR(__xludf.DUMMYFUNCTION("""COMPUTED_VALUE"""),"FACTIBILIDAD")</f>
        <v>FACTIBILIDAD</v>
      </c>
      <c r="C358" s="58">
        <f>IFERROR(__xludf.DUMMYFUNCTION("""COMPUTED_VALUE"""),1.0)</f>
        <v>1</v>
      </c>
    </row>
    <row r="359">
      <c r="A359" s="58" t="str">
        <f>IFERROR(__xludf.DUMMYFUNCTION("""COMPUTED_VALUE"""),"201607918@est.umss.edu")</f>
        <v>201607918@est.umss.edu</v>
      </c>
      <c r="B359" s="58"/>
      <c r="C359" s="58">
        <f>IFERROR(__xludf.DUMMYFUNCTION("""COMPUTED_VALUE"""),0.0)</f>
        <v>0</v>
      </c>
    </row>
    <row r="360">
      <c r="A360" s="58" t="str">
        <f>IFERROR(__xludf.DUMMYFUNCTION("""COMPUTED_VALUE"""),"201607918@est.umss.edu")</f>
        <v>201607918@est.umss.edu</v>
      </c>
      <c r="B360" s="58" t="str">
        <f>IFERROR(__xludf.DUMMYFUNCTION("""COMPUTED_VALUE"""),"DISEÑO")</f>
        <v>DISEÑO</v>
      </c>
      <c r="C360" s="58">
        <f>IFERROR(__xludf.DUMMYFUNCTION("""COMPUTED_VALUE"""),2.0)</f>
        <v>2</v>
      </c>
    </row>
    <row r="361">
      <c r="A361" s="58" t="str">
        <f>IFERROR(__xludf.DUMMYFUNCTION("""COMPUTED_VALUE"""),"201607918@est.umss.edu")</f>
        <v>201607918@est.umss.edu</v>
      </c>
      <c r="B361" s="58" t="str">
        <f>IFERROR(__xludf.DUMMYFUNCTION("""COMPUTED_VALUE"""),"EVALUACIÓN TÉCNICA")</f>
        <v>EVALUACIÓN TÉCNICA</v>
      </c>
      <c r="C361" s="58">
        <f>IFERROR(__xludf.DUMMYFUNCTION("""COMPUTED_VALUE"""),1.0)</f>
        <v>1</v>
      </c>
    </row>
    <row r="362">
      <c r="A362" s="58" t="str">
        <f>IFERROR(__xludf.DUMMYFUNCTION("""COMPUTED_VALUE"""),"201607918@est.umss.edu")</f>
        <v>201607918@est.umss.edu</v>
      </c>
      <c r="B362" s="58" t="str">
        <f>IFERROR(__xludf.DUMMYFUNCTION("""COMPUTED_VALUE"""),"FACTIBILIDAD")</f>
        <v>FACTIBILIDAD</v>
      </c>
      <c r="C362" s="58">
        <f>IFERROR(__xludf.DUMMYFUNCTION("""COMPUTED_VALUE"""),2.0)</f>
        <v>2</v>
      </c>
    </row>
    <row r="363">
      <c r="A363" s="58" t="str">
        <f>IFERROR(__xludf.DUMMYFUNCTION("""COMPUTED_VALUE"""),"201607918@est.umss.edu")</f>
        <v>201607918@est.umss.edu</v>
      </c>
      <c r="B363" s="58" t="str">
        <f>IFERROR(__xludf.DUMMYFUNCTION("""COMPUTED_VALUE"""),"GESTIÓN ESTRATÉGICA")</f>
        <v>GESTIÓN ESTRATÉGICA</v>
      </c>
      <c r="C363" s="58">
        <f>IFERROR(__xludf.DUMMYFUNCTION("""COMPUTED_VALUE"""),2.0)</f>
        <v>2</v>
      </c>
    </row>
    <row r="364">
      <c r="A364" s="58" t="str">
        <f>IFERROR(__xludf.DUMMYFUNCTION("""COMPUTED_VALUE"""),"201607918@est.umss.edu")</f>
        <v>201607918@est.umss.edu</v>
      </c>
      <c r="B364" s="58" t="str">
        <f>IFERROR(__xludf.DUMMYFUNCTION("""COMPUTED_VALUE"""),"OTROS")</f>
        <v>OTROS</v>
      </c>
      <c r="C364" s="58">
        <f>IFERROR(__xludf.DUMMYFUNCTION("""COMPUTED_VALUE"""),3.0)</f>
        <v>3</v>
      </c>
    </row>
    <row r="365">
      <c r="A365" s="58" t="str">
        <f>IFERROR(__xludf.DUMMYFUNCTION("""COMPUTED_VALUE"""),"201607918@est.umss.edu")</f>
        <v>201607918@est.umss.edu</v>
      </c>
      <c r="B365" s="58" t="str">
        <f>IFERROR(__xludf.DUMMYFUNCTION("""COMPUTED_VALUE"""),"PROCESOS INDUSTRIALES")</f>
        <v>PROCESOS INDUSTRIALES</v>
      </c>
      <c r="C365" s="58">
        <f>IFERROR(__xludf.DUMMYFUNCTION("""COMPUTED_VALUE"""),1.0)</f>
        <v>1</v>
      </c>
    </row>
    <row r="366">
      <c r="A366" s="58" t="str">
        <f>IFERROR(__xludf.DUMMYFUNCTION("""COMPUTED_VALUE"""),"201607918@est.umss.edu")</f>
        <v>201607918@est.umss.edu</v>
      </c>
      <c r="B366" s="58" t="str">
        <f>IFERROR(__xludf.DUMMYFUNCTION("""COMPUTED_VALUE"""),"SEGURIDAD INDUSTRIAL")</f>
        <v>SEGURIDAD INDUSTRIAL</v>
      </c>
      <c r="C366" s="58">
        <f>IFERROR(__xludf.DUMMYFUNCTION("""COMPUTED_VALUE"""),1.0)</f>
        <v>1</v>
      </c>
    </row>
    <row r="367">
      <c r="A367" s="58" t="str">
        <f>IFERROR(__xludf.DUMMYFUNCTION("""COMPUTED_VALUE"""),"201611055@est.umss.edu")</f>
        <v>201611055@est.umss.edu</v>
      </c>
      <c r="B367" s="58" t="str">
        <f>IFERROR(__xludf.DUMMYFUNCTION("""COMPUTED_VALUE"""),"FACTIBILIDAD")</f>
        <v>FACTIBILIDAD</v>
      </c>
      <c r="C367" s="58">
        <f>IFERROR(__xludf.DUMMYFUNCTION("""COMPUTED_VALUE"""),1.0)</f>
        <v>1</v>
      </c>
    </row>
    <row r="368">
      <c r="A368" s="58" t="str">
        <f>IFERROR(__xludf.DUMMYFUNCTION("""COMPUTED_VALUE"""),"201612058@est.umss.edu")</f>
        <v>201612058@est.umss.edu</v>
      </c>
      <c r="B368" s="58" t="str">
        <f>IFERROR(__xludf.DUMMYFUNCTION("""COMPUTED_VALUE"""),"FACTIBILIDAD")</f>
        <v>FACTIBILIDAD</v>
      </c>
      <c r="C368" s="58">
        <f>IFERROR(__xludf.DUMMYFUNCTION("""COMPUTED_VALUE"""),2.0)</f>
        <v>2</v>
      </c>
    </row>
    <row r="369">
      <c r="A369" s="58" t="str">
        <f>IFERROR(__xludf.DUMMYFUNCTION("""COMPUTED_VALUE"""),"201612063@est.umss.edu")</f>
        <v>201612063@est.umss.edu</v>
      </c>
      <c r="B369" s="58" t="str">
        <f>IFERROR(__xludf.DUMMYFUNCTION("""COMPUTED_VALUE"""),"FACTIBILIDAD")</f>
        <v>FACTIBILIDAD</v>
      </c>
      <c r="C369" s="58">
        <f>IFERROR(__xludf.DUMMYFUNCTION("""COMPUTED_VALUE"""),4.0)</f>
        <v>4</v>
      </c>
    </row>
    <row r="370">
      <c r="A370" s="58" t="str">
        <f>IFERROR(__xludf.DUMMYFUNCTION("""COMPUTED_VALUE"""),"201612104@est.umss.edu")</f>
        <v>201612104@est.umss.edu</v>
      </c>
      <c r="B370" s="58"/>
      <c r="C370" s="58">
        <f>IFERROR(__xludf.DUMMYFUNCTION("""COMPUTED_VALUE"""),0.0)</f>
        <v>0</v>
      </c>
    </row>
    <row r="371">
      <c r="A371" s="58" t="str">
        <f>IFERROR(__xludf.DUMMYFUNCTION("""COMPUTED_VALUE"""),"201612104@est.umss.edu")</f>
        <v>201612104@est.umss.edu</v>
      </c>
      <c r="B371" s="58" t="str">
        <f>IFERROR(__xludf.DUMMYFUNCTION("""COMPUTED_VALUE"""),"CALIDAD")</f>
        <v>CALIDAD</v>
      </c>
      <c r="C371" s="58">
        <f>IFERROR(__xludf.DUMMYFUNCTION("""COMPUTED_VALUE"""),2.0)</f>
        <v>2</v>
      </c>
    </row>
    <row r="372">
      <c r="A372" s="58" t="str">
        <f>IFERROR(__xludf.DUMMYFUNCTION("""COMPUTED_VALUE"""),"201612104@est.umss.edu")</f>
        <v>201612104@est.umss.edu</v>
      </c>
      <c r="B372" s="58" t="str">
        <f>IFERROR(__xludf.DUMMYFUNCTION("""COMPUTED_VALUE"""),"FACTIBILIDAD")</f>
        <v>FACTIBILIDAD</v>
      </c>
      <c r="C372" s="58">
        <f>IFERROR(__xludf.DUMMYFUNCTION("""COMPUTED_VALUE"""),30.0)</f>
        <v>30</v>
      </c>
    </row>
    <row r="373">
      <c r="A373" s="58" t="str">
        <f>IFERROR(__xludf.DUMMYFUNCTION("""COMPUTED_VALUE"""),"201612104@est.umss.edu")</f>
        <v>201612104@est.umss.edu</v>
      </c>
      <c r="B373" s="58" t="str">
        <f>IFERROR(__xludf.DUMMYFUNCTION("""COMPUTED_VALUE"""),"GESTIÓN ESTRATÉGICA")</f>
        <v>GESTIÓN ESTRATÉGICA</v>
      </c>
      <c r="C373" s="58">
        <f>IFERROR(__xludf.DUMMYFUNCTION("""COMPUTED_VALUE"""),2.0)</f>
        <v>2</v>
      </c>
    </row>
    <row r="374">
      <c r="A374" s="58" t="str">
        <f>IFERROR(__xludf.DUMMYFUNCTION("""COMPUTED_VALUE"""),"201612104@est.umss.edu")</f>
        <v>201612104@est.umss.edu</v>
      </c>
      <c r="B374" s="58" t="str">
        <f>IFERROR(__xludf.DUMMYFUNCTION("""COMPUTED_VALUE"""),"INGENIERÍA DE MÉTODOS")</f>
        <v>INGENIERÍA DE MÉTODOS</v>
      </c>
      <c r="C374" s="58">
        <f>IFERROR(__xludf.DUMMYFUNCTION("""COMPUTED_VALUE"""),1.0)</f>
        <v>1</v>
      </c>
    </row>
    <row r="375">
      <c r="A375" s="58" t="str">
        <f>IFERROR(__xludf.DUMMYFUNCTION("""COMPUTED_VALUE"""),"201612104@est.umss.edu")</f>
        <v>201612104@est.umss.edu</v>
      </c>
      <c r="B375" s="58" t="str">
        <f>IFERROR(__xludf.DUMMYFUNCTION("""COMPUTED_VALUE"""),"MARKETING/MERCADOTECNIA")</f>
        <v>MARKETING/MERCADOTECNIA</v>
      </c>
      <c r="C375" s="58">
        <f>IFERROR(__xludf.DUMMYFUNCTION("""COMPUTED_VALUE"""),1.0)</f>
        <v>1</v>
      </c>
    </row>
    <row r="376">
      <c r="A376" s="58" t="str">
        <f>IFERROR(__xludf.DUMMYFUNCTION("""COMPUTED_VALUE"""),"201612104@est.umss.edu")</f>
        <v>201612104@est.umss.edu</v>
      </c>
      <c r="B376" s="58" t="str">
        <f>IFERROR(__xludf.DUMMYFUNCTION("""COMPUTED_VALUE"""),"OPTIMIZACIÓN")</f>
        <v>OPTIMIZACIÓN</v>
      </c>
      <c r="C376" s="58">
        <f>IFERROR(__xludf.DUMMYFUNCTION("""COMPUTED_VALUE"""),1.0)</f>
        <v>1</v>
      </c>
    </row>
    <row r="377">
      <c r="A377" s="58" t="str">
        <f>IFERROR(__xludf.DUMMYFUNCTION("""COMPUTED_VALUE"""),"201612104@est.umss.edu")</f>
        <v>201612104@est.umss.edu</v>
      </c>
      <c r="B377" s="58" t="str">
        <f>IFERROR(__xludf.DUMMYFUNCTION("""COMPUTED_VALUE"""),"PLAN DE NEGOCIOS")</f>
        <v>PLAN DE NEGOCIOS</v>
      </c>
      <c r="C377" s="58">
        <f>IFERROR(__xludf.DUMMYFUNCTION("""COMPUTED_VALUE"""),1.0)</f>
        <v>1</v>
      </c>
    </row>
    <row r="378">
      <c r="A378" s="58" t="str">
        <f>IFERROR(__xludf.DUMMYFUNCTION("""COMPUTED_VALUE"""),"201612104@est.umss.edu")</f>
        <v>201612104@est.umss.edu</v>
      </c>
      <c r="B378" s="58" t="str">
        <f>IFERROR(__xludf.DUMMYFUNCTION("""COMPUTED_VALUE"""),"PLANIFICACIÓN Y CONTROL DE LA PRODUCCIÓN")</f>
        <v>PLANIFICACIÓN Y CONTROL DE LA PRODUCCIÓN</v>
      </c>
      <c r="C378" s="58">
        <f>IFERROR(__xludf.DUMMYFUNCTION("""COMPUTED_VALUE"""),1.0)</f>
        <v>1</v>
      </c>
    </row>
    <row r="379">
      <c r="A379" s="58" t="str">
        <f>IFERROR(__xludf.DUMMYFUNCTION("""COMPUTED_VALUE"""),"201612104@est.umss.edu")</f>
        <v>201612104@est.umss.edu</v>
      </c>
      <c r="B379" s="58" t="str">
        <f>IFERROR(__xludf.DUMMYFUNCTION("""COMPUTED_VALUE"""),"SEGURIDAD INDUSTRIAL")</f>
        <v>SEGURIDAD INDUSTRIAL</v>
      </c>
      <c r="C379" s="58">
        <f>IFERROR(__xludf.DUMMYFUNCTION("""COMPUTED_VALUE"""),1.0)</f>
        <v>1</v>
      </c>
    </row>
    <row r="380">
      <c r="A380" s="58" t="str">
        <f>IFERROR(__xludf.DUMMYFUNCTION("""COMPUTED_VALUE"""),"201612105@est.umss.edu")</f>
        <v>201612105@est.umss.edu</v>
      </c>
      <c r="B380" s="58" t="str">
        <f>IFERROR(__xludf.DUMMYFUNCTION("""COMPUTED_VALUE"""),"FACTIBILIDAD")</f>
        <v>FACTIBILIDAD</v>
      </c>
      <c r="C380" s="58">
        <f>IFERROR(__xludf.DUMMYFUNCTION("""COMPUTED_VALUE"""),2.0)</f>
        <v>2</v>
      </c>
    </row>
    <row r="381">
      <c r="A381" s="58" t="str">
        <f>IFERROR(__xludf.DUMMYFUNCTION("""COMPUTED_VALUE"""),"201700686@est.umss.edu")</f>
        <v>201700686@est.umss.edu</v>
      </c>
      <c r="B381" s="58" t="str">
        <f>IFERROR(__xludf.DUMMYFUNCTION("""COMPUTED_VALUE"""),"FACTIBILIDAD")</f>
        <v>FACTIBILIDAD</v>
      </c>
      <c r="C381" s="58">
        <f>IFERROR(__xludf.DUMMYFUNCTION("""COMPUTED_VALUE"""),3.0)</f>
        <v>3</v>
      </c>
    </row>
    <row r="382">
      <c r="A382" s="58" t="str">
        <f>IFERROR(__xludf.DUMMYFUNCTION("""COMPUTED_VALUE"""),"201700697@est.umss.edu")</f>
        <v>201700697@est.umss.edu</v>
      </c>
      <c r="B382" s="58" t="str">
        <f>IFERROR(__xludf.DUMMYFUNCTION("""COMPUTED_VALUE"""),"ACADÉMICOS")</f>
        <v>ACADÉMICOS</v>
      </c>
      <c r="C382" s="58">
        <f>IFERROR(__xludf.DUMMYFUNCTION("""COMPUTED_VALUE"""),2.0)</f>
        <v>2</v>
      </c>
    </row>
    <row r="383">
      <c r="A383" s="58" t="str">
        <f>IFERROR(__xludf.DUMMYFUNCTION("""COMPUTED_VALUE"""),"201700697@est.umss.edu")</f>
        <v>201700697@est.umss.edu</v>
      </c>
      <c r="B383" s="58" t="str">
        <f>IFERROR(__xludf.DUMMYFUNCTION("""COMPUTED_VALUE"""),"DISEÑO")</f>
        <v>DISEÑO</v>
      </c>
      <c r="C383" s="58">
        <f>IFERROR(__xludf.DUMMYFUNCTION("""COMPUTED_VALUE"""),1.0)</f>
        <v>1</v>
      </c>
    </row>
    <row r="384">
      <c r="A384" s="58" t="str">
        <f>IFERROR(__xludf.DUMMYFUNCTION("""COMPUTED_VALUE"""),"201700697@est.umss.edu")</f>
        <v>201700697@est.umss.edu</v>
      </c>
      <c r="B384" s="58" t="str">
        <f>IFERROR(__xludf.DUMMYFUNCTION("""COMPUTED_VALUE"""),"FACTIBILIDAD")</f>
        <v>FACTIBILIDAD</v>
      </c>
      <c r="C384" s="58">
        <f>IFERROR(__xludf.DUMMYFUNCTION("""COMPUTED_VALUE"""),4.0)</f>
        <v>4</v>
      </c>
    </row>
    <row r="385">
      <c r="A385" s="58" t="str">
        <f>IFERROR(__xludf.DUMMYFUNCTION("""COMPUTED_VALUE"""),"201700697@est.umss.edu")</f>
        <v>201700697@est.umss.edu</v>
      </c>
      <c r="B385" s="58" t="str">
        <f>IFERROR(__xludf.DUMMYFUNCTION("""COMPUTED_VALUE"""),"GESTIÓN ESTRATÉGICA")</f>
        <v>GESTIÓN ESTRATÉGICA</v>
      </c>
      <c r="C385" s="58">
        <f>IFERROR(__xludf.DUMMYFUNCTION("""COMPUTED_VALUE"""),12.0)</f>
        <v>12</v>
      </c>
    </row>
    <row r="386">
      <c r="A386" s="58" t="str">
        <f>IFERROR(__xludf.DUMMYFUNCTION("""COMPUTED_VALUE"""),"201700697@est.umss.edu")</f>
        <v>201700697@est.umss.edu</v>
      </c>
      <c r="B386" s="58" t="str">
        <f>IFERROR(__xludf.DUMMYFUNCTION("""COMPUTED_VALUE"""),"INGENIERÍA DE MÉTODOS")</f>
        <v>INGENIERÍA DE MÉTODOS</v>
      </c>
      <c r="C386" s="58">
        <f>IFERROR(__xludf.DUMMYFUNCTION("""COMPUTED_VALUE"""),1.0)</f>
        <v>1</v>
      </c>
    </row>
    <row r="387">
      <c r="A387" s="58" t="str">
        <f>IFERROR(__xludf.DUMMYFUNCTION("""COMPUTED_VALUE"""),"201700697@est.umss.edu")</f>
        <v>201700697@est.umss.edu</v>
      </c>
      <c r="B387" s="58" t="str">
        <f>IFERROR(__xludf.DUMMYFUNCTION("""COMPUTED_VALUE"""),"PLAN DE NEGOCIOS")</f>
        <v>PLAN DE NEGOCIOS</v>
      </c>
      <c r="C387" s="58">
        <f>IFERROR(__xludf.DUMMYFUNCTION("""COMPUTED_VALUE"""),4.0)</f>
        <v>4</v>
      </c>
    </row>
    <row r="388">
      <c r="A388" s="58" t="str">
        <f>IFERROR(__xludf.DUMMYFUNCTION("""COMPUTED_VALUE"""),"201700698@est.umss.edu")</f>
        <v>201700698@est.umss.edu</v>
      </c>
      <c r="B388" s="58" t="str">
        <f>IFERROR(__xludf.DUMMYFUNCTION("""COMPUTED_VALUE"""),"DISEÑO")</f>
        <v>DISEÑO</v>
      </c>
      <c r="C388" s="58">
        <f>IFERROR(__xludf.DUMMYFUNCTION("""COMPUTED_VALUE"""),1.0)</f>
        <v>1</v>
      </c>
    </row>
    <row r="389">
      <c r="A389" s="58" t="str">
        <f>IFERROR(__xludf.DUMMYFUNCTION("""COMPUTED_VALUE"""),"201700698@est.umss.edu")</f>
        <v>201700698@est.umss.edu</v>
      </c>
      <c r="B389" s="58" t="str">
        <f>IFERROR(__xludf.DUMMYFUNCTION("""COMPUTED_VALUE"""),"EVALUACIÓN TÉCNICA")</f>
        <v>EVALUACIÓN TÉCNICA</v>
      </c>
      <c r="C389" s="58">
        <f>IFERROR(__xludf.DUMMYFUNCTION("""COMPUTED_VALUE"""),1.0)</f>
        <v>1</v>
      </c>
    </row>
    <row r="390">
      <c r="A390" s="58" t="str">
        <f>IFERROR(__xludf.DUMMYFUNCTION("""COMPUTED_VALUE"""),"201700698@est.umss.edu")</f>
        <v>201700698@est.umss.edu</v>
      </c>
      <c r="B390" s="58" t="str">
        <f>IFERROR(__xludf.DUMMYFUNCTION("""COMPUTED_VALUE"""),"FACTIBILIDAD")</f>
        <v>FACTIBILIDAD</v>
      </c>
      <c r="C390" s="58">
        <f>IFERROR(__xludf.DUMMYFUNCTION("""COMPUTED_VALUE"""),1.0)</f>
        <v>1</v>
      </c>
    </row>
    <row r="391">
      <c r="A391" s="58" t="str">
        <f>IFERROR(__xludf.DUMMYFUNCTION("""COMPUTED_VALUE"""),"201700705@est.umss.edu")</f>
        <v>201700705@est.umss.edu</v>
      </c>
      <c r="B391" s="58"/>
      <c r="C391" s="58">
        <f>IFERROR(__xludf.DUMMYFUNCTION("""COMPUTED_VALUE"""),0.0)</f>
        <v>0</v>
      </c>
    </row>
    <row r="392">
      <c r="A392" s="58" t="str">
        <f>IFERROR(__xludf.DUMMYFUNCTION("""COMPUTED_VALUE"""),"201700705@est.umss.edu")</f>
        <v>201700705@est.umss.edu</v>
      </c>
      <c r="B392" s="58" t="str">
        <f>IFERROR(__xludf.DUMMYFUNCTION("""COMPUTED_VALUE"""),"CALIDAD")</f>
        <v>CALIDAD</v>
      </c>
      <c r="C392" s="58">
        <f>IFERROR(__xludf.DUMMYFUNCTION("""COMPUTED_VALUE"""),3.0)</f>
        <v>3</v>
      </c>
    </row>
    <row r="393">
      <c r="A393" s="58" t="str">
        <f>IFERROR(__xludf.DUMMYFUNCTION("""COMPUTED_VALUE"""),"201700705@est.umss.edu")</f>
        <v>201700705@est.umss.edu</v>
      </c>
      <c r="B393" s="58" t="str">
        <f>IFERROR(__xludf.DUMMYFUNCTION("""COMPUTED_VALUE"""),"FACTIBILIDAD")</f>
        <v>FACTIBILIDAD</v>
      </c>
      <c r="C393" s="58">
        <f>IFERROR(__xludf.DUMMYFUNCTION("""COMPUTED_VALUE"""),16.0)</f>
        <v>16</v>
      </c>
    </row>
    <row r="394">
      <c r="A394" s="58" t="str">
        <f>IFERROR(__xludf.DUMMYFUNCTION("""COMPUTED_VALUE"""),"201700705@est.umss.edu")</f>
        <v>201700705@est.umss.edu</v>
      </c>
      <c r="B394" s="58" t="str">
        <f>IFERROR(__xludf.DUMMYFUNCTION("""COMPUTED_VALUE"""),"GESTIÓN ESTRATÉGICA")</f>
        <v>GESTIÓN ESTRATÉGICA</v>
      </c>
      <c r="C394" s="58">
        <f>IFERROR(__xludf.DUMMYFUNCTION("""COMPUTED_VALUE"""),4.0)</f>
        <v>4</v>
      </c>
    </row>
    <row r="395">
      <c r="A395" s="58" t="str">
        <f>IFERROR(__xludf.DUMMYFUNCTION("""COMPUTED_VALUE"""),"201700705@est.umss.edu")</f>
        <v>201700705@est.umss.edu</v>
      </c>
      <c r="B395" s="58" t="str">
        <f>IFERROR(__xludf.DUMMYFUNCTION("""COMPUTED_VALUE"""),"INGENIERÍA DE MÉTODOS")</f>
        <v>INGENIERÍA DE MÉTODOS</v>
      </c>
      <c r="C395" s="58">
        <f>IFERROR(__xludf.DUMMYFUNCTION("""COMPUTED_VALUE"""),3.0)</f>
        <v>3</v>
      </c>
    </row>
    <row r="396">
      <c r="A396" s="58" t="str">
        <f>IFERROR(__xludf.DUMMYFUNCTION("""COMPUTED_VALUE"""),"201700705@est.umss.edu")</f>
        <v>201700705@est.umss.edu</v>
      </c>
      <c r="B396" s="58" t="str">
        <f>IFERROR(__xludf.DUMMYFUNCTION("""COMPUTED_VALUE"""),"MARKETING/MERCADOTECNIA")</f>
        <v>MARKETING/MERCADOTECNIA</v>
      </c>
      <c r="C396" s="58">
        <f>IFERROR(__xludf.DUMMYFUNCTION("""COMPUTED_VALUE"""),4.0)</f>
        <v>4</v>
      </c>
    </row>
    <row r="397">
      <c r="A397" s="58" t="str">
        <f>IFERROR(__xludf.DUMMYFUNCTION("""COMPUTED_VALUE"""),"201700705@est.umss.edu")</f>
        <v>201700705@est.umss.edu</v>
      </c>
      <c r="B397" s="58" t="str">
        <f>IFERROR(__xludf.DUMMYFUNCTION("""COMPUTED_VALUE"""),"OPTIMIZACIÓN")</f>
        <v>OPTIMIZACIÓN</v>
      </c>
      <c r="C397" s="58">
        <f>IFERROR(__xludf.DUMMYFUNCTION("""COMPUTED_VALUE"""),4.0)</f>
        <v>4</v>
      </c>
    </row>
    <row r="398">
      <c r="A398" s="58" t="str">
        <f>IFERROR(__xludf.DUMMYFUNCTION("""COMPUTED_VALUE"""),"201700705@est.umss.edu")</f>
        <v>201700705@est.umss.edu</v>
      </c>
      <c r="B398" s="58" t="str">
        <f>IFERROR(__xludf.DUMMYFUNCTION("""COMPUTED_VALUE"""),"ORGANIZACIÓN INDUSTRIAL")</f>
        <v>ORGANIZACIÓN INDUSTRIAL</v>
      </c>
      <c r="C398" s="58">
        <f>IFERROR(__xludf.DUMMYFUNCTION("""COMPUTED_VALUE"""),1.0)</f>
        <v>1</v>
      </c>
    </row>
    <row r="399">
      <c r="A399" s="58" t="str">
        <f>IFERROR(__xludf.DUMMYFUNCTION("""COMPUTED_VALUE"""),"201700705@est.umss.edu")</f>
        <v>201700705@est.umss.edu</v>
      </c>
      <c r="B399" s="58" t="str">
        <f>IFERROR(__xludf.DUMMYFUNCTION("""COMPUTED_VALUE"""),"PLANIFICACIÓN Y CONTROL DE LA PRODUCCIÓN")</f>
        <v>PLANIFICACIÓN Y CONTROL DE LA PRODUCCIÓN</v>
      </c>
      <c r="C399" s="58">
        <f>IFERROR(__xludf.DUMMYFUNCTION("""COMPUTED_VALUE"""),10.0)</f>
        <v>10</v>
      </c>
    </row>
    <row r="400">
      <c r="A400" s="58" t="str">
        <f>IFERROR(__xludf.DUMMYFUNCTION("""COMPUTED_VALUE"""),"201700709@est.umss.edu")</f>
        <v>201700709@est.umss.edu</v>
      </c>
      <c r="B400" s="58" t="str">
        <f>IFERROR(__xludf.DUMMYFUNCTION("""COMPUTED_VALUE"""),"SEGURIDAD INDUSTRIAL")</f>
        <v>SEGURIDAD INDUSTRIAL</v>
      </c>
      <c r="C400" s="58">
        <f>IFERROR(__xludf.DUMMYFUNCTION("""COMPUTED_VALUE"""),2.0)</f>
        <v>2</v>
      </c>
    </row>
    <row r="401">
      <c r="A401" s="58" t="str">
        <f>IFERROR(__xludf.DUMMYFUNCTION("""COMPUTED_VALUE"""),"201700717@est.umss.edu")</f>
        <v>201700717@est.umss.edu</v>
      </c>
      <c r="B401" s="58" t="str">
        <f>IFERROR(__xludf.DUMMYFUNCTION("""COMPUTED_VALUE"""),"FACTIBILIDAD")</f>
        <v>FACTIBILIDAD</v>
      </c>
      <c r="C401" s="58">
        <f>IFERROR(__xludf.DUMMYFUNCTION("""COMPUTED_VALUE"""),2.0)</f>
        <v>2</v>
      </c>
    </row>
    <row r="402">
      <c r="A402" s="58" t="str">
        <f>IFERROR(__xludf.DUMMYFUNCTION("""COMPUTED_VALUE"""),"201701839@est.umss.edu")</f>
        <v>201701839@est.umss.edu</v>
      </c>
      <c r="B402" s="58" t="str">
        <f>IFERROR(__xludf.DUMMYFUNCTION("""COMPUTED_VALUE"""),"DISEÑO")</f>
        <v>DISEÑO</v>
      </c>
      <c r="C402" s="58">
        <f>IFERROR(__xludf.DUMMYFUNCTION("""COMPUTED_VALUE"""),1.0)</f>
        <v>1</v>
      </c>
    </row>
    <row r="403">
      <c r="A403" s="58" t="str">
        <f>IFERROR(__xludf.DUMMYFUNCTION("""COMPUTED_VALUE"""),"201701839@est.umss.edu")</f>
        <v>201701839@est.umss.edu</v>
      </c>
      <c r="B403" s="58" t="str">
        <f>IFERROR(__xludf.DUMMYFUNCTION("""COMPUTED_VALUE"""),"FACTIBILIDAD")</f>
        <v>FACTIBILIDAD</v>
      </c>
      <c r="C403" s="58">
        <f>IFERROR(__xludf.DUMMYFUNCTION("""COMPUTED_VALUE"""),2.0)</f>
        <v>2</v>
      </c>
    </row>
    <row r="404">
      <c r="A404" s="58" t="str">
        <f>IFERROR(__xludf.DUMMYFUNCTION("""COMPUTED_VALUE"""),"201701839@est.umss.edu")</f>
        <v>201701839@est.umss.edu</v>
      </c>
      <c r="B404" s="58" t="str">
        <f>IFERROR(__xludf.DUMMYFUNCTION("""COMPUTED_VALUE"""),"GESTIÓN ESTRATÉGICA")</f>
        <v>GESTIÓN ESTRATÉGICA</v>
      </c>
      <c r="C404" s="58">
        <f>IFERROR(__xludf.DUMMYFUNCTION("""COMPUTED_VALUE"""),5.0)</f>
        <v>5</v>
      </c>
    </row>
    <row r="405">
      <c r="A405" s="58" t="str">
        <f>IFERROR(__xludf.DUMMYFUNCTION("""COMPUTED_VALUE"""),"201701839@est.umss.edu")</f>
        <v>201701839@est.umss.edu</v>
      </c>
      <c r="B405" s="58" t="str">
        <f>IFERROR(__xludf.DUMMYFUNCTION("""COMPUTED_VALUE"""),"PLAN DE NEGOCIOS")</f>
        <v>PLAN DE NEGOCIOS</v>
      </c>
      <c r="C405" s="58">
        <f>IFERROR(__xludf.DUMMYFUNCTION("""COMPUTED_VALUE"""),3.0)</f>
        <v>3</v>
      </c>
    </row>
    <row r="406">
      <c r="A406" s="58" t="str">
        <f>IFERROR(__xludf.DUMMYFUNCTION("""COMPUTED_VALUE"""),"201701840@est.umss.edu")</f>
        <v>201701840@est.umss.edu</v>
      </c>
      <c r="B406" s="58"/>
      <c r="C406" s="58">
        <f>IFERROR(__xludf.DUMMYFUNCTION("""COMPUTED_VALUE"""),0.0)</f>
        <v>0</v>
      </c>
    </row>
    <row r="407">
      <c r="A407" s="58" t="str">
        <f>IFERROR(__xludf.DUMMYFUNCTION("""COMPUTED_VALUE"""),"201701840@est.umss.edu")</f>
        <v>201701840@est.umss.edu</v>
      </c>
      <c r="B407" s="58" t="str">
        <f>IFERROR(__xludf.DUMMYFUNCTION("""COMPUTED_VALUE"""),"CALIDAD")</f>
        <v>CALIDAD</v>
      </c>
      <c r="C407" s="58">
        <f>IFERROR(__xludf.DUMMYFUNCTION("""COMPUTED_VALUE"""),1.0)</f>
        <v>1</v>
      </c>
    </row>
    <row r="408">
      <c r="A408" s="58" t="str">
        <f>IFERROR(__xludf.DUMMYFUNCTION("""COMPUTED_VALUE"""),"201701840@est.umss.edu")</f>
        <v>201701840@est.umss.edu</v>
      </c>
      <c r="B408" s="58" t="str">
        <f>IFERROR(__xludf.DUMMYFUNCTION("""COMPUTED_VALUE"""),"FACTIBILIDAD")</f>
        <v>FACTIBILIDAD</v>
      </c>
      <c r="C408" s="58">
        <f>IFERROR(__xludf.DUMMYFUNCTION("""COMPUTED_VALUE"""),27.0)</f>
        <v>27</v>
      </c>
    </row>
    <row r="409">
      <c r="A409" s="58" t="str">
        <f>IFERROR(__xludf.DUMMYFUNCTION("""COMPUTED_VALUE"""),"201701840@est.umss.edu")</f>
        <v>201701840@est.umss.edu</v>
      </c>
      <c r="B409" s="58" t="str">
        <f>IFERROR(__xludf.DUMMYFUNCTION("""COMPUTED_VALUE"""),"GESTIÓN ESTRATÉGICA")</f>
        <v>GESTIÓN ESTRATÉGICA</v>
      </c>
      <c r="C409" s="58">
        <f>IFERROR(__xludf.DUMMYFUNCTION("""COMPUTED_VALUE"""),1.0)</f>
        <v>1</v>
      </c>
    </row>
    <row r="410">
      <c r="A410" s="58" t="str">
        <f>IFERROR(__xludf.DUMMYFUNCTION("""COMPUTED_VALUE"""),"201701840@est.umss.edu")</f>
        <v>201701840@est.umss.edu</v>
      </c>
      <c r="B410" s="58" t="str">
        <f>IFERROR(__xludf.DUMMYFUNCTION("""COMPUTED_VALUE"""),"INGENIERÍA DE MÉTODOS")</f>
        <v>INGENIERÍA DE MÉTODOS</v>
      </c>
      <c r="C410" s="58">
        <f>IFERROR(__xludf.DUMMYFUNCTION("""COMPUTED_VALUE"""),5.0)</f>
        <v>5</v>
      </c>
    </row>
    <row r="411">
      <c r="A411" s="58" t="str">
        <f>IFERROR(__xludf.DUMMYFUNCTION("""COMPUTED_VALUE"""),"201701840@est.umss.edu")</f>
        <v>201701840@est.umss.edu</v>
      </c>
      <c r="B411" s="58" t="str">
        <f>IFERROR(__xludf.DUMMYFUNCTION("""COMPUTED_VALUE"""),"OPTIMIZACIÓN")</f>
        <v>OPTIMIZACIÓN</v>
      </c>
      <c r="C411" s="58">
        <f>IFERROR(__xludf.DUMMYFUNCTION("""COMPUTED_VALUE"""),7.0)</f>
        <v>7</v>
      </c>
    </row>
    <row r="412">
      <c r="A412" s="58" t="str">
        <f>IFERROR(__xludf.DUMMYFUNCTION("""COMPUTED_VALUE"""),"201701840@est.umss.edu")</f>
        <v>201701840@est.umss.edu</v>
      </c>
      <c r="B412" s="58" t="str">
        <f>IFERROR(__xludf.DUMMYFUNCTION("""COMPUTED_VALUE"""),"PLAN DE NEGOCIOS")</f>
        <v>PLAN DE NEGOCIOS</v>
      </c>
      <c r="C412" s="58">
        <f>IFERROR(__xludf.DUMMYFUNCTION("""COMPUTED_VALUE"""),1.0)</f>
        <v>1</v>
      </c>
    </row>
    <row r="413">
      <c r="A413" s="58" t="str">
        <f>IFERROR(__xludf.DUMMYFUNCTION("""COMPUTED_VALUE"""),"201701840@est.umss.edu")</f>
        <v>201701840@est.umss.edu</v>
      </c>
      <c r="B413" s="58" t="str">
        <f>IFERROR(__xludf.DUMMYFUNCTION("""COMPUTED_VALUE"""),"PROCESOS INDUSTRIALES")</f>
        <v>PROCESOS INDUSTRIALES</v>
      </c>
      <c r="C413" s="58">
        <f>IFERROR(__xludf.DUMMYFUNCTION("""COMPUTED_VALUE"""),10.0)</f>
        <v>10</v>
      </c>
    </row>
    <row r="414">
      <c r="A414" s="58" t="str">
        <f>IFERROR(__xludf.DUMMYFUNCTION("""COMPUTED_VALUE"""),"201701840@est.umss.edu")</f>
        <v>201701840@est.umss.edu</v>
      </c>
      <c r="B414" s="58" t="str">
        <f>IFERROR(__xludf.DUMMYFUNCTION("""COMPUTED_VALUE"""),"SEGURIDAD INDUSTRIAL")</f>
        <v>SEGURIDAD INDUSTRIAL</v>
      </c>
      <c r="C414" s="58">
        <f>IFERROR(__xludf.DUMMYFUNCTION("""COMPUTED_VALUE"""),2.0)</f>
        <v>2</v>
      </c>
    </row>
    <row r="415">
      <c r="A415" s="58" t="str">
        <f>IFERROR(__xludf.DUMMYFUNCTION("""COMPUTED_VALUE"""),"201701843@gmail.com")</f>
        <v>201701843@gmail.com</v>
      </c>
      <c r="B415" s="58" t="str">
        <f>IFERROR(__xludf.DUMMYFUNCTION("""COMPUTED_VALUE"""),"FACTIBILIDAD")</f>
        <v>FACTIBILIDAD</v>
      </c>
      <c r="C415" s="58">
        <f>IFERROR(__xludf.DUMMYFUNCTION("""COMPUTED_VALUE"""),2.0)</f>
        <v>2</v>
      </c>
    </row>
    <row r="416">
      <c r="A416" s="58" t="str">
        <f>IFERROR(__xludf.DUMMYFUNCTION("""COMPUTED_VALUE"""),"201701843@gmail.com")</f>
        <v>201701843@gmail.com</v>
      </c>
      <c r="B416" s="58" t="str">
        <f>IFERROR(__xludf.DUMMYFUNCTION("""COMPUTED_VALUE"""),"PLANIFICACIÓN Y CONTROL DE LA PRODUCCIÓN")</f>
        <v>PLANIFICACIÓN Y CONTROL DE LA PRODUCCIÓN</v>
      </c>
      <c r="C416" s="58">
        <f>IFERROR(__xludf.DUMMYFUNCTION("""COMPUTED_VALUE"""),2.0)</f>
        <v>2</v>
      </c>
    </row>
    <row r="417">
      <c r="A417" s="58" t="str">
        <f>IFERROR(__xludf.DUMMYFUNCTION("""COMPUTED_VALUE"""),"201701863@est.umss.edu")</f>
        <v>201701863@est.umss.edu</v>
      </c>
      <c r="B417" s="58" t="str">
        <f>IFERROR(__xludf.DUMMYFUNCTION("""COMPUTED_VALUE"""),"CALIDAD")</f>
        <v>CALIDAD</v>
      </c>
      <c r="C417" s="58">
        <f>IFERROR(__xludf.DUMMYFUNCTION("""COMPUTED_VALUE"""),6.0)</f>
        <v>6</v>
      </c>
    </row>
    <row r="418">
      <c r="A418" s="58" t="str">
        <f>IFERROR(__xludf.DUMMYFUNCTION("""COMPUTED_VALUE"""),"201701863@est.umss.edu")</f>
        <v>201701863@est.umss.edu</v>
      </c>
      <c r="B418" s="58" t="str">
        <f>IFERROR(__xludf.DUMMYFUNCTION("""COMPUTED_VALUE"""),"FACTIBILIDAD")</f>
        <v>FACTIBILIDAD</v>
      </c>
      <c r="C418" s="58">
        <f>IFERROR(__xludf.DUMMYFUNCTION("""COMPUTED_VALUE"""),2.0)</f>
        <v>2</v>
      </c>
    </row>
    <row r="419">
      <c r="A419" s="58" t="str">
        <f>IFERROR(__xludf.DUMMYFUNCTION("""COMPUTED_VALUE"""),"201701863@est.umss.edu")</f>
        <v>201701863@est.umss.edu</v>
      </c>
      <c r="B419" s="58" t="str">
        <f>IFERROR(__xludf.DUMMYFUNCTION("""COMPUTED_VALUE"""),"PLANIFICACIÓN Y CONTROL DE LA PRODUCCIÓN")</f>
        <v>PLANIFICACIÓN Y CONTROL DE LA PRODUCCIÓN</v>
      </c>
      <c r="C419" s="58">
        <f>IFERROR(__xludf.DUMMYFUNCTION("""COMPUTED_VALUE"""),2.0)</f>
        <v>2</v>
      </c>
    </row>
    <row r="420">
      <c r="A420" s="58" t="str">
        <f>IFERROR(__xludf.DUMMYFUNCTION("""COMPUTED_VALUE"""),"201701863@est.umss.edu")</f>
        <v>201701863@est.umss.edu</v>
      </c>
      <c r="B420" s="58" t="str">
        <f>IFERROR(__xludf.DUMMYFUNCTION("""COMPUTED_VALUE"""),"SEGURIDAD INDUSTRIAL")</f>
        <v>SEGURIDAD INDUSTRIAL</v>
      </c>
      <c r="C420" s="58">
        <f>IFERROR(__xludf.DUMMYFUNCTION("""COMPUTED_VALUE"""),3.0)</f>
        <v>3</v>
      </c>
    </row>
    <row r="421">
      <c r="A421" s="58" t="str">
        <f>IFERROR(__xludf.DUMMYFUNCTION("""COMPUTED_VALUE"""),"201701864@est.umss.edu")</f>
        <v>201701864@est.umss.edu</v>
      </c>
      <c r="B421" s="58" t="str">
        <f>IFERROR(__xludf.DUMMYFUNCTION("""COMPUTED_VALUE"""),"FACTIBILIDAD")</f>
        <v>FACTIBILIDAD</v>
      </c>
      <c r="C421" s="58">
        <f>IFERROR(__xludf.DUMMYFUNCTION("""COMPUTED_VALUE"""),3.0)</f>
        <v>3</v>
      </c>
    </row>
    <row r="422">
      <c r="A422" s="58" t="str">
        <f>IFERROR(__xludf.DUMMYFUNCTION("""COMPUTED_VALUE"""),"201701866@est.umss.edu")</f>
        <v>201701866@est.umss.edu</v>
      </c>
      <c r="B422" s="58" t="str">
        <f>IFERROR(__xludf.DUMMYFUNCTION("""COMPUTED_VALUE"""),"SEGURIDAD INDUSTRIAL")</f>
        <v>SEGURIDAD INDUSTRIAL</v>
      </c>
      <c r="C422" s="58">
        <f>IFERROR(__xludf.DUMMYFUNCTION("""COMPUTED_VALUE"""),8.0)</f>
        <v>8</v>
      </c>
    </row>
    <row r="423">
      <c r="A423" s="58" t="str">
        <f>IFERROR(__xludf.DUMMYFUNCTION("""COMPUTED_VALUE"""),"201701867@est.umss.edu")</f>
        <v>201701867@est.umss.edu</v>
      </c>
      <c r="B423" s="58" t="str">
        <f>IFERROR(__xludf.DUMMYFUNCTION("""COMPUTED_VALUE"""),"CALIDAD")</f>
        <v>CALIDAD</v>
      </c>
      <c r="C423" s="58">
        <f>IFERROR(__xludf.DUMMYFUNCTION("""COMPUTED_VALUE"""),1.0)</f>
        <v>1</v>
      </c>
    </row>
    <row r="424">
      <c r="A424" s="58" t="str">
        <f>IFERROR(__xludf.DUMMYFUNCTION("""COMPUTED_VALUE"""),"201701867@est.umss.edu")</f>
        <v>201701867@est.umss.edu</v>
      </c>
      <c r="B424" s="58" t="str">
        <f>IFERROR(__xludf.DUMMYFUNCTION("""COMPUTED_VALUE"""),"DISEÑO")</f>
        <v>DISEÑO</v>
      </c>
      <c r="C424" s="58">
        <f>IFERROR(__xludf.DUMMYFUNCTION("""COMPUTED_VALUE"""),4.0)</f>
        <v>4</v>
      </c>
    </row>
    <row r="425">
      <c r="A425" s="58" t="str">
        <f>IFERROR(__xludf.DUMMYFUNCTION("""COMPUTED_VALUE"""),"201701867@est.umss.edu")</f>
        <v>201701867@est.umss.edu</v>
      </c>
      <c r="B425" s="58" t="str">
        <f>IFERROR(__xludf.DUMMYFUNCTION("""COMPUTED_VALUE"""),"EVALUACIÓN TÉCNICA")</f>
        <v>EVALUACIÓN TÉCNICA</v>
      </c>
      <c r="C425" s="58">
        <f>IFERROR(__xludf.DUMMYFUNCTION("""COMPUTED_VALUE"""),1.0)</f>
        <v>1</v>
      </c>
    </row>
    <row r="426">
      <c r="A426" s="58" t="str">
        <f>IFERROR(__xludf.DUMMYFUNCTION("""COMPUTED_VALUE"""),"201701867@est.umss.edu")</f>
        <v>201701867@est.umss.edu</v>
      </c>
      <c r="B426" s="58" t="str">
        <f>IFERROR(__xludf.DUMMYFUNCTION("""COMPUTED_VALUE"""),"FACTIBILIDAD")</f>
        <v>FACTIBILIDAD</v>
      </c>
      <c r="C426" s="58">
        <f>IFERROR(__xludf.DUMMYFUNCTION("""COMPUTED_VALUE"""),15.0)</f>
        <v>15</v>
      </c>
    </row>
    <row r="427">
      <c r="A427" s="58" t="str">
        <f>IFERROR(__xludf.DUMMYFUNCTION("""COMPUTED_VALUE"""),"201701867@est.umss.edu")</f>
        <v>201701867@est.umss.edu</v>
      </c>
      <c r="B427" s="58" t="str">
        <f>IFERROR(__xludf.DUMMYFUNCTION("""COMPUTED_VALUE"""),"OPTIMIZACIÓN")</f>
        <v>OPTIMIZACIÓN</v>
      </c>
      <c r="C427" s="58">
        <f>IFERROR(__xludf.DUMMYFUNCTION("""COMPUTED_VALUE"""),4.0)</f>
        <v>4</v>
      </c>
    </row>
    <row r="428">
      <c r="A428" s="58" t="str">
        <f>IFERROR(__xludf.DUMMYFUNCTION("""COMPUTED_VALUE"""),"201701867@est.umss.edu")</f>
        <v>201701867@est.umss.edu</v>
      </c>
      <c r="B428" s="58" t="str">
        <f>IFERROR(__xludf.DUMMYFUNCTION("""COMPUTED_VALUE"""),"SEGURIDAD INDUSTRIAL")</f>
        <v>SEGURIDAD INDUSTRIAL</v>
      </c>
      <c r="C428" s="58">
        <f>IFERROR(__xludf.DUMMYFUNCTION("""COMPUTED_VALUE"""),1.0)</f>
        <v>1</v>
      </c>
    </row>
    <row r="429">
      <c r="A429" s="58" t="str">
        <f>IFERROR(__xludf.DUMMYFUNCTION("""COMPUTED_VALUE"""),"201701868@est.umss.edu")</f>
        <v>201701868@est.umss.edu</v>
      </c>
      <c r="B429" s="58" t="str">
        <f>IFERROR(__xludf.DUMMYFUNCTION("""COMPUTED_VALUE"""),"SEGURIDAD INDUSTRIAL")</f>
        <v>SEGURIDAD INDUSTRIAL</v>
      </c>
      <c r="C429" s="58">
        <f>IFERROR(__xludf.DUMMYFUNCTION("""COMPUTED_VALUE"""),2.0)</f>
        <v>2</v>
      </c>
    </row>
    <row r="430">
      <c r="A430" s="58" t="str">
        <f>IFERROR(__xludf.DUMMYFUNCTION("""COMPUTED_VALUE"""),"201701876@est.umss.edu")</f>
        <v>201701876@est.umss.edu</v>
      </c>
      <c r="B430" s="58" t="str">
        <f>IFERROR(__xludf.DUMMYFUNCTION("""COMPUTED_VALUE"""),"CALIDAD")</f>
        <v>CALIDAD</v>
      </c>
      <c r="C430" s="58">
        <f>IFERROR(__xludf.DUMMYFUNCTION("""COMPUTED_VALUE"""),5.0)</f>
        <v>5</v>
      </c>
    </row>
    <row r="431">
      <c r="A431" s="58" t="str">
        <f>IFERROR(__xludf.DUMMYFUNCTION("""COMPUTED_VALUE"""),"201701876@est.umss.edu")</f>
        <v>201701876@est.umss.edu</v>
      </c>
      <c r="B431" s="58" t="str">
        <f>IFERROR(__xludf.DUMMYFUNCTION("""COMPUTED_VALUE"""),"SEGURIDAD INDUSTRIAL")</f>
        <v>SEGURIDAD INDUSTRIAL</v>
      </c>
      <c r="C431" s="58">
        <f>IFERROR(__xludf.DUMMYFUNCTION("""COMPUTED_VALUE"""),5.0)</f>
        <v>5</v>
      </c>
    </row>
    <row r="432">
      <c r="A432" s="58" t="str">
        <f>IFERROR(__xludf.DUMMYFUNCTION("""COMPUTED_VALUE"""),"201701882@est.umss.edu")</f>
        <v>201701882@est.umss.edu</v>
      </c>
      <c r="B432" s="58" t="str">
        <f>IFERROR(__xludf.DUMMYFUNCTION("""COMPUTED_VALUE"""),"FACTIBILIDAD")</f>
        <v>FACTIBILIDAD</v>
      </c>
      <c r="C432" s="58">
        <f>IFERROR(__xludf.DUMMYFUNCTION("""COMPUTED_VALUE"""),1.0)</f>
        <v>1</v>
      </c>
    </row>
    <row r="433">
      <c r="A433" s="58" t="str">
        <f>IFERROR(__xludf.DUMMYFUNCTION("""COMPUTED_VALUE"""),"201701884@est.umss.edu")</f>
        <v>201701884@est.umss.edu</v>
      </c>
      <c r="B433" s="58" t="str">
        <f>IFERROR(__xludf.DUMMYFUNCTION("""COMPUTED_VALUE"""),"CALIDAD")</f>
        <v>CALIDAD</v>
      </c>
      <c r="C433" s="58">
        <f>IFERROR(__xludf.DUMMYFUNCTION("""COMPUTED_VALUE"""),2.0)</f>
        <v>2</v>
      </c>
    </row>
    <row r="434">
      <c r="A434" s="58" t="str">
        <f>IFERROR(__xludf.DUMMYFUNCTION("""COMPUTED_VALUE"""),"201701884@est.umss.edu")</f>
        <v>201701884@est.umss.edu</v>
      </c>
      <c r="B434" s="58" t="str">
        <f>IFERROR(__xludf.DUMMYFUNCTION("""COMPUTED_VALUE"""),"DISEÑO")</f>
        <v>DISEÑO</v>
      </c>
      <c r="C434" s="58">
        <f>IFERROR(__xludf.DUMMYFUNCTION("""COMPUTED_VALUE"""),1.0)</f>
        <v>1</v>
      </c>
    </row>
    <row r="435">
      <c r="A435" s="58" t="str">
        <f>IFERROR(__xludf.DUMMYFUNCTION("""COMPUTED_VALUE"""),"201701884@est.umss.edu")</f>
        <v>201701884@est.umss.edu</v>
      </c>
      <c r="B435" s="58" t="str">
        <f>IFERROR(__xludf.DUMMYFUNCTION("""COMPUTED_VALUE"""),"FACTIBILIDAD")</f>
        <v>FACTIBILIDAD</v>
      </c>
      <c r="C435" s="58">
        <f>IFERROR(__xludf.DUMMYFUNCTION("""COMPUTED_VALUE"""),2.0)</f>
        <v>2</v>
      </c>
    </row>
    <row r="436">
      <c r="A436" s="58" t="str">
        <f>IFERROR(__xludf.DUMMYFUNCTION("""COMPUTED_VALUE"""),"201701884@est.umss.edu")</f>
        <v>201701884@est.umss.edu</v>
      </c>
      <c r="B436" s="58" t="str">
        <f>IFERROR(__xludf.DUMMYFUNCTION("""COMPUTED_VALUE"""),"INGENIERÍA DE MÉTODOS")</f>
        <v>INGENIERÍA DE MÉTODOS</v>
      </c>
      <c r="C436" s="58">
        <f>IFERROR(__xludf.DUMMYFUNCTION("""COMPUTED_VALUE"""),1.0)</f>
        <v>1</v>
      </c>
    </row>
    <row r="437">
      <c r="A437" s="58" t="str">
        <f>IFERROR(__xludf.DUMMYFUNCTION("""COMPUTED_VALUE"""),"201701884@est.umss.edu")</f>
        <v>201701884@est.umss.edu</v>
      </c>
      <c r="B437" s="58" t="str">
        <f>IFERROR(__xludf.DUMMYFUNCTION("""COMPUTED_VALUE"""),"MARKETING/MERCADOTECNIA")</f>
        <v>MARKETING/MERCADOTECNIA</v>
      </c>
      <c r="C437" s="58">
        <f>IFERROR(__xludf.DUMMYFUNCTION("""COMPUTED_VALUE"""),4.0)</f>
        <v>4</v>
      </c>
    </row>
    <row r="438">
      <c r="A438" s="58" t="str">
        <f>IFERROR(__xludf.DUMMYFUNCTION("""COMPUTED_VALUE"""),"201701884@est.umss.edu")</f>
        <v>201701884@est.umss.edu</v>
      </c>
      <c r="B438" s="58" t="str">
        <f>IFERROR(__xludf.DUMMYFUNCTION("""COMPUTED_VALUE"""),"PLAN DE NEGOCIOS")</f>
        <v>PLAN DE NEGOCIOS</v>
      </c>
      <c r="C438" s="58">
        <f>IFERROR(__xludf.DUMMYFUNCTION("""COMPUTED_VALUE"""),1.0)</f>
        <v>1</v>
      </c>
    </row>
    <row r="439">
      <c r="A439" s="58" t="str">
        <f>IFERROR(__xludf.DUMMYFUNCTION("""COMPUTED_VALUE"""),"201701884@est.umss.edu")</f>
        <v>201701884@est.umss.edu</v>
      </c>
      <c r="B439" s="58" t="str">
        <f>IFERROR(__xludf.DUMMYFUNCTION("""COMPUTED_VALUE"""),"PLANIFICACIÓN Y CONTROL DE LA PRODUCCIÓN")</f>
        <v>PLANIFICACIÓN Y CONTROL DE LA PRODUCCIÓN</v>
      </c>
      <c r="C439" s="58">
        <f>IFERROR(__xludf.DUMMYFUNCTION("""COMPUTED_VALUE"""),2.0)</f>
        <v>2</v>
      </c>
    </row>
    <row r="440">
      <c r="A440" s="58" t="str">
        <f>IFERROR(__xludf.DUMMYFUNCTION("""COMPUTED_VALUE"""),"201701887@est.umss.edu")</f>
        <v>201701887@est.umss.edu</v>
      </c>
      <c r="B440" s="58"/>
      <c r="C440" s="58">
        <f>IFERROR(__xludf.DUMMYFUNCTION("""COMPUTED_VALUE"""),0.0)</f>
        <v>0</v>
      </c>
    </row>
    <row r="441">
      <c r="A441" s="58" t="str">
        <f>IFERROR(__xludf.DUMMYFUNCTION("""COMPUTED_VALUE"""),"201701887@est.umss.edu")</f>
        <v>201701887@est.umss.edu</v>
      </c>
      <c r="B441" s="58" t="str">
        <f>IFERROR(__xludf.DUMMYFUNCTION("""COMPUTED_VALUE"""),"EVALUACIÓN TÉCNICA")</f>
        <v>EVALUACIÓN TÉCNICA</v>
      </c>
      <c r="C441" s="58">
        <f>IFERROR(__xludf.DUMMYFUNCTION("""COMPUTED_VALUE"""),4.0)</f>
        <v>4</v>
      </c>
    </row>
    <row r="442">
      <c r="A442" s="58" t="str">
        <f>IFERROR(__xludf.DUMMYFUNCTION("""COMPUTED_VALUE"""),"201701887@est.umss.edu")</f>
        <v>201701887@est.umss.edu</v>
      </c>
      <c r="B442" s="58" t="str">
        <f>IFERROR(__xludf.DUMMYFUNCTION("""COMPUTED_VALUE"""),"FACTIBILIDAD")</f>
        <v>FACTIBILIDAD</v>
      </c>
      <c r="C442" s="58">
        <f>IFERROR(__xludf.DUMMYFUNCTION("""COMPUTED_VALUE"""),13.0)</f>
        <v>13</v>
      </c>
    </row>
    <row r="443">
      <c r="A443" s="58" t="str">
        <f>IFERROR(__xludf.DUMMYFUNCTION("""COMPUTED_VALUE"""),"201701887@est.umss.edu")</f>
        <v>201701887@est.umss.edu</v>
      </c>
      <c r="B443" s="58" t="str">
        <f>IFERROR(__xludf.DUMMYFUNCTION("""COMPUTED_VALUE"""),"GESTIÓN ESTRATÉGICA")</f>
        <v>GESTIÓN ESTRATÉGICA</v>
      </c>
      <c r="C443" s="58">
        <f>IFERROR(__xludf.DUMMYFUNCTION("""COMPUTED_VALUE"""),17.0)</f>
        <v>17</v>
      </c>
    </row>
    <row r="444">
      <c r="A444" s="58" t="str">
        <f>IFERROR(__xludf.DUMMYFUNCTION("""COMPUTED_VALUE"""),"201701887@est.umss.edu")</f>
        <v>201701887@est.umss.edu</v>
      </c>
      <c r="B444" s="58" t="str">
        <f>IFERROR(__xludf.DUMMYFUNCTION("""COMPUTED_VALUE"""),"MARKETING/MERCADOTECNIA")</f>
        <v>MARKETING/MERCADOTECNIA</v>
      </c>
      <c r="C444" s="58">
        <f>IFERROR(__xludf.DUMMYFUNCTION("""COMPUTED_VALUE"""),3.0)</f>
        <v>3</v>
      </c>
    </row>
    <row r="445">
      <c r="A445" s="58" t="str">
        <f>IFERROR(__xludf.DUMMYFUNCTION("""COMPUTED_VALUE"""),"201701887@est.umss.edu")</f>
        <v>201701887@est.umss.edu</v>
      </c>
      <c r="B445" s="58" t="str">
        <f>IFERROR(__xludf.DUMMYFUNCTION("""COMPUTED_VALUE"""),"OPTIMIZACIÓN")</f>
        <v>OPTIMIZACIÓN</v>
      </c>
      <c r="C445" s="58">
        <f>IFERROR(__xludf.DUMMYFUNCTION("""COMPUTED_VALUE"""),3.0)</f>
        <v>3</v>
      </c>
    </row>
    <row r="446">
      <c r="A446" s="58" t="str">
        <f>IFERROR(__xludf.DUMMYFUNCTION("""COMPUTED_VALUE"""),"201701887@est.umss.edu")</f>
        <v>201701887@est.umss.edu</v>
      </c>
      <c r="B446" s="58" t="str">
        <f>IFERROR(__xludf.DUMMYFUNCTION("""COMPUTED_VALUE"""),"OTROS")</f>
        <v>OTROS</v>
      </c>
      <c r="C446" s="58">
        <f>IFERROR(__xludf.DUMMYFUNCTION("""COMPUTED_VALUE"""),1.0)</f>
        <v>1</v>
      </c>
    </row>
    <row r="447">
      <c r="A447" s="58" t="str">
        <f>IFERROR(__xludf.DUMMYFUNCTION("""COMPUTED_VALUE"""),"201701887@est.umss.edu")</f>
        <v>201701887@est.umss.edu</v>
      </c>
      <c r="B447" s="58" t="str">
        <f>IFERROR(__xludf.DUMMYFUNCTION("""COMPUTED_VALUE"""),"PLANIFICACIÓN Y CONTROL DE LA PRODUCCIÓN")</f>
        <v>PLANIFICACIÓN Y CONTROL DE LA PRODUCCIÓN</v>
      </c>
      <c r="C447" s="58">
        <f>IFERROR(__xludf.DUMMYFUNCTION("""COMPUTED_VALUE"""),4.0)</f>
        <v>4</v>
      </c>
    </row>
    <row r="448">
      <c r="A448" s="58" t="str">
        <f>IFERROR(__xludf.DUMMYFUNCTION("""COMPUTED_VALUE"""),"201701887@est.umss.edu")</f>
        <v>201701887@est.umss.edu</v>
      </c>
      <c r="B448" s="58" t="str">
        <f>IFERROR(__xludf.DUMMYFUNCTION("""COMPUTED_VALUE"""),"SEGURIDAD INDUSTRIAL")</f>
        <v>SEGURIDAD INDUSTRIAL</v>
      </c>
      <c r="C448" s="58">
        <f>IFERROR(__xludf.DUMMYFUNCTION("""COMPUTED_VALUE"""),1.0)</f>
        <v>1</v>
      </c>
    </row>
    <row r="449">
      <c r="A449" s="58" t="str">
        <f>IFERROR(__xludf.DUMMYFUNCTION("""COMPUTED_VALUE"""),"201701887@est.umss.edu")</f>
        <v>201701887@est.umss.edu</v>
      </c>
      <c r="B449" s="58" t="str">
        <f>IFERROR(__xludf.DUMMYFUNCTION("""COMPUTED_VALUE"""),"SISTEMAS DE INFORMACIÓN")</f>
        <v>SISTEMAS DE INFORMACIÓN</v>
      </c>
      <c r="C449" s="58">
        <f>IFERROR(__xludf.DUMMYFUNCTION("""COMPUTED_VALUE"""),1.0)</f>
        <v>1</v>
      </c>
    </row>
    <row r="450">
      <c r="A450" s="58" t="str">
        <f>IFERROR(__xludf.DUMMYFUNCTION("""COMPUTED_VALUE"""),"201701889@est.umss.edu")</f>
        <v>201701889@est.umss.edu</v>
      </c>
      <c r="B450" s="58" t="str">
        <f>IFERROR(__xludf.DUMMYFUNCTION("""COMPUTED_VALUE"""),"FACTIBILIDAD")</f>
        <v>FACTIBILIDAD</v>
      </c>
      <c r="C450" s="58">
        <f>IFERROR(__xludf.DUMMYFUNCTION("""COMPUTED_VALUE"""),1.0)</f>
        <v>1</v>
      </c>
    </row>
    <row r="451">
      <c r="A451" s="58" t="str">
        <f>IFERROR(__xludf.DUMMYFUNCTION("""COMPUTED_VALUE"""),"201701889@est.umss.edu")</f>
        <v>201701889@est.umss.edu</v>
      </c>
      <c r="B451" s="58" t="str">
        <f>IFERROR(__xludf.DUMMYFUNCTION("""COMPUTED_VALUE"""),"GESTIÓN ESTRATÉGICA")</f>
        <v>GESTIÓN ESTRATÉGICA</v>
      </c>
      <c r="C451" s="58">
        <f>IFERROR(__xludf.DUMMYFUNCTION("""COMPUTED_VALUE"""),1.0)</f>
        <v>1</v>
      </c>
    </row>
    <row r="452">
      <c r="A452" s="58" t="str">
        <f>IFERROR(__xludf.DUMMYFUNCTION("""COMPUTED_VALUE"""),"201701889@est.umss.edu")</f>
        <v>201701889@est.umss.edu</v>
      </c>
      <c r="B452" s="58" t="str">
        <f>IFERROR(__xludf.DUMMYFUNCTION("""COMPUTED_VALUE"""),"INGENIERÍA DE MÉTODOS")</f>
        <v>INGENIERÍA DE MÉTODOS</v>
      </c>
      <c r="C452" s="58">
        <f>IFERROR(__xludf.DUMMYFUNCTION("""COMPUTED_VALUE"""),8.0)</f>
        <v>8</v>
      </c>
    </row>
    <row r="453">
      <c r="A453" s="58" t="str">
        <f>IFERROR(__xludf.DUMMYFUNCTION("""COMPUTED_VALUE"""),"201703767@est.umss.edu")</f>
        <v>201703767@est.umss.edu</v>
      </c>
      <c r="B453" s="58" t="str">
        <f>IFERROR(__xludf.DUMMYFUNCTION("""COMPUTED_VALUE"""),"DISEÑO")</f>
        <v>DISEÑO</v>
      </c>
      <c r="C453" s="58">
        <f>IFERROR(__xludf.DUMMYFUNCTION("""COMPUTED_VALUE"""),1.0)</f>
        <v>1</v>
      </c>
    </row>
    <row r="454">
      <c r="A454" s="58" t="str">
        <f>IFERROR(__xludf.DUMMYFUNCTION("""COMPUTED_VALUE"""),"201703767@est.umss.edu")</f>
        <v>201703767@est.umss.edu</v>
      </c>
      <c r="B454" s="58" t="str">
        <f>IFERROR(__xludf.DUMMYFUNCTION("""COMPUTED_VALUE"""),"GESTIÓN ESTRATÉGICA")</f>
        <v>GESTIÓN ESTRATÉGICA</v>
      </c>
      <c r="C454" s="58">
        <f>IFERROR(__xludf.DUMMYFUNCTION("""COMPUTED_VALUE"""),15.0)</f>
        <v>15</v>
      </c>
    </row>
    <row r="455">
      <c r="A455" s="58" t="str">
        <f>IFERROR(__xludf.DUMMYFUNCTION("""COMPUTED_VALUE"""),"201703767@est.umss.edu")</f>
        <v>201703767@est.umss.edu</v>
      </c>
      <c r="B455" s="58" t="str">
        <f>IFERROR(__xludf.DUMMYFUNCTION("""COMPUTED_VALUE"""),"INGENIERÍA DE MÉTODOS")</f>
        <v>INGENIERÍA DE MÉTODOS</v>
      </c>
      <c r="C455" s="58">
        <f>IFERROR(__xludf.DUMMYFUNCTION("""COMPUTED_VALUE"""),1.0)</f>
        <v>1</v>
      </c>
    </row>
    <row r="456">
      <c r="A456" s="58" t="str">
        <f>IFERROR(__xludf.DUMMYFUNCTION("""COMPUTED_VALUE"""),"201703767@est.umss.edu")</f>
        <v>201703767@est.umss.edu</v>
      </c>
      <c r="B456" s="58" t="str">
        <f>IFERROR(__xludf.DUMMYFUNCTION("""COMPUTED_VALUE"""),"SEGURIDAD INDUSTRIAL")</f>
        <v>SEGURIDAD INDUSTRIAL</v>
      </c>
      <c r="C456" s="58">
        <f>IFERROR(__xludf.DUMMYFUNCTION("""COMPUTED_VALUE"""),9.0)</f>
        <v>9</v>
      </c>
    </row>
    <row r="457">
      <c r="A457" s="58" t="str">
        <f>IFERROR(__xludf.DUMMYFUNCTION("""COMPUTED_VALUE"""),"201704768@est.umss.edu")</f>
        <v>201704768@est.umss.edu</v>
      </c>
      <c r="B457" s="58" t="str">
        <f>IFERROR(__xludf.DUMMYFUNCTION("""COMPUTED_VALUE"""),"FACTIBILIDAD")</f>
        <v>FACTIBILIDAD</v>
      </c>
      <c r="C457" s="58">
        <f>IFERROR(__xludf.DUMMYFUNCTION("""COMPUTED_VALUE"""),6.0)</f>
        <v>6</v>
      </c>
    </row>
    <row r="458">
      <c r="A458" s="58" t="str">
        <f>IFERROR(__xludf.DUMMYFUNCTION("""COMPUTED_VALUE"""),"201704768@est.umss.edu")</f>
        <v>201704768@est.umss.edu</v>
      </c>
      <c r="B458" s="58" t="str">
        <f>IFERROR(__xludf.DUMMYFUNCTION("""COMPUTED_VALUE"""),"INGENIERÍA DE MÉTODOS")</f>
        <v>INGENIERÍA DE MÉTODOS</v>
      </c>
      <c r="C458" s="58">
        <f>IFERROR(__xludf.DUMMYFUNCTION("""COMPUTED_VALUE"""),1.0)</f>
        <v>1</v>
      </c>
    </row>
    <row r="459">
      <c r="A459" s="58" t="str">
        <f>IFERROR(__xludf.DUMMYFUNCTION("""COMPUTED_VALUE"""),"201704768@est.umss.edu")</f>
        <v>201704768@est.umss.edu</v>
      </c>
      <c r="B459" s="58" t="str">
        <f>IFERROR(__xludf.DUMMYFUNCTION("""COMPUTED_VALUE"""),"OPTIMIZACIÓN")</f>
        <v>OPTIMIZACIÓN</v>
      </c>
      <c r="C459" s="58">
        <f>IFERROR(__xludf.DUMMYFUNCTION("""COMPUTED_VALUE"""),1.0)</f>
        <v>1</v>
      </c>
    </row>
    <row r="460">
      <c r="A460" s="58" t="str">
        <f>IFERROR(__xludf.DUMMYFUNCTION("""COMPUTED_VALUE"""),"201704768@est.umss.edu")</f>
        <v>201704768@est.umss.edu</v>
      </c>
      <c r="B460" s="58" t="str">
        <f>IFERROR(__xludf.DUMMYFUNCTION("""COMPUTED_VALUE"""),"PLANIFICACIÓN Y CONTROL DE LA PRODUCCIÓN")</f>
        <v>PLANIFICACIÓN Y CONTROL DE LA PRODUCCIÓN</v>
      </c>
      <c r="C460" s="58">
        <f>IFERROR(__xludf.DUMMYFUNCTION("""COMPUTED_VALUE"""),3.0)</f>
        <v>3</v>
      </c>
    </row>
    <row r="461">
      <c r="A461" s="58" t="str">
        <f>IFERROR(__xludf.DUMMYFUNCTION("""COMPUTED_VALUE"""),"201704768@est.umss.edu")</f>
        <v>201704768@est.umss.edu</v>
      </c>
      <c r="B461" s="58" t="str">
        <f>IFERROR(__xludf.DUMMYFUNCTION("""COMPUTED_VALUE"""),"PROCESOS INDUSTRIALES")</f>
        <v>PROCESOS INDUSTRIALES</v>
      </c>
      <c r="C461" s="58">
        <f>IFERROR(__xludf.DUMMYFUNCTION("""COMPUTED_VALUE"""),1.0)</f>
        <v>1</v>
      </c>
    </row>
    <row r="462">
      <c r="A462" s="58" t="str">
        <f>IFERROR(__xludf.DUMMYFUNCTION("""COMPUTED_VALUE"""),"201704768@est.umss.edu ")</f>
        <v>201704768@est.umss.edu </v>
      </c>
      <c r="B462" s="58" t="str">
        <f>IFERROR(__xludf.DUMMYFUNCTION("""COMPUTED_VALUE"""),"FACTIBILIDAD")</f>
        <v>FACTIBILIDAD</v>
      </c>
      <c r="C462" s="58">
        <f>IFERROR(__xludf.DUMMYFUNCTION("""COMPUTED_VALUE"""),1.0)</f>
        <v>1</v>
      </c>
    </row>
    <row r="463">
      <c r="A463" s="58" t="str">
        <f>IFERROR(__xludf.DUMMYFUNCTION("""COMPUTED_VALUE"""),"201704769@est.umss.edu")</f>
        <v>201704769@est.umss.edu</v>
      </c>
      <c r="B463" s="58" t="str">
        <f>IFERROR(__xludf.DUMMYFUNCTION("""COMPUTED_VALUE"""),"CALIDAD")</f>
        <v>CALIDAD</v>
      </c>
      <c r="C463" s="58">
        <f>IFERROR(__xludf.DUMMYFUNCTION("""COMPUTED_VALUE"""),1.0)</f>
        <v>1</v>
      </c>
    </row>
    <row r="464">
      <c r="A464" s="58" t="str">
        <f>IFERROR(__xludf.DUMMYFUNCTION("""COMPUTED_VALUE"""),"201704769@est.umss.edu")</f>
        <v>201704769@est.umss.edu</v>
      </c>
      <c r="B464" s="58" t="str">
        <f>IFERROR(__xludf.DUMMYFUNCTION("""COMPUTED_VALUE"""),"ORGANIZACIÓN INDUSTRIAL")</f>
        <v>ORGANIZACIÓN INDUSTRIAL</v>
      </c>
      <c r="C464" s="58">
        <f>IFERROR(__xludf.DUMMYFUNCTION("""COMPUTED_VALUE"""),1.0)</f>
        <v>1</v>
      </c>
    </row>
    <row r="465">
      <c r="A465" s="58" t="str">
        <f>IFERROR(__xludf.DUMMYFUNCTION("""COMPUTED_VALUE"""),"201704769@est.umss.edu")</f>
        <v>201704769@est.umss.edu</v>
      </c>
      <c r="B465" s="58" t="str">
        <f>IFERROR(__xludf.DUMMYFUNCTION("""COMPUTED_VALUE"""),"PLANIFICACIÓN Y CONTROL DE LA PRODUCCIÓN")</f>
        <v>PLANIFICACIÓN Y CONTROL DE LA PRODUCCIÓN</v>
      </c>
      <c r="C465" s="58">
        <f>IFERROR(__xludf.DUMMYFUNCTION("""COMPUTED_VALUE"""),1.0)</f>
        <v>1</v>
      </c>
    </row>
    <row r="466">
      <c r="A466" s="58" t="str">
        <f>IFERROR(__xludf.DUMMYFUNCTION("""COMPUTED_VALUE"""),"201704769@est.umss.edu")</f>
        <v>201704769@est.umss.edu</v>
      </c>
      <c r="B466" s="58" t="str">
        <f>IFERROR(__xludf.DUMMYFUNCTION("""COMPUTED_VALUE"""),"RECURSOS HUMANOS")</f>
        <v>RECURSOS HUMANOS</v>
      </c>
      <c r="C466" s="58">
        <f>IFERROR(__xludf.DUMMYFUNCTION("""COMPUTED_VALUE"""),8.0)</f>
        <v>8</v>
      </c>
    </row>
    <row r="467">
      <c r="A467" s="58" t="str">
        <f>IFERROR(__xludf.DUMMYFUNCTION("""COMPUTED_VALUE"""),"201704776@est.umss.edu")</f>
        <v>201704776@est.umss.edu</v>
      </c>
      <c r="B467" s="58" t="str">
        <f>IFERROR(__xludf.DUMMYFUNCTION("""COMPUTED_VALUE"""),"CALIDAD")</f>
        <v>CALIDAD</v>
      </c>
      <c r="C467" s="58">
        <f>IFERROR(__xludf.DUMMYFUNCTION("""COMPUTED_VALUE"""),4.0)</f>
        <v>4</v>
      </c>
    </row>
    <row r="468">
      <c r="A468" s="58" t="str">
        <f>IFERROR(__xludf.DUMMYFUNCTION("""COMPUTED_VALUE"""),"201704776@est.umss.edu")</f>
        <v>201704776@est.umss.edu</v>
      </c>
      <c r="B468" s="58" t="str">
        <f>IFERROR(__xludf.DUMMYFUNCTION("""COMPUTED_VALUE"""),"SEGURIDAD INDUSTRIAL")</f>
        <v>SEGURIDAD INDUSTRIAL</v>
      </c>
      <c r="C468" s="58">
        <f>IFERROR(__xludf.DUMMYFUNCTION("""COMPUTED_VALUE"""),2.0)</f>
        <v>2</v>
      </c>
    </row>
    <row r="469">
      <c r="A469" s="58" t="str">
        <f>IFERROR(__xludf.DUMMYFUNCTION("""COMPUTED_VALUE"""),"201705673@est.umss.edu")</f>
        <v>201705673@est.umss.edu</v>
      </c>
      <c r="B469" s="58" t="str">
        <f>IFERROR(__xludf.DUMMYFUNCTION("""COMPUTED_VALUE"""),"FACTIBILIDAD")</f>
        <v>FACTIBILIDAD</v>
      </c>
      <c r="C469" s="58">
        <f>IFERROR(__xludf.DUMMYFUNCTION("""COMPUTED_VALUE"""),18.0)</f>
        <v>18</v>
      </c>
    </row>
    <row r="470">
      <c r="A470" s="58" t="str">
        <f>IFERROR(__xludf.DUMMYFUNCTION("""COMPUTED_VALUE"""),"201705723@est.umss.edu")</f>
        <v>201705723@est.umss.edu</v>
      </c>
      <c r="B470" s="58" t="str">
        <f>IFERROR(__xludf.DUMMYFUNCTION("""COMPUTED_VALUE"""),"CALIDAD")</f>
        <v>CALIDAD</v>
      </c>
      <c r="C470" s="58">
        <f>IFERROR(__xludf.DUMMYFUNCTION("""COMPUTED_VALUE"""),3.0)</f>
        <v>3</v>
      </c>
    </row>
    <row r="471">
      <c r="A471" s="58" t="str">
        <f>IFERROR(__xludf.DUMMYFUNCTION("""COMPUTED_VALUE"""),"201705723@est.umss.edu")</f>
        <v>201705723@est.umss.edu</v>
      </c>
      <c r="B471" s="58" t="str">
        <f>IFERROR(__xludf.DUMMYFUNCTION("""COMPUTED_VALUE"""),"EVALUACIÓN TÉCNICA")</f>
        <v>EVALUACIÓN TÉCNICA</v>
      </c>
      <c r="C471" s="58">
        <f>IFERROR(__xludf.DUMMYFUNCTION("""COMPUTED_VALUE"""),1.0)</f>
        <v>1</v>
      </c>
    </row>
    <row r="472">
      <c r="A472" s="58" t="str">
        <f>IFERROR(__xludf.DUMMYFUNCTION("""COMPUTED_VALUE"""),"201705723@est.umss.edu")</f>
        <v>201705723@est.umss.edu</v>
      </c>
      <c r="B472" s="58" t="str">
        <f>IFERROR(__xludf.DUMMYFUNCTION("""COMPUTED_VALUE"""),"FACTIBILIDAD")</f>
        <v>FACTIBILIDAD</v>
      </c>
      <c r="C472" s="58">
        <f>IFERROR(__xludf.DUMMYFUNCTION("""COMPUTED_VALUE"""),37.0)</f>
        <v>37</v>
      </c>
    </row>
    <row r="473">
      <c r="A473" s="58" t="str">
        <f>IFERROR(__xludf.DUMMYFUNCTION("""COMPUTED_VALUE"""),"201705723@est.umss.edu")</f>
        <v>201705723@est.umss.edu</v>
      </c>
      <c r="B473" s="58" t="str">
        <f>IFERROR(__xludf.DUMMYFUNCTION("""COMPUTED_VALUE"""),"INGENIERÍA DE MÉTODOS")</f>
        <v>INGENIERÍA DE MÉTODOS</v>
      </c>
      <c r="C473" s="58">
        <f>IFERROR(__xludf.DUMMYFUNCTION("""COMPUTED_VALUE"""),2.0)</f>
        <v>2</v>
      </c>
    </row>
    <row r="474">
      <c r="A474" s="58" t="str">
        <f>IFERROR(__xludf.DUMMYFUNCTION("""COMPUTED_VALUE"""),"201705723@est.umss.edu")</f>
        <v>201705723@est.umss.edu</v>
      </c>
      <c r="B474" s="58" t="str">
        <f>IFERROR(__xludf.DUMMYFUNCTION("""COMPUTED_VALUE"""),"PLAN DE NEGOCIOS")</f>
        <v>PLAN DE NEGOCIOS</v>
      </c>
      <c r="C474" s="58">
        <f>IFERROR(__xludf.DUMMYFUNCTION("""COMPUTED_VALUE"""),1.0)</f>
        <v>1</v>
      </c>
    </row>
    <row r="475">
      <c r="A475" s="58" t="str">
        <f>IFERROR(__xludf.DUMMYFUNCTION("""COMPUTED_VALUE"""),"201705726@est.umss.bo")</f>
        <v>201705726@est.umss.bo</v>
      </c>
      <c r="B475" s="58" t="str">
        <f>IFERROR(__xludf.DUMMYFUNCTION("""COMPUTED_VALUE"""),"SEGURIDAD INDUSTRIAL")</f>
        <v>SEGURIDAD INDUSTRIAL</v>
      </c>
      <c r="C475" s="58">
        <f>IFERROR(__xludf.DUMMYFUNCTION("""COMPUTED_VALUE"""),4.0)</f>
        <v>4</v>
      </c>
    </row>
    <row r="476">
      <c r="A476" s="58" t="str">
        <f>IFERROR(__xludf.DUMMYFUNCTION("""COMPUTED_VALUE"""),"201705726@est.umss.edu")</f>
        <v>201705726@est.umss.edu</v>
      </c>
      <c r="B476" s="58" t="str">
        <f>IFERROR(__xludf.DUMMYFUNCTION("""COMPUTED_VALUE"""),"FACTIBILIDAD")</f>
        <v>FACTIBILIDAD</v>
      </c>
      <c r="C476" s="58">
        <f>IFERROR(__xludf.DUMMYFUNCTION("""COMPUTED_VALUE"""),1.0)</f>
        <v>1</v>
      </c>
    </row>
    <row r="477">
      <c r="A477" s="58" t="str">
        <f>IFERROR(__xludf.DUMMYFUNCTION("""COMPUTED_VALUE"""),"201705726@est.umss.edu")</f>
        <v>201705726@est.umss.edu</v>
      </c>
      <c r="B477" s="58" t="str">
        <f>IFERROR(__xludf.DUMMYFUNCTION("""COMPUTED_VALUE"""),"SEGURIDAD INDUSTRIAL")</f>
        <v>SEGURIDAD INDUSTRIAL</v>
      </c>
      <c r="C477" s="58">
        <f>IFERROR(__xludf.DUMMYFUNCTION("""COMPUTED_VALUE"""),2.0)</f>
        <v>2</v>
      </c>
    </row>
    <row r="478">
      <c r="A478" s="58" t="str">
        <f>IFERROR(__xludf.DUMMYFUNCTION("""COMPUTED_VALUE"""),"201706608@est.umss.edu")</f>
        <v>201706608@est.umss.edu</v>
      </c>
      <c r="B478" s="58" t="str">
        <f>IFERROR(__xludf.DUMMYFUNCTION("""COMPUTED_VALUE"""),"ACADÉMICOS")</f>
        <v>ACADÉMICOS</v>
      </c>
      <c r="C478" s="58">
        <f>IFERROR(__xludf.DUMMYFUNCTION("""COMPUTED_VALUE"""),1.0)</f>
        <v>1</v>
      </c>
    </row>
    <row r="479">
      <c r="A479" s="58" t="str">
        <f>IFERROR(__xludf.DUMMYFUNCTION("""COMPUTED_VALUE"""),"201706608@est.umss.edu")</f>
        <v>201706608@est.umss.edu</v>
      </c>
      <c r="B479" s="58" t="str">
        <f>IFERROR(__xludf.DUMMYFUNCTION("""COMPUTED_VALUE"""),"FACTIBILIDAD")</f>
        <v>FACTIBILIDAD</v>
      </c>
      <c r="C479" s="58">
        <f>IFERROR(__xludf.DUMMYFUNCTION("""COMPUTED_VALUE"""),16.0)</f>
        <v>16</v>
      </c>
    </row>
    <row r="480">
      <c r="A480" s="58" t="str">
        <f>IFERROR(__xludf.DUMMYFUNCTION("""COMPUTED_VALUE"""),"201706608@est.umss.edu")</f>
        <v>201706608@est.umss.edu</v>
      </c>
      <c r="B480" s="58" t="str">
        <f>IFERROR(__xludf.DUMMYFUNCTION("""COMPUTED_VALUE"""),"MARKETING/MERCADOTECNIA")</f>
        <v>MARKETING/MERCADOTECNIA</v>
      </c>
      <c r="C480" s="58">
        <f>IFERROR(__xludf.DUMMYFUNCTION("""COMPUTED_VALUE"""),1.0)</f>
        <v>1</v>
      </c>
    </row>
    <row r="481">
      <c r="A481" s="58" t="str">
        <f>IFERROR(__xludf.DUMMYFUNCTION("""COMPUTED_VALUE"""),"201706608@est.umss.edu")</f>
        <v>201706608@est.umss.edu</v>
      </c>
      <c r="B481" s="58" t="str">
        <f>IFERROR(__xludf.DUMMYFUNCTION("""COMPUTED_VALUE"""),"SEGURIDAD INDUSTRIAL")</f>
        <v>SEGURIDAD INDUSTRIAL</v>
      </c>
      <c r="C481" s="58">
        <f>IFERROR(__xludf.DUMMYFUNCTION("""COMPUTED_VALUE"""),1.0)</f>
        <v>1</v>
      </c>
    </row>
    <row r="482">
      <c r="A482" s="58" t="str">
        <f>IFERROR(__xludf.DUMMYFUNCTION("""COMPUTED_VALUE"""),"201706609@est.umss.edu")</f>
        <v>201706609@est.umss.edu</v>
      </c>
      <c r="B482" s="58"/>
      <c r="C482" s="58">
        <f>IFERROR(__xludf.DUMMYFUNCTION("""COMPUTED_VALUE"""),0.0)</f>
        <v>0</v>
      </c>
    </row>
    <row r="483">
      <c r="A483" s="58" t="str">
        <f>IFERROR(__xludf.DUMMYFUNCTION("""COMPUTED_VALUE"""),"201706609@est.umss.edu")</f>
        <v>201706609@est.umss.edu</v>
      </c>
      <c r="B483" s="58" t="str">
        <f>IFERROR(__xludf.DUMMYFUNCTION("""COMPUTED_VALUE"""),"CALIDAD")</f>
        <v>CALIDAD</v>
      </c>
      <c r="C483" s="58">
        <f>IFERROR(__xludf.DUMMYFUNCTION("""COMPUTED_VALUE"""),1.0)</f>
        <v>1</v>
      </c>
    </row>
    <row r="484">
      <c r="A484" s="58" t="str">
        <f>IFERROR(__xludf.DUMMYFUNCTION("""COMPUTED_VALUE"""),"201706609@est.umss.edu")</f>
        <v>201706609@est.umss.edu</v>
      </c>
      <c r="B484" s="58" t="str">
        <f>IFERROR(__xludf.DUMMYFUNCTION("""COMPUTED_VALUE"""),"DISEÑO")</f>
        <v>DISEÑO</v>
      </c>
      <c r="C484" s="58">
        <f>IFERROR(__xludf.DUMMYFUNCTION("""COMPUTED_VALUE"""),1.0)</f>
        <v>1</v>
      </c>
    </row>
    <row r="485">
      <c r="A485" s="58" t="str">
        <f>IFERROR(__xludf.DUMMYFUNCTION("""COMPUTED_VALUE"""),"201706609@est.umss.edu")</f>
        <v>201706609@est.umss.edu</v>
      </c>
      <c r="B485" s="58" t="str">
        <f>IFERROR(__xludf.DUMMYFUNCTION("""COMPUTED_VALUE"""),"EVALUACIÓN TÉCNICA")</f>
        <v>EVALUACIÓN TÉCNICA</v>
      </c>
      <c r="C485" s="58">
        <f>IFERROR(__xludf.DUMMYFUNCTION("""COMPUTED_VALUE"""),1.0)</f>
        <v>1</v>
      </c>
    </row>
    <row r="486">
      <c r="A486" s="58" t="str">
        <f>IFERROR(__xludf.DUMMYFUNCTION("""COMPUTED_VALUE"""),"201706609@est.umss.edu")</f>
        <v>201706609@est.umss.edu</v>
      </c>
      <c r="B486" s="58" t="str">
        <f>IFERROR(__xludf.DUMMYFUNCTION("""COMPUTED_VALUE"""),"FACTIBILIDAD")</f>
        <v>FACTIBILIDAD</v>
      </c>
      <c r="C486" s="58">
        <f>IFERROR(__xludf.DUMMYFUNCTION("""COMPUTED_VALUE"""),14.0)</f>
        <v>14</v>
      </c>
    </row>
    <row r="487">
      <c r="A487" s="58" t="str">
        <f>IFERROR(__xludf.DUMMYFUNCTION("""COMPUTED_VALUE"""),"201706609@est.umss.edu")</f>
        <v>201706609@est.umss.edu</v>
      </c>
      <c r="B487" s="58" t="str">
        <f>IFERROR(__xludf.DUMMYFUNCTION("""COMPUTED_VALUE"""),"GESTIÓN ESTRATÉGICA")</f>
        <v>GESTIÓN ESTRATÉGICA</v>
      </c>
      <c r="C487" s="58">
        <f>IFERROR(__xludf.DUMMYFUNCTION("""COMPUTED_VALUE"""),16.0)</f>
        <v>16</v>
      </c>
    </row>
    <row r="488">
      <c r="A488" s="58" t="str">
        <f>IFERROR(__xludf.DUMMYFUNCTION("""COMPUTED_VALUE"""),"201706609@est.umss.edu")</f>
        <v>201706609@est.umss.edu</v>
      </c>
      <c r="B488" s="58" t="str">
        <f>IFERROR(__xludf.DUMMYFUNCTION("""COMPUTED_VALUE"""),"INGENIERÍA DE MÉTODOS")</f>
        <v>INGENIERÍA DE MÉTODOS</v>
      </c>
      <c r="C488" s="58">
        <f>IFERROR(__xludf.DUMMYFUNCTION("""COMPUTED_VALUE"""),29.0)</f>
        <v>29</v>
      </c>
    </row>
    <row r="489">
      <c r="A489" s="58" t="str">
        <f>IFERROR(__xludf.DUMMYFUNCTION("""COMPUTED_VALUE"""),"201706609@est.umss.edu")</f>
        <v>201706609@est.umss.edu</v>
      </c>
      <c r="B489" s="58" t="str">
        <f>IFERROR(__xludf.DUMMYFUNCTION("""COMPUTED_VALUE"""),"MARKETING/MERCADOTECNIA")</f>
        <v>MARKETING/MERCADOTECNIA</v>
      </c>
      <c r="C489" s="58">
        <f>IFERROR(__xludf.DUMMYFUNCTION("""COMPUTED_VALUE"""),4.0)</f>
        <v>4</v>
      </c>
    </row>
    <row r="490">
      <c r="A490" s="58" t="str">
        <f>IFERROR(__xludf.DUMMYFUNCTION("""COMPUTED_VALUE"""),"201706609@est.umss.edu")</f>
        <v>201706609@est.umss.edu</v>
      </c>
      <c r="B490" s="58" t="str">
        <f>IFERROR(__xludf.DUMMYFUNCTION("""COMPUTED_VALUE"""),"OPTIMIZACIÓN")</f>
        <v>OPTIMIZACIÓN</v>
      </c>
      <c r="C490" s="58">
        <f>IFERROR(__xludf.DUMMYFUNCTION("""COMPUTED_VALUE"""),11.0)</f>
        <v>11</v>
      </c>
    </row>
    <row r="491">
      <c r="A491" s="58" t="str">
        <f>IFERROR(__xludf.DUMMYFUNCTION("""COMPUTED_VALUE"""),"201706609@est.umss.edu")</f>
        <v>201706609@est.umss.edu</v>
      </c>
      <c r="B491" s="58" t="str">
        <f>IFERROR(__xludf.DUMMYFUNCTION("""COMPUTED_VALUE"""),"ORGANIZACIÓN INDUSTRIAL")</f>
        <v>ORGANIZACIÓN INDUSTRIAL</v>
      </c>
      <c r="C491" s="58">
        <f>IFERROR(__xludf.DUMMYFUNCTION("""COMPUTED_VALUE"""),3.0)</f>
        <v>3</v>
      </c>
    </row>
    <row r="492">
      <c r="A492" s="58" t="str">
        <f>IFERROR(__xludf.DUMMYFUNCTION("""COMPUTED_VALUE"""),"201706609@est.umss.edu")</f>
        <v>201706609@est.umss.edu</v>
      </c>
      <c r="B492" s="58" t="str">
        <f>IFERROR(__xludf.DUMMYFUNCTION("""COMPUTED_VALUE"""),"OTROS")</f>
        <v>OTROS</v>
      </c>
      <c r="C492" s="58">
        <f>IFERROR(__xludf.DUMMYFUNCTION("""COMPUTED_VALUE"""),1.0)</f>
        <v>1</v>
      </c>
    </row>
    <row r="493">
      <c r="A493" s="58" t="str">
        <f>IFERROR(__xludf.DUMMYFUNCTION("""COMPUTED_VALUE"""),"201706609@est.umss.edu")</f>
        <v>201706609@est.umss.edu</v>
      </c>
      <c r="B493" s="58" t="str">
        <f>IFERROR(__xludf.DUMMYFUNCTION("""COMPUTED_VALUE"""),"PLAN DE NEGOCIOS")</f>
        <v>PLAN DE NEGOCIOS</v>
      </c>
      <c r="C493" s="58">
        <f>IFERROR(__xludf.DUMMYFUNCTION("""COMPUTED_VALUE"""),8.0)</f>
        <v>8</v>
      </c>
    </row>
    <row r="494">
      <c r="A494" s="58" t="str">
        <f>IFERROR(__xludf.DUMMYFUNCTION("""COMPUTED_VALUE"""),"201706609@est.umss.edu")</f>
        <v>201706609@est.umss.edu</v>
      </c>
      <c r="B494" s="58" t="str">
        <f>IFERROR(__xludf.DUMMYFUNCTION("""COMPUTED_VALUE"""),"PLANIFICACIÓN Y CONTROL DE LA PRODUCCIÓN")</f>
        <v>PLANIFICACIÓN Y CONTROL DE LA PRODUCCIÓN</v>
      </c>
      <c r="C494" s="58">
        <f>IFERROR(__xludf.DUMMYFUNCTION("""COMPUTED_VALUE"""),11.0)</f>
        <v>11</v>
      </c>
    </row>
    <row r="495">
      <c r="A495" s="58" t="str">
        <f>IFERROR(__xludf.DUMMYFUNCTION("""COMPUTED_VALUE"""),"201706609@est.umss.edu")</f>
        <v>201706609@est.umss.edu</v>
      </c>
      <c r="B495" s="58" t="str">
        <f>IFERROR(__xludf.DUMMYFUNCTION("""COMPUTED_VALUE"""),"PROCESOS INDUSTRIALES")</f>
        <v>PROCESOS INDUSTRIALES</v>
      </c>
      <c r="C495" s="58">
        <f>IFERROR(__xludf.DUMMYFUNCTION("""COMPUTED_VALUE"""),1.0)</f>
        <v>1</v>
      </c>
    </row>
    <row r="496">
      <c r="A496" s="58" t="str">
        <f>IFERROR(__xludf.DUMMYFUNCTION("""COMPUTED_VALUE"""),"201706609@est.umss.edu")</f>
        <v>201706609@est.umss.edu</v>
      </c>
      <c r="B496" s="58" t="str">
        <f>IFERROR(__xludf.DUMMYFUNCTION("""COMPUTED_VALUE"""),"SEGURIDAD INDUSTRIAL")</f>
        <v>SEGURIDAD INDUSTRIAL</v>
      </c>
      <c r="C496" s="58">
        <f>IFERROR(__xludf.DUMMYFUNCTION("""COMPUTED_VALUE"""),4.0)</f>
        <v>4</v>
      </c>
    </row>
    <row r="497">
      <c r="A497" s="58" t="str">
        <f>IFERROR(__xludf.DUMMYFUNCTION("""COMPUTED_VALUE"""),"201706609@est.umss.edu")</f>
        <v>201706609@est.umss.edu</v>
      </c>
      <c r="B497" s="58" t="str">
        <f>IFERROR(__xludf.DUMMYFUNCTION("""COMPUTED_VALUE"""),"SISTEMAS DE INFORMACIÓN")</f>
        <v>SISTEMAS DE INFORMACIÓN</v>
      </c>
      <c r="C497" s="58">
        <f>IFERROR(__xludf.DUMMYFUNCTION("""COMPUTED_VALUE"""),15.0)</f>
        <v>15</v>
      </c>
    </row>
    <row r="498">
      <c r="A498" s="58" t="str">
        <f>IFERROR(__xludf.DUMMYFUNCTION("""COMPUTED_VALUE"""),"201706609@est.umss.edu")</f>
        <v>201706609@est.umss.edu</v>
      </c>
      <c r="B498" s="58" t="str">
        <f>IFERROR(__xludf.DUMMYFUNCTION("""COMPUTED_VALUE"""),"SISTEMAS INTEGRADOS")</f>
        <v>SISTEMAS INTEGRADOS</v>
      </c>
      <c r="C498" s="58">
        <f>IFERROR(__xludf.DUMMYFUNCTION("""COMPUTED_VALUE"""),2.0)</f>
        <v>2</v>
      </c>
    </row>
    <row r="499">
      <c r="A499" s="58" t="str">
        <f>IFERROR(__xludf.DUMMYFUNCTION("""COMPUTED_VALUE"""),"201706618@est.umss.edu")</f>
        <v>201706618@est.umss.edu</v>
      </c>
      <c r="B499" s="58" t="str">
        <f>IFERROR(__xludf.DUMMYFUNCTION("""COMPUTED_VALUE"""),"SEGURIDAD INDUSTRIAL")</f>
        <v>SEGURIDAD INDUSTRIAL</v>
      </c>
      <c r="C499" s="58">
        <f>IFERROR(__xludf.DUMMYFUNCTION("""COMPUTED_VALUE"""),15.0)</f>
        <v>15</v>
      </c>
    </row>
    <row r="500">
      <c r="A500" s="58" t="str">
        <f>IFERROR(__xludf.DUMMYFUNCTION("""COMPUTED_VALUE"""),"201706621@est.umss.edu")</f>
        <v>201706621@est.umss.edu</v>
      </c>
      <c r="B500" s="58" t="str">
        <f>IFERROR(__xludf.DUMMYFUNCTION("""COMPUTED_VALUE"""),"FACTIBILIDAD")</f>
        <v>FACTIBILIDAD</v>
      </c>
      <c r="C500" s="58">
        <f>IFERROR(__xludf.DUMMYFUNCTION("""COMPUTED_VALUE"""),1.0)</f>
        <v>1</v>
      </c>
    </row>
    <row r="501">
      <c r="A501" s="58" t="str">
        <f>IFERROR(__xludf.DUMMYFUNCTION("""COMPUTED_VALUE"""),"201706623@est.umss.edu")</f>
        <v>201706623@est.umss.edu</v>
      </c>
      <c r="B501" s="58" t="str">
        <f>IFERROR(__xludf.DUMMYFUNCTION("""COMPUTED_VALUE"""),"ACADÉMICOS")</f>
        <v>ACADÉMICOS</v>
      </c>
      <c r="C501" s="58">
        <f>IFERROR(__xludf.DUMMYFUNCTION("""COMPUTED_VALUE"""),3.0)</f>
        <v>3</v>
      </c>
    </row>
    <row r="502">
      <c r="A502" s="58" t="str">
        <f>IFERROR(__xludf.DUMMYFUNCTION("""COMPUTED_VALUE"""),"201706623@est.umss.edu")</f>
        <v>201706623@est.umss.edu</v>
      </c>
      <c r="B502" s="58" t="str">
        <f>IFERROR(__xludf.DUMMYFUNCTION("""COMPUTED_VALUE"""),"DISEÑO")</f>
        <v>DISEÑO</v>
      </c>
      <c r="C502" s="58">
        <f>IFERROR(__xludf.DUMMYFUNCTION("""COMPUTED_VALUE"""),1.0)</f>
        <v>1</v>
      </c>
    </row>
    <row r="503">
      <c r="A503" s="58" t="str">
        <f>IFERROR(__xludf.DUMMYFUNCTION("""COMPUTED_VALUE"""),"201706623@est.umss.edu")</f>
        <v>201706623@est.umss.edu</v>
      </c>
      <c r="B503" s="58" t="str">
        <f>IFERROR(__xludf.DUMMYFUNCTION("""COMPUTED_VALUE"""),"GESTIÓN ESTRATÉGICA")</f>
        <v>GESTIÓN ESTRATÉGICA</v>
      </c>
      <c r="C503" s="58">
        <f>IFERROR(__xludf.DUMMYFUNCTION("""COMPUTED_VALUE"""),4.0)</f>
        <v>4</v>
      </c>
    </row>
    <row r="504">
      <c r="A504" s="58" t="str">
        <f>IFERROR(__xludf.DUMMYFUNCTION("""COMPUTED_VALUE"""),"201706692@est.umss.edu")</f>
        <v>201706692@est.umss.edu</v>
      </c>
      <c r="B504" s="58" t="str">
        <f>IFERROR(__xludf.DUMMYFUNCTION("""COMPUTED_VALUE"""),"FACTIBILIDAD")</f>
        <v>FACTIBILIDAD</v>
      </c>
      <c r="C504" s="58">
        <f>IFERROR(__xludf.DUMMYFUNCTION("""COMPUTED_VALUE"""),1.0)</f>
        <v>1</v>
      </c>
    </row>
    <row r="505">
      <c r="A505" s="58" t="str">
        <f>IFERROR(__xludf.DUMMYFUNCTION("""COMPUTED_VALUE"""),"201706812@est.umss.edu")</f>
        <v>201706812@est.umss.edu</v>
      </c>
      <c r="B505" s="58" t="str">
        <f>IFERROR(__xludf.DUMMYFUNCTION("""COMPUTED_VALUE"""),"ACADÉMICOS")</f>
        <v>ACADÉMICOS</v>
      </c>
      <c r="C505" s="58">
        <f>IFERROR(__xludf.DUMMYFUNCTION("""COMPUTED_VALUE"""),1.0)</f>
        <v>1</v>
      </c>
    </row>
    <row r="506">
      <c r="A506" s="58" t="str">
        <f>IFERROR(__xludf.DUMMYFUNCTION("""COMPUTED_VALUE"""),"201706812@est.umss.edu")</f>
        <v>201706812@est.umss.edu</v>
      </c>
      <c r="B506" s="58" t="str">
        <f>IFERROR(__xludf.DUMMYFUNCTION("""COMPUTED_VALUE"""),"GESTIÓN ESTRATÉGICA")</f>
        <v>GESTIÓN ESTRATÉGICA</v>
      </c>
      <c r="C506" s="58">
        <f>IFERROR(__xludf.DUMMYFUNCTION("""COMPUTED_VALUE"""),1.0)</f>
        <v>1</v>
      </c>
    </row>
    <row r="507">
      <c r="A507" s="58" t="str">
        <f>IFERROR(__xludf.DUMMYFUNCTION("""COMPUTED_VALUE"""),"201709743@est.umss.edu")</f>
        <v>201709743@est.umss.edu</v>
      </c>
      <c r="B507" s="58" t="str">
        <f>IFERROR(__xludf.DUMMYFUNCTION("""COMPUTED_VALUE"""),"FACTIBILIDAD")</f>
        <v>FACTIBILIDAD</v>
      </c>
      <c r="C507" s="58">
        <f>IFERROR(__xludf.DUMMYFUNCTION("""COMPUTED_VALUE"""),3.0)</f>
        <v>3</v>
      </c>
    </row>
    <row r="508">
      <c r="A508" s="58" t="str">
        <f>IFERROR(__xludf.DUMMYFUNCTION("""COMPUTED_VALUE"""),"201709753@est.umss.edu")</f>
        <v>201709753@est.umss.edu</v>
      </c>
      <c r="B508" s="58" t="str">
        <f>IFERROR(__xludf.DUMMYFUNCTION("""COMPUTED_VALUE"""),"CALIDAD")</f>
        <v>CALIDAD</v>
      </c>
      <c r="C508" s="58">
        <f>IFERROR(__xludf.DUMMYFUNCTION("""COMPUTED_VALUE"""),1.0)</f>
        <v>1</v>
      </c>
    </row>
    <row r="509">
      <c r="A509" s="58" t="str">
        <f>IFERROR(__xludf.DUMMYFUNCTION("""COMPUTED_VALUE"""),"201709753@est.umss.edu")</f>
        <v>201709753@est.umss.edu</v>
      </c>
      <c r="B509" s="58" t="str">
        <f>IFERROR(__xludf.DUMMYFUNCTION("""COMPUTED_VALUE"""),"PLANIFICACIÓN Y CONTROL DE LA PRODUCCIÓN")</f>
        <v>PLANIFICACIÓN Y CONTROL DE LA PRODUCCIÓN</v>
      </c>
      <c r="C509" s="58">
        <f>IFERROR(__xludf.DUMMYFUNCTION("""COMPUTED_VALUE"""),1.0)</f>
        <v>1</v>
      </c>
    </row>
    <row r="510">
      <c r="A510" s="58" t="str">
        <f>IFERROR(__xludf.DUMMYFUNCTION("""COMPUTED_VALUE"""),"201709753@est.umss.edu")</f>
        <v>201709753@est.umss.edu</v>
      </c>
      <c r="B510" s="58" t="str">
        <f>IFERROR(__xludf.DUMMYFUNCTION("""COMPUTED_VALUE"""),"SEGURIDAD INDUSTRIAL")</f>
        <v>SEGURIDAD INDUSTRIAL</v>
      </c>
      <c r="C510" s="58">
        <f>IFERROR(__xludf.DUMMYFUNCTION("""COMPUTED_VALUE"""),1.0)</f>
        <v>1</v>
      </c>
    </row>
    <row r="511">
      <c r="A511" s="58" t="str">
        <f>IFERROR(__xludf.DUMMYFUNCTION("""COMPUTED_VALUE"""),"201709757@est.umss.edu")</f>
        <v>201709757@est.umss.edu</v>
      </c>
      <c r="B511" s="58" t="str">
        <f>IFERROR(__xludf.DUMMYFUNCTION("""COMPUTED_VALUE"""),"DISEÑO")</f>
        <v>DISEÑO</v>
      </c>
      <c r="C511" s="58">
        <f>IFERROR(__xludf.DUMMYFUNCTION("""COMPUTED_VALUE"""),3.0)</f>
        <v>3</v>
      </c>
    </row>
    <row r="512">
      <c r="A512" s="58" t="str">
        <f>IFERROR(__xludf.DUMMYFUNCTION("""COMPUTED_VALUE"""),"201709757@est.umss.edu")</f>
        <v>201709757@est.umss.edu</v>
      </c>
      <c r="B512" s="58" t="str">
        <f>IFERROR(__xludf.DUMMYFUNCTION("""COMPUTED_VALUE"""),"FACTIBILIDAD")</f>
        <v>FACTIBILIDAD</v>
      </c>
      <c r="C512" s="58">
        <f>IFERROR(__xludf.DUMMYFUNCTION("""COMPUTED_VALUE"""),8.0)</f>
        <v>8</v>
      </c>
    </row>
    <row r="513">
      <c r="A513" s="58" t="str">
        <f>IFERROR(__xludf.DUMMYFUNCTION("""COMPUTED_VALUE"""),"201709757@est.umss.edu")</f>
        <v>201709757@est.umss.edu</v>
      </c>
      <c r="B513" s="58" t="str">
        <f>IFERROR(__xludf.DUMMYFUNCTION("""COMPUTED_VALUE"""),"INGENIERÍA DE MÉTODOS")</f>
        <v>INGENIERÍA DE MÉTODOS</v>
      </c>
      <c r="C513" s="58">
        <f>IFERROR(__xludf.DUMMYFUNCTION("""COMPUTED_VALUE"""),2.0)</f>
        <v>2</v>
      </c>
    </row>
    <row r="514">
      <c r="A514" s="58" t="str">
        <f>IFERROR(__xludf.DUMMYFUNCTION("""COMPUTED_VALUE"""),"201709759@est.umss.edu")</f>
        <v>201709759@est.umss.edu</v>
      </c>
      <c r="B514" s="58" t="str">
        <f>IFERROR(__xludf.DUMMYFUNCTION("""COMPUTED_VALUE"""),"EVALUACIÓN TÉCNICA")</f>
        <v>EVALUACIÓN TÉCNICA</v>
      </c>
      <c r="C514" s="58">
        <f>IFERROR(__xludf.DUMMYFUNCTION("""COMPUTED_VALUE"""),2.0)</f>
        <v>2</v>
      </c>
    </row>
    <row r="515">
      <c r="A515" s="58" t="str">
        <f>IFERROR(__xludf.DUMMYFUNCTION("""COMPUTED_VALUE"""),"201709770@est.umss.edu")</f>
        <v>201709770@est.umss.edu</v>
      </c>
      <c r="B515" s="58" t="str">
        <f>IFERROR(__xludf.DUMMYFUNCTION("""COMPUTED_VALUE"""),"FACTIBILIDAD")</f>
        <v>FACTIBILIDAD</v>
      </c>
      <c r="C515" s="58">
        <f>IFERROR(__xludf.DUMMYFUNCTION("""COMPUTED_VALUE"""),4.0)</f>
        <v>4</v>
      </c>
    </row>
    <row r="516">
      <c r="A516" s="58" t="str">
        <f>IFERROR(__xludf.DUMMYFUNCTION("""COMPUTED_VALUE"""),"201709770@est.umss.edu")</f>
        <v>201709770@est.umss.edu</v>
      </c>
      <c r="B516" s="58" t="str">
        <f>IFERROR(__xludf.DUMMYFUNCTION("""COMPUTED_VALUE"""),"GESTIÓN ESTRATÉGICA")</f>
        <v>GESTIÓN ESTRATÉGICA</v>
      </c>
      <c r="C516" s="58">
        <f>IFERROR(__xludf.DUMMYFUNCTION("""COMPUTED_VALUE"""),2.0)</f>
        <v>2</v>
      </c>
    </row>
    <row r="517">
      <c r="A517" s="58" t="str">
        <f>IFERROR(__xludf.DUMMYFUNCTION("""COMPUTED_VALUE"""),"201709770@est.umss.edu")</f>
        <v>201709770@est.umss.edu</v>
      </c>
      <c r="B517" s="58" t="str">
        <f>IFERROR(__xludf.DUMMYFUNCTION("""COMPUTED_VALUE"""),"INGENIERÍA DE MÉTODOS")</f>
        <v>INGENIERÍA DE MÉTODOS</v>
      </c>
      <c r="C517" s="58">
        <f>IFERROR(__xludf.DUMMYFUNCTION("""COMPUTED_VALUE"""),1.0)</f>
        <v>1</v>
      </c>
    </row>
    <row r="518">
      <c r="A518" s="58" t="str">
        <f>IFERROR(__xludf.DUMMYFUNCTION("""COMPUTED_VALUE"""),"201709770@est.umss.edu")</f>
        <v>201709770@est.umss.edu</v>
      </c>
      <c r="B518" s="58" t="str">
        <f>IFERROR(__xludf.DUMMYFUNCTION("""COMPUTED_VALUE"""),"MARKETING/MERCADOTECNIA")</f>
        <v>MARKETING/MERCADOTECNIA</v>
      </c>
      <c r="C518" s="58">
        <f>IFERROR(__xludf.DUMMYFUNCTION("""COMPUTED_VALUE"""),1.0)</f>
        <v>1</v>
      </c>
    </row>
    <row r="519">
      <c r="A519" s="58" t="str">
        <f>IFERROR(__xludf.DUMMYFUNCTION("""COMPUTED_VALUE"""),"201709770@est.umss.edu")</f>
        <v>201709770@est.umss.edu</v>
      </c>
      <c r="B519" s="58" t="str">
        <f>IFERROR(__xludf.DUMMYFUNCTION("""COMPUTED_VALUE"""),"OPTIMIZACIÓN")</f>
        <v>OPTIMIZACIÓN</v>
      </c>
      <c r="C519" s="58">
        <f>IFERROR(__xludf.DUMMYFUNCTION("""COMPUTED_VALUE"""),2.0)</f>
        <v>2</v>
      </c>
    </row>
    <row r="520">
      <c r="A520" s="58" t="str">
        <f>IFERROR(__xludf.DUMMYFUNCTION("""COMPUTED_VALUE"""),"201709770@est.umss.edu")</f>
        <v>201709770@est.umss.edu</v>
      </c>
      <c r="B520" s="58" t="str">
        <f>IFERROR(__xludf.DUMMYFUNCTION("""COMPUTED_VALUE"""),"ORGANIZACIÓN INDUSTRIAL")</f>
        <v>ORGANIZACIÓN INDUSTRIAL</v>
      </c>
      <c r="C520" s="58">
        <f>IFERROR(__xludf.DUMMYFUNCTION("""COMPUTED_VALUE"""),1.0)</f>
        <v>1</v>
      </c>
    </row>
    <row r="521">
      <c r="A521" s="58" t="str">
        <f>IFERROR(__xludf.DUMMYFUNCTION("""COMPUTED_VALUE"""),"201709770@est.umss.edu")</f>
        <v>201709770@est.umss.edu</v>
      </c>
      <c r="B521" s="58" t="str">
        <f>IFERROR(__xludf.DUMMYFUNCTION("""COMPUTED_VALUE"""),"PLAN DE NEGOCIOS")</f>
        <v>PLAN DE NEGOCIOS</v>
      </c>
      <c r="C521" s="58">
        <f>IFERROR(__xludf.DUMMYFUNCTION("""COMPUTED_VALUE"""),3.0)</f>
        <v>3</v>
      </c>
    </row>
    <row r="522">
      <c r="A522" s="58" t="str">
        <f>IFERROR(__xludf.DUMMYFUNCTION("""COMPUTED_VALUE"""),"201709774@est.umss.edu")</f>
        <v>201709774@est.umss.edu</v>
      </c>
      <c r="B522" s="58" t="str">
        <f>IFERROR(__xludf.DUMMYFUNCTION("""COMPUTED_VALUE"""),"FACTIBILIDAD")</f>
        <v>FACTIBILIDAD</v>
      </c>
      <c r="C522" s="58">
        <f>IFERROR(__xludf.DUMMYFUNCTION("""COMPUTED_VALUE"""),1.0)</f>
        <v>1</v>
      </c>
    </row>
    <row r="523">
      <c r="A523" s="58" t="str">
        <f>IFERROR(__xludf.DUMMYFUNCTION("""COMPUTED_VALUE"""),"201709776@est.umss.edu")</f>
        <v>201709776@est.umss.edu</v>
      </c>
      <c r="B523" s="58" t="str">
        <f>IFERROR(__xludf.DUMMYFUNCTION("""COMPUTED_VALUE"""),"INGENIERÍA DE MÉTODOS")</f>
        <v>INGENIERÍA DE MÉTODOS</v>
      </c>
      <c r="C523" s="58">
        <f>IFERROR(__xludf.DUMMYFUNCTION("""COMPUTED_VALUE"""),4.0)</f>
        <v>4</v>
      </c>
    </row>
    <row r="524">
      <c r="A524" s="58" t="str">
        <f>IFERROR(__xludf.DUMMYFUNCTION("""COMPUTED_VALUE"""),"201709781@est.umss.edu")</f>
        <v>201709781@est.umss.edu</v>
      </c>
      <c r="B524" s="58"/>
      <c r="C524" s="58">
        <f>IFERROR(__xludf.DUMMYFUNCTION("""COMPUTED_VALUE"""),0.0)</f>
        <v>0</v>
      </c>
    </row>
    <row r="525">
      <c r="A525" s="58" t="str">
        <f>IFERROR(__xludf.DUMMYFUNCTION("""COMPUTED_VALUE"""),"201709781@est.umss.edu")</f>
        <v>201709781@est.umss.edu</v>
      </c>
      <c r="B525" s="58" t="str">
        <f>IFERROR(__xludf.DUMMYFUNCTION("""COMPUTED_VALUE"""),"ACADÉMICOS")</f>
        <v>ACADÉMICOS</v>
      </c>
      <c r="C525" s="58">
        <f>IFERROR(__xludf.DUMMYFUNCTION("""COMPUTED_VALUE"""),1.0)</f>
        <v>1</v>
      </c>
    </row>
    <row r="526">
      <c r="A526" s="58" t="str">
        <f>IFERROR(__xludf.DUMMYFUNCTION("""COMPUTED_VALUE"""),"201709781@est.umss.edu")</f>
        <v>201709781@est.umss.edu</v>
      </c>
      <c r="B526" s="58" t="str">
        <f>IFERROR(__xludf.DUMMYFUNCTION("""COMPUTED_VALUE"""),"CALIDAD")</f>
        <v>CALIDAD</v>
      </c>
      <c r="C526" s="58">
        <f>IFERROR(__xludf.DUMMYFUNCTION("""COMPUTED_VALUE"""),7.0)</f>
        <v>7</v>
      </c>
    </row>
    <row r="527">
      <c r="A527" s="58" t="str">
        <f>IFERROR(__xludf.DUMMYFUNCTION("""COMPUTED_VALUE"""),"201709781@est.umss.edu")</f>
        <v>201709781@est.umss.edu</v>
      </c>
      <c r="B527" s="58" t="str">
        <f>IFERROR(__xludf.DUMMYFUNCTION("""COMPUTED_VALUE"""),"DISEÑO")</f>
        <v>DISEÑO</v>
      </c>
      <c r="C527" s="58">
        <f>IFERROR(__xludf.DUMMYFUNCTION("""COMPUTED_VALUE"""),1.0)</f>
        <v>1</v>
      </c>
    </row>
    <row r="528">
      <c r="A528" s="58" t="str">
        <f>IFERROR(__xludf.DUMMYFUNCTION("""COMPUTED_VALUE"""),"201709781@est.umss.edu")</f>
        <v>201709781@est.umss.edu</v>
      </c>
      <c r="B528" s="58" t="str">
        <f>IFERROR(__xludf.DUMMYFUNCTION("""COMPUTED_VALUE"""),"FACTIBILIDAD")</f>
        <v>FACTIBILIDAD</v>
      </c>
      <c r="C528" s="58">
        <f>IFERROR(__xludf.DUMMYFUNCTION("""COMPUTED_VALUE"""),13.0)</f>
        <v>13</v>
      </c>
    </row>
    <row r="529">
      <c r="A529" s="58" t="str">
        <f>IFERROR(__xludf.DUMMYFUNCTION("""COMPUTED_VALUE"""),"201709781@est.umss.edu")</f>
        <v>201709781@est.umss.edu</v>
      </c>
      <c r="B529" s="58" t="str">
        <f>IFERROR(__xludf.DUMMYFUNCTION("""COMPUTED_VALUE"""),"GESTIÓN ESTRATÉGICA")</f>
        <v>GESTIÓN ESTRATÉGICA</v>
      </c>
      <c r="C529" s="58">
        <f>IFERROR(__xludf.DUMMYFUNCTION("""COMPUTED_VALUE"""),2.0)</f>
        <v>2</v>
      </c>
    </row>
    <row r="530">
      <c r="A530" s="58" t="str">
        <f>IFERROR(__xludf.DUMMYFUNCTION("""COMPUTED_VALUE"""),"201709781@est.umss.edu")</f>
        <v>201709781@est.umss.edu</v>
      </c>
      <c r="B530" s="58" t="str">
        <f>IFERROR(__xludf.DUMMYFUNCTION("""COMPUTED_VALUE"""),"MARKETING/MERCADOTECNIA")</f>
        <v>MARKETING/MERCADOTECNIA</v>
      </c>
      <c r="C530" s="58">
        <f>IFERROR(__xludf.DUMMYFUNCTION("""COMPUTED_VALUE"""),1.0)</f>
        <v>1</v>
      </c>
    </row>
    <row r="531">
      <c r="A531" s="58" t="str">
        <f>IFERROR(__xludf.DUMMYFUNCTION("""COMPUTED_VALUE"""),"201709781@est.umss.edu")</f>
        <v>201709781@est.umss.edu</v>
      </c>
      <c r="B531" s="58" t="str">
        <f>IFERROR(__xludf.DUMMYFUNCTION("""COMPUTED_VALUE"""),"OPTIMIZACIÓN")</f>
        <v>OPTIMIZACIÓN</v>
      </c>
      <c r="C531" s="58">
        <f>IFERROR(__xludf.DUMMYFUNCTION("""COMPUTED_VALUE"""),1.0)</f>
        <v>1</v>
      </c>
    </row>
    <row r="532">
      <c r="A532" s="58" t="str">
        <f>IFERROR(__xludf.DUMMYFUNCTION("""COMPUTED_VALUE"""),"201709781@est.umss.edu")</f>
        <v>201709781@est.umss.edu</v>
      </c>
      <c r="B532" s="58" t="str">
        <f>IFERROR(__xludf.DUMMYFUNCTION("""COMPUTED_VALUE"""),"OTROS")</f>
        <v>OTROS</v>
      </c>
      <c r="C532" s="58">
        <f>IFERROR(__xludf.DUMMYFUNCTION("""COMPUTED_VALUE"""),2.0)</f>
        <v>2</v>
      </c>
    </row>
    <row r="533">
      <c r="A533" s="58" t="str">
        <f>IFERROR(__xludf.DUMMYFUNCTION("""COMPUTED_VALUE"""),"201709781@est.umss.edu")</f>
        <v>201709781@est.umss.edu</v>
      </c>
      <c r="B533" s="58" t="str">
        <f>IFERROR(__xludf.DUMMYFUNCTION("""COMPUTED_VALUE"""),"PLANIFICACIÓN Y CONTROL DE LA PRODUCCIÓN")</f>
        <v>PLANIFICACIÓN Y CONTROL DE LA PRODUCCIÓN</v>
      </c>
      <c r="C533" s="58">
        <f>IFERROR(__xludf.DUMMYFUNCTION("""COMPUTED_VALUE"""),6.0)</f>
        <v>6</v>
      </c>
    </row>
    <row r="534">
      <c r="A534" s="58" t="str">
        <f>IFERROR(__xludf.DUMMYFUNCTION("""COMPUTED_VALUE"""),"201709781@est.umss.edu")</f>
        <v>201709781@est.umss.edu</v>
      </c>
      <c r="B534" s="58" t="str">
        <f>IFERROR(__xludf.DUMMYFUNCTION("""COMPUTED_VALUE"""),"PROCESOS INDUSTRIALES")</f>
        <v>PROCESOS INDUSTRIALES</v>
      </c>
      <c r="C534" s="58">
        <f>IFERROR(__xludf.DUMMYFUNCTION("""COMPUTED_VALUE"""),1.0)</f>
        <v>1</v>
      </c>
    </row>
    <row r="535">
      <c r="A535" s="58" t="str">
        <f>IFERROR(__xludf.DUMMYFUNCTION("""COMPUTED_VALUE"""),"201709781@est.umss.edu")</f>
        <v>201709781@est.umss.edu</v>
      </c>
      <c r="B535" s="58" t="str">
        <f>IFERROR(__xludf.DUMMYFUNCTION("""COMPUTED_VALUE"""),"SEGURIDAD INDUSTRIAL")</f>
        <v>SEGURIDAD INDUSTRIAL</v>
      </c>
      <c r="C535" s="58">
        <f>IFERROR(__xludf.DUMMYFUNCTION("""COMPUTED_VALUE"""),6.0)</f>
        <v>6</v>
      </c>
    </row>
    <row r="536">
      <c r="A536" s="58" t="str">
        <f>IFERROR(__xludf.DUMMYFUNCTION("""COMPUTED_VALUE"""),"201709781@est.umss.edu")</f>
        <v>201709781@est.umss.edu</v>
      </c>
      <c r="B536" s="58" t="str">
        <f>IFERROR(__xludf.DUMMYFUNCTION("""COMPUTED_VALUE"""),"SISTEMAS DE INFORMACIÓN")</f>
        <v>SISTEMAS DE INFORMACIÓN</v>
      </c>
      <c r="C536" s="58">
        <f>IFERROR(__xludf.DUMMYFUNCTION("""COMPUTED_VALUE"""),2.0)</f>
        <v>2</v>
      </c>
    </row>
    <row r="537">
      <c r="A537" s="58" t="str">
        <f>IFERROR(__xludf.DUMMYFUNCTION("""COMPUTED_VALUE"""),"201709783@est.umss.edu")</f>
        <v>201709783@est.umss.edu</v>
      </c>
      <c r="B537" s="58" t="str">
        <f>IFERROR(__xludf.DUMMYFUNCTION("""COMPUTED_VALUE"""),"FACTIBILIDAD")</f>
        <v>FACTIBILIDAD</v>
      </c>
      <c r="C537" s="58">
        <f>IFERROR(__xludf.DUMMYFUNCTION("""COMPUTED_VALUE"""),5.0)</f>
        <v>5</v>
      </c>
    </row>
    <row r="538">
      <c r="A538" s="58" t="str">
        <f>IFERROR(__xludf.DUMMYFUNCTION("""COMPUTED_VALUE"""),"201709783@est.umss.edu")</f>
        <v>201709783@est.umss.edu</v>
      </c>
      <c r="B538" s="58" t="str">
        <f>IFERROR(__xludf.DUMMYFUNCTION("""COMPUTED_VALUE"""),"INGENIERÍA DE MÉTODOS")</f>
        <v>INGENIERÍA DE MÉTODOS</v>
      </c>
      <c r="C538" s="58">
        <f>IFERROR(__xludf.DUMMYFUNCTION("""COMPUTED_VALUE"""),4.0)</f>
        <v>4</v>
      </c>
    </row>
    <row r="539">
      <c r="A539" s="58" t="str">
        <f>IFERROR(__xludf.DUMMYFUNCTION("""COMPUTED_VALUE"""),"201709785@est.umss.edu")</f>
        <v>201709785@est.umss.edu</v>
      </c>
      <c r="B539" s="58" t="str">
        <f>IFERROR(__xludf.DUMMYFUNCTION("""COMPUTED_VALUE"""),"CALIDAD")</f>
        <v>CALIDAD</v>
      </c>
      <c r="C539" s="58">
        <f>IFERROR(__xludf.DUMMYFUNCTION("""COMPUTED_VALUE"""),2.0)</f>
        <v>2</v>
      </c>
    </row>
    <row r="540">
      <c r="A540" s="58" t="str">
        <f>IFERROR(__xludf.DUMMYFUNCTION("""COMPUTED_VALUE"""),"201709785@est.umss.edu")</f>
        <v>201709785@est.umss.edu</v>
      </c>
      <c r="B540" s="58" t="str">
        <f>IFERROR(__xludf.DUMMYFUNCTION("""COMPUTED_VALUE"""),"DISEÑO")</f>
        <v>DISEÑO</v>
      </c>
      <c r="C540" s="58">
        <f>IFERROR(__xludf.DUMMYFUNCTION("""COMPUTED_VALUE"""),1.0)</f>
        <v>1</v>
      </c>
    </row>
    <row r="541">
      <c r="A541" s="58" t="str">
        <f>IFERROR(__xludf.DUMMYFUNCTION("""COMPUTED_VALUE"""),"201709785@est.umss.edu")</f>
        <v>201709785@est.umss.edu</v>
      </c>
      <c r="B541" s="58" t="str">
        <f>IFERROR(__xludf.DUMMYFUNCTION("""COMPUTED_VALUE"""),"FACTIBILIDAD")</f>
        <v>FACTIBILIDAD</v>
      </c>
      <c r="C541" s="58">
        <f>IFERROR(__xludf.DUMMYFUNCTION("""COMPUTED_VALUE"""),29.0)</f>
        <v>29</v>
      </c>
    </row>
    <row r="542">
      <c r="A542" s="58" t="str">
        <f>IFERROR(__xludf.DUMMYFUNCTION("""COMPUTED_VALUE"""),"201709785@est.umss.edu")</f>
        <v>201709785@est.umss.edu</v>
      </c>
      <c r="B542" s="58" t="str">
        <f>IFERROR(__xludf.DUMMYFUNCTION("""COMPUTED_VALUE"""),"INGENIERÍA DE MÉTODOS")</f>
        <v>INGENIERÍA DE MÉTODOS</v>
      </c>
      <c r="C542" s="58">
        <f>IFERROR(__xludf.DUMMYFUNCTION("""COMPUTED_VALUE"""),1.0)</f>
        <v>1</v>
      </c>
    </row>
    <row r="543">
      <c r="A543" s="58" t="str">
        <f>IFERROR(__xludf.DUMMYFUNCTION("""COMPUTED_VALUE"""),"201709785@est.umss.edu")</f>
        <v>201709785@est.umss.edu</v>
      </c>
      <c r="B543" s="58" t="str">
        <f>IFERROR(__xludf.DUMMYFUNCTION("""COMPUTED_VALUE"""),"MANTENIMIENTO")</f>
        <v>MANTENIMIENTO</v>
      </c>
      <c r="C543" s="58">
        <f>IFERROR(__xludf.DUMMYFUNCTION("""COMPUTED_VALUE"""),1.0)</f>
        <v>1</v>
      </c>
    </row>
    <row r="544">
      <c r="A544" s="58" t="str">
        <f>IFERROR(__xludf.DUMMYFUNCTION("""COMPUTED_VALUE"""),"201709785@est.umss.edu")</f>
        <v>201709785@est.umss.edu</v>
      </c>
      <c r="B544" s="58" t="str">
        <f>IFERROR(__xludf.DUMMYFUNCTION("""COMPUTED_VALUE"""),"SEGURIDAD INDUSTRIAL")</f>
        <v>SEGURIDAD INDUSTRIAL</v>
      </c>
      <c r="C544" s="58">
        <f>IFERROR(__xludf.DUMMYFUNCTION("""COMPUTED_VALUE"""),8.0)</f>
        <v>8</v>
      </c>
    </row>
    <row r="545">
      <c r="A545" s="58" t="str">
        <f>IFERROR(__xludf.DUMMYFUNCTION("""COMPUTED_VALUE"""),"201709786@est.umss.edu")</f>
        <v>201709786@est.umss.edu</v>
      </c>
      <c r="B545" s="58" t="str">
        <f>IFERROR(__xludf.DUMMYFUNCTION("""COMPUTED_VALUE"""),"FACTIBILIDAD")</f>
        <v>FACTIBILIDAD</v>
      </c>
      <c r="C545" s="58">
        <f>IFERROR(__xludf.DUMMYFUNCTION("""COMPUTED_VALUE"""),1.0)</f>
        <v>1</v>
      </c>
    </row>
    <row r="546">
      <c r="A546" s="58" t="str">
        <f>IFERROR(__xludf.DUMMYFUNCTION("""COMPUTED_VALUE"""),"201709789@est.umss.edu")</f>
        <v>201709789@est.umss.edu</v>
      </c>
      <c r="B546" s="58" t="str">
        <f>IFERROR(__xludf.DUMMYFUNCTION("""COMPUTED_VALUE"""),"CALIDAD")</f>
        <v>CALIDAD</v>
      </c>
      <c r="C546" s="58">
        <f>IFERROR(__xludf.DUMMYFUNCTION("""COMPUTED_VALUE"""),1.0)</f>
        <v>1</v>
      </c>
    </row>
    <row r="547">
      <c r="A547" s="58" t="str">
        <f>IFERROR(__xludf.DUMMYFUNCTION("""COMPUTED_VALUE"""),"201709789@est.umss.edu")</f>
        <v>201709789@est.umss.edu</v>
      </c>
      <c r="B547" s="58" t="str">
        <f>IFERROR(__xludf.DUMMYFUNCTION("""COMPUTED_VALUE"""),"SEGURIDAD INDUSTRIAL")</f>
        <v>SEGURIDAD INDUSTRIAL</v>
      </c>
      <c r="C547" s="58">
        <f>IFERROR(__xludf.DUMMYFUNCTION("""COMPUTED_VALUE"""),2.0)</f>
        <v>2</v>
      </c>
    </row>
    <row r="548">
      <c r="A548" s="58" t="str">
        <f>IFERROR(__xludf.DUMMYFUNCTION("""COMPUTED_VALUE"""),"201709790@est.umss.edu")</f>
        <v>201709790@est.umss.edu</v>
      </c>
      <c r="B548" s="58" t="str">
        <f>IFERROR(__xludf.DUMMYFUNCTION("""COMPUTED_VALUE"""),"INGENIERÍA DE MÉTODOS")</f>
        <v>INGENIERÍA DE MÉTODOS</v>
      </c>
      <c r="C548" s="58">
        <f>IFERROR(__xludf.DUMMYFUNCTION("""COMPUTED_VALUE"""),1.0)</f>
        <v>1</v>
      </c>
    </row>
    <row r="549">
      <c r="A549" s="58" t="str">
        <f>IFERROR(__xludf.DUMMYFUNCTION("""COMPUTED_VALUE"""),"201709790@est.umss.edu")</f>
        <v>201709790@est.umss.edu</v>
      </c>
      <c r="B549" s="58" t="str">
        <f>IFERROR(__xludf.DUMMYFUNCTION("""COMPUTED_VALUE"""),"OPTIMIZACIÓN")</f>
        <v>OPTIMIZACIÓN</v>
      </c>
      <c r="C549" s="58">
        <f>IFERROR(__xludf.DUMMYFUNCTION("""COMPUTED_VALUE"""),1.0)</f>
        <v>1</v>
      </c>
    </row>
    <row r="550">
      <c r="A550" s="58" t="str">
        <f>IFERROR(__xludf.DUMMYFUNCTION("""COMPUTED_VALUE"""),"201709792@est.umss.edu")</f>
        <v>201709792@est.umss.edu</v>
      </c>
      <c r="B550" s="58" t="str">
        <f>IFERROR(__xludf.DUMMYFUNCTION("""COMPUTED_VALUE"""),"FACTIBILIDAD")</f>
        <v>FACTIBILIDAD</v>
      </c>
      <c r="C550" s="58">
        <f>IFERROR(__xludf.DUMMYFUNCTION("""COMPUTED_VALUE"""),3.0)</f>
        <v>3</v>
      </c>
    </row>
    <row r="551">
      <c r="A551" s="58" t="str">
        <f>IFERROR(__xludf.DUMMYFUNCTION("""COMPUTED_VALUE"""),"201709792@est.umss.edu")</f>
        <v>201709792@est.umss.edu</v>
      </c>
      <c r="B551" s="58" t="str">
        <f>IFERROR(__xludf.DUMMYFUNCTION("""COMPUTED_VALUE"""),"SEGURIDAD INDUSTRIAL")</f>
        <v>SEGURIDAD INDUSTRIAL</v>
      </c>
      <c r="C551" s="58">
        <f>IFERROR(__xludf.DUMMYFUNCTION("""COMPUTED_VALUE"""),1.0)</f>
        <v>1</v>
      </c>
    </row>
    <row r="552">
      <c r="A552" s="58" t="str">
        <f>IFERROR(__xludf.DUMMYFUNCTION("""COMPUTED_VALUE"""),"201710272@est.umss.edu")</f>
        <v>201710272@est.umss.edu</v>
      </c>
      <c r="B552" s="58" t="str">
        <f>IFERROR(__xludf.DUMMYFUNCTION("""COMPUTED_VALUE"""),"FACTIBILIDAD")</f>
        <v>FACTIBILIDAD</v>
      </c>
      <c r="C552" s="58">
        <f>IFERROR(__xludf.DUMMYFUNCTION("""COMPUTED_VALUE"""),1.0)</f>
        <v>1</v>
      </c>
    </row>
    <row r="553">
      <c r="A553" s="58" t="str">
        <f>IFERROR(__xludf.DUMMYFUNCTION("""COMPUTED_VALUE"""),"201800035@est.umss.edu")</f>
        <v>201800035@est.umss.edu</v>
      </c>
      <c r="B553" s="58" t="str">
        <f>IFERROR(__xludf.DUMMYFUNCTION("""COMPUTED_VALUE"""),"CALIDAD")</f>
        <v>CALIDAD</v>
      </c>
      <c r="C553" s="58">
        <f>IFERROR(__xludf.DUMMYFUNCTION("""COMPUTED_VALUE"""),1.0)</f>
        <v>1</v>
      </c>
    </row>
    <row r="554">
      <c r="A554" s="58" t="str">
        <f>IFERROR(__xludf.DUMMYFUNCTION("""COMPUTED_VALUE"""),"201800035@est.umss.edu")</f>
        <v>201800035@est.umss.edu</v>
      </c>
      <c r="B554" s="58" t="str">
        <f>IFERROR(__xludf.DUMMYFUNCTION("""COMPUTED_VALUE"""),"FACTIBILIDAD")</f>
        <v>FACTIBILIDAD</v>
      </c>
      <c r="C554" s="58">
        <f>IFERROR(__xludf.DUMMYFUNCTION("""COMPUTED_VALUE"""),1.0)</f>
        <v>1</v>
      </c>
    </row>
    <row r="555">
      <c r="A555" s="58" t="str">
        <f>IFERROR(__xludf.DUMMYFUNCTION("""COMPUTED_VALUE"""),"201800035@est.umss.edu")</f>
        <v>201800035@est.umss.edu</v>
      </c>
      <c r="B555" s="58" t="str">
        <f>IFERROR(__xludf.DUMMYFUNCTION("""COMPUTED_VALUE"""),"GESTIÓN ESTRATÉGICA")</f>
        <v>GESTIÓN ESTRATÉGICA</v>
      </c>
      <c r="C555" s="58">
        <f>IFERROR(__xludf.DUMMYFUNCTION("""COMPUTED_VALUE"""),2.0)</f>
        <v>2</v>
      </c>
    </row>
    <row r="556">
      <c r="A556" s="58" t="str">
        <f>IFERROR(__xludf.DUMMYFUNCTION("""COMPUTED_VALUE"""),"201800226@est.umss.edu")</f>
        <v>201800226@est.umss.edu</v>
      </c>
      <c r="B556" s="58"/>
      <c r="C556" s="58">
        <f>IFERROR(__xludf.DUMMYFUNCTION("""COMPUTED_VALUE"""),0.0)</f>
        <v>0</v>
      </c>
    </row>
    <row r="557">
      <c r="A557" s="58" t="str">
        <f>IFERROR(__xludf.DUMMYFUNCTION("""COMPUTED_VALUE"""),"201800226@est.umss.edu")</f>
        <v>201800226@est.umss.edu</v>
      </c>
      <c r="B557" s="58" t="str">
        <f>IFERROR(__xludf.DUMMYFUNCTION("""COMPUTED_VALUE"""),"ACADÉMICOS")</f>
        <v>ACADÉMICOS</v>
      </c>
      <c r="C557" s="58">
        <f>IFERROR(__xludf.DUMMYFUNCTION("""COMPUTED_VALUE"""),1.0)</f>
        <v>1</v>
      </c>
    </row>
    <row r="558">
      <c r="A558" s="58" t="str">
        <f>IFERROR(__xludf.DUMMYFUNCTION("""COMPUTED_VALUE"""),"201800226@est.umss.edu")</f>
        <v>201800226@est.umss.edu</v>
      </c>
      <c r="B558" s="58" t="str">
        <f>IFERROR(__xludf.DUMMYFUNCTION("""COMPUTED_VALUE"""),"DISEÑO")</f>
        <v>DISEÑO</v>
      </c>
      <c r="C558" s="58">
        <f>IFERROR(__xludf.DUMMYFUNCTION("""COMPUTED_VALUE"""),1.0)</f>
        <v>1</v>
      </c>
    </row>
    <row r="559">
      <c r="A559" s="58" t="str">
        <f>IFERROR(__xludf.DUMMYFUNCTION("""COMPUTED_VALUE"""),"201800226@est.umss.edu")</f>
        <v>201800226@est.umss.edu</v>
      </c>
      <c r="B559" s="58" t="str">
        <f>IFERROR(__xludf.DUMMYFUNCTION("""COMPUTED_VALUE"""),"FACTIBILIDAD")</f>
        <v>FACTIBILIDAD</v>
      </c>
      <c r="C559" s="58">
        <f>IFERROR(__xludf.DUMMYFUNCTION("""COMPUTED_VALUE"""),21.0)</f>
        <v>21</v>
      </c>
    </row>
    <row r="560">
      <c r="A560" s="58" t="str">
        <f>IFERROR(__xludf.DUMMYFUNCTION("""COMPUTED_VALUE"""),"201800226@est.umss.edu")</f>
        <v>201800226@est.umss.edu</v>
      </c>
      <c r="B560" s="58" t="str">
        <f>IFERROR(__xludf.DUMMYFUNCTION("""COMPUTED_VALUE"""),"GESTIÓN ESTRATÉGICA")</f>
        <v>GESTIÓN ESTRATÉGICA</v>
      </c>
      <c r="C560" s="58">
        <f>IFERROR(__xludf.DUMMYFUNCTION("""COMPUTED_VALUE"""),4.0)</f>
        <v>4</v>
      </c>
    </row>
    <row r="561">
      <c r="A561" s="58" t="str">
        <f>IFERROR(__xludf.DUMMYFUNCTION("""COMPUTED_VALUE"""),"201800226@est.umss.edu")</f>
        <v>201800226@est.umss.edu</v>
      </c>
      <c r="B561" s="58" t="str">
        <f>IFERROR(__xludf.DUMMYFUNCTION("""COMPUTED_VALUE"""),"MANTENIMIENTO")</f>
        <v>MANTENIMIENTO</v>
      </c>
      <c r="C561" s="58">
        <f>IFERROR(__xludf.DUMMYFUNCTION("""COMPUTED_VALUE"""),2.0)</f>
        <v>2</v>
      </c>
    </row>
    <row r="562">
      <c r="A562" s="58" t="str">
        <f>IFERROR(__xludf.DUMMYFUNCTION("""COMPUTED_VALUE"""),"201800226@est.umss.edu")</f>
        <v>201800226@est.umss.edu</v>
      </c>
      <c r="B562" s="58" t="str">
        <f>IFERROR(__xludf.DUMMYFUNCTION("""COMPUTED_VALUE"""),"MARKETING/MERCADOTECNIA")</f>
        <v>MARKETING/MERCADOTECNIA</v>
      </c>
      <c r="C562" s="58">
        <f>IFERROR(__xludf.DUMMYFUNCTION("""COMPUTED_VALUE"""),1.0)</f>
        <v>1</v>
      </c>
    </row>
    <row r="563">
      <c r="A563" s="58" t="str">
        <f>IFERROR(__xludf.DUMMYFUNCTION("""COMPUTED_VALUE"""),"201800226@est.umss.edu")</f>
        <v>201800226@est.umss.edu</v>
      </c>
      <c r="B563" s="58" t="str">
        <f>IFERROR(__xludf.DUMMYFUNCTION("""COMPUTED_VALUE"""),"PLANIFICACIÓN Y CONTROL DE LA PRODUCCIÓN")</f>
        <v>PLANIFICACIÓN Y CONTROL DE LA PRODUCCIÓN</v>
      </c>
      <c r="C563" s="58">
        <f>IFERROR(__xludf.DUMMYFUNCTION("""COMPUTED_VALUE"""),4.0)</f>
        <v>4</v>
      </c>
    </row>
    <row r="564">
      <c r="A564" s="58" t="str">
        <f>IFERROR(__xludf.DUMMYFUNCTION("""COMPUTED_VALUE"""),"201800226@est.umss.edu")</f>
        <v>201800226@est.umss.edu</v>
      </c>
      <c r="B564" s="58" t="str">
        <f>IFERROR(__xludf.DUMMYFUNCTION("""COMPUTED_VALUE"""),"SEGURIDAD INDUSTRIAL")</f>
        <v>SEGURIDAD INDUSTRIAL</v>
      </c>
      <c r="C564" s="58">
        <f>IFERROR(__xludf.DUMMYFUNCTION("""COMPUTED_VALUE"""),4.0)</f>
        <v>4</v>
      </c>
    </row>
    <row r="565">
      <c r="A565" s="58" t="str">
        <f>IFERROR(__xludf.DUMMYFUNCTION("""COMPUTED_VALUE"""),"201800239@est.umms.edu")</f>
        <v>201800239@est.umms.edu</v>
      </c>
      <c r="B565" s="58" t="str">
        <f>IFERROR(__xludf.DUMMYFUNCTION("""COMPUTED_VALUE"""),"FACTIBILIDAD")</f>
        <v>FACTIBILIDAD</v>
      </c>
      <c r="C565" s="58">
        <f>IFERROR(__xludf.DUMMYFUNCTION("""COMPUTED_VALUE"""),1.0)</f>
        <v>1</v>
      </c>
    </row>
    <row r="566">
      <c r="A566" s="58" t="str">
        <f>IFERROR(__xludf.DUMMYFUNCTION("""COMPUTED_VALUE"""),"201800239@est.umss.edu")</f>
        <v>201800239@est.umss.edu</v>
      </c>
      <c r="B566" s="58" t="str">
        <f>IFERROR(__xludf.DUMMYFUNCTION("""COMPUTED_VALUE"""),"FACTIBILIDAD")</f>
        <v>FACTIBILIDAD</v>
      </c>
      <c r="C566" s="58">
        <f>IFERROR(__xludf.DUMMYFUNCTION("""COMPUTED_VALUE"""),1.0)</f>
        <v>1</v>
      </c>
    </row>
    <row r="567">
      <c r="A567" s="58" t="str">
        <f>IFERROR(__xludf.DUMMYFUNCTION("""COMPUTED_VALUE"""),"201800239@est.umss.edu")</f>
        <v>201800239@est.umss.edu</v>
      </c>
      <c r="B567" s="58" t="str">
        <f>IFERROR(__xludf.DUMMYFUNCTION("""COMPUTED_VALUE"""),"GESTIÓN ESTRATÉGICA")</f>
        <v>GESTIÓN ESTRATÉGICA</v>
      </c>
      <c r="C567" s="58">
        <f>IFERROR(__xludf.DUMMYFUNCTION("""COMPUTED_VALUE"""),3.0)</f>
        <v>3</v>
      </c>
    </row>
    <row r="568">
      <c r="A568" s="58" t="str">
        <f>IFERROR(__xludf.DUMMYFUNCTION("""COMPUTED_VALUE"""),"201800239@est.umss.edu")</f>
        <v>201800239@est.umss.edu</v>
      </c>
      <c r="B568" s="58" t="str">
        <f>IFERROR(__xludf.DUMMYFUNCTION("""COMPUTED_VALUE"""),"OTROS")</f>
        <v>OTROS</v>
      </c>
      <c r="C568" s="58">
        <f>IFERROR(__xludf.DUMMYFUNCTION("""COMPUTED_VALUE"""),2.0)</f>
        <v>2</v>
      </c>
    </row>
    <row r="569">
      <c r="A569" s="58" t="str">
        <f>IFERROR(__xludf.DUMMYFUNCTION("""COMPUTED_VALUE"""),"201800241@est.umss.edu")</f>
        <v>201800241@est.umss.edu</v>
      </c>
      <c r="B569" s="58" t="str">
        <f>IFERROR(__xludf.DUMMYFUNCTION("""COMPUTED_VALUE"""),"CALIDAD")</f>
        <v>CALIDAD</v>
      </c>
      <c r="C569" s="58">
        <f>IFERROR(__xludf.DUMMYFUNCTION("""COMPUTED_VALUE"""),1.0)</f>
        <v>1</v>
      </c>
    </row>
    <row r="570">
      <c r="A570" s="58" t="str">
        <f>IFERROR(__xludf.DUMMYFUNCTION("""COMPUTED_VALUE"""),"201800241@est.umss.edu")</f>
        <v>201800241@est.umss.edu</v>
      </c>
      <c r="B570" s="58" t="str">
        <f>IFERROR(__xludf.DUMMYFUNCTION("""COMPUTED_VALUE"""),"EVALUACIÓN TÉCNICA")</f>
        <v>EVALUACIÓN TÉCNICA</v>
      </c>
      <c r="C570" s="58">
        <f>IFERROR(__xludf.DUMMYFUNCTION("""COMPUTED_VALUE"""),1.0)</f>
        <v>1</v>
      </c>
    </row>
    <row r="571">
      <c r="A571" s="58" t="str">
        <f>IFERROR(__xludf.DUMMYFUNCTION("""COMPUTED_VALUE"""),"201800241@est.umss.edu")</f>
        <v>201800241@est.umss.edu</v>
      </c>
      <c r="B571" s="58" t="str">
        <f>IFERROR(__xludf.DUMMYFUNCTION("""COMPUTED_VALUE"""),"FACTIBILIDAD")</f>
        <v>FACTIBILIDAD</v>
      </c>
      <c r="C571" s="58">
        <f>IFERROR(__xludf.DUMMYFUNCTION("""COMPUTED_VALUE"""),2.0)</f>
        <v>2</v>
      </c>
    </row>
    <row r="572">
      <c r="A572" s="58" t="str">
        <f>IFERROR(__xludf.DUMMYFUNCTION("""COMPUTED_VALUE"""),"201800241@est.umss.edu")</f>
        <v>201800241@est.umss.edu</v>
      </c>
      <c r="B572" s="58" t="str">
        <f>IFERROR(__xludf.DUMMYFUNCTION("""COMPUTED_VALUE"""),"SEGURIDAD INDUSTRIAL")</f>
        <v>SEGURIDAD INDUSTRIAL</v>
      </c>
      <c r="C572" s="58">
        <f>IFERROR(__xludf.DUMMYFUNCTION("""COMPUTED_VALUE"""),1.0)</f>
        <v>1</v>
      </c>
    </row>
    <row r="573">
      <c r="A573" s="58" t="str">
        <f>IFERROR(__xludf.DUMMYFUNCTION("""COMPUTED_VALUE"""),"201800253@est.umss.edu")</f>
        <v>201800253@est.umss.edu</v>
      </c>
      <c r="B573" s="58" t="str">
        <f>IFERROR(__xludf.DUMMYFUNCTION("""COMPUTED_VALUE"""),"GESTIÓN ESTRATÉGICA")</f>
        <v>GESTIÓN ESTRATÉGICA</v>
      </c>
      <c r="C573" s="58">
        <f>IFERROR(__xludf.DUMMYFUNCTION("""COMPUTED_VALUE"""),1.0)</f>
        <v>1</v>
      </c>
    </row>
    <row r="574">
      <c r="A574" s="58" t="str">
        <f>IFERROR(__xludf.DUMMYFUNCTION("""COMPUTED_VALUE"""),"201800253@est.umss.edu")</f>
        <v>201800253@est.umss.edu</v>
      </c>
      <c r="B574" s="58" t="str">
        <f>IFERROR(__xludf.DUMMYFUNCTION("""COMPUTED_VALUE"""),"INGENIERÍA DE MÉTODOS")</f>
        <v>INGENIERÍA DE MÉTODOS</v>
      </c>
      <c r="C574" s="58">
        <f>IFERROR(__xludf.DUMMYFUNCTION("""COMPUTED_VALUE"""),12.0)</f>
        <v>12</v>
      </c>
    </row>
    <row r="575">
      <c r="A575" s="58" t="str">
        <f>IFERROR(__xludf.DUMMYFUNCTION("""COMPUTED_VALUE"""),"201800277@est.umss.edu")</f>
        <v>201800277@est.umss.edu</v>
      </c>
      <c r="B575" s="58" t="str">
        <f>IFERROR(__xludf.DUMMYFUNCTION("""COMPUTED_VALUE"""),"SEGURIDAD INDUSTRIAL")</f>
        <v>SEGURIDAD INDUSTRIAL</v>
      </c>
      <c r="C575" s="58">
        <f>IFERROR(__xludf.DUMMYFUNCTION("""COMPUTED_VALUE"""),8.0)</f>
        <v>8</v>
      </c>
    </row>
    <row r="576">
      <c r="A576" s="58" t="str">
        <f>IFERROR(__xludf.DUMMYFUNCTION("""COMPUTED_VALUE"""),"201800279@est.umss.edu")</f>
        <v>201800279@est.umss.edu</v>
      </c>
      <c r="B576" s="58"/>
      <c r="C576" s="58">
        <f>IFERROR(__xludf.DUMMYFUNCTION("""COMPUTED_VALUE"""),0.0)</f>
        <v>0</v>
      </c>
    </row>
    <row r="577">
      <c r="A577" s="58" t="str">
        <f>IFERROR(__xludf.DUMMYFUNCTION("""COMPUTED_VALUE"""),"201800279@est.umss.edu")</f>
        <v>201800279@est.umss.edu</v>
      </c>
      <c r="B577" s="58" t="str">
        <f>IFERROR(__xludf.DUMMYFUNCTION("""COMPUTED_VALUE"""),"CALIDAD")</f>
        <v>CALIDAD</v>
      </c>
      <c r="C577" s="58">
        <f>IFERROR(__xludf.DUMMYFUNCTION("""COMPUTED_VALUE"""),3.0)</f>
        <v>3</v>
      </c>
    </row>
    <row r="578">
      <c r="A578" s="58" t="str">
        <f>IFERROR(__xludf.DUMMYFUNCTION("""COMPUTED_VALUE"""),"201800279@est.umss.edu")</f>
        <v>201800279@est.umss.edu</v>
      </c>
      <c r="B578" s="58" t="str">
        <f>IFERROR(__xludf.DUMMYFUNCTION("""COMPUTED_VALUE"""),"FACTIBILIDAD")</f>
        <v>FACTIBILIDAD</v>
      </c>
      <c r="C578" s="58">
        <f>IFERROR(__xludf.DUMMYFUNCTION("""COMPUTED_VALUE"""),7.0)</f>
        <v>7</v>
      </c>
    </row>
    <row r="579">
      <c r="A579" s="58" t="str">
        <f>IFERROR(__xludf.DUMMYFUNCTION("""COMPUTED_VALUE"""),"201800279@est.umss.edu")</f>
        <v>201800279@est.umss.edu</v>
      </c>
      <c r="B579" s="58" t="str">
        <f>IFERROR(__xludf.DUMMYFUNCTION("""COMPUTED_VALUE"""),"INGENIERÍA DE MÉTODOS")</f>
        <v>INGENIERÍA DE MÉTODOS</v>
      </c>
      <c r="C579" s="58">
        <f>IFERROR(__xludf.DUMMYFUNCTION("""COMPUTED_VALUE"""),1.0)</f>
        <v>1</v>
      </c>
    </row>
    <row r="580">
      <c r="A580" s="58" t="str">
        <f>IFERROR(__xludf.DUMMYFUNCTION("""COMPUTED_VALUE"""),"201800279@est.umss.edu")</f>
        <v>201800279@est.umss.edu</v>
      </c>
      <c r="B580" s="58" t="str">
        <f>IFERROR(__xludf.DUMMYFUNCTION("""COMPUTED_VALUE"""),"SEGURIDAD INDUSTRIAL")</f>
        <v>SEGURIDAD INDUSTRIAL</v>
      </c>
      <c r="C580" s="58">
        <f>IFERROR(__xludf.DUMMYFUNCTION("""COMPUTED_VALUE"""),6.0)</f>
        <v>6</v>
      </c>
    </row>
    <row r="581">
      <c r="A581" s="58" t="str">
        <f>IFERROR(__xludf.DUMMYFUNCTION("""COMPUTED_VALUE"""),"201800280@est.umss.edu")</f>
        <v>201800280@est.umss.edu</v>
      </c>
      <c r="B581" s="58" t="str">
        <f>IFERROR(__xludf.DUMMYFUNCTION("""COMPUTED_VALUE"""),"CALIDAD")</f>
        <v>CALIDAD</v>
      </c>
      <c r="C581" s="58">
        <f>IFERROR(__xludf.DUMMYFUNCTION("""COMPUTED_VALUE"""),2.0)</f>
        <v>2</v>
      </c>
    </row>
    <row r="582">
      <c r="A582" s="58" t="str">
        <f>IFERROR(__xludf.DUMMYFUNCTION("""COMPUTED_VALUE"""),"201800280@est.umss.edu")</f>
        <v>201800280@est.umss.edu</v>
      </c>
      <c r="B582" s="58" t="str">
        <f>IFERROR(__xludf.DUMMYFUNCTION("""COMPUTED_VALUE"""),"FACTIBILIDAD")</f>
        <v>FACTIBILIDAD</v>
      </c>
      <c r="C582" s="58">
        <f>IFERROR(__xludf.DUMMYFUNCTION("""COMPUTED_VALUE"""),3.0)</f>
        <v>3</v>
      </c>
    </row>
    <row r="583">
      <c r="A583" s="58" t="str">
        <f>IFERROR(__xludf.DUMMYFUNCTION("""COMPUTED_VALUE"""),"201800280@est.umss.edu")</f>
        <v>201800280@est.umss.edu</v>
      </c>
      <c r="B583" s="58" t="str">
        <f>IFERROR(__xludf.DUMMYFUNCTION("""COMPUTED_VALUE"""),"INGENIERÍA DE MÉTODOS")</f>
        <v>INGENIERÍA DE MÉTODOS</v>
      </c>
      <c r="C583" s="58">
        <f>IFERROR(__xludf.DUMMYFUNCTION("""COMPUTED_VALUE"""),1.0)</f>
        <v>1</v>
      </c>
    </row>
    <row r="584">
      <c r="A584" s="58" t="str">
        <f>IFERROR(__xludf.DUMMYFUNCTION("""COMPUTED_VALUE"""),"201800280@est.umss.edu")</f>
        <v>201800280@est.umss.edu</v>
      </c>
      <c r="B584" s="58" t="str">
        <f>IFERROR(__xludf.DUMMYFUNCTION("""COMPUTED_VALUE"""),"SEGURIDAD INDUSTRIAL")</f>
        <v>SEGURIDAD INDUSTRIAL</v>
      </c>
      <c r="C584" s="58">
        <f>IFERROR(__xludf.DUMMYFUNCTION("""COMPUTED_VALUE"""),6.0)</f>
        <v>6</v>
      </c>
    </row>
    <row r="585">
      <c r="A585" s="58" t="str">
        <f>IFERROR(__xludf.DUMMYFUNCTION("""COMPUTED_VALUE"""),"201800283@est.umss.edu")</f>
        <v>201800283@est.umss.edu</v>
      </c>
      <c r="B585" s="58" t="str">
        <f>IFERROR(__xludf.DUMMYFUNCTION("""COMPUTED_VALUE"""),"CALIDAD")</f>
        <v>CALIDAD</v>
      </c>
      <c r="C585" s="58">
        <f>IFERROR(__xludf.DUMMYFUNCTION("""COMPUTED_VALUE"""),2.0)</f>
        <v>2</v>
      </c>
    </row>
    <row r="586">
      <c r="A586" s="58" t="str">
        <f>IFERROR(__xludf.DUMMYFUNCTION("""COMPUTED_VALUE"""),"201800283@est.umss.edu")</f>
        <v>201800283@est.umss.edu</v>
      </c>
      <c r="B586" s="58" t="str">
        <f>IFERROR(__xludf.DUMMYFUNCTION("""COMPUTED_VALUE"""),"FACTIBILIDAD")</f>
        <v>FACTIBILIDAD</v>
      </c>
      <c r="C586" s="58">
        <f>IFERROR(__xludf.DUMMYFUNCTION("""COMPUTED_VALUE"""),5.0)</f>
        <v>5</v>
      </c>
    </row>
    <row r="587">
      <c r="A587" s="58" t="str">
        <f>IFERROR(__xludf.DUMMYFUNCTION("""COMPUTED_VALUE"""),"201800283@est.umss.edu")</f>
        <v>201800283@est.umss.edu</v>
      </c>
      <c r="B587" s="58" t="str">
        <f>IFERROR(__xludf.DUMMYFUNCTION("""COMPUTED_VALUE"""),"INVESTIGACIÓN OPERATIVA")</f>
        <v>INVESTIGACIÓN OPERATIVA</v>
      </c>
      <c r="C587" s="58">
        <f>IFERROR(__xludf.DUMMYFUNCTION("""COMPUTED_VALUE"""),1.0)</f>
        <v>1</v>
      </c>
    </row>
    <row r="588">
      <c r="A588" s="58" t="str">
        <f>IFERROR(__xludf.DUMMYFUNCTION("""COMPUTED_VALUE"""),"201800283@est.umss.edu")</f>
        <v>201800283@est.umss.edu</v>
      </c>
      <c r="B588" s="58" t="str">
        <f>IFERROR(__xludf.DUMMYFUNCTION("""COMPUTED_VALUE"""),"PLANIFICACIÓN Y CONTROL DE LA PRODUCCIÓN")</f>
        <v>PLANIFICACIÓN Y CONTROL DE LA PRODUCCIÓN</v>
      </c>
      <c r="C588" s="58">
        <f>IFERROR(__xludf.DUMMYFUNCTION("""COMPUTED_VALUE"""),2.0)</f>
        <v>2</v>
      </c>
    </row>
    <row r="589">
      <c r="A589" s="58" t="str">
        <f>IFERROR(__xludf.DUMMYFUNCTION("""COMPUTED_VALUE"""),"201800283@est.umss.edu")</f>
        <v>201800283@est.umss.edu</v>
      </c>
      <c r="B589" s="58" t="str">
        <f>IFERROR(__xludf.DUMMYFUNCTION("""COMPUTED_VALUE"""),"SEGURIDAD INDUSTRIAL")</f>
        <v>SEGURIDAD INDUSTRIAL</v>
      </c>
      <c r="C589" s="58">
        <f>IFERROR(__xludf.DUMMYFUNCTION("""COMPUTED_VALUE"""),13.0)</f>
        <v>13</v>
      </c>
    </row>
    <row r="590">
      <c r="A590" s="58" t="str">
        <f>IFERROR(__xludf.DUMMYFUNCTION("""COMPUTED_VALUE"""),"201800584@est.umss.edu")</f>
        <v>201800584@est.umss.edu</v>
      </c>
      <c r="B590" s="58" t="str">
        <f>IFERROR(__xludf.DUMMYFUNCTION("""COMPUTED_VALUE"""),"FACTIBILIDAD")</f>
        <v>FACTIBILIDAD</v>
      </c>
      <c r="C590" s="58">
        <f>IFERROR(__xludf.DUMMYFUNCTION("""COMPUTED_VALUE"""),1.0)</f>
        <v>1</v>
      </c>
    </row>
    <row r="591">
      <c r="A591" s="58" t="str">
        <f>IFERROR(__xludf.DUMMYFUNCTION("""COMPUTED_VALUE"""),"201800584@est.umss.edu")</f>
        <v>201800584@est.umss.edu</v>
      </c>
      <c r="B591" s="58" t="str">
        <f>IFERROR(__xludf.DUMMYFUNCTION("""COMPUTED_VALUE"""),"MANTENIMIENTO")</f>
        <v>MANTENIMIENTO</v>
      </c>
      <c r="C591" s="58">
        <f>IFERROR(__xludf.DUMMYFUNCTION("""COMPUTED_VALUE"""),1.0)</f>
        <v>1</v>
      </c>
    </row>
    <row r="592">
      <c r="A592" s="58" t="str">
        <f>IFERROR(__xludf.DUMMYFUNCTION("""COMPUTED_VALUE"""),"201800584@est.umss.edu")</f>
        <v>201800584@est.umss.edu</v>
      </c>
      <c r="B592" s="58" t="str">
        <f>IFERROR(__xludf.DUMMYFUNCTION("""COMPUTED_VALUE"""),"OPTIMIZACIÓN")</f>
        <v>OPTIMIZACIÓN</v>
      </c>
      <c r="C592" s="58">
        <f>IFERROR(__xludf.DUMMYFUNCTION("""COMPUTED_VALUE"""),1.0)</f>
        <v>1</v>
      </c>
    </row>
    <row r="593">
      <c r="A593" s="58" t="str">
        <f>IFERROR(__xludf.DUMMYFUNCTION("""COMPUTED_VALUE"""),"201800849@est.umss.edu")</f>
        <v>201800849@est.umss.edu</v>
      </c>
      <c r="B593" s="58" t="str">
        <f>IFERROR(__xludf.DUMMYFUNCTION("""COMPUTED_VALUE"""),"GESTIÓN ESTRATÉGICA")</f>
        <v>GESTIÓN ESTRATÉGICA</v>
      </c>
      <c r="C593" s="58">
        <f>IFERROR(__xludf.DUMMYFUNCTION("""COMPUTED_VALUE"""),1.0)</f>
        <v>1</v>
      </c>
    </row>
    <row r="594">
      <c r="A594" s="58" t="str">
        <f>IFERROR(__xludf.DUMMYFUNCTION("""COMPUTED_VALUE"""),"201801359@est.umss.edu")</f>
        <v>201801359@est.umss.edu</v>
      </c>
      <c r="B594" s="58" t="str">
        <f>IFERROR(__xludf.DUMMYFUNCTION("""COMPUTED_VALUE"""),"OPTIMIZACIÓN")</f>
        <v>OPTIMIZACIÓN</v>
      </c>
      <c r="C594" s="58">
        <f>IFERROR(__xludf.DUMMYFUNCTION("""COMPUTED_VALUE"""),2.0)</f>
        <v>2</v>
      </c>
    </row>
    <row r="595">
      <c r="A595" s="58" t="str">
        <f>IFERROR(__xludf.DUMMYFUNCTION("""COMPUTED_VALUE"""),"201801363@est.umss.edu")</f>
        <v>201801363@est.umss.edu</v>
      </c>
      <c r="B595" s="58"/>
      <c r="C595" s="58">
        <f>IFERROR(__xludf.DUMMYFUNCTION("""COMPUTED_VALUE"""),0.0)</f>
        <v>0</v>
      </c>
    </row>
    <row r="596">
      <c r="A596" s="58" t="str">
        <f>IFERROR(__xludf.DUMMYFUNCTION("""COMPUTED_VALUE"""),"201801363@est.umss.edu")</f>
        <v>201801363@est.umss.edu</v>
      </c>
      <c r="B596" s="58" t="str">
        <f>IFERROR(__xludf.DUMMYFUNCTION("""COMPUTED_VALUE"""),"EVALUACIÓN TÉCNICA")</f>
        <v>EVALUACIÓN TÉCNICA</v>
      </c>
      <c r="C596" s="58">
        <f>IFERROR(__xludf.DUMMYFUNCTION("""COMPUTED_VALUE"""),1.0)</f>
        <v>1</v>
      </c>
    </row>
    <row r="597">
      <c r="A597" s="58" t="str">
        <f>IFERROR(__xludf.DUMMYFUNCTION("""COMPUTED_VALUE"""),"201801363@est.umss.edu")</f>
        <v>201801363@est.umss.edu</v>
      </c>
      <c r="B597" s="58" t="str">
        <f>IFERROR(__xludf.DUMMYFUNCTION("""COMPUTED_VALUE"""),"FACTIBILIDAD")</f>
        <v>FACTIBILIDAD</v>
      </c>
      <c r="C597" s="58">
        <f>IFERROR(__xludf.DUMMYFUNCTION("""COMPUTED_VALUE"""),24.0)</f>
        <v>24</v>
      </c>
    </row>
    <row r="598">
      <c r="A598" s="58" t="str">
        <f>IFERROR(__xludf.DUMMYFUNCTION("""COMPUTED_VALUE"""),"201801363@est.umss.edu")</f>
        <v>201801363@est.umss.edu</v>
      </c>
      <c r="B598" s="58" t="str">
        <f>IFERROR(__xludf.DUMMYFUNCTION("""COMPUTED_VALUE"""),"OPTIMIZACIÓN")</f>
        <v>OPTIMIZACIÓN</v>
      </c>
      <c r="C598" s="58">
        <f>IFERROR(__xludf.DUMMYFUNCTION("""COMPUTED_VALUE"""),2.0)</f>
        <v>2</v>
      </c>
    </row>
    <row r="599">
      <c r="A599" s="58" t="str">
        <f>IFERROR(__xludf.DUMMYFUNCTION("""COMPUTED_VALUE"""),"201801383@est.umss.edu")</f>
        <v>201801383@est.umss.edu</v>
      </c>
      <c r="B599" s="58" t="str">
        <f>IFERROR(__xludf.DUMMYFUNCTION("""COMPUTED_VALUE"""),"GESTIÓN ESTRATÉGICA")</f>
        <v>GESTIÓN ESTRATÉGICA</v>
      </c>
      <c r="C599" s="58">
        <f>IFERROR(__xludf.DUMMYFUNCTION("""COMPUTED_VALUE"""),1.0)</f>
        <v>1</v>
      </c>
    </row>
    <row r="600">
      <c r="A600" s="58" t="str">
        <f>IFERROR(__xludf.DUMMYFUNCTION("""COMPUTED_VALUE"""),"201801396@est.umss.edu")</f>
        <v>201801396@est.umss.edu</v>
      </c>
      <c r="B600" s="58"/>
      <c r="C600" s="58">
        <f>IFERROR(__xludf.DUMMYFUNCTION("""COMPUTED_VALUE"""),0.0)</f>
        <v>0</v>
      </c>
    </row>
    <row r="601">
      <c r="A601" s="58" t="str">
        <f>IFERROR(__xludf.DUMMYFUNCTION("""COMPUTED_VALUE"""),"201801396@est.umss.edu")</f>
        <v>201801396@est.umss.edu</v>
      </c>
      <c r="B601" s="58" t="str">
        <f>IFERROR(__xludf.DUMMYFUNCTION("""COMPUTED_VALUE"""),"CALIDAD")</f>
        <v>CALIDAD</v>
      </c>
      <c r="C601" s="58">
        <f>IFERROR(__xludf.DUMMYFUNCTION("""COMPUTED_VALUE"""),3.0)</f>
        <v>3</v>
      </c>
    </row>
    <row r="602">
      <c r="A602" s="58" t="str">
        <f>IFERROR(__xludf.DUMMYFUNCTION("""COMPUTED_VALUE"""),"201801396@est.umss.edu")</f>
        <v>201801396@est.umss.edu</v>
      </c>
      <c r="B602" s="58" t="str">
        <f>IFERROR(__xludf.DUMMYFUNCTION("""COMPUTED_VALUE"""),"FACTIBILIDAD")</f>
        <v>FACTIBILIDAD</v>
      </c>
      <c r="C602" s="58">
        <f>IFERROR(__xludf.DUMMYFUNCTION("""COMPUTED_VALUE"""),6.0)</f>
        <v>6</v>
      </c>
    </row>
    <row r="603">
      <c r="A603" s="58" t="str">
        <f>IFERROR(__xludf.DUMMYFUNCTION("""COMPUTED_VALUE"""),"201801396@est.umss.edu")</f>
        <v>201801396@est.umss.edu</v>
      </c>
      <c r="B603" s="58" t="str">
        <f>IFERROR(__xludf.DUMMYFUNCTION("""COMPUTED_VALUE"""),"GESTIÓN ESTRATÉGICA")</f>
        <v>GESTIÓN ESTRATÉGICA</v>
      </c>
      <c r="C603" s="58">
        <f>IFERROR(__xludf.DUMMYFUNCTION("""COMPUTED_VALUE"""),4.0)</f>
        <v>4</v>
      </c>
    </row>
    <row r="604">
      <c r="A604" s="58" t="str">
        <f>IFERROR(__xludf.DUMMYFUNCTION("""COMPUTED_VALUE"""),"201801396@est.umss.edu")</f>
        <v>201801396@est.umss.edu</v>
      </c>
      <c r="B604" s="58" t="str">
        <f>IFERROR(__xludf.DUMMYFUNCTION("""COMPUTED_VALUE"""),"OPTIMIZACIÓN")</f>
        <v>OPTIMIZACIÓN</v>
      </c>
      <c r="C604" s="58">
        <f>IFERROR(__xludf.DUMMYFUNCTION("""COMPUTED_VALUE"""),3.0)</f>
        <v>3</v>
      </c>
    </row>
    <row r="605">
      <c r="A605" s="58" t="str">
        <f>IFERROR(__xludf.DUMMYFUNCTION("""COMPUTED_VALUE"""),"201801396@est.umss.edu")</f>
        <v>201801396@est.umss.edu</v>
      </c>
      <c r="B605" s="58" t="str">
        <f>IFERROR(__xludf.DUMMYFUNCTION("""COMPUTED_VALUE"""),"ORGANIZACIÓN INDUSTRIAL")</f>
        <v>ORGANIZACIÓN INDUSTRIAL</v>
      </c>
      <c r="C605" s="58">
        <f>IFERROR(__xludf.DUMMYFUNCTION("""COMPUTED_VALUE"""),4.0)</f>
        <v>4</v>
      </c>
    </row>
    <row r="606">
      <c r="A606" s="58" t="str">
        <f>IFERROR(__xludf.DUMMYFUNCTION("""COMPUTED_VALUE"""),"201801396@est.umss.edu")</f>
        <v>201801396@est.umss.edu</v>
      </c>
      <c r="B606" s="58" t="str">
        <f>IFERROR(__xludf.DUMMYFUNCTION("""COMPUTED_VALUE"""),"SEGURIDAD INDUSTRIAL")</f>
        <v>SEGURIDAD INDUSTRIAL</v>
      </c>
      <c r="C606" s="58">
        <f>IFERROR(__xludf.DUMMYFUNCTION("""COMPUTED_VALUE"""),5.0)</f>
        <v>5</v>
      </c>
    </row>
    <row r="607">
      <c r="A607" s="58" t="str">
        <f>IFERROR(__xludf.DUMMYFUNCTION("""COMPUTED_VALUE"""),"201801400@est.umss.edu")</f>
        <v>201801400@est.umss.edu</v>
      </c>
      <c r="B607" s="58" t="str">
        <f>IFERROR(__xludf.DUMMYFUNCTION("""COMPUTED_VALUE"""),"CALIDAD")</f>
        <v>CALIDAD</v>
      </c>
      <c r="C607" s="58">
        <f>IFERROR(__xludf.DUMMYFUNCTION("""COMPUTED_VALUE"""),1.0)</f>
        <v>1</v>
      </c>
    </row>
    <row r="608">
      <c r="A608" s="58" t="str">
        <f>IFERROR(__xludf.DUMMYFUNCTION("""COMPUTED_VALUE"""),"201801400@est.umss.edu")</f>
        <v>201801400@est.umss.edu</v>
      </c>
      <c r="B608" s="58" t="str">
        <f>IFERROR(__xludf.DUMMYFUNCTION("""COMPUTED_VALUE"""),"EVALUACIÓN TÉCNICA")</f>
        <v>EVALUACIÓN TÉCNICA</v>
      </c>
      <c r="C608" s="58">
        <f>IFERROR(__xludf.DUMMYFUNCTION("""COMPUTED_VALUE"""),1.0)</f>
        <v>1</v>
      </c>
    </row>
    <row r="609">
      <c r="A609" s="58" t="str">
        <f>IFERROR(__xludf.DUMMYFUNCTION("""COMPUTED_VALUE"""),"201801400@est.umss.edu")</f>
        <v>201801400@est.umss.edu</v>
      </c>
      <c r="B609" s="58" t="str">
        <f>IFERROR(__xludf.DUMMYFUNCTION("""COMPUTED_VALUE"""),"FACTIBILIDAD")</f>
        <v>FACTIBILIDAD</v>
      </c>
      <c r="C609" s="58">
        <f>IFERROR(__xludf.DUMMYFUNCTION("""COMPUTED_VALUE"""),2.0)</f>
        <v>2</v>
      </c>
    </row>
    <row r="610">
      <c r="A610" s="58" t="str">
        <f>IFERROR(__xludf.DUMMYFUNCTION("""COMPUTED_VALUE"""),"201801400@est.umss.edu")</f>
        <v>201801400@est.umss.edu</v>
      </c>
      <c r="B610" s="58" t="str">
        <f>IFERROR(__xludf.DUMMYFUNCTION("""COMPUTED_VALUE"""),"INGENIERÍA DE MÉTODOS")</f>
        <v>INGENIERÍA DE MÉTODOS</v>
      </c>
      <c r="C610" s="58">
        <f>IFERROR(__xludf.DUMMYFUNCTION("""COMPUTED_VALUE"""),6.0)</f>
        <v>6</v>
      </c>
    </row>
    <row r="611">
      <c r="A611" s="58" t="str">
        <f>IFERROR(__xludf.DUMMYFUNCTION("""COMPUTED_VALUE"""),"201801400@est.umss.edu")</f>
        <v>201801400@est.umss.edu</v>
      </c>
      <c r="B611" s="58" t="str">
        <f>IFERROR(__xludf.DUMMYFUNCTION("""COMPUTED_VALUE"""),"OPTIMIZACIÓN")</f>
        <v>OPTIMIZACIÓN</v>
      </c>
      <c r="C611" s="58">
        <f>IFERROR(__xludf.DUMMYFUNCTION("""COMPUTED_VALUE"""),1.0)</f>
        <v>1</v>
      </c>
    </row>
    <row r="612">
      <c r="A612" s="58" t="str">
        <f>IFERROR(__xludf.DUMMYFUNCTION("""COMPUTED_VALUE"""),"201801400@est.umss.edu")</f>
        <v>201801400@est.umss.edu</v>
      </c>
      <c r="B612" s="58" t="str">
        <f>IFERROR(__xludf.DUMMYFUNCTION("""COMPUTED_VALUE"""),"PLANIFICACIÓN Y CONTROL DE LA PRODUCCIÓN")</f>
        <v>PLANIFICACIÓN Y CONTROL DE LA PRODUCCIÓN</v>
      </c>
      <c r="C612" s="58">
        <f>IFERROR(__xludf.DUMMYFUNCTION("""COMPUTED_VALUE"""),2.0)</f>
        <v>2</v>
      </c>
    </row>
    <row r="613">
      <c r="A613" s="58" t="str">
        <f>IFERROR(__xludf.DUMMYFUNCTION("""COMPUTED_VALUE"""),"201801400@est.umss.edu")</f>
        <v>201801400@est.umss.edu</v>
      </c>
      <c r="B613" s="58" t="str">
        <f>IFERROR(__xludf.DUMMYFUNCTION("""COMPUTED_VALUE"""),"SEGURIDAD INDUSTRIAL")</f>
        <v>SEGURIDAD INDUSTRIAL</v>
      </c>
      <c r="C613" s="58">
        <f>IFERROR(__xludf.DUMMYFUNCTION("""COMPUTED_VALUE"""),2.0)</f>
        <v>2</v>
      </c>
    </row>
    <row r="614">
      <c r="A614" s="58" t="str">
        <f>IFERROR(__xludf.DUMMYFUNCTION("""COMPUTED_VALUE"""),"201801403@est.umss.edu")</f>
        <v>201801403@est.umss.edu</v>
      </c>
      <c r="B614" s="58" t="str">
        <f>IFERROR(__xludf.DUMMYFUNCTION("""COMPUTED_VALUE"""),"FACTIBILIDAD")</f>
        <v>FACTIBILIDAD</v>
      </c>
      <c r="C614" s="58">
        <f>IFERROR(__xludf.DUMMYFUNCTION("""COMPUTED_VALUE"""),1.0)</f>
        <v>1</v>
      </c>
    </row>
    <row r="615">
      <c r="A615" s="58" t="str">
        <f>IFERROR(__xludf.DUMMYFUNCTION("""COMPUTED_VALUE"""),"201801409@est.umss.edu")</f>
        <v>201801409@est.umss.edu</v>
      </c>
      <c r="B615" s="58" t="str">
        <f>IFERROR(__xludf.DUMMYFUNCTION("""COMPUTED_VALUE"""),"CALIDAD")</f>
        <v>CALIDAD</v>
      </c>
      <c r="C615" s="58">
        <f>IFERROR(__xludf.DUMMYFUNCTION("""COMPUTED_VALUE"""),1.0)</f>
        <v>1</v>
      </c>
    </row>
    <row r="616">
      <c r="A616" s="58" t="str">
        <f>IFERROR(__xludf.DUMMYFUNCTION("""COMPUTED_VALUE"""),"201801409@est.umss.edu")</f>
        <v>201801409@est.umss.edu</v>
      </c>
      <c r="B616" s="58" t="str">
        <f>IFERROR(__xludf.DUMMYFUNCTION("""COMPUTED_VALUE"""),"FACTIBILIDAD")</f>
        <v>FACTIBILIDAD</v>
      </c>
      <c r="C616" s="58">
        <f>IFERROR(__xludf.DUMMYFUNCTION("""COMPUTED_VALUE"""),2.0)</f>
        <v>2</v>
      </c>
    </row>
    <row r="617">
      <c r="A617" s="58" t="str">
        <f>IFERROR(__xludf.DUMMYFUNCTION("""COMPUTED_VALUE"""),"201801409@est.umss.edu")</f>
        <v>201801409@est.umss.edu</v>
      </c>
      <c r="B617" s="58" t="str">
        <f>IFERROR(__xludf.DUMMYFUNCTION("""COMPUTED_VALUE"""),"INGENIERÍA DE MÉTODOS")</f>
        <v>INGENIERÍA DE MÉTODOS</v>
      </c>
      <c r="C617" s="58">
        <f>IFERROR(__xludf.DUMMYFUNCTION("""COMPUTED_VALUE"""),1.0)</f>
        <v>1</v>
      </c>
    </row>
    <row r="618">
      <c r="A618" s="58" t="str">
        <f>IFERROR(__xludf.DUMMYFUNCTION("""COMPUTED_VALUE"""),"201801409@est.umss.edu")</f>
        <v>201801409@est.umss.edu</v>
      </c>
      <c r="B618" s="58" t="str">
        <f>IFERROR(__xludf.DUMMYFUNCTION("""COMPUTED_VALUE"""),"MANTENIMIENTO")</f>
        <v>MANTENIMIENTO</v>
      </c>
      <c r="C618" s="58">
        <f>IFERROR(__xludf.DUMMYFUNCTION("""COMPUTED_VALUE"""),1.0)</f>
        <v>1</v>
      </c>
    </row>
    <row r="619">
      <c r="A619" s="58" t="str">
        <f>IFERROR(__xludf.DUMMYFUNCTION("""COMPUTED_VALUE"""),"201801409@est.umss.edu")</f>
        <v>201801409@est.umss.edu</v>
      </c>
      <c r="B619" s="58" t="str">
        <f>IFERROR(__xludf.DUMMYFUNCTION("""COMPUTED_VALUE"""),"SEGURIDAD INDUSTRIAL")</f>
        <v>SEGURIDAD INDUSTRIAL</v>
      </c>
      <c r="C619" s="58">
        <f>IFERROR(__xludf.DUMMYFUNCTION("""COMPUTED_VALUE"""),3.0)</f>
        <v>3</v>
      </c>
    </row>
    <row r="620">
      <c r="A620" s="58" t="str">
        <f>IFERROR(__xludf.DUMMYFUNCTION("""COMPUTED_VALUE"""),"201801413@est.umss.edu")</f>
        <v>201801413@est.umss.edu</v>
      </c>
      <c r="B620" s="58" t="str">
        <f>IFERROR(__xludf.DUMMYFUNCTION("""COMPUTED_VALUE"""),"ACADÉMICOS")</f>
        <v>ACADÉMICOS</v>
      </c>
      <c r="C620" s="58">
        <f>IFERROR(__xludf.DUMMYFUNCTION("""COMPUTED_VALUE"""),1.0)</f>
        <v>1</v>
      </c>
    </row>
    <row r="621">
      <c r="A621" s="58" t="str">
        <f>IFERROR(__xludf.DUMMYFUNCTION("""COMPUTED_VALUE"""),"201801413@est.umss.edu")</f>
        <v>201801413@est.umss.edu</v>
      </c>
      <c r="B621" s="58" t="str">
        <f>IFERROR(__xludf.DUMMYFUNCTION("""COMPUTED_VALUE"""),"CALIDAD")</f>
        <v>CALIDAD</v>
      </c>
      <c r="C621" s="58">
        <f>IFERROR(__xludf.DUMMYFUNCTION("""COMPUTED_VALUE"""),1.0)</f>
        <v>1</v>
      </c>
    </row>
    <row r="622">
      <c r="A622" s="58" t="str">
        <f>IFERROR(__xludf.DUMMYFUNCTION("""COMPUTED_VALUE"""),"201801413@est.umss.edu")</f>
        <v>201801413@est.umss.edu</v>
      </c>
      <c r="B622" s="58" t="str">
        <f>IFERROR(__xludf.DUMMYFUNCTION("""COMPUTED_VALUE"""),"FACTIBILIDAD")</f>
        <v>FACTIBILIDAD</v>
      </c>
      <c r="C622" s="58">
        <f>IFERROR(__xludf.DUMMYFUNCTION("""COMPUTED_VALUE"""),1.0)</f>
        <v>1</v>
      </c>
    </row>
    <row r="623">
      <c r="A623" s="58" t="str">
        <f>IFERROR(__xludf.DUMMYFUNCTION("""COMPUTED_VALUE"""),"201801413@est.umss.edu")</f>
        <v>201801413@est.umss.edu</v>
      </c>
      <c r="B623" s="58" t="str">
        <f>IFERROR(__xludf.DUMMYFUNCTION("""COMPUTED_VALUE"""),"INGENIERÍA DE MÉTODOS")</f>
        <v>INGENIERÍA DE MÉTODOS</v>
      </c>
      <c r="C623" s="58">
        <f>IFERROR(__xludf.DUMMYFUNCTION("""COMPUTED_VALUE"""),1.0)</f>
        <v>1</v>
      </c>
    </row>
    <row r="624">
      <c r="A624" s="58" t="str">
        <f>IFERROR(__xludf.DUMMYFUNCTION("""COMPUTED_VALUE"""),"201801413@est.umss.edu")</f>
        <v>201801413@est.umss.edu</v>
      </c>
      <c r="B624" s="58" t="str">
        <f>IFERROR(__xludf.DUMMYFUNCTION("""COMPUTED_VALUE"""),"OPTIMIZACIÓN")</f>
        <v>OPTIMIZACIÓN</v>
      </c>
      <c r="C624" s="58">
        <f>IFERROR(__xludf.DUMMYFUNCTION("""COMPUTED_VALUE"""),1.0)</f>
        <v>1</v>
      </c>
    </row>
    <row r="625">
      <c r="A625" s="58" t="str">
        <f>IFERROR(__xludf.DUMMYFUNCTION("""COMPUTED_VALUE"""),"201801413@est.umss.edu")</f>
        <v>201801413@est.umss.edu</v>
      </c>
      <c r="B625" s="58" t="str">
        <f>IFERROR(__xludf.DUMMYFUNCTION("""COMPUTED_VALUE"""),"OTROS")</f>
        <v>OTROS</v>
      </c>
      <c r="C625" s="58">
        <f>IFERROR(__xludf.DUMMYFUNCTION("""COMPUTED_VALUE"""),4.0)</f>
        <v>4</v>
      </c>
    </row>
    <row r="626">
      <c r="A626" s="58" t="str">
        <f>IFERROR(__xludf.DUMMYFUNCTION("""COMPUTED_VALUE"""),"201801413@est.umss.edu")</f>
        <v>201801413@est.umss.edu</v>
      </c>
      <c r="B626" s="58" t="str">
        <f>IFERROR(__xludf.DUMMYFUNCTION("""COMPUTED_VALUE"""),"PLANIFICACIÓN Y CONTROL DE LA PRODUCCIÓN")</f>
        <v>PLANIFICACIÓN Y CONTROL DE LA PRODUCCIÓN</v>
      </c>
      <c r="C626" s="58">
        <f>IFERROR(__xludf.DUMMYFUNCTION("""COMPUTED_VALUE"""),2.0)</f>
        <v>2</v>
      </c>
    </row>
    <row r="627">
      <c r="A627" s="58" t="str">
        <f>IFERROR(__xludf.DUMMYFUNCTION("""COMPUTED_VALUE"""),"201801413@est.umss.edu")</f>
        <v>201801413@est.umss.edu</v>
      </c>
      <c r="B627" s="58" t="str">
        <f>IFERROR(__xludf.DUMMYFUNCTION("""COMPUTED_VALUE"""),"SEGURIDAD INDUSTRIAL")</f>
        <v>SEGURIDAD INDUSTRIAL</v>
      </c>
      <c r="C627" s="58">
        <f>IFERROR(__xludf.DUMMYFUNCTION("""COMPUTED_VALUE"""),3.0)</f>
        <v>3</v>
      </c>
    </row>
    <row r="628">
      <c r="A628" s="58" t="str">
        <f>IFERROR(__xludf.DUMMYFUNCTION("""COMPUTED_VALUE"""),"201801422@est.umss.edu")</f>
        <v>201801422@est.umss.edu</v>
      </c>
      <c r="B628" s="58" t="str">
        <f>IFERROR(__xludf.DUMMYFUNCTION("""COMPUTED_VALUE"""),"ACADÉMICOS")</f>
        <v>ACADÉMICOS</v>
      </c>
      <c r="C628" s="58">
        <f>IFERROR(__xludf.DUMMYFUNCTION("""COMPUTED_VALUE"""),3.0)</f>
        <v>3</v>
      </c>
    </row>
    <row r="629">
      <c r="A629" s="58" t="str">
        <f>IFERROR(__xludf.DUMMYFUNCTION("""COMPUTED_VALUE"""),"201801422@est.umss.edu")</f>
        <v>201801422@est.umss.edu</v>
      </c>
      <c r="B629" s="58" t="str">
        <f>IFERROR(__xludf.DUMMYFUNCTION("""COMPUTED_VALUE"""),"FACTIBILIDAD")</f>
        <v>FACTIBILIDAD</v>
      </c>
      <c r="C629" s="58">
        <f>IFERROR(__xludf.DUMMYFUNCTION("""COMPUTED_VALUE"""),1.0)</f>
        <v>1</v>
      </c>
    </row>
    <row r="630">
      <c r="A630" s="58" t="str">
        <f>IFERROR(__xludf.DUMMYFUNCTION("""COMPUTED_VALUE"""),"201801422@est.umss.edu")</f>
        <v>201801422@est.umss.edu</v>
      </c>
      <c r="B630" s="58" t="str">
        <f>IFERROR(__xludf.DUMMYFUNCTION("""COMPUTED_VALUE"""),"GESTIÓN ESTRATÉGICA")</f>
        <v>GESTIÓN ESTRATÉGICA</v>
      </c>
      <c r="C630" s="58">
        <f>IFERROR(__xludf.DUMMYFUNCTION("""COMPUTED_VALUE"""),4.0)</f>
        <v>4</v>
      </c>
    </row>
    <row r="631">
      <c r="A631" s="58" t="str">
        <f>IFERROR(__xludf.DUMMYFUNCTION("""COMPUTED_VALUE"""),"201801422@est.umss.edu")</f>
        <v>201801422@est.umss.edu</v>
      </c>
      <c r="B631" s="58" t="str">
        <f>IFERROR(__xludf.DUMMYFUNCTION("""COMPUTED_VALUE"""),"INGENIERÍA DE MÉTODOS")</f>
        <v>INGENIERÍA DE MÉTODOS</v>
      </c>
      <c r="C631" s="58">
        <f>IFERROR(__xludf.DUMMYFUNCTION("""COMPUTED_VALUE"""),3.0)</f>
        <v>3</v>
      </c>
    </row>
    <row r="632">
      <c r="A632" s="58" t="str">
        <f>IFERROR(__xludf.DUMMYFUNCTION("""COMPUTED_VALUE"""),"201801422@est.umss.edu")</f>
        <v>201801422@est.umss.edu</v>
      </c>
      <c r="B632" s="58" t="str">
        <f>IFERROR(__xludf.DUMMYFUNCTION("""COMPUTED_VALUE"""),"INVESTIGACIÓN OPERATIVA")</f>
        <v>INVESTIGACIÓN OPERATIVA</v>
      </c>
      <c r="C632" s="58">
        <f>IFERROR(__xludf.DUMMYFUNCTION("""COMPUTED_VALUE"""),2.0)</f>
        <v>2</v>
      </c>
    </row>
    <row r="633">
      <c r="A633" s="58" t="str">
        <f>IFERROR(__xludf.DUMMYFUNCTION("""COMPUTED_VALUE"""),"201801422@est.umss.edu")</f>
        <v>201801422@est.umss.edu</v>
      </c>
      <c r="B633" s="58" t="str">
        <f>IFERROR(__xludf.DUMMYFUNCTION("""COMPUTED_VALUE"""),"MANTENIMIENTO")</f>
        <v>MANTENIMIENTO</v>
      </c>
      <c r="C633" s="58">
        <f>IFERROR(__xludf.DUMMYFUNCTION("""COMPUTED_VALUE"""),1.0)</f>
        <v>1</v>
      </c>
    </row>
    <row r="634">
      <c r="A634" s="58" t="str">
        <f>IFERROR(__xludf.DUMMYFUNCTION("""COMPUTED_VALUE"""),"201801427@est.umss.edu")</f>
        <v>201801427@est.umss.edu</v>
      </c>
      <c r="B634" s="58" t="str">
        <f>IFERROR(__xludf.DUMMYFUNCTION("""COMPUTED_VALUE"""),"FACTIBILIDAD")</f>
        <v>FACTIBILIDAD</v>
      </c>
      <c r="C634" s="58">
        <f>IFERROR(__xludf.DUMMYFUNCTION("""COMPUTED_VALUE"""),5.0)</f>
        <v>5</v>
      </c>
    </row>
    <row r="635">
      <c r="A635" s="58" t="str">
        <f>IFERROR(__xludf.DUMMYFUNCTION("""COMPUTED_VALUE"""),"201801806@est.umss.edu")</f>
        <v>201801806@est.umss.edu</v>
      </c>
      <c r="B635" s="58"/>
      <c r="C635" s="58">
        <f>IFERROR(__xludf.DUMMYFUNCTION("""COMPUTED_VALUE"""),0.0)</f>
        <v>0</v>
      </c>
    </row>
    <row r="636">
      <c r="A636" s="58" t="str">
        <f>IFERROR(__xludf.DUMMYFUNCTION("""COMPUTED_VALUE"""),"201801806@est.umss.edu")</f>
        <v>201801806@est.umss.edu</v>
      </c>
      <c r="B636" s="58" t="str">
        <f>IFERROR(__xludf.DUMMYFUNCTION("""COMPUTED_VALUE"""),"FACTIBILIDAD")</f>
        <v>FACTIBILIDAD</v>
      </c>
      <c r="C636" s="58">
        <f>IFERROR(__xludf.DUMMYFUNCTION("""COMPUTED_VALUE"""),11.0)</f>
        <v>11</v>
      </c>
    </row>
    <row r="637">
      <c r="A637" s="58" t="str">
        <f>IFERROR(__xludf.DUMMYFUNCTION("""COMPUTED_VALUE"""),"201801806@est.umss.edu")</f>
        <v>201801806@est.umss.edu</v>
      </c>
      <c r="B637" s="58" t="str">
        <f>IFERROR(__xludf.DUMMYFUNCTION("""COMPUTED_VALUE"""),"GESTIÓN ESTRATÉGICA")</f>
        <v>GESTIÓN ESTRATÉGICA</v>
      </c>
      <c r="C637" s="58">
        <f>IFERROR(__xludf.DUMMYFUNCTION("""COMPUTED_VALUE"""),3.0)</f>
        <v>3</v>
      </c>
    </row>
    <row r="638">
      <c r="A638" s="58" t="str">
        <f>IFERROR(__xludf.DUMMYFUNCTION("""COMPUTED_VALUE"""),"201801806@est.umss.edu")</f>
        <v>201801806@est.umss.edu</v>
      </c>
      <c r="B638" s="58" t="str">
        <f>IFERROR(__xludf.DUMMYFUNCTION("""COMPUTED_VALUE"""),"PLAN DE NEGOCIOS")</f>
        <v>PLAN DE NEGOCIOS</v>
      </c>
      <c r="C638" s="58">
        <f>IFERROR(__xludf.DUMMYFUNCTION("""COMPUTED_VALUE"""),1.0)</f>
        <v>1</v>
      </c>
    </row>
    <row r="639">
      <c r="A639" s="58" t="str">
        <f>IFERROR(__xludf.DUMMYFUNCTION("""COMPUTED_VALUE"""),"201801806@est.umss.edu")</f>
        <v>201801806@est.umss.edu</v>
      </c>
      <c r="B639" s="58" t="str">
        <f>IFERROR(__xludf.DUMMYFUNCTION("""COMPUTED_VALUE"""),"SEGURIDAD INDUSTRIAL")</f>
        <v>SEGURIDAD INDUSTRIAL</v>
      </c>
      <c r="C639" s="58">
        <f>IFERROR(__xludf.DUMMYFUNCTION("""COMPUTED_VALUE"""),16.0)</f>
        <v>16</v>
      </c>
    </row>
    <row r="640">
      <c r="A640" s="58" t="str">
        <f>IFERROR(__xludf.DUMMYFUNCTION("""COMPUTED_VALUE"""),"201802048@est.umss.edu")</f>
        <v>201802048@est.umss.edu</v>
      </c>
      <c r="B640" s="58" t="str">
        <f>IFERROR(__xludf.DUMMYFUNCTION("""COMPUTED_VALUE"""),"CALIDAD")</f>
        <v>CALIDAD</v>
      </c>
      <c r="C640" s="58">
        <f>IFERROR(__xludf.DUMMYFUNCTION("""COMPUTED_VALUE"""),6.0)</f>
        <v>6</v>
      </c>
    </row>
    <row r="641">
      <c r="A641" s="58" t="str">
        <f>IFERROR(__xludf.DUMMYFUNCTION("""COMPUTED_VALUE"""),"201802048@est.umss.edu")</f>
        <v>201802048@est.umss.edu</v>
      </c>
      <c r="B641" s="58" t="str">
        <f>IFERROR(__xludf.DUMMYFUNCTION("""COMPUTED_VALUE"""),"EVALUACIÓN TÉCNICA")</f>
        <v>EVALUACIÓN TÉCNICA</v>
      </c>
      <c r="C641" s="58">
        <f>IFERROR(__xludf.DUMMYFUNCTION("""COMPUTED_VALUE"""),1.0)</f>
        <v>1</v>
      </c>
    </row>
    <row r="642">
      <c r="A642" s="58" t="str">
        <f>IFERROR(__xludf.DUMMYFUNCTION("""COMPUTED_VALUE"""),"201802048@est.umss.edu")</f>
        <v>201802048@est.umss.edu</v>
      </c>
      <c r="B642" s="58" t="str">
        <f>IFERROR(__xludf.DUMMYFUNCTION("""COMPUTED_VALUE"""),"FACTIBILIDAD")</f>
        <v>FACTIBILIDAD</v>
      </c>
      <c r="C642" s="58">
        <f>IFERROR(__xludf.DUMMYFUNCTION("""COMPUTED_VALUE"""),3.0)</f>
        <v>3</v>
      </c>
    </row>
    <row r="643">
      <c r="A643" s="58" t="str">
        <f>IFERROR(__xludf.DUMMYFUNCTION("""COMPUTED_VALUE"""),"201802048@est.umss.edu")</f>
        <v>201802048@est.umss.edu</v>
      </c>
      <c r="B643" s="58" t="str">
        <f>IFERROR(__xludf.DUMMYFUNCTION("""COMPUTED_VALUE"""),"GESTIÓN ESTRATÉGICA")</f>
        <v>GESTIÓN ESTRATÉGICA</v>
      </c>
      <c r="C643" s="58">
        <f>IFERROR(__xludf.DUMMYFUNCTION("""COMPUTED_VALUE"""),1.0)</f>
        <v>1</v>
      </c>
    </row>
    <row r="644">
      <c r="A644" s="58" t="str">
        <f>IFERROR(__xludf.DUMMYFUNCTION("""COMPUTED_VALUE"""),"201802048@est.umss.edu")</f>
        <v>201802048@est.umss.edu</v>
      </c>
      <c r="B644" s="58" t="str">
        <f>IFERROR(__xludf.DUMMYFUNCTION("""COMPUTED_VALUE"""),"INVESTIGACIÓN OPERATIVA")</f>
        <v>INVESTIGACIÓN OPERATIVA</v>
      </c>
      <c r="C644" s="58">
        <f>IFERROR(__xludf.DUMMYFUNCTION("""COMPUTED_VALUE"""),1.0)</f>
        <v>1</v>
      </c>
    </row>
    <row r="645">
      <c r="A645" s="58" t="str">
        <f>IFERROR(__xludf.DUMMYFUNCTION("""COMPUTED_VALUE"""),"201802048@est.umss.edu")</f>
        <v>201802048@est.umss.edu</v>
      </c>
      <c r="B645" s="58" t="str">
        <f>IFERROR(__xludf.DUMMYFUNCTION("""COMPUTED_VALUE"""),"MANTENIMIENTO")</f>
        <v>MANTENIMIENTO</v>
      </c>
      <c r="C645" s="58">
        <f>IFERROR(__xludf.DUMMYFUNCTION("""COMPUTED_VALUE"""),1.0)</f>
        <v>1</v>
      </c>
    </row>
    <row r="646">
      <c r="A646" s="58" t="str">
        <f>IFERROR(__xludf.DUMMYFUNCTION("""COMPUTED_VALUE"""),"201802048@est.umss.edu")</f>
        <v>201802048@est.umss.edu</v>
      </c>
      <c r="B646" s="58" t="str">
        <f>IFERROR(__xludf.DUMMYFUNCTION("""COMPUTED_VALUE"""),"PLANIFICACIÓN Y CONTROL DE LA PRODUCCIÓN")</f>
        <v>PLANIFICACIÓN Y CONTROL DE LA PRODUCCIÓN</v>
      </c>
      <c r="C646" s="58">
        <f>IFERROR(__xludf.DUMMYFUNCTION("""COMPUTED_VALUE"""),5.0)</f>
        <v>5</v>
      </c>
    </row>
    <row r="647">
      <c r="A647" s="58" t="str">
        <f>IFERROR(__xludf.DUMMYFUNCTION("""COMPUTED_VALUE"""),"201802048@est.umss.edu")</f>
        <v>201802048@est.umss.edu</v>
      </c>
      <c r="B647" s="58" t="str">
        <f>IFERROR(__xludf.DUMMYFUNCTION("""COMPUTED_VALUE"""),"PROCESOS INDUSTRIALES")</f>
        <v>PROCESOS INDUSTRIALES</v>
      </c>
      <c r="C647" s="58">
        <f>IFERROR(__xludf.DUMMYFUNCTION("""COMPUTED_VALUE"""),1.0)</f>
        <v>1</v>
      </c>
    </row>
    <row r="648">
      <c r="A648" s="58" t="str">
        <f>IFERROR(__xludf.DUMMYFUNCTION("""COMPUTED_VALUE"""),"201802048@est.umss.edu")</f>
        <v>201802048@est.umss.edu</v>
      </c>
      <c r="B648" s="58" t="str">
        <f>IFERROR(__xludf.DUMMYFUNCTION("""COMPUTED_VALUE"""),"RECURSOS HUMANOS")</f>
        <v>RECURSOS HUMANOS</v>
      </c>
      <c r="C648" s="58">
        <f>IFERROR(__xludf.DUMMYFUNCTION("""COMPUTED_VALUE"""),3.0)</f>
        <v>3</v>
      </c>
    </row>
    <row r="649">
      <c r="A649" s="58" t="str">
        <f>IFERROR(__xludf.DUMMYFUNCTION("""COMPUTED_VALUE"""),"201802048@est.umss.edu")</f>
        <v>201802048@est.umss.edu</v>
      </c>
      <c r="B649" s="58" t="str">
        <f>IFERROR(__xludf.DUMMYFUNCTION("""COMPUTED_VALUE"""),"SEGURIDAD INDUSTRIAL")</f>
        <v>SEGURIDAD INDUSTRIAL</v>
      </c>
      <c r="C649" s="58">
        <f>IFERROR(__xludf.DUMMYFUNCTION("""COMPUTED_VALUE"""),2.0)</f>
        <v>2</v>
      </c>
    </row>
    <row r="650">
      <c r="A650" s="58" t="str">
        <f>IFERROR(__xludf.DUMMYFUNCTION("""COMPUTED_VALUE"""),"201802048@est.umss.edu")</f>
        <v>201802048@est.umss.edu</v>
      </c>
      <c r="B650" s="58" t="str">
        <f>IFERROR(__xludf.DUMMYFUNCTION("""COMPUTED_VALUE"""),"SISTEMAS DE INFORMACIÓN")</f>
        <v>SISTEMAS DE INFORMACIÓN</v>
      </c>
      <c r="C650" s="58">
        <f>IFERROR(__xludf.DUMMYFUNCTION("""COMPUTED_VALUE"""),4.0)</f>
        <v>4</v>
      </c>
    </row>
    <row r="651">
      <c r="A651" s="58" t="str">
        <f>IFERROR(__xludf.DUMMYFUNCTION("""COMPUTED_VALUE"""),"201802059@est.umss.edu")</f>
        <v>201802059@est.umss.edu</v>
      </c>
      <c r="B651" s="58" t="str">
        <f>IFERROR(__xludf.DUMMYFUNCTION("""COMPUTED_VALUE"""),"DISEÑO")</f>
        <v>DISEÑO</v>
      </c>
      <c r="C651" s="58">
        <f>IFERROR(__xludf.DUMMYFUNCTION("""COMPUTED_VALUE"""),1.0)</f>
        <v>1</v>
      </c>
    </row>
    <row r="652">
      <c r="A652" s="58" t="str">
        <f>IFERROR(__xludf.DUMMYFUNCTION("""COMPUTED_VALUE"""),"201802059@est.umss.edu")</f>
        <v>201802059@est.umss.edu</v>
      </c>
      <c r="B652" s="58" t="str">
        <f>IFERROR(__xludf.DUMMYFUNCTION("""COMPUTED_VALUE"""),"FACTIBILIDAD")</f>
        <v>FACTIBILIDAD</v>
      </c>
      <c r="C652" s="58">
        <f>IFERROR(__xludf.DUMMYFUNCTION("""COMPUTED_VALUE"""),4.0)</f>
        <v>4</v>
      </c>
    </row>
    <row r="653">
      <c r="A653" s="58" t="str">
        <f>IFERROR(__xludf.DUMMYFUNCTION("""COMPUTED_VALUE"""),"201802059@est.umss.edu")</f>
        <v>201802059@est.umss.edu</v>
      </c>
      <c r="B653" s="58" t="str">
        <f>IFERROR(__xludf.DUMMYFUNCTION("""COMPUTED_VALUE"""),"GESTIÓN ESTRATÉGICA")</f>
        <v>GESTIÓN ESTRATÉGICA</v>
      </c>
      <c r="C653" s="58">
        <f>IFERROR(__xludf.DUMMYFUNCTION("""COMPUTED_VALUE"""),4.0)</f>
        <v>4</v>
      </c>
    </row>
    <row r="654">
      <c r="A654" s="58" t="str">
        <f>IFERROR(__xludf.DUMMYFUNCTION("""COMPUTED_VALUE"""),"201802059@est.umss.edu")</f>
        <v>201802059@est.umss.edu</v>
      </c>
      <c r="B654" s="58" t="str">
        <f>IFERROR(__xludf.DUMMYFUNCTION("""COMPUTED_VALUE"""),"ORGANIZACIÓN INDUSTRIAL")</f>
        <v>ORGANIZACIÓN INDUSTRIAL</v>
      </c>
      <c r="C654" s="58">
        <f>IFERROR(__xludf.DUMMYFUNCTION("""COMPUTED_VALUE"""),1.0)</f>
        <v>1</v>
      </c>
    </row>
    <row r="655">
      <c r="A655" s="58" t="str">
        <f>IFERROR(__xludf.DUMMYFUNCTION("""COMPUTED_VALUE"""),"201802059@est.umss.edu")</f>
        <v>201802059@est.umss.edu</v>
      </c>
      <c r="B655" s="58" t="str">
        <f>IFERROR(__xludf.DUMMYFUNCTION("""COMPUTED_VALUE"""),"PLANIFICACIÓN Y CONTROL DE LA PRODUCCIÓN")</f>
        <v>PLANIFICACIÓN Y CONTROL DE LA PRODUCCIÓN</v>
      </c>
      <c r="C655" s="58">
        <f>IFERROR(__xludf.DUMMYFUNCTION("""COMPUTED_VALUE"""),2.0)</f>
        <v>2</v>
      </c>
    </row>
    <row r="656">
      <c r="A656" s="58" t="str">
        <f>IFERROR(__xludf.DUMMYFUNCTION("""COMPUTED_VALUE"""),"201802059@est.umss.edu")</f>
        <v>201802059@est.umss.edu</v>
      </c>
      <c r="B656" s="58" t="str">
        <f>IFERROR(__xludf.DUMMYFUNCTION("""COMPUTED_VALUE"""),"SEGURIDAD INDUSTRIAL")</f>
        <v>SEGURIDAD INDUSTRIAL</v>
      </c>
      <c r="C656" s="58">
        <f>IFERROR(__xludf.DUMMYFUNCTION("""COMPUTED_VALUE"""),7.0)</f>
        <v>7</v>
      </c>
    </row>
    <row r="657">
      <c r="A657" s="58" t="str">
        <f>IFERROR(__xludf.DUMMYFUNCTION("""COMPUTED_VALUE"""),"201803279@est.umss.edu")</f>
        <v>201803279@est.umss.edu</v>
      </c>
      <c r="B657" s="58" t="str">
        <f>IFERROR(__xludf.DUMMYFUNCTION("""COMPUTED_VALUE"""),"ACADÉMICOS")</f>
        <v>ACADÉMICOS</v>
      </c>
      <c r="C657" s="58">
        <f>IFERROR(__xludf.DUMMYFUNCTION("""COMPUTED_VALUE"""),2.0)</f>
        <v>2</v>
      </c>
    </row>
    <row r="658">
      <c r="A658" s="58" t="str">
        <f>IFERROR(__xludf.DUMMYFUNCTION("""COMPUTED_VALUE"""),"201803279@est.umss.edu")</f>
        <v>201803279@est.umss.edu</v>
      </c>
      <c r="B658" s="58" t="str">
        <f>IFERROR(__xludf.DUMMYFUNCTION("""COMPUTED_VALUE"""),"FACTIBILIDAD")</f>
        <v>FACTIBILIDAD</v>
      </c>
      <c r="C658" s="58">
        <f>IFERROR(__xludf.DUMMYFUNCTION("""COMPUTED_VALUE"""),1.0)</f>
        <v>1</v>
      </c>
    </row>
    <row r="659">
      <c r="A659" s="58" t="str">
        <f>IFERROR(__xludf.DUMMYFUNCTION("""COMPUTED_VALUE"""),"201803279@est.umss.edu")</f>
        <v>201803279@est.umss.edu</v>
      </c>
      <c r="B659" s="58" t="str">
        <f>IFERROR(__xludf.DUMMYFUNCTION("""COMPUTED_VALUE"""),"GESTIÓN ESTRATÉGICA")</f>
        <v>GESTIÓN ESTRATÉGICA</v>
      </c>
      <c r="C659" s="58">
        <f>IFERROR(__xludf.DUMMYFUNCTION("""COMPUTED_VALUE"""),2.0)</f>
        <v>2</v>
      </c>
    </row>
    <row r="660">
      <c r="A660" s="58" t="str">
        <f>IFERROR(__xludf.DUMMYFUNCTION("""COMPUTED_VALUE"""),"201803279@est.umss.edu")</f>
        <v>201803279@est.umss.edu</v>
      </c>
      <c r="B660" s="58" t="str">
        <f>IFERROR(__xludf.DUMMYFUNCTION("""COMPUTED_VALUE"""),"INGENIERÍA DE MÉTODOS")</f>
        <v>INGENIERÍA DE MÉTODOS</v>
      </c>
      <c r="C660" s="58">
        <f>IFERROR(__xludf.DUMMYFUNCTION("""COMPUTED_VALUE"""),5.0)</f>
        <v>5</v>
      </c>
    </row>
    <row r="661">
      <c r="A661" s="58" t="str">
        <f>IFERROR(__xludf.DUMMYFUNCTION("""COMPUTED_VALUE"""),"201803279@est.umss.edu")</f>
        <v>201803279@est.umss.edu</v>
      </c>
      <c r="B661" s="58" t="str">
        <f>IFERROR(__xludf.DUMMYFUNCTION("""COMPUTED_VALUE"""),"PROCESOS INDUSTRIALES")</f>
        <v>PROCESOS INDUSTRIALES</v>
      </c>
      <c r="C661" s="58">
        <f>IFERROR(__xludf.DUMMYFUNCTION("""COMPUTED_VALUE"""),1.0)</f>
        <v>1</v>
      </c>
    </row>
    <row r="662">
      <c r="A662" s="58" t="str">
        <f>IFERROR(__xludf.DUMMYFUNCTION("""COMPUTED_VALUE"""),"201803279@est.umss.edu")</f>
        <v>201803279@est.umss.edu</v>
      </c>
      <c r="B662" s="58" t="str">
        <f>IFERROR(__xludf.DUMMYFUNCTION("""COMPUTED_VALUE"""),"SEGURIDAD INDUSTRIAL")</f>
        <v>SEGURIDAD INDUSTRIAL</v>
      </c>
      <c r="C662" s="58">
        <f>IFERROR(__xludf.DUMMYFUNCTION("""COMPUTED_VALUE"""),1.0)</f>
        <v>1</v>
      </c>
    </row>
    <row r="663">
      <c r="A663" s="58" t="str">
        <f>IFERROR(__xludf.DUMMYFUNCTION("""COMPUTED_VALUE"""),"201805410@est.umss.edu")</f>
        <v>201805410@est.umss.edu</v>
      </c>
      <c r="B663" s="58" t="str">
        <f>IFERROR(__xludf.DUMMYFUNCTION("""COMPUTED_VALUE"""),"FACTIBILIDAD")</f>
        <v>FACTIBILIDAD</v>
      </c>
      <c r="C663" s="58">
        <f>IFERROR(__xludf.DUMMYFUNCTION("""COMPUTED_VALUE"""),1.0)</f>
        <v>1</v>
      </c>
    </row>
    <row r="664">
      <c r="A664" s="58" t="str">
        <f>IFERROR(__xludf.DUMMYFUNCTION("""COMPUTED_VALUE"""),"201809295@est.umss.edu")</f>
        <v>201809295@est.umss.edu</v>
      </c>
      <c r="B664" s="58" t="str">
        <f>IFERROR(__xludf.DUMMYFUNCTION("""COMPUTED_VALUE"""),"FACTIBILIDAD")</f>
        <v>FACTIBILIDAD</v>
      </c>
      <c r="C664" s="58">
        <f>IFERROR(__xludf.DUMMYFUNCTION("""COMPUTED_VALUE"""),1.0)</f>
        <v>1</v>
      </c>
    </row>
    <row r="665">
      <c r="A665" s="58" t="str">
        <f>IFERROR(__xludf.DUMMYFUNCTION("""COMPUTED_VALUE"""),"201809296@esr.umss.edu")</f>
        <v>201809296@esr.umss.edu</v>
      </c>
      <c r="B665" s="58" t="str">
        <f>IFERROR(__xludf.DUMMYFUNCTION("""COMPUTED_VALUE"""),"FACTIBILIDAD")</f>
        <v>FACTIBILIDAD</v>
      </c>
      <c r="C665" s="58">
        <f>IFERROR(__xludf.DUMMYFUNCTION("""COMPUTED_VALUE"""),14.0)</f>
        <v>14</v>
      </c>
    </row>
    <row r="666">
      <c r="A666" s="58" t="str">
        <f>IFERROR(__xludf.DUMMYFUNCTION("""COMPUTED_VALUE"""),"201809296@est.umss.edu")</f>
        <v>201809296@est.umss.edu</v>
      </c>
      <c r="B666" s="58" t="str">
        <f>IFERROR(__xludf.DUMMYFUNCTION("""COMPUTED_VALUE"""),"ACADÉMICOS")</f>
        <v>ACADÉMICOS</v>
      </c>
      <c r="C666" s="58">
        <f>IFERROR(__xludf.DUMMYFUNCTION("""COMPUTED_VALUE"""),1.0)</f>
        <v>1</v>
      </c>
    </row>
    <row r="667">
      <c r="A667" s="58" t="str">
        <f>IFERROR(__xludf.DUMMYFUNCTION("""COMPUTED_VALUE"""),"201809296@est.umss.edu")</f>
        <v>201809296@est.umss.edu</v>
      </c>
      <c r="B667" s="58" t="str">
        <f>IFERROR(__xludf.DUMMYFUNCTION("""COMPUTED_VALUE"""),"CALIDAD")</f>
        <v>CALIDAD</v>
      </c>
      <c r="C667" s="58">
        <f>IFERROR(__xludf.DUMMYFUNCTION("""COMPUTED_VALUE"""),5.0)</f>
        <v>5</v>
      </c>
    </row>
    <row r="668">
      <c r="A668" s="58" t="str">
        <f>IFERROR(__xludf.DUMMYFUNCTION("""COMPUTED_VALUE"""),"201809296@est.umss.edu")</f>
        <v>201809296@est.umss.edu</v>
      </c>
      <c r="B668" s="58" t="str">
        <f>IFERROR(__xludf.DUMMYFUNCTION("""COMPUTED_VALUE"""),"EVALUACIÓN TÉCNICA")</f>
        <v>EVALUACIÓN TÉCNICA</v>
      </c>
      <c r="C668" s="58">
        <f>IFERROR(__xludf.DUMMYFUNCTION("""COMPUTED_VALUE"""),2.0)</f>
        <v>2</v>
      </c>
    </row>
    <row r="669">
      <c r="A669" s="58" t="str">
        <f>IFERROR(__xludf.DUMMYFUNCTION("""COMPUTED_VALUE"""),"201809296@est.umss.edu")</f>
        <v>201809296@est.umss.edu</v>
      </c>
      <c r="B669" s="58" t="str">
        <f>IFERROR(__xludf.DUMMYFUNCTION("""COMPUTED_VALUE"""),"FACTIBILIDAD")</f>
        <v>FACTIBILIDAD</v>
      </c>
      <c r="C669" s="58">
        <f>IFERROR(__xludf.DUMMYFUNCTION("""COMPUTED_VALUE"""),56.0)</f>
        <v>56</v>
      </c>
    </row>
    <row r="670">
      <c r="A670" s="58" t="str">
        <f>IFERROR(__xludf.DUMMYFUNCTION("""COMPUTED_VALUE"""),"201809296@est.umss.edu")</f>
        <v>201809296@est.umss.edu</v>
      </c>
      <c r="B670" s="58" t="str">
        <f>IFERROR(__xludf.DUMMYFUNCTION("""COMPUTED_VALUE"""),"GESTIÓN ESTRATÉGICA")</f>
        <v>GESTIÓN ESTRATÉGICA</v>
      </c>
      <c r="C670" s="58">
        <f>IFERROR(__xludf.DUMMYFUNCTION("""COMPUTED_VALUE"""),3.0)</f>
        <v>3</v>
      </c>
    </row>
    <row r="671">
      <c r="A671" s="58" t="str">
        <f>IFERROR(__xludf.DUMMYFUNCTION("""COMPUTED_VALUE"""),"201809296@est.umss.edu")</f>
        <v>201809296@est.umss.edu</v>
      </c>
      <c r="B671" s="58" t="str">
        <f>IFERROR(__xludf.DUMMYFUNCTION("""COMPUTED_VALUE"""),"INGENIERÍA DE MÉTODOS")</f>
        <v>INGENIERÍA DE MÉTODOS</v>
      </c>
      <c r="C671" s="58">
        <f>IFERROR(__xludf.DUMMYFUNCTION("""COMPUTED_VALUE"""),1.0)</f>
        <v>1</v>
      </c>
    </row>
    <row r="672">
      <c r="A672" s="58" t="str">
        <f>IFERROR(__xludf.DUMMYFUNCTION("""COMPUTED_VALUE"""),"201809296@est.umss.edu")</f>
        <v>201809296@est.umss.edu</v>
      </c>
      <c r="B672" s="58" t="str">
        <f>IFERROR(__xludf.DUMMYFUNCTION("""COMPUTED_VALUE"""),"OPTIMIZACIÓN")</f>
        <v>OPTIMIZACIÓN</v>
      </c>
      <c r="C672" s="58">
        <f>IFERROR(__xludf.DUMMYFUNCTION("""COMPUTED_VALUE"""),10.0)</f>
        <v>10</v>
      </c>
    </row>
    <row r="673">
      <c r="A673" s="58" t="str">
        <f>IFERROR(__xludf.DUMMYFUNCTION("""COMPUTED_VALUE"""),"201809296@est.umss.edu")</f>
        <v>201809296@est.umss.edu</v>
      </c>
      <c r="B673" s="58" t="str">
        <f>IFERROR(__xludf.DUMMYFUNCTION("""COMPUTED_VALUE"""),"ORGANIZACIÓN INDUSTRIAL")</f>
        <v>ORGANIZACIÓN INDUSTRIAL</v>
      </c>
      <c r="C673" s="58">
        <f>IFERROR(__xludf.DUMMYFUNCTION("""COMPUTED_VALUE"""),2.0)</f>
        <v>2</v>
      </c>
    </row>
    <row r="674">
      <c r="A674" s="58" t="str">
        <f>IFERROR(__xludf.DUMMYFUNCTION("""COMPUTED_VALUE"""),"201809296@est.umss.edu")</f>
        <v>201809296@est.umss.edu</v>
      </c>
      <c r="B674" s="58" t="str">
        <f>IFERROR(__xludf.DUMMYFUNCTION("""COMPUTED_VALUE"""),"RECURSOS HUMANOS")</f>
        <v>RECURSOS HUMANOS</v>
      </c>
      <c r="C674" s="58">
        <f>IFERROR(__xludf.DUMMYFUNCTION("""COMPUTED_VALUE"""),1.0)</f>
        <v>1</v>
      </c>
    </row>
    <row r="675">
      <c r="A675" s="58" t="str">
        <f>IFERROR(__xludf.DUMMYFUNCTION("""COMPUTED_VALUE"""),"201809296@est.umss.edu")</f>
        <v>201809296@est.umss.edu</v>
      </c>
      <c r="B675" s="58" t="str">
        <f>IFERROR(__xludf.DUMMYFUNCTION("""COMPUTED_VALUE"""),"SISTEMAS DE INFORMACIÓN")</f>
        <v>SISTEMAS DE INFORMACIÓN</v>
      </c>
      <c r="C675" s="58">
        <f>IFERROR(__xludf.DUMMYFUNCTION("""COMPUTED_VALUE"""),1.0)</f>
        <v>1</v>
      </c>
    </row>
    <row r="676">
      <c r="A676" s="58" t="str">
        <f>IFERROR(__xludf.DUMMYFUNCTION("""COMPUTED_VALUE"""),"201809300@est.umss.edu")</f>
        <v>201809300@est.umss.edu</v>
      </c>
      <c r="B676" s="58" t="str">
        <f>IFERROR(__xludf.DUMMYFUNCTION("""COMPUTED_VALUE"""),"FACTIBILIDAD")</f>
        <v>FACTIBILIDAD</v>
      </c>
      <c r="C676" s="58">
        <f>IFERROR(__xludf.DUMMYFUNCTION("""COMPUTED_VALUE"""),4.0)</f>
        <v>4</v>
      </c>
    </row>
    <row r="677">
      <c r="A677" s="58" t="str">
        <f>IFERROR(__xludf.DUMMYFUNCTION("""COMPUTED_VALUE"""),"201809488@est.umss.edu")</f>
        <v>201809488@est.umss.edu</v>
      </c>
      <c r="B677" s="58" t="str">
        <f>IFERROR(__xludf.DUMMYFUNCTION("""COMPUTED_VALUE"""),"FACTIBILIDAD")</f>
        <v>FACTIBILIDAD</v>
      </c>
      <c r="C677" s="58">
        <f>IFERROR(__xludf.DUMMYFUNCTION("""COMPUTED_VALUE"""),9.0)</f>
        <v>9</v>
      </c>
    </row>
    <row r="678">
      <c r="A678" s="58" t="str">
        <f>IFERROR(__xludf.DUMMYFUNCTION("""COMPUTED_VALUE"""),"201809532@est.umss.edu")</f>
        <v>201809532@est.umss.edu</v>
      </c>
      <c r="B678" s="58" t="str">
        <f>IFERROR(__xludf.DUMMYFUNCTION("""COMPUTED_VALUE"""),"GESTIÓN ESTRATÉGICA")</f>
        <v>GESTIÓN ESTRATÉGICA</v>
      </c>
      <c r="C678" s="58">
        <f>IFERROR(__xludf.DUMMYFUNCTION("""COMPUTED_VALUE"""),2.0)</f>
        <v>2</v>
      </c>
    </row>
    <row r="679">
      <c r="A679" s="58" t="str">
        <f>IFERROR(__xludf.DUMMYFUNCTION("""COMPUTED_VALUE"""),"201900217@est.umss.edu")</f>
        <v>201900217@est.umss.edu</v>
      </c>
      <c r="B679" s="58" t="str">
        <f>IFERROR(__xludf.DUMMYFUNCTION("""COMPUTED_VALUE"""),"CALIDAD")</f>
        <v>CALIDAD</v>
      </c>
      <c r="C679" s="58">
        <f>IFERROR(__xludf.DUMMYFUNCTION("""COMPUTED_VALUE"""),2.0)</f>
        <v>2</v>
      </c>
    </row>
    <row r="680">
      <c r="A680" s="58" t="str">
        <f>IFERROR(__xludf.DUMMYFUNCTION("""COMPUTED_VALUE"""),"201900217@est.umss.edu")</f>
        <v>201900217@est.umss.edu</v>
      </c>
      <c r="B680" s="58" t="str">
        <f>IFERROR(__xludf.DUMMYFUNCTION("""COMPUTED_VALUE"""),"GESTIÓN ESTRATÉGICA")</f>
        <v>GESTIÓN ESTRATÉGICA</v>
      </c>
      <c r="C680" s="58">
        <f>IFERROR(__xludf.DUMMYFUNCTION("""COMPUTED_VALUE"""),3.0)</f>
        <v>3</v>
      </c>
    </row>
    <row r="681">
      <c r="A681" s="58" t="str">
        <f>IFERROR(__xludf.DUMMYFUNCTION("""COMPUTED_VALUE"""),"201900217@est.umss.edu")</f>
        <v>201900217@est.umss.edu</v>
      </c>
      <c r="B681" s="58" t="str">
        <f>IFERROR(__xludf.DUMMYFUNCTION("""COMPUTED_VALUE"""),"PLAN DE NEGOCIOS")</f>
        <v>PLAN DE NEGOCIOS</v>
      </c>
      <c r="C681" s="58">
        <f>IFERROR(__xludf.DUMMYFUNCTION("""COMPUTED_VALUE"""),1.0)</f>
        <v>1</v>
      </c>
    </row>
    <row r="682">
      <c r="A682" s="58" t="str">
        <f>IFERROR(__xludf.DUMMYFUNCTION("""COMPUTED_VALUE"""),"201900228@est.umss.edu")</f>
        <v>201900228@est.umss.edu</v>
      </c>
      <c r="B682" s="58" t="str">
        <f>IFERROR(__xludf.DUMMYFUNCTION("""COMPUTED_VALUE"""),"SEGURIDAD INDUSTRIAL")</f>
        <v>SEGURIDAD INDUSTRIAL</v>
      </c>
      <c r="C682" s="58">
        <f>IFERROR(__xludf.DUMMYFUNCTION("""COMPUTED_VALUE"""),4.0)</f>
        <v>4</v>
      </c>
    </row>
    <row r="683">
      <c r="A683" s="58" t="str">
        <f>IFERROR(__xludf.DUMMYFUNCTION("""COMPUTED_VALUE"""),"201900235@est.umss.edu")</f>
        <v>201900235@est.umss.edu</v>
      </c>
      <c r="B683" s="58" t="str">
        <f>IFERROR(__xludf.DUMMYFUNCTION("""COMPUTED_VALUE"""),"CALIDAD")</f>
        <v>CALIDAD</v>
      </c>
      <c r="C683" s="58">
        <f>IFERROR(__xludf.DUMMYFUNCTION("""COMPUTED_VALUE"""),2.0)</f>
        <v>2</v>
      </c>
    </row>
    <row r="684">
      <c r="A684" s="58" t="str">
        <f>IFERROR(__xludf.DUMMYFUNCTION("""COMPUTED_VALUE"""),"201900235@est.umss.edu")</f>
        <v>201900235@est.umss.edu</v>
      </c>
      <c r="B684" s="58" t="str">
        <f>IFERROR(__xludf.DUMMYFUNCTION("""COMPUTED_VALUE"""),"FACTIBILIDAD")</f>
        <v>FACTIBILIDAD</v>
      </c>
      <c r="C684" s="58">
        <f>IFERROR(__xludf.DUMMYFUNCTION("""COMPUTED_VALUE"""),6.0)</f>
        <v>6</v>
      </c>
    </row>
    <row r="685">
      <c r="A685" s="58" t="str">
        <f>IFERROR(__xludf.DUMMYFUNCTION("""COMPUTED_VALUE"""),"201900241@est.umss.edu")</f>
        <v>201900241@est.umss.edu</v>
      </c>
      <c r="B685" s="58" t="str">
        <f>IFERROR(__xludf.DUMMYFUNCTION("""COMPUTED_VALUE"""),"INGENIERÍA DE MÉTODOS")</f>
        <v>INGENIERÍA DE MÉTODOS</v>
      </c>
      <c r="C685" s="58">
        <f>IFERROR(__xludf.DUMMYFUNCTION("""COMPUTED_VALUE"""),2.0)</f>
        <v>2</v>
      </c>
    </row>
    <row r="686">
      <c r="A686" s="58" t="str">
        <f>IFERROR(__xludf.DUMMYFUNCTION("""COMPUTED_VALUE"""),"201900248@est.umss.edu")</f>
        <v>201900248@est.umss.edu</v>
      </c>
      <c r="B686" s="58" t="str">
        <f>IFERROR(__xludf.DUMMYFUNCTION("""COMPUTED_VALUE"""),"EVALUACIÓN TÉCNICA")</f>
        <v>EVALUACIÓN TÉCNICA</v>
      </c>
      <c r="C686" s="58">
        <f>IFERROR(__xludf.DUMMYFUNCTION("""COMPUTED_VALUE"""),1.0)</f>
        <v>1</v>
      </c>
    </row>
    <row r="687">
      <c r="A687" s="58" t="str">
        <f>IFERROR(__xludf.DUMMYFUNCTION("""COMPUTED_VALUE"""),"201900248@est.umss.edu")</f>
        <v>201900248@est.umss.edu</v>
      </c>
      <c r="B687" s="58" t="str">
        <f>IFERROR(__xludf.DUMMYFUNCTION("""COMPUTED_VALUE"""),"FACTIBILIDAD")</f>
        <v>FACTIBILIDAD</v>
      </c>
      <c r="C687" s="58">
        <f>IFERROR(__xludf.DUMMYFUNCTION("""COMPUTED_VALUE"""),4.0)</f>
        <v>4</v>
      </c>
    </row>
    <row r="688">
      <c r="A688" s="58" t="str">
        <f>IFERROR(__xludf.DUMMYFUNCTION("""COMPUTED_VALUE"""),"201900248@est.umss.edu")</f>
        <v>201900248@est.umss.edu</v>
      </c>
      <c r="B688" s="58" t="str">
        <f>IFERROR(__xludf.DUMMYFUNCTION("""COMPUTED_VALUE"""),"MANTENIMIENTO")</f>
        <v>MANTENIMIENTO</v>
      </c>
      <c r="C688" s="58">
        <f>IFERROR(__xludf.DUMMYFUNCTION("""COMPUTED_VALUE"""),1.0)</f>
        <v>1</v>
      </c>
    </row>
    <row r="689">
      <c r="A689" s="58" t="str">
        <f>IFERROR(__xludf.DUMMYFUNCTION("""COMPUTED_VALUE"""),"201900248@est.umss.edu")</f>
        <v>201900248@est.umss.edu</v>
      </c>
      <c r="B689" s="58" t="str">
        <f>IFERROR(__xludf.DUMMYFUNCTION("""COMPUTED_VALUE"""),"OTROS")</f>
        <v>OTROS</v>
      </c>
      <c r="C689" s="58">
        <f>IFERROR(__xludf.DUMMYFUNCTION("""COMPUTED_VALUE"""),3.0)</f>
        <v>3</v>
      </c>
    </row>
    <row r="690">
      <c r="A690" s="58" t="str">
        <f>IFERROR(__xludf.DUMMYFUNCTION("""COMPUTED_VALUE"""),"201900248@est.umss.edu")</f>
        <v>201900248@est.umss.edu</v>
      </c>
      <c r="B690" s="58" t="str">
        <f>IFERROR(__xludf.DUMMYFUNCTION("""COMPUTED_VALUE"""),"SISTEMAS INTEGRADOS")</f>
        <v>SISTEMAS INTEGRADOS</v>
      </c>
      <c r="C690" s="58">
        <f>IFERROR(__xludf.DUMMYFUNCTION("""COMPUTED_VALUE"""),1.0)</f>
        <v>1</v>
      </c>
    </row>
    <row r="691">
      <c r="A691" s="58" t="str">
        <f>IFERROR(__xludf.DUMMYFUNCTION("""COMPUTED_VALUE"""),"201900573@est.umss.edu")</f>
        <v>201900573@est.umss.edu</v>
      </c>
      <c r="B691" s="58"/>
      <c r="C691" s="58">
        <f>IFERROR(__xludf.DUMMYFUNCTION("""COMPUTED_VALUE"""),0.0)</f>
        <v>0</v>
      </c>
    </row>
    <row r="692">
      <c r="A692" s="58" t="str">
        <f>IFERROR(__xludf.DUMMYFUNCTION("""COMPUTED_VALUE"""),"201900573@est.umss.edu")</f>
        <v>201900573@est.umss.edu</v>
      </c>
      <c r="B692" s="58" t="str">
        <f>IFERROR(__xludf.DUMMYFUNCTION("""COMPUTED_VALUE"""),"DISEÑO")</f>
        <v>DISEÑO</v>
      </c>
      <c r="C692" s="58">
        <f>IFERROR(__xludf.DUMMYFUNCTION("""COMPUTED_VALUE"""),2.0)</f>
        <v>2</v>
      </c>
    </row>
    <row r="693">
      <c r="A693" s="58" t="str">
        <f>IFERROR(__xludf.DUMMYFUNCTION("""COMPUTED_VALUE"""),"201900573@est.umss.edu")</f>
        <v>201900573@est.umss.edu</v>
      </c>
      <c r="B693" s="58" t="str">
        <f>IFERROR(__xludf.DUMMYFUNCTION("""COMPUTED_VALUE"""),"FACTIBILIDAD")</f>
        <v>FACTIBILIDAD</v>
      </c>
      <c r="C693" s="58">
        <f>IFERROR(__xludf.DUMMYFUNCTION("""COMPUTED_VALUE"""),8.0)</f>
        <v>8</v>
      </c>
    </row>
    <row r="694">
      <c r="A694" s="58" t="str">
        <f>IFERROR(__xludf.DUMMYFUNCTION("""COMPUTED_VALUE"""),"201900576@est.umss.edu")</f>
        <v>201900576@est.umss.edu</v>
      </c>
      <c r="B694" s="58" t="str">
        <f>IFERROR(__xludf.DUMMYFUNCTION("""COMPUTED_VALUE"""),"DISEÑO")</f>
        <v>DISEÑO</v>
      </c>
      <c r="C694" s="58">
        <f>IFERROR(__xludf.DUMMYFUNCTION("""COMPUTED_VALUE"""),1.0)</f>
        <v>1</v>
      </c>
    </row>
    <row r="695">
      <c r="A695" s="58" t="str">
        <f>IFERROR(__xludf.DUMMYFUNCTION("""COMPUTED_VALUE"""),"201900576@est.umss.edu")</f>
        <v>201900576@est.umss.edu</v>
      </c>
      <c r="B695" s="58" t="str">
        <f>IFERROR(__xludf.DUMMYFUNCTION("""COMPUTED_VALUE"""),"FACTIBILIDAD")</f>
        <v>FACTIBILIDAD</v>
      </c>
      <c r="C695" s="58">
        <f>IFERROR(__xludf.DUMMYFUNCTION("""COMPUTED_VALUE"""),2.0)</f>
        <v>2</v>
      </c>
    </row>
    <row r="696">
      <c r="A696" s="58" t="str">
        <f>IFERROR(__xludf.DUMMYFUNCTION("""COMPUTED_VALUE"""),"201900587@est.umss.edu")</f>
        <v>201900587@est.umss.edu</v>
      </c>
      <c r="B696" s="58"/>
      <c r="C696" s="58">
        <f>IFERROR(__xludf.DUMMYFUNCTION("""COMPUTED_VALUE"""),0.0)</f>
        <v>0</v>
      </c>
    </row>
    <row r="697">
      <c r="A697" s="58" t="str">
        <f>IFERROR(__xludf.DUMMYFUNCTION("""COMPUTED_VALUE"""),"201900587@est.umss.edu")</f>
        <v>201900587@est.umss.edu</v>
      </c>
      <c r="B697" s="58" t="str">
        <f>IFERROR(__xludf.DUMMYFUNCTION("""COMPUTED_VALUE"""),"ACADÉMICOS")</f>
        <v>ACADÉMICOS</v>
      </c>
      <c r="C697" s="58">
        <f>IFERROR(__xludf.DUMMYFUNCTION("""COMPUTED_VALUE"""),1.0)</f>
        <v>1</v>
      </c>
    </row>
    <row r="698">
      <c r="A698" s="58" t="str">
        <f>IFERROR(__xludf.DUMMYFUNCTION("""COMPUTED_VALUE"""),"201900587@est.umss.edu")</f>
        <v>201900587@est.umss.edu</v>
      </c>
      <c r="B698" s="58" t="str">
        <f>IFERROR(__xludf.DUMMYFUNCTION("""COMPUTED_VALUE"""),"FACTIBILIDAD")</f>
        <v>FACTIBILIDAD</v>
      </c>
      <c r="C698" s="58">
        <f>IFERROR(__xludf.DUMMYFUNCTION("""COMPUTED_VALUE"""),1.0)</f>
        <v>1</v>
      </c>
    </row>
    <row r="699">
      <c r="A699" s="58" t="str">
        <f>IFERROR(__xludf.DUMMYFUNCTION("""COMPUTED_VALUE"""),"201900587@est.umss.edu")</f>
        <v>201900587@est.umss.edu</v>
      </c>
      <c r="B699" s="58" t="str">
        <f>IFERROR(__xludf.DUMMYFUNCTION("""COMPUTED_VALUE"""),"GESTIÓN ESTRATÉGICA")</f>
        <v>GESTIÓN ESTRATÉGICA</v>
      </c>
      <c r="C699" s="58">
        <f>IFERROR(__xludf.DUMMYFUNCTION("""COMPUTED_VALUE"""),4.0)</f>
        <v>4</v>
      </c>
    </row>
    <row r="700">
      <c r="A700" s="58" t="str">
        <f>IFERROR(__xludf.DUMMYFUNCTION("""COMPUTED_VALUE"""),"201900587@est.umss.edu")</f>
        <v>201900587@est.umss.edu</v>
      </c>
      <c r="B700" s="58" t="str">
        <f>IFERROR(__xludf.DUMMYFUNCTION("""COMPUTED_VALUE"""),"PLAN DE NEGOCIOS")</f>
        <v>PLAN DE NEGOCIOS</v>
      </c>
      <c r="C700" s="58">
        <f>IFERROR(__xludf.DUMMYFUNCTION("""COMPUTED_VALUE"""),1.0)</f>
        <v>1</v>
      </c>
    </row>
    <row r="701">
      <c r="A701" s="58" t="str">
        <f>IFERROR(__xludf.DUMMYFUNCTION("""COMPUTED_VALUE"""),"201900587@est.umss.edu")</f>
        <v>201900587@est.umss.edu</v>
      </c>
      <c r="B701" s="58" t="str">
        <f>IFERROR(__xludf.DUMMYFUNCTION("""COMPUTED_VALUE"""),"SEGURIDAD INDUSTRIAL")</f>
        <v>SEGURIDAD INDUSTRIAL</v>
      </c>
      <c r="C701" s="58">
        <f>IFERROR(__xludf.DUMMYFUNCTION("""COMPUTED_VALUE"""),1.0)</f>
        <v>1</v>
      </c>
    </row>
    <row r="702">
      <c r="A702" s="58" t="str">
        <f>IFERROR(__xludf.DUMMYFUNCTION("""COMPUTED_VALUE"""),"201900592@est.umss.edu")</f>
        <v>201900592@est.umss.edu</v>
      </c>
      <c r="B702" s="58" t="str">
        <f>IFERROR(__xludf.DUMMYFUNCTION("""COMPUTED_VALUE"""),"FACTIBILIDAD")</f>
        <v>FACTIBILIDAD</v>
      </c>
      <c r="C702" s="58">
        <f>IFERROR(__xludf.DUMMYFUNCTION("""COMPUTED_VALUE"""),4.0)</f>
        <v>4</v>
      </c>
    </row>
    <row r="703">
      <c r="A703" s="58" t="str">
        <f>IFERROR(__xludf.DUMMYFUNCTION("""COMPUTED_VALUE"""),"201900612@est.umss.edu")</f>
        <v>201900612@est.umss.edu</v>
      </c>
      <c r="B703" s="58" t="str">
        <f>IFERROR(__xludf.DUMMYFUNCTION("""COMPUTED_VALUE"""),"CALIDAD")</f>
        <v>CALIDAD</v>
      </c>
      <c r="C703" s="58">
        <f>IFERROR(__xludf.DUMMYFUNCTION("""COMPUTED_VALUE"""),1.0)</f>
        <v>1</v>
      </c>
    </row>
    <row r="704">
      <c r="A704" s="58" t="str">
        <f>IFERROR(__xludf.DUMMYFUNCTION("""COMPUTED_VALUE"""),"201900615@est.umss.edu")</f>
        <v>201900615@est.umss.edu</v>
      </c>
      <c r="B704" s="58" t="str">
        <f>IFERROR(__xludf.DUMMYFUNCTION("""COMPUTED_VALUE"""),"ACADÉMICOS")</f>
        <v>ACADÉMICOS</v>
      </c>
      <c r="C704" s="58">
        <f>IFERROR(__xludf.DUMMYFUNCTION("""COMPUTED_VALUE"""),1.0)</f>
        <v>1</v>
      </c>
    </row>
    <row r="705">
      <c r="A705" s="58" t="str">
        <f>IFERROR(__xludf.DUMMYFUNCTION("""COMPUTED_VALUE"""),"201900615@est.umss.edu")</f>
        <v>201900615@est.umss.edu</v>
      </c>
      <c r="B705" s="58" t="str">
        <f>IFERROR(__xludf.DUMMYFUNCTION("""COMPUTED_VALUE"""),"GESTIÓN ESTRATÉGICA")</f>
        <v>GESTIÓN ESTRATÉGICA</v>
      </c>
      <c r="C705" s="58">
        <f>IFERROR(__xludf.DUMMYFUNCTION("""COMPUTED_VALUE"""),2.0)</f>
        <v>2</v>
      </c>
    </row>
    <row r="706">
      <c r="A706" s="58" t="str">
        <f>IFERROR(__xludf.DUMMYFUNCTION("""COMPUTED_VALUE"""),"201900624@est.umss.edu")</f>
        <v>201900624@est.umss.edu</v>
      </c>
      <c r="B706" s="58" t="str">
        <f>IFERROR(__xludf.DUMMYFUNCTION("""COMPUTED_VALUE"""),"FACTIBILIDAD")</f>
        <v>FACTIBILIDAD</v>
      </c>
      <c r="C706" s="58">
        <f>IFERROR(__xludf.DUMMYFUNCTION("""COMPUTED_VALUE"""),2.0)</f>
        <v>2</v>
      </c>
    </row>
    <row r="707">
      <c r="A707" s="58" t="str">
        <f>IFERROR(__xludf.DUMMYFUNCTION("""COMPUTED_VALUE"""),"201900626@est.umss.edu")</f>
        <v>201900626@est.umss.edu</v>
      </c>
      <c r="B707" s="58"/>
      <c r="C707" s="58">
        <f>IFERROR(__xludf.DUMMYFUNCTION("""COMPUTED_VALUE"""),0.0)</f>
        <v>0</v>
      </c>
    </row>
    <row r="708">
      <c r="A708" s="58" t="str">
        <f>IFERROR(__xludf.DUMMYFUNCTION("""COMPUTED_VALUE"""),"201900626@est.umss.edu")</f>
        <v>201900626@est.umss.edu</v>
      </c>
      <c r="B708" s="58" t="str">
        <f>IFERROR(__xludf.DUMMYFUNCTION("""COMPUTED_VALUE"""),"FACTIBILIDAD")</f>
        <v>FACTIBILIDAD</v>
      </c>
      <c r="C708" s="58">
        <f>IFERROR(__xludf.DUMMYFUNCTION("""COMPUTED_VALUE"""),1.0)</f>
        <v>1</v>
      </c>
    </row>
    <row r="709">
      <c r="A709" s="58" t="str">
        <f>IFERROR(__xludf.DUMMYFUNCTION("""COMPUTED_VALUE"""),"201902178@est.umss.edu")</f>
        <v>201902178@est.umss.edu</v>
      </c>
      <c r="B709" s="58" t="str">
        <f>IFERROR(__xludf.DUMMYFUNCTION("""COMPUTED_VALUE"""),"FACTIBILIDAD")</f>
        <v>FACTIBILIDAD</v>
      </c>
      <c r="C709" s="58">
        <f>IFERROR(__xludf.DUMMYFUNCTION("""COMPUTED_VALUE"""),5.0)</f>
        <v>5</v>
      </c>
    </row>
    <row r="710">
      <c r="A710" s="58" t="str">
        <f>IFERROR(__xludf.DUMMYFUNCTION("""COMPUTED_VALUE"""),"201902186@est.umss.edu")</f>
        <v>201902186@est.umss.edu</v>
      </c>
      <c r="B710" s="58" t="str">
        <f>IFERROR(__xludf.DUMMYFUNCTION("""COMPUTED_VALUE"""),"CALIDAD")</f>
        <v>CALIDAD</v>
      </c>
      <c r="C710" s="58">
        <f>IFERROR(__xludf.DUMMYFUNCTION("""COMPUTED_VALUE"""),2.0)</f>
        <v>2</v>
      </c>
    </row>
    <row r="711">
      <c r="A711" s="58" t="str">
        <f>IFERROR(__xludf.DUMMYFUNCTION("""COMPUTED_VALUE"""),"201902186@est.umss.edu")</f>
        <v>201902186@est.umss.edu</v>
      </c>
      <c r="B711" s="58" t="str">
        <f>IFERROR(__xludf.DUMMYFUNCTION("""COMPUTED_VALUE"""),"FACTIBILIDAD")</f>
        <v>FACTIBILIDAD</v>
      </c>
      <c r="C711" s="58">
        <f>IFERROR(__xludf.DUMMYFUNCTION("""COMPUTED_VALUE"""),11.0)</f>
        <v>11</v>
      </c>
    </row>
    <row r="712">
      <c r="A712" s="58" t="str">
        <f>IFERROR(__xludf.DUMMYFUNCTION("""COMPUTED_VALUE"""),"201902186@est.umss.edu")</f>
        <v>201902186@est.umss.edu</v>
      </c>
      <c r="B712" s="58" t="str">
        <f>IFERROR(__xludf.DUMMYFUNCTION("""COMPUTED_VALUE"""),"GESTIÓN ESTRATÉGICA")</f>
        <v>GESTIÓN ESTRATÉGICA</v>
      </c>
      <c r="C712" s="58">
        <f>IFERROR(__xludf.DUMMYFUNCTION("""COMPUTED_VALUE"""),1.0)</f>
        <v>1</v>
      </c>
    </row>
    <row r="713">
      <c r="A713" s="58" t="str">
        <f>IFERROR(__xludf.DUMMYFUNCTION("""COMPUTED_VALUE"""),"201902186@est.umss.edu")</f>
        <v>201902186@est.umss.edu</v>
      </c>
      <c r="B713" s="58" t="str">
        <f>IFERROR(__xludf.DUMMYFUNCTION("""COMPUTED_VALUE"""),"INGENIERÍA DE MÉTODOS")</f>
        <v>INGENIERÍA DE MÉTODOS</v>
      </c>
      <c r="C713" s="58">
        <f>IFERROR(__xludf.DUMMYFUNCTION("""COMPUTED_VALUE"""),7.0)</f>
        <v>7</v>
      </c>
    </row>
    <row r="714">
      <c r="A714" s="58" t="str">
        <f>IFERROR(__xludf.DUMMYFUNCTION("""COMPUTED_VALUE"""),"201902186@est.umss.edu")</f>
        <v>201902186@est.umss.edu</v>
      </c>
      <c r="B714" s="58" t="str">
        <f>IFERROR(__xludf.DUMMYFUNCTION("""COMPUTED_VALUE"""),"SEGURIDAD INDUSTRIAL")</f>
        <v>SEGURIDAD INDUSTRIAL</v>
      </c>
      <c r="C714" s="58">
        <f>IFERROR(__xludf.DUMMYFUNCTION("""COMPUTED_VALUE"""),5.0)</f>
        <v>5</v>
      </c>
    </row>
    <row r="715">
      <c r="A715" s="58" t="str">
        <f>IFERROR(__xludf.DUMMYFUNCTION("""COMPUTED_VALUE"""),"201902206@est.umss.edu")</f>
        <v>201902206@est.umss.edu</v>
      </c>
      <c r="B715" s="58" t="str">
        <f>IFERROR(__xludf.DUMMYFUNCTION("""COMPUTED_VALUE"""),"FACTIBILIDAD")</f>
        <v>FACTIBILIDAD</v>
      </c>
      <c r="C715" s="58">
        <f>IFERROR(__xludf.DUMMYFUNCTION("""COMPUTED_VALUE"""),8.0)</f>
        <v>8</v>
      </c>
    </row>
    <row r="716">
      <c r="A716" s="58" t="str">
        <f>IFERROR(__xludf.DUMMYFUNCTION("""COMPUTED_VALUE"""),"201902220@est.umss.edu")</f>
        <v>201902220@est.umss.edu</v>
      </c>
      <c r="B716" s="58" t="str">
        <f>IFERROR(__xludf.DUMMYFUNCTION("""COMPUTED_VALUE"""),"FACTIBILIDAD")</f>
        <v>FACTIBILIDAD</v>
      </c>
      <c r="C716" s="58">
        <f>IFERROR(__xludf.DUMMYFUNCTION("""COMPUTED_VALUE"""),3.0)</f>
        <v>3</v>
      </c>
    </row>
    <row r="717">
      <c r="A717" s="58" t="str">
        <f>IFERROR(__xludf.DUMMYFUNCTION("""COMPUTED_VALUE"""),"201904673@est.umss.edu")</f>
        <v>201904673@est.umss.edu</v>
      </c>
      <c r="B717" s="58"/>
      <c r="C717" s="58">
        <f>IFERROR(__xludf.DUMMYFUNCTION("""COMPUTED_VALUE"""),0.0)</f>
        <v>0</v>
      </c>
    </row>
    <row r="718">
      <c r="A718" s="58" t="str">
        <f>IFERROR(__xludf.DUMMYFUNCTION("""COMPUTED_VALUE"""),"201904673@est.umss.edu")</f>
        <v>201904673@est.umss.edu</v>
      </c>
      <c r="B718" s="58" t="str">
        <f>IFERROR(__xludf.DUMMYFUNCTION("""COMPUTED_VALUE"""),"CALIDAD")</f>
        <v>CALIDAD</v>
      </c>
      <c r="C718" s="58">
        <f>IFERROR(__xludf.DUMMYFUNCTION("""COMPUTED_VALUE"""),8.0)</f>
        <v>8</v>
      </c>
    </row>
    <row r="719">
      <c r="A719" s="58" t="str">
        <f>IFERROR(__xludf.DUMMYFUNCTION("""COMPUTED_VALUE"""),"201904673@est.umss.edu")</f>
        <v>201904673@est.umss.edu</v>
      </c>
      <c r="B719" s="58" t="str">
        <f>IFERROR(__xludf.DUMMYFUNCTION("""COMPUTED_VALUE"""),"FACTIBILIDAD")</f>
        <v>FACTIBILIDAD</v>
      </c>
      <c r="C719" s="58">
        <f>IFERROR(__xludf.DUMMYFUNCTION("""COMPUTED_VALUE"""),49.0)</f>
        <v>49</v>
      </c>
    </row>
    <row r="720">
      <c r="A720" s="58" t="str">
        <f>IFERROR(__xludf.DUMMYFUNCTION("""COMPUTED_VALUE"""),"201904673@est.umss.edu")</f>
        <v>201904673@est.umss.edu</v>
      </c>
      <c r="B720" s="58" t="str">
        <f>IFERROR(__xludf.DUMMYFUNCTION("""COMPUTED_VALUE"""),"GESTIÓN ESTRATÉGICA")</f>
        <v>GESTIÓN ESTRATÉGICA</v>
      </c>
      <c r="C720" s="58">
        <f>IFERROR(__xludf.DUMMYFUNCTION("""COMPUTED_VALUE"""),3.0)</f>
        <v>3</v>
      </c>
    </row>
    <row r="721">
      <c r="A721" s="58" t="str">
        <f>IFERROR(__xludf.DUMMYFUNCTION("""COMPUTED_VALUE"""),"201904673@est.umss.edu")</f>
        <v>201904673@est.umss.edu</v>
      </c>
      <c r="B721" s="58" t="str">
        <f>IFERROR(__xludf.DUMMYFUNCTION("""COMPUTED_VALUE"""),"INGENIERÍA DE MÉTODOS")</f>
        <v>INGENIERÍA DE MÉTODOS</v>
      </c>
      <c r="C721" s="58">
        <f>IFERROR(__xludf.DUMMYFUNCTION("""COMPUTED_VALUE"""),4.0)</f>
        <v>4</v>
      </c>
    </row>
    <row r="722">
      <c r="A722" s="58" t="str">
        <f>IFERROR(__xludf.DUMMYFUNCTION("""COMPUTED_VALUE"""),"201904673@est.umss.edu")</f>
        <v>201904673@est.umss.edu</v>
      </c>
      <c r="B722" s="58" t="str">
        <f>IFERROR(__xludf.DUMMYFUNCTION("""COMPUTED_VALUE"""),"MARKETING/MERCADOTECNIA")</f>
        <v>MARKETING/MERCADOTECNIA</v>
      </c>
      <c r="C722" s="58">
        <f>IFERROR(__xludf.DUMMYFUNCTION("""COMPUTED_VALUE"""),1.0)</f>
        <v>1</v>
      </c>
    </row>
    <row r="723">
      <c r="A723" s="58" t="str">
        <f>IFERROR(__xludf.DUMMYFUNCTION("""COMPUTED_VALUE"""),"201904673@est.umss.edu")</f>
        <v>201904673@est.umss.edu</v>
      </c>
      <c r="B723" s="58" t="str">
        <f>IFERROR(__xludf.DUMMYFUNCTION("""COMPUTED_VALUE"""),"OPTIMIZACIÓN")</f>
        <v>OPTIMIZACIÓN</v>
      </c>
      <c r="C723" s="58">
        <f>IFERROR(__xludf.DUMMYFUNCTION("""COMPUTED_VALUE"""),6.0)</f>
        <v>6</v>
      </c>
    </row>
    <row r="724">
      <c r="A724" s="58" t="str">
        <f>IFERROR(__xludf.DUMMYFUNCTION("""COMPUTED_VALUE"""),"201904673@est.umss.edu")</f>
        <v>201904673@est.umss.edu</v>
      </c>
      <c r="B724" s="58" t="str">
        <f>IFERROR(__xludf.DUMMYFUNCTION("""COMPUTED_VALUE"""),"OTROS")</f>
        <v>OTROS</v>
      </c>
      <c r="C724" s="58">
        <f>IFERROR(__xludf.DUMMYFUNCTION("""COMPUTED_VALUE"""),1.0)</f>
        <v>1</v>
      </c>
    </row>
    <row r="725">
      <c r="A725" s="58" t="str">
        <f>IFERROR(__xludf.DUMMYFUNCTION("""COMPUTED_VALUE"""),"201904673@est.umss.edu")</f>
        <v>201904673@est.umss.edu</v>
      </c>
      <c r="B725" s="58" t="str">
        <f>IFERROR(__xludf.DUMMYFUNCTION("""COMPUTED_VALUE"""),"PLANIFICACIÓN Y CONTROL DE LA PRODUCCIÓN")</f>
        <v>PLANIFICACIÓN Y CONTROL DE LA PRODUCCIÓN</v>
      </c>
      <c r="C725" s="58">
        <f>IFERROR(__xludf.DUMMYFUNCTION("""COMPUTED_VALUE"""),6.0)</f>
        <v>6</v>
      </c>
    </row>
    <row r="726">
      <c r="A726" s="58" t="str">
        <f>IFERROR(__xludf.DUMMYFUNCTION("""COMPUTED_VALUE"""),"201904673@est.umss.edu")</f>
        <v>201904673@est.umss.edu</v>
      </c>
      <c r="B726" s="58" t="str">
        <f>IFERROR(__xludf.DUMMYFUNCTION("""COMPUTED_VALUE"""),"PROCESOS INDUSTRIALES")</f>
        <v>PROCESOS INDUSTRIALES</v>
      </c>
      <c r="C726" s="58">
        <f>IFERROR(__xludf.DUMMYFUNCTION("""COMPUTED_VALUE"""),2.0)</f>
        <v>2</v>
      </c>
    </row>
    <row r="727">
      <c r="A727" s="58" t="str">
        <f>IFERROR(__xludf.DUMMYFUNCTION("""COMPUTED_VALUE"""),"201904673@est.umss.edu")</f>
        <v>201904673@est.umss.edu</v>
      </c>
      <c r="B727" s="58" t="str">
        <f>IFERROR(__xludf.DUMMYFUNCTION("""COMPUTED_VALUE"""),"SEGURIDAD INDUSTRIAL")</f>
        <v>SEGURIDAD INDUSTRIAL</v>
      </c>
      <c r="C727" s="58">
        <f>IFERROR(__xludf.DUMMYFUNCTION("""COMPUTED_VALUE"""),1.0)</f>
        <v>1</v>
      </c>
    </row>
    <row r="728">
      <c r="A728" s="58" t="str">
        <f>IFERROR(__xludf.DUMMYFUNCTION("""COMPUTED_VALUE"""),"201904673@est.umss.edu")</f>
        <v>201904673@est.umss.edu</v>
      </c>
      <c r="B728" s="58" t="str">
        <f>IFERROR(__xludf.DUMMYFUNCTION("""COMPUTED_VALUE"""),"SISTEMAS DE INFORMACIÓN")</f>
        <v>SISTEMAS DE INFORMACIÓN</v>
      </c>
      <c r="C728" s="58">
        <f>IFERROR(__xludf.DUMMYFUNCTION("""COMPUTED_VALUE"""),1.0)</f>
        <v>1</v>
      </c>
    </row>
    <row r="729">
      <c r="A729" s="58" t="str">
        <f>IFERROR(__xludf.DUMMYFUNCTION("""COMPUTED_VALUE"""),"201904677@est.umss.edu")</f>
        <v>201904677@est.umss.edu</v>
      </c>
      <c r="B729" s="58"/>
      <c r="C729" s="58">
        <f>IFERROR(__xludf.DUMMYFUNCTION("""COMPUTED_VALUE"""),0.0)</f>
        <v>0</v>
      </c>
    </row>
    <row r="730">
      <c r="A730" s="58" t="str">
        <f>IFERROR(__xludf.DUMMYFUNCTION("""COMPUTED_VALUE"""),"201904677@est.umss.edu")</f>
        <v>201904677@est.umss.edu</v>
      </c>
      <c r="B730" s="58" t="str">
        <f>IFERROR(__xludf.DUMMYFUNCTION("""COMPUTED_VALUE"""),"FACTIBILIDAD")</f>
        <v>FACTIBILIDAD</v>
      </c>
      <c r="C730" s="58">
        <f>IFERROR(__xludf.DUMMYFUNCTION("""COMPUTED_VALUE"""),2.0)</f>
        <v>2</v>
      </c>
    </row>
    <row r="731">
      <c r="A731" s="58" t="str">
        <f>IFERROR(__xludf.DUMMYFUNCTION("""COMPUTED_VALUE"""),"201904677@est.umss.edu")</f>
        <v>201904677@est.umss.edu</v>
      </c>
      <c r="B731" s="58" t="str">
        <f>IFERROR(__xludf.DUMMYFUNCTION("""COMPUTED_VALUE"""),"GESTIÓN ESTRATÉGICA")</f>
        <v>GESTIÓN ESTRATÉGICA</v>
      </c>
      <c r="C731" s="58">
        <f>IFERROR(__xludf.DUMMYFUNCTION("""COMPUTED_VALUE"""),2.0)</f>
        <v>2</v>
      </c>
    </row>
    <row r="732">
      <c r="A732" s="58" t="str">
        <f>IFERROR(__xludf.DUMMYFUNCTION("""COMPUTED_VALUE"""),"201904677@est.umss.edu")</f>
        <v>201904677@est.umss.edu</v>
      </c>
      <c r="B732" s="58" t="str">
        <f>IFERROR(__xludf.DUMMYFUNCTION("""COMPUTED_VALUE"""),"INGENIERÍA DE MÉTODOS")</f>
        <v>INGENIERÍA DE MÉTODOS</v>
      </c>
      <c r="C732" s="58">
        <f>IFERROR(__xludf.DUMMYFUNCTION("""COMPUTED_VALUE"""),4.0)</f>
        <v>4</v>
      </c>
    </row>
    <row r="733">
      <c r="A733" s="58" t="str">
        <f>IFERROR(__xludf.DUMMYFUNCTION("""COMPUTED_VALUE"""),"201904677@est.umss.edu")</f>
        <v>201904677@est.umss.edu</v>
      </c>
      <c r="B733" s="58" t="str">
        <f>IFERROR(__xludf.DUMMYFUNCTION("""COMPUTED_VALUE"""),"MANTENIMIENTO")</f>
        <v>MANTENIMIENTO</v>
      </c>
      <c r="C733" s="58">
        <f>IFERROR(__xludf.DUMMYFUNCTION("""COMPUTED_VALUE"""),1.0)</f>
        <v>1</v>
      </c>
    </row>
    <row r="734">
      <c r="A734" s="58" t="str">
        <f>IFERROR(__xludf.DUMMYFUNCTION("""COMPUTED_VALUE"""),"201904677@est.umss.edu")</f>
        <v>201904677@est.umss.edu</v>
      </c>
      <c r="B734" s="58" t="str">
        <f>IFERROR(__xludf.DUMMYFUNCTION("""COMPUTED_VALUE"""),"OPTIMIZACIÓN")</f>
        <v>OPTIMIZACIÓN</v>
      </c>
      <c r="C734" s="58">
        <f>IFERROR(__xludf.DUMMYFUNCTION("""COMPUTED_VALUE"""),3.0)</f>
        <v>3</v>
      </c>
    </row>
    <row r="735">
      <c r="A735" s="58" t="str">
        <f>IFERROR(__xludf.DUMMYFUNCTION("""COMPUTED_VALUE"""),"201904677@est.umss.edu")</f>
        <v>201904677@est.umss.edu</v>
      </c>
      <c r="B735" s="58" t="str">
        <f>IFERROR(__xludf.DUMMYFUNCTION("""COMPUTED_VALUE"""),"PLANIFICACIÓN Y CONTROL DE LA PRODUCCIÓN")</f>
        <v>PLANIFICACIÓN Y CONTROL DE LA PRODUCCIÓN</v>
      </c>
      <c r="C735" s="58">
        <f>IFERROR(__xludf.DUMMYFUNCTION("""COMPUTED_VALUE"""),2.0)</f>
        <v>2</v>
      </c>
    </row>
    <row r="736">
      <c r="A736" s="58" t="str">
        <f>IFERROR(__xludf.DUMMYFUNCTION("""COMPUTED_VALUE"""),"201904677@est.umss.edu")</f>
        <v>201904677@est.umss.edu</v>
      </c>
      <c r="B736" s="58" t="str">
        <f>IFERROR(__xludf.DUMMYFUNCTION("""COMPUTED_VALUE"""),"SEGURIDAD INDUSTRIAL")</f>
        <v>SEGURIDAD INDUSTRIAL</v>
      </c>
      <c r="C736" s="58">
        <f>IFERROR(__xludf.DUMMYFUNCTION("""COMPUTED_VALUE"""),1.0)</f>
        <v>1</v>
      </c>
    </row>
    <row r="737">
      <c r="A737" s="58" t="str">
        <f>IFERROR(__xludf.DUMMYFUNCTION("""COMPUTED_VALUE"""),"201904682@est.umss.edu")</f>
        <v>201904682@est.umss.edu</v>
      </c>
      <c r="B737" s="58"/>
      <c r="C737" s="58">
        <f>IFERROR(__xludf.DUMMYFUNCTION("""COMPUTED_VALUE"""),0.0)</f>
        <v>0</v>
      </c>
    </row>
    <row r="738">
      <c r="A738" s="58" t="str">
        <f>IFERROR(__xludf.DUMMYFUNCTION("""COMPUTED_VALUE"""),"201904682@est.umss.edu")</f>
        <v>201904682@est.umss.edu</v>
      </c>
      <c r="B738" s="58" t="str">
        <f>IFERROR(__xludf.DUMMYFUNCTION("""COMPUTED_VALUE"""),"CALIDAD")</f>
        <v>CALIDAD</v>
      </c>
      <c r="C738" s="58">
        <f>IFERROR(__xludf.DUMMYFUNCTION("""COMPUTED_VALUE"""),1.0)</f>
        <v>1</v>
      </c>
    </row>
    <row r="739">
      <c r="A739" s="58" t="str">
        <f>IFERROR(__xludf.DUMMYFUNCTION("""COMPUTED_VALUE"""),"201904682@est.umss.edu")</f>
        <v>201904682@est.umss.edu</v>
      </c>
      <c r="B739" s="58" t="str">
        <f>IFERROR(__xludf.DUMMYFUNCTION("""COMPUTED_VALUE"""),"DISEÑO")</f>
        <v>DISEÑO</v>
      </c>
      <c r="C739" s="58">
        <f>IFERROR(__xludf.DUMMYFUNCTION("""COMPUTED_VALUE"""),1.0)</f>
        <v>1</v>
      </c>
    </row>
    <row r="740">
      <c r="A740" s="58" t="str">
        <f>IFERROR(__xludf.DUMMYFUNCTION("""COMPUTED_VALUE"""),"201904682@est.umss.edu")</f>
        <v>201904682@est.umss.edu</v>
      </c>
      <c r="B740" s="58" t="str">
        <f>IFERROR(__xludf.DUMMYFUNCTION("""COMPUTED_VALUE"""),"FACTIBILIDAD")</f>
        <v>FACTIBILIDAD</v>
      </c>
      <c r="C740" s="58">
        <f>IFERROR(__xludf.DUMMYFUNCTION("""COMPUTED_VALUE"""),11.0)</f>
        <v>11</v>
      </c>
    </row>
    <row r="741">
      <c r="A741" s="58" t="str">
        <f>IFERROR(__xludf.DUMMYFUNCTION("""COMPUTED_VALUE"""),"201904682@est.umss.edu")</f>
        <v>201904682@est.umss.edu</v>
      </c>
      <c r="B741" s="58" t="str">
        <f>IFERROR(__xludf.DUMMYFUNCTION("""COMPUTED_VALUE"""),"INGENIERÍA DE MÉTODOS")</f>
        <v>INGENIERÍA DE MÉTODOS</v>
      </c>
      <c r="C741" s="58">
        <f>IFERROR(__xludf.DUMMYFUNCTION("""COMPUTED_VALUE"""),13.0)</f>
        <v>13</v>
      </c>
    </row>
    <row r="742">
      <c r="A742" s="58" t="str">
        <f>IFERROR(__xludf.DUMMYFUNCTION("""COMPUTED_VALUE"""),"201904682@est.umss.edu")</f>
        <v>201904682@est.umss.edu</v>
      </c>
      <c r="B742" s="58" t="str">
        <f>IFERROR(__xludf.DUMMYFUNCTION("""COMPUTED_VALUE"""),"OPTIMIZACIÓN")</f>
        <v>OPTIMIZACIÓN</v>
      </c>
      <c r="C742" s="58">
        <f>IFERROR(__xludf.DUMMYFUNCTION("""COMPUTED_VALUE"""),18.0)</f>
        <v>18</v>
      </c>
    </row>
    <row r="743">
      <c r="A743" s="58" t="str">
        <f>IFERROR(__xludf.DUMMYFUNCTION("""COMPUTED_VALUE"""),"201904682@est.umss.edu")</f>
        <v>201904682@est.umss.edu</v>
      </c>
      <c r="B743" s="58" t="str">
        <f>IFERROR(__xludf.DUMMYFUNCTION("""COMPUTED_VALUE"""),"ORGANIZACIÓN INDUSTRIAL")</f>
        <v>ORGANIZACIÓN INDUSTRIAL</v>
      </c>
      <c r="C743" s="58">
        <f>IFERROR(__xludf.DUMMYFUNCTION("""COMPUTED_VALUE"""),1.0)</f>
        <v>1</v>
      </c>
    </row>
    <row r="744">
      <c r="A744" s="58" t="str">
        <f>IFERROR(__xludf.DUMMYFUNCTION("""COMPUTED_VALUE"""),"201904682@est.umss.edu")</f>
        <v>201904682@est.umss.edu</v>
      </c>
      <c r="B744" s="58" t="str">
        <f>IFERROR(__xludf.DUMMYFUNCTION("""COMPUTED_VALUE"""),"PLANIFICACIÓN Y CONTROL DE LA PRODUCCIÓN")</f>
        <v>PLANIFICACIÓN Y CONTROL DE LA PRODUCCIÓN</v>
      </c>
      <c r="C744" s="58">
        <f>IFERROR(__xludf.DUMMYFUNCTION("""COMPUTED_VALUE"""),2.0)</f>
        <v>2</v>
      </c>
    </row>
    <row r="745">
      <c r="A745" s="58" t="str">
        <f>IFERROR(__xludf.DUMMYFUNCTION("""COMPUTED_VALUE"""),"201904682@est.umss.edu")</f>
        <v>201904682@est.umss.edu</v>
      </c>
      <c r="B745" s="58" t="str">
        <f>IFERROR(__xludf.DUMMYFUNCTION("""COMPUTED_VALUE"""),"PROCESOS INDUSTRIALES")</f>
        <v>PROCESOS INDUSTRIALES</v>
      </c>
      <c r="C745" s="58">
        <f>IFERROR(__xludf.DUMMYFUNCTION("""COMPUTED_VALUE"""),2.0)</f>
        <v>2</v>
      </c>
    </row>
    <row r="746">
      <c r="A746" s="58" t="str">
        <f>IFERROR(__xludf.DUMMYFUNCTION("""COMPUTED_VALUE"""),"201904682@est.umss.edu")</f>
        <v>201904682@est.umss.edu</v>
      </c>
      <c r="B746" s="58" t="str">
        <f>IFERROR(__xludf.DUMMYFUNCTION("""COMPUTED_VALUE"""),"SEGURIDAD INDUSTRIAL")</f>
        <v>SEGURIDAD INDUSTRIAL</v>
      </c>
      <c r="C746" s="58">
        <f>IFERROR(__xludf.DUMMYFUNCTION("""COMPUTED_VALUE"""),26.0)</f>
        <v>26</v>
      </c>
    </row>
    <row r="747">
      <c r="A747" s="58" t="str">
        <f>IFERROR(__xludf.DUMMYFUNCTION("""COMPUTED_VALUE"""),"201904683@est.umss.edu")</f>
        <v>201904683@est.umss.edu</v>
      </c>
      <c r="B747" s="58" t="str">
        <f>IFERROR(__xludf.DUMMYFUNCTION("""COMPUTED_VALUE"""),"CALIDAD")</f>
        <v>CALIDAD</v>
      </c>
      <c r="C747" s="58">
        <f>IFERROR(__xludf.DUMMYFUNCTION("""COMPUTED_VALUE"""),1.0)</f>
        <v>1</v>
      </c>
    </row>
    <row r="748">
      <c r="A748" s="58" t="str">
        <f>IFERROR(__xludf.DUMMYFUNCTION("""COMPUTED_VALUE"""),"201904683@est.umss.edu")</f>
        <v>201904683@est.umss.edu</v>
      </c>
      <c r="B748" s="58" t="str">
        <f>IFERROR(__xludf.DUMMYFUNCTION("""COMPUTED_VALUE"""),"FACTIBILIDAD")</f>
        <v>FACTIBILIDAD</v>
      </c>
      <c r="C748" s="58">
        <f>IFERROR(__xludf.DUMMYFUNCTION("""COMPUTED_VALUE"""),10.0)</f>
        <v>10</v>
      </c>
    </row>
    <row r="749">
      <c r="A749" s="58" t="str">
        <f>IFERROR(__xludf.DUMMYFUNCTION("""COMPUTED_VALUE"""),"201904683@est.umss.edu")</f>
        <v>201904683@est.umss.edu</v>
      </c>
      <c r="B749" s="58" t="str">
        <f>IFERROR(__xludf.DUMMYFUNCTION("""COMPUTED_VALUE"""),"SEGURIDAD INDUSTRIAL")</f>
        <v>SEGURIDAD INDUSTRIAL</v>
      </c>
      <c r="C749" s="58">
        <f>IFERROR(__xludf.DUMMYFUNCTION("""COMPUTED_VALUE"""),10.0)</f>
        <v>10</v>
      </c>
    </row>
    <row r="750">
      <c r="A750" s="58" t="str">
        <f>IFERROR(__xludf.DUMMYFUNCTION("""COMPUTED_VALUE"""),"201904708@est.umss.edu")</f>
        <v>201904708@est.umss.edu</v>
      </c>
      <c r="B750" s="58" t="str">
        <f>IFERROR(__xludf.DUMMYFUNCTION("""COMPUTED_VALUE"""),"FACTIBILIDAD")</f>
        <v>FACTIBILIDAD</v>
      </c>
      <c r="C750" s="58">
        <f>IFERROR(__xludf.DUMMYFUNCTION("""COMPUTED_VALUE"""),2.0)</f>
        <v>2</v>
      </c>
    </row>
    <row r="751">
      <c r="A751" s="58" t="str">
        <f>IFERROR(__xludf.DUMMYFUNCTION("""COMPUTED_VALUE"""),"201904718@est.umss.edu")</f>
        <v>201904718@est.umss.edu</v>
      </c>
      <c r="B751" s="58"/>
      <c r="C751" s="58">
        <f>IFERROR(__xludf.DUMMYFUNCTION("""COMPUTED_VALUE"""),0.0)</f>
        <v>0</v>
      </c>
    </row>
    <row r="752">
      <c r="A752" s="58" t="str">
        <f>IFERROR(__xludf.DUMMYFUNCTION("""COMPUTED_VALUE"""),"201904718@est.umss.edu")</f>
        <v>201904718@est.umss.edu</v>
      </c>
      <c r="B752" s="58" t="str">
        <f>IFERROR(__xludf.DUMMYFUNCTION("""COMPUTED_VALUE"""),"CALIDAD")</f>
        <v>CALIDAD</v>
      </c>
      <c r="C752" s="58">
        <f>IFERROR(__xludf.DUMMYFUNCTION("""COMPUTED_VALUE"""),1.0)</f>
        <v>1</v>
      </c>
    </row>
    <row r="753">
      <c r="A753" s="58" t="str">
        <f>IFERROR(__xludf.DUMMYFUNCTION("""COMPUTED_VALUE"""),"201904718@est.umss.edu")</f>
        <v>201904718@est.umss.edu</v>
      </c>
      <c r="B753" s="58" t="str">
        <f>IFERROR(__xludf.DUMMYFUNCTION("""COMPUTED_VALUE"""),"FACTIBILIDAD")</f>
        <v>FACTIBILIDAD</v>
      </c>
      <c r="C753" s="58">
        <f>IFERROR(__xludf.DUMMYFUNCTION("""COMPUTED_VALUE"""),3.0)</f>
        <v>3</v>
      </c>
    </row>
    <row r="754">
      <c r="A754" s="58" t="str">
        <f>IFERROR(__xludf.DUMMYFUNCTION("""COMPUTED_VALUE"""),"201904718@est.umss.edu")</f>
        <v>201904718@est.umss.edu</v>
      </c>
      <c r="B754" s="58" t="str">
        <f>IFERROR(__xludf.DUMMYFUNCTION("""COMPUTED_VALUE"""),"INGENIERÍA DE MÉTODOS")</f>
        <v>INGENIERÍA DE MÉTODOS</v>
      </c>
      <c r="C754" s="58">
        <f>IFERROR(__xludf.DUMMYFUNCTION("""COMPUTED_VALUE"""),4.0)</f>
        <v>4</v>
      </c>
    </row>
    <row r="755">
      <c r="A755" s="58" t="str">
        <f>IFERROR(__xludf.DUMMYFUNCTION("""COMPUTED_VALUE"""),"201904718@est.umss.edu")</f>
        <v>201904718@est.umss.edu</v>
      </c>
      <c r="B755" s="58" t="str">
        <f>IFERROR(__xludf.DUMMYFUNCTION("""COMPUTED_VALUE"""),"OPTIMIZACIÓN")</f>
        <v>OPTIMIZACIÓN</v>
      </c>
      <c r="C755" s="58">
        <f>IFERROR(__xludf.DUMMYFUNCTION("""COMPUTED_VALUE"""),1.0)</f>
        <v>1</v>
      </c>
    </row>
    <row r="756">
      <c r="A756" s="58" t="str">
        <f>IFERROR(__xludf.DUMMYFUNCTION("""COMPUTED_VALUE"""),"201904718@est.umss.edu")</f>
        <v>201904718@est.umss.edu</v>
      </c>
      <c r="B756" s="58" t="str">
        <f>IFERROR(__xludf.DUMMYFUNCTION("""COMPUTED_VALUE"""),"SEGURIDAD INDUSTRIAL")</f>
        <v>SEGURIDAD INDUSTRIAL</v>
      </c>
      <c r="C756" s="58">
        <f>IFERROR(__xludf.DUMMYFUNCTION("""COMPUTED_VALUE"""),5.0)</f>
        <v>5</v>
      </c>
    </row>
    <row r="757">
      <c r="A757" s="58" t="str">
        <f>IFERROR(__xludf.DUMMYFUNCTION("""COMPUTED_VALUE"""),"201905745@est.umss.edu")</f>
        <v>201905745@est.umss.edu</v>
      </c>
      <c r="B757" s="58" t="str">
        <f>IFERROR(__xludf.DUMMYFUNCTION("""COMPUTED_VALUE"""),"INGENIERÍA DE MÉTODOS")</f>
        <v>INGENIERÍA DE MÉTODOS</v>
      </c>
      <c r="C757" s="58">
        <f>IFERROR(__xludf.DUMMYFUNCTION("""COMPUTED_VALUE"""),4.0)</f>
        <v>4</v>
      </c>
    </row>
    <row r="758">
      <c r="A758" s="58" t="str">
        <f>IFERROR(__xludf.DUMMYFUNCTION("""COMPUTED_VALUE"""),"201905745@est.umss.edu")</f>
        <v>201905745@est.umss.edu</v>
      </c>
      <c r="B758" s="58" t="str">
        <f>IFERROR(__xludf.DUMMYFUNCTION("""COMPUTED_VALUE"""),"ORGANIZACIÓN INDUSTRIAL")</f>
        <v>ORGANIZACIÓN INDUSTRIAL</v>
      </c>
      <c r="C758" s="58">
        <f>IFERROR(__xludf.DUMMYFUNCTION("""COMPUTED_VALUE"""),1.0)</f>
        <v>1</v>
      </c>
    </row>
    <row r="759">
      <c r="A759" s="58" t="str">
        <f>IFERROR(__xludf.DUMMYFUNCTION("""COMPUTED_VALUE"""),"201905745@est.umss.edu")</f>
        <v>201905745@est.umss.edu</v>
      </c>
      <c r="B759" s="58" t="str">
        <f>IFERROR(__xludf.DUMMYFUNCTION("""COMPUTED_VALUE"""),"SEGURIDAD INDUSTRIAL")</f>
        <v>SEGURIDAD INDUSTRIAL</v>
      </c>
      <c r="C759" s="58">
        <f>IFERROR(__xludf.DUMMYFUNCTION("""COMPUTED_VALUE"""),12.0)</f>
        <v>12</v>
      </c>
    </row>
    <row r="760">
      <c r="A760" s="58" t="str">
        <f>IFERROR(__xludf.DUMMYFUNCTION("""COMPUTED_VALUE"""),"201905769@est.umss.edu")</f>
        <v>201905769@est.umss.edu</v>
      </c>
      <c r="B760" s="58" t="str">
        <f>IFERROR(__xludf.DUMMYFUNCTION("""COMPUTED_VALUE"""),"GESTIÓN ESTRATÉGICA")</f>
        <v>GESTIÓN ESTRATÉGICA</v>
      </c>
      <c r="C760" s="58">
        <f>IFERROR(__xludf.DUMMYFUNCTION("""COMPUTED_VALUE"""),4.0)</f>
        <v>4</v>
      </c>
    </row>
    <row r="761">
      <c r="A761" s="58" t="str">
        <f>IFERROR(__xludf.DUMMYFUNCTION("""COMPUTED_VALUE"""),"201907032@est.umss.edu")</f>
        <v>201907032@est.umss.edu</v>
      </c>
      <c r="B761" s="58" t="str">
        <f>IFERROR(__xludf.DUMMYFUNCTION("""COMPUTED_VALUE"""),"DISEÑO")</f>
        <v>DISEÑO</v>
      </c>
      <c r="C761" s="58">
        <f>IFERROR(__xludf.DUMMYFUNCTION("""COMPUTED_VALUE"""),2.0)</f>
        <v>2</v>
      </c>
    </row>
    <row r="762">
      <c r="A762" s="58" t="str">
        <f>IFERROR(__xludf.DUMMYFUNCTION("""COMPUTED_VALUE"""),"201907032@est.umss.edu")</f>
        <v>201907032@est.umss.edu</v>
      </c>
      <c r="B762" s="58" t="str">
        <f>IFERROR(__xludf.DUMMYFUNCTION("""COMPUTED_VALUE"""),"FACTIBILIDAD")</f>
        <v>FACTIBILIDAD</v>
      </c>
      <c r="C762" s="58">
        <f>IFERROR(__xludf.DUMMYFUNCTION("""COMPUTED_VALUE"""),5.0)</f>
        <v>5</v>
      </c>
    </row>
    <row r="763">
      <c r="A763" s="58" t="str">
        <f>IFERROR(__xludf.DUMMYFUNCTION("""COMPUTED_VALUE"""),"201907032@est.umss.edu")</f>
        <v>201907032@est.umss.edu</v>
      </c>
      <c r="B763" s="58" t="str">
        <f>IFERROR(__xludf.DUMMYFUNCTION("""COMPUTED_VALUE"""),"SEGURIDAD INDUSTRIAL")</f>
        <v>SEGURIDAD INDUSTRIAL</v>
      </c>
      <c r="C763" s="58">
        <f>IFERROR(__xludf.DUMMYFUNCTION("""COMPUTED_VALUE"""),8.0)</f>
        <v>8</v>
      </c>
    </row>
    <row r="764">
      <c r="A764" s="58" t="str">
        <f>IFERROR(__xludf.DUMMYFUNCTION("""COMPUTED_VALUE"""),"201908544@est.umss.edu")</f>
        <v>201908544@est.umss.edu</v>
      </c>
      <c r="B764" s="58" t="str">
        <f>IFERROR(__xludf.DUMMYFUNCTION("""COMPUTED_VALUE"""),"DISEÑO")</f>
        <v>DISEÑO</v>
      </c>
      <c r="C764" s="58">
        <f>IFERROR(__xludf.DUMMYFUNCTION("""COMPUTED_VALUE"""),1.0)</f>
        <v>1</v>
      </c>
    </row>
    <row r="765">
      <c r="A765" s="58" t="str">
        <f>IFERROR(__xludf.DUMMYFUNCTION("""COMPUTED_VALUE"""),"201908544@est.umss.edu")</f>
        <v>201908544@est.umss.edu</v>
      </c>
      <c r="B765" s="58" t="str">
        <f>IFERROR(__xludf.DUMMYFUNCTION("""COMPUTED_VALUE"""),"FACTIBILIDAD")</f>
        <v>FACTIBILIDAD</v>
      </c>
      <c r="C765" s="58">
        <f>IFERROR(__xludf.DUMMYFUNCTION("""COMPUTED_VALUE"""),11.0)</f>
        <v>11</v>
      </c>
    </row>
    <row r="766">
      <c r="A766" s="58" t="str">
        <f>IFERROR(__xludf.DUMMYFUNCTION("""COMPUTED_VALUE"""),"201908544@est.umss.edu")</f>
        <v>201908544@est.umss.edu</v>
      </c>
      <c r="B766" s="58" t="str">
        <f>IFERROR(__xludf.DUMMYFUNCTION("""COMPUTED_VALUE"""),"GESTIÓN ESTRATÉGICA")</f>
        <v>GESTIÓN ESTRATÉGICA</v>
      </c>
      <c r="C766" s="58">
        <f>IFERROR(__xludf.DUMMYFUNCTION("""COMPUTED_VALUE"""),1.0)</f>
        <v>1</v>
      </c>
    </row>
    <row r="767">
      <c r="A767" s="58" t="str">
        <f>IFERROR(__xludf.DUMMYFUNCTION("""COMPUTED_VALUE"""),"201908544@est.umss.edu")</f>
        <v>201908544@est.umss.edu</v>
      </c>
      <c r="B767" s="58" t="str">
        <f>IFERROR(__xludf.DUMMYFUNCTION("""COMPUTED_VALUE"""),"OPTIMIZACIÓN")</f>
        <v>OPTIMIZACIÓN</v>
      </c>
      <c r="C767" s="58">
        <f>IFERROR(__xludf.DUMMYFUNCTION("""COMPUTED_VALUE"""),2.0)</f>
        <v>2</v>
      </c>
    </row>
    <row r="768">
      <c r="A768" s="58" t="str">
        <f>IFERROR(__xludf.DUMMYFUNCTION("""COMPUTED_VALUE"""),"201908544@est.umss.edu")</f>
        <v>201908544@est.umss.edu</v>
      </c>
      <c r="B768" s="58" t="str">
        <f>IFERROR(__xludf.DUMMYFUNCTION("""COMPUTED_VALUE"""),"ORGANIZACIÓN INDUSTRIAL")</f>
        <v>ORGANIZACIÓN INDUSTRIAL</v>
      </c>
      <c r="C768" s="58">
        <f>IFERROR(__xludf.DUMMYFUNCTION("""COMPUTED_VALUE"""),1.0)</f>
        <v>1</v>
      </c>
    </row>
    <row r="769">
      <c r="A769" s="58" t="str">
        <f>IFERROR(__xludf.DUMMYFUNCTION("""COMPUTED_VALUE"""),"201908544@est.umss.edu")</f>
        <v>201908544@est.umss.edu</v>
      </c>
      <c r="B769" s="58" t="str">
        <f>IFERROR(__xludf.DUMMYFUNCTION("""COMPUTED_VALUE"""),"OTROS")</f>
        <v>OTROS</v>
      </c>
      <c r="C769" s="58">
        <f>IFERROR(__xludf.DUMMYFUNCTION("""COMPUTED_VALUE"""),1.0)</f>
        <v>1</v>
      </c>
    </row>
    <row r="770">
      <c r="A770" s="58" t="str">
        <f>IFERROR(__xludf.DUMMYFUNCTION("""COMPUTED_VALUE"""),"201908544@est.umss.edu")</f>
        <v>201908544@est.umss.edu</v>
      </c>
      <c r="B770" s="58" t="str">
        <f>IFERROR(__xludf.DUMMYFUNCTION("""COMPUTED_VALUE"""),"PROCESOS INDUSTRIALES")</f>
        <v>PROCESOS INDUSTRIALES</v>
      </c>
      <c r="C770" s="58">
        <f>IFERROR(__xludf.DUMMYFUNCTION("""COMPUTED_VALUE"""),2.0)</f>
        <v>2</v>
      </c>
    </row>
    <row r="771">
      <c r="A771" s="58" t="str">
        <f>IFERROR(__xludf.DUMMYFUNCTION("""COMPUTED_VALUE"""),"201908544@est.umss.edu")</f>
        <v>201908544@est.umss.edu</v>
      </c>
      <c r="B771" s="58" t="str">
        <f>IFERROR(__xludf.DUMMYFUNCTION("""COMPUTED_VALUE"""),"SISTEMAS DE INFORMACIÓN")</f>
        <v>SISTEMAS DE INFORMACIÓN</v>
      </c>
      <c r="C771" s="58">
        <f>IFERROR(__xludf.DUMMYFUNCTION("""COMPUTED_VALUE"""),1.0)</f>
        <v>1</v>
      </c>
    </row>
    <row r="772">
      <c r="A772" s="58" t="str">
        <f>IFERROR(__xludf.DUMMYFUNCTION("""COMPUTED_VALUE"""),"201909894@est.umss.edu")</f>
        <v>201909894@est.umss.edu</v>
      </c>
      <c r="B772" s="58"/>
      <c r="C772" s="58">
        <f>IFERROR(__xludf.DUMMYFUNCTION("""COMPUTED_VALUE"""),0.0)</f>
        <v>0</v>
      </c>
    </row>
    <row r="773">
      <c r="A773" s="58" t="str">
        <f>IFERROR(__xludf.DUMMYFUNCTION("""COMPUTED_VALUE"""),"201909894@est.umss.edu")</f>
        <v>201909894@est.umss.edu</v>
      </c>
      <c r="B773" s="58" t="str">
        <f>IFERROR(__xludf.DUMMYFUNCTION("""COMPUTED_VALUE"""),"CALIDAD")</f>
        <v>CALIDAD</v>
      </c>
      <c r="C773" s="58">
        <f>IFERROR(__xludf.DUMMYFUNCTION("""COMPUTED_VALUE"""),3.0)</f>
        <v>3</v>
      </c>
    </row>
    <row r="774">
      <c r="A774" s="58" t="str">
        <f>IFERROR(__xludf.DUMMYFUNCTION("""COMPUTED_VALUE"""),"201909894@est.umss.edu")</f>
        <v>201909894@est.umss.edu</v>
      </c>
      <c r="B774" s="58" t="str">
        <f>IFERROR(__xludf.DUMMYFUNCTION("""COMPUTED_VALUE"""),"INGENIERÍA DE MÉTODOS")</f>
        <v>INGENIERÍA DE MÉTODOS</v>
      </c>
      <c r="C774" s="58">
        <f>IFERROR(__xludf.DUMMYFUNCTION("""COMPUTED_VALUE"""),7.0)</f>
        <v>7</v>
      </c>
    </row>
    <row r="775">
      <c r="A775" s="58" t="str">
        <f>IFERROR(__xludf.DUMMYFUNCTION("""COMPUTED_VALUE"""),"201909894@est.umss.edu")</f>
        <v>201909894@est.umss.edu</v>
      </c>
      <c r="B775" s="58" t="str">
        <f>IFERROR(__xludf.DUMMYFUNCTION("""COMPUTED_VALUE"""),"MARKETING/MERCADOTECNIA")</f>
        <v>MARKETING/MERCADOTECNIA</v>
      </c>
      <c r="C775" s="58">
        <f>IFERROR(__xludf.DUMMYFUNCTION("""COMPUTED_VALUE"""),2.0)</f>
        <v>2</v>
      </c>
    </row>
    <row r="776">
      <c r="A776" s="58" t="str">
        <f>IFERROR(__xludf.DUMMYFUNCTION("""COMPUTED_VALUE"""),"201909894@est.umss.edu")</f>
        <v>201909894@est.umss.edu</v>
      </c>
      <c r="B776" s="58" t="str">
        <f>IFERROR(__xludf.DUMMYFUNCTION("""COMPUTED_VALUE"""),"OPTIMIZACIÓN")</f>
        <v>OPTIMIZACIÓN</v>
      </c>
      <c r="C776" s="58">
        <f>IFERROR(__xludf.DUMMYFUNCTION("""COMPUTED_VALUE"""),1.0)</f>
        <v>1</v>
      </c>
    </row>
    <row r="777">
      <c r="A777" s="58" t="str">
        <f>IFERROR(__xludf.DUMMYFUNCTION("""COMPUTED_VALUE"""),"201909894@est.umss.edu")</f>
        <v>201909894@est.umss.edu</v>
      </c>
      <c r="B777" s="58" t="str">
        <f>IFERROR(__xludf.DUMMYFUNCTION("""COMPUTED_VALUE"""),"ORGANIZACIÓN INDUSTRIAL")</f>
        <v>ORGANIZACIÓN INDUSTRIAL</v>
      </c>
      <c r="C777" s="58">
        <f>IFERROR(__xludf.DUMMYFUNCTION("""COMPUTED_VALUE"""),1.0)</f>
        <v>1</v>
      </c>
    </row>
    <row r="778">
      <c r="A778" s="58" t="str">
        <f>IFERROR(__xludf.DUMMYFUNCTION("""COMPUTED_VALUE"""),"201909898@est.umss.edu")</f>
        <v>201909898@est.umss.edu</v>
      </c>
      <c r="B778" s="58" t="str">
        <f>IFERROR(__xludf.DUMMYFUNCTION("""COMPUTED_VALUE"""),"SEGURIDAD INDUSTRIAL")</f>
        <v>SEGURIDAD INDUSTRIAL</v>
      </c>
      <c r="C778" s="58">
        <f>IFERROR(__xludf.DUMMYFUNCTION("""COMPUTED_VALUE"""),1.0)</f>
        <v>1</v>
      </c>
    </row>
    <row r="779">
      <c r="A779" s="58" t="str">
        <f>IFERROR(__xludf.DUMMYFUNCTION("""COMPUTED_VALUE"""),"202000108@est.umss.edu")</f>
        <v>202000108@est.umss.edu</v>
      </c>
      <c r="B779" s="58" t="str">
        <f>IFERROR(__xludf.DUMMYFUNCTION("""COMPUTED_VALUE"""),"FACTIBILIDAD")</f>
        <v>FACTIBILIDAD</v>
      </c>
      <c r="C779" s="58">
        <f>IFERROR(__xludf.DUMMYFUNCTION("""COMPUTED_VALUE"""),2.0)</f>
        <v>2</v>
      </c>
    </row>
    <row r="780">
      <c r="A780" s="58" t="str">
        <f>IFERROR(__xludf.DUMMYFUNCTION("""COMPUTED_VALUE"""),"202000108@est.umss.edu")</f>
        <v>202000108@est.umss.edu</v>
      </c>
      <c r="B780" s="58" t="str">
        <f>IFERROR(__xludf.DUMMYFUNCTION("""COMPUTED_VALUE"""),"MANTENIMIENTO")</f>
        <v>MANTENIMIENTO</v>
      </c>
      <c r="C780" s="58">
        <f>IFERROR(__xludf.DUMMYFUNCTION("""COMPUTED_VALUE"""),1.0)</f>
        <v>1</v>
      </c>
    </row>
    <row r="781">
      <c r="A781" s="58" t="str">
        <f>IFERROR(__xludf.DUMMYFUNCTION("""COMPUTED_VALUE"""),"202000369@est.umss.edu")</f>
        <v>202000369@est.umss.edu</v>
      </c>
      <c r="B781" s="58" t="str">
        <f>IFERROR(__xludf.DUMMYFUNCTION("""COMPUTED_VALUE"""),"CALIDAD")</f>
        <v>CALIDAD</v>
      </c>
      <c r="C781" s="58">
        <f>IFERROR(__xludf.DUMMYFUNCTION("""COMPUTED_VALUE"""),2.0)</f>
        <v>2</v>
      </c>
    </row>
    <row r="782">
      <c r="A782" s="58" t="str">
        <f>IFERROR(__xludf.DUMMYFUNCTION("""COMPUTED_VALUE"""),"202000369@est.umss.edu")</f>
        <v>202000369@est.umss.edu</v>
      </c>
      <c r="B782" s="58" t="str">
        <f>IFERROR(__xludf.DUMMYFUNCTION("""COMPUTED_VALUE"""),"SEGURIDAD INDUSTRIAL")</f>
        <v>SEGURIDAD INDUSTRIAL</v>
      </c>
      <c r="C782" s="58">
        <f>IFERROR(__xludf.DUMMYFUNCTION("""COMPUTED_VALUE"""),9.0)</f>
        <v>9</v>
      </c>
    </row>
    <row r="783">
      <c r="A783" s="58" t="str">
        <f>IFERROR(__xludf.DUMMYFUNCTION("""COMPUTED_VALUE"""),"202001484@est.umss.edu")</f>
        <v>202001484@est.umss.edu</v>
      </c>
      <c r="B783" s="58" t="str">
        <f>IFERROR(__xludf.DUMMYFUNCTION("""COMPUTED_VALUE"""),"EVALUACIÓN TÉCNICA")</f>
        <v>EVALUACIÓN TÉCNICA</v>
      </c>
      <c r="C783" s="58">
        <f>IFERROR(__xludf.DUMMYFUNCTION("""COMPUTED_VALUE"""),2.0)</f>
        <v>2</v>
      </c>
    </row>
    <row r="784">
      <c r="A784" s="58" t="str">
        <f>IFERROR(__xludf.DUMMYFUNCTION("""COMPUTED_VALUE"""),"202001484@est.umss.edu")</f>
        <v>202001484@est.umss.edu</v>
      </c>
      <c r="B784" s="58" t="str">
        <f>IFERROR(__xludf.DUMMYFUNCTION("""COMPUTED_VALUE"""),"FACTIBILIDAD")</f>
        <v>FACTIBILIDAD</v>
      </c>
      <c r="C784" s="58">
        <f>IFERROR(__xludf.DUMMYFUNCTION("""COMPUTED_VALUE"""),2.0)</f>
        <v>2</v>
      </c>
    </row>
    <row r="785">
      <c r="A785" s="58" t="str">
        <f>IFERROR(__xludf.DUMMYFUNCTION("""COMPUTED_VALUE"""),"202001492@est.umss.edu")</f>
        <v>202001492@est.umss.edu</v>
      </c>
      <c r="B785" s="58" t="str">
        <f>IFERROR(__xludf.DUMMYFUNCTION("""COMPUTED_VALUE"""),"INGENIERÍA DE MÉTODOS")</f>
        <v>INGENIERÍA DE MÉTODOS</v>
      </c>
      <c r="C785" s="58">
        <f>IFERROR(__xludf.DUMMYFUNCTION("""COMPUTED_VALUE"""),1.0)</f>
        <v>1</v>
      </c>
    </row>
    <row r="786">
      <c r="A786" s="58" t="str">
        <f>IFERROR(__xludf.DUMMYFUNCTION("""COMPUTED_VALUE"""),"202001511@est.umss.edu")</f>
        <v>202001511@est.umss.edu</v>
      </c>
      <c r="B786" s="58" t="str">
        <f>IFERROR(__xludf.DUMMYFUNCTION("""COMPUTED_VALUE"""),"EVALUACIÓN TÉCNICA")</f>
        <v>EVALUACIÓN TÉCNICA</v>
      </c>
      <c r="C786" s="58">
        <f>IFERROR(__xludf.DUMMYFUNCTION("""COMPUTED_VALUE"""),1.0)</f>
        <v>1</v>
      </c>
    </row>
    <row r="787">
      <c r="A787" s="58" t="str">
        <f>IFERROR(__xludf.DUMMYFUNCTION("""COMPUTED_VALUE"""),"202001511@est.umss.edu")</f>
        <v>202001511@est.umss.edu</v>
      </c>
      <c r="B787" s="58" t="str">
        <f>IFERROR(__xludf.DUMMYFUNCTION("""COMPUTED_VALUE"""),"FACTIBILIDAD")</f>
        <v>FACTIBILIDAD</v>
      </c>
      <c r="C787" s="58">
        <f>IFERROR(__xludf.DUMMYFUNCTION("""COMPUTED_VALUE"""),5.0)</f>
        <v>5</v>
      </c>
    </row>
    <row r="788">
      <c r="A788" s="58" t="str">
        <f>IFERROR(__xludf.DUMMYFUNCTION("""COMPUTED_VALUE"""),"202001528@est.umss.edu")</f>
        <v>202001528@est.umss.edu</v>
      </c>
      <c r="B788" s="58"/>
      <c r="C788" s="58">
        <f>IFERROR(__xludf.DUMMYFUNCTION("""COMPUTED_VALUE"""),0.0)</f>
        <v>0</v>
      </c>
    </row>
    <row r="789">
      <c r="A789" s="58" t="str">
        <f>IFERROR(__xludf.DUMMYFUNCTION("""COMPUTED_VALUE"""),"202001528@est.umss.edu")</f>
        <v>202001528@est.umss.edu</v>
      </c>
      <c r="B789" s="58" t="str">
        <f>IFERROR(__xludf.DUMMYFUNCTION("""COMPUTED_VALUE"""),"CALIDAD")</f>
        <v>CALIDAD</v>
      </c>
      <c r="C789" s="58">
        <f>IFERROR(__xludf.DUMMYFUNCTION("""COMPUTED_VALUE"""),1.0)</f>
        <v>1</v>
      </c>
    </row>
    <row r="790">
      <c r="A790" s="58" t="str">
        <f>IFERROR(__xludf.DUMMYFUNCTION("""COMPUTED_VALUE"""),"202001528@est.umss.edu")</f>
        <v>202001528@est.umss.edu</v>
      </c>
      <c r="B790" s="58" t="str">
        <f>IFERROR(__xludf.DUMMYFUNCTION("""COMPUTED_VALUE"""),"DISEÑO")</f>
        <v>DISEÑO</v>
      </c>
      <c r="C790" s="58">
        <f>IFERROR(__xludf.DUMMYFUNCTION("""COMPUTED_VALUE"""),1.0)</f>
        <v>1</v>
      </c>
    </row>
    <row r="791">
      <c r="A791" s="58" t="str">
        <f>IFERROR(__xludf.DUMMYFUNCTION("""COMPUTED_VALUE"""),"202001528@est.umss.edu")</f>
        <v>202001528@est.umss.edu</v>
      </c>
      <c r="B791" s="58" t="str">
        <f>IFERROR(__xludf.DUMMYFUNCTION("""COMPUTED_VALUE"""),"GESTIÓN ESTRATÉGICA")</f>
        <v>GESTIÓN ESTRATÉGICA</v>
      </c>
      <c r="C791" s="58">
        <f>IFERROR(__xludf.DUMMYFUNCTION("""COMPUTED_VALUE"""),5.0)</f>
        <v>5</v>
      </c>
    </row>
    <row r="792">
      <c r="A792" s="58" t="str">
        <f>IFERROR(__xludf.DUMMYFUNCTION("""COMPUTED_VALUE"""),"202001528@est.umss.edu")</f>
        <v>202001528@est.umss.edu</v>
      </c>
      <c r="B792" s="58" t="str">
        <f>IFERROR(__xludf.DUMMYFUNCTION("""COMPUTED_VALUE"""),"INGENIERÍA DE MÉTODOS")</f>
        <v>INGENIERÍA DE MÉTODOS</v>
      </c>
      <c r="C792" s="58">
        <f>IFERROR(__xludf.DUMMYFUNCTION("""COMPUTED_VALUE"""),5.0)</f>
        <v>5</v>
      </c>
    </row>
    <row r="793">
      <c r="A793" s="58" t="str">
        <f>IFERROR(__xludf.DUMMYFUNCTION("""COMPUTED_VALUE"""),"202001528@est.umss.edu")</f>
        <v>202001528@est.umss.edu</v>
      </c>
      <c r="B793" s="58" t="str">
        <f>IFERROR(__xludf.DUMMYFUNCTION("""COMPUTED_VALUE"""),"MARKETING/MERCADOTECNIA")</f>
        <v>MARKETING/MERCADOTECNIA</v>
      </c>
      <c r="C793" s="58">
        <f>IFERROR(__xludf.DUMMYFUNCTION("""COMPUTED_VALUE"""),1.0)</f>
        <v>1</v>
      </c>
    </row>
    <row r="794">
      <c r="A794" s="58" t="str">
        <f>IFERROR(__xludf.DUMMYFUNCTION("""COMPUTED_VALUE"""),"202001528@est.umss.edu")</f>
        <v>202001528@est.umss.edu</v>
      </c>
      <c r="B794" s="58" t="str">
        <f>IFERROR(__xludf.DUMMYFUNCTION("""COMPUTED_VALUE"""),"OPTIMIZACIÓN")</f>
        <v>OPTIMIZACIÓN</v>
      </c>
      <c r="C794" s="58">
        <f>IFERROR(__xludf.DUMMYFUNCTION("""COMPUTED_VALUE"""),2.0)</f>
        <v>2</v>
      </c>
    </row>
    <row r="795">
      <c r="A795" s="58" t="str">
        <f>IFERROR(__xludf.DUMMYFUNCTION("""COMPUTED_VALUE"""),"202001528@est.umss.edu")</f>
        <v>202001528@est.umss.edu</v>
      </c>
      <c r="B795" s="58" t="str">
        <f>IFERROR(__xludf.DUMMYFUNCTION("""COMPUTED_VALUE"""),"PLAN DE NEGOCIOS")</f>
        <v>PLAN DE NEGOCIOS</v>
      </c>
      <c r="C795" s="58">
        <f>IFERROR(__xludf.DUMMYFUNCTION("""COMPUTED_VALUE"""),4.0)</f>
        <v>4</v>
      </c>
    </row>
    <row r="796">
      <c r="A796" s="58" t="str">
        <f>IFERROR(__xludf.DUMMYFUNCTION("""COMPUTED_VALUE"""),"202001528@est.umss.edu")</f>
        <v>202001528@est.umss.edu</v>
      </c>
      <c r="B796" s="58" t="str">
        <f>IFERROR(__xludf.DUMMYFUNCTION("""COMPUTED_VALUE"""),"SEGURIDAD INDUSTRIAL")</f>
        <v>SEGURIDAD INDUSTRIAL</v>
      </c>
      <c r="C796" s="58">
        <f>IFERROR(__xludf.DUMMYFUNCTION("""COMPUTED_VALUE"""),3.0)</f>
        <v>3</v>
      </c>
    </row>
    <row r="797">
      <c r="A797" s="58" t="str">
        <f>IFERROR(__xludf.DUMMYFUNCTION("""COMPUTED_VALUE"""),"202001528@est.umss.edu")</f>
        <v>202001528@est.umss.edu</v>
      </c>
      <c r="B797" s="58" t="str">
        <f>IFERROR(__xludf.DUMMYFUNCTION("""COMPUTED_VALUE"""),"SISTEMAS INTEGRADOS")</f>
        <v>SISTEMAS INTEGRADOS</v>
      </c>
      <c r="C797" s="58">
        <f>IFERROR(__xludf.DUMMYFUNCTION("""COMPUTED_VALUE"""),2.0)</f>
        <v>2</v>
      </c>
    </row>
    <row r="798">
      <c r="A798" s="58" t="str">
        <f>IFERROR(__xludf.DUMMYFUNCTION("""COMPUTED_VALUE"""),"202002333@est.umss.edu")</f>
        <v>202002333@est.umss.edu</v>
      </c>
      <c r="B798" s="58" t="str">
        <f>IFERROR(__xludf.DUMMYFUNCTION("""COMPUTED_VALUE"""),"CALIDAD")</f>
        <v>CALIDAD</v>
      </c>
      <c r="C798" s="58">
        <f>IFERROR(__xludf.DUMMYFUNCTION("""COMPUTED_VALUE"""),1.0)</f>
        <v>1</v>
      </c>
    </row>
    <row r="799">
      <c r="A799" s="58" t="str">
        <f>IFERROR(__xludf.DUMMYFUNCTION("""COMPUTED_VALUE"""),"202002333@est.umss.edu")</f>
        <v>202002333@est.umss.edu</v>
      </c>
      <c r="B799" s="58" t="str">
        <f>IFERROR(__xludf.DUMMYFUNCTION("""COMPUTED_VALUE"""),"FACTIBILIDAD")</f>
        <v>FACTIBILIDAD</v>
      </c>
      <c r="C799" s="58">
        <f>IFERROR(__xludf.DUMMYFUNCTION("""COMPUTED_VALUE"""),4.0)</f>
        <v>4</v>
      </c>
    </row>
    <row r="800">
      <c r="A800" s="58" t="str">
        <f>IFERROR(__xludf.DUMMYFUNCTION("""COMPUTED_VALUE"""),"202002333@est.umss.edu")</f>
        <v>202002333@est.umss.edu</v>
      </c>
      <c r="B800" s="58" t="str">
        <f>IFERROR(__xludf.DUMMYFUNCTION("""COMPUTED_VALUE"""),"OPTIMIZACIÓN")</f>
        <v>OPTIMIZACIÓN</v>
      </c>
      <c r="C800" s="58">
        <f>IFERROR(__xludf.DUMMYFUNCTION("""COMPUTED_VALUE"""),2.0)</f>
        <v>2</v>
      </c>
    </row>
    <row r="801">
      <c r="A801" s="58" t="str">
        <f>IFERROR(__xludf.DUMMYFUNCTION("""COMPUTED_VALUE"""),"202002333@est.umss.edu")</f>
        <v>202002333@est.umss.edu</v>
      </c>
      <c r="B801" s="58" t="str">
        <f>IFERROR(__xludf.DUMMYFUNCTION("""COMPUTED_VALUE"""),"SEGURIDAD INDUSTRIAL")</f>
        <v>SEGURIDAD INDUSTRIAL</v>
      </c>
      <c r="C801" s="58">
        <f>IFERROR(__xludf.DUMMYFUNCTION("""COMPUTED_VALUE"""),1.0)</f>
        <v>1</v>
      </c>
    </row>
    <row r="802">
      <c r="A802" s="58" t="str">
        <f>IFERROR(__xludf.DUMMYFUNCTION("""COMPUTED_VALUE"""),"202009754@est.umss.edu")</f>
        <v>202009754@est.umss.edu</v>
      </c>
      <c r="B802" s="58" t="str">
        <f>IFERROR(__xludf.DUMMYFUNCTION("""COMPUTED_VALUE"""),"ACADÉMICOS")</f>
        <v>ACADÉMICOS</v>
      </c>
      <c r="C802" s="58">
        <f>IFERROR(__xludf.DUMMYFUNCTION("""COMPUTED_VALUE"""),1.0)</f>
        <v>1</v>
      </c>
    </row>
    <row r="803">
      <c r="A803" s="58" t="str">
        <f>IFERROR(__xludf.DUMMYFUNCTION("""COMPUTED_VALUE"""),"202009754@est.umss.edu")</f>
        <v>202009754@est.umss.edu</v>
      </c>
      <c r="B803" s="58" t="str">
        <f>IFERROR(__xludf.DUMMYFUNCTION("""COMPUTED_VALUE"""),"SEGURIDAD INDUSTRIAL")</f>
        <v>SEGURIDAD INDUSTRIAL</v>
      </c>
      <c r="C803" s="58">
        <f>IFERROR(__xludf.DUMMYFUNCTION("""COMPUTED_VALUE"""),8.0)</f>
        <v>8</v>
      </c>
    </row>
    <row r="804">
      <c r="A804" s="58" t="str">
        <f>IFERROR(__xludf.DUMMYFUNCTION("""COMPUTED_VALUE"""),"202102951@est.umss.edu")</f>
        <v>202102951@est.umss.edu</v>
      </c>
      <c r="B804" s="58" t="str">
        <f>IFERROR(__xludf.DUMMYFUNCTION("""COMPUTED_VALUE"""),"MARKETING/MERCADOTECNIA")</f>
        <v>MARKETING/MERCADOTECNIA</v>
      </c>
      <c r="C804" s="58">
        <f>IFERROR(__xludf.DUMMYFUNCTION("""COMPUTED_VALUE"""),1.0)</f>
        <v>1</v>
      </c>
    </row>
    <row r="805">
      <c r="A805" s="58" t="str">
        <f>IFERROR(__xludf.DUMMYFUNCTION("""COMPUTED_VALUE"""),"202102951@est.umss.edu")</f>
        <v>202102951@est.umss.edu</v>
      </c>
      <c r="B805" s="58" t="str">
        <f>IFERROR(__xludf.DUMMYFUNCTION("""COMPUTED_VALUE"""),"SEGURIDAD INDUSTRIAL")</f>
        <v>SEGURIDAD INDUSTRIAL</v>
      </c>
      <c r="C805" s="58">
        <f>IFERROR(__xludf.DUMMYFUNCTION("""COMPUTED_VALUE"""),1.0)</f>
        <v>1</v>
      </c>
    </row>
    <row r="806">
      <c r="A806" s="58" t="str">
        <f>IFERROR(__xludf.DUMMYFUNCTION("""COMPUTED_VALUE"""),"202103406@est.umss.edu")</f>
        <v>202103406@est.umss.edu</v>
      </c>
      <c r="B806" s="58" t="str">
        <f>IFERROR(__xludf.DUMMYFUNCTION("""COMPUTED_VALUE"""),"GESTIÓN ESTRATÉGICA")</f>
        <v>GESTIÓN ESTRATÉGICA</v>
      </c>
      <c r="C806" s="58">
        <f>IFERROR(__xludf.DUMMYFUNCTION("""COMPUTED_VALUE"""),4.0)</f>
        <v>4</v>
      </c>
    </row>
    <row r="807">
      <c r="A807" s="58" t="str">
        <f>IFERROR(__xludf.DUMMYFUNCTION("""COMPUTED_VALUE"""),"202103406@est.umss.edu")</f>
        <v>202103406@est.umss.edu</v>
      </c>
      <c r="B807" s="58" t="str">
        <f>IFERROR(__xludf.DUMMYFUNCTION("""COMPUTED_VALUE"""),"PLANIFICACIÓN Y CONTROL DE LA PRODUCCIÓN")</f>
        <v>PLANIFICACIÓN Y CONTROL DE LA PRODUCCIÓN</v>
      </c>
      <c r="C807" s="58">
        <f>IFERROR(__xludf.DUMMYFUNCTION("""COMPUTED_VALUE"""),1.0)</f>
        <v>1</v>
      </c>
    </row>
    <row r="808">
      <c r="A808" s="58" t="str">
        <f>IFERROR(__xludf.DUMMYFUNCTION("""COMPUTED_VALUE"""),"alfredopericon.b@fcyt.umss.edu.bo")</f>
        <v>alfredopericon.b@fcyt.umss.edu.bo</v>
      </c>
      <c r="B808" s="58" t="str">
        <f>IFERROR(__xludf.DUMMYFUNCTION("""COMPUTED_VALUE"""),"DISEÑO")</f>
        <v>DISEÑO</v>
      </c>
      <c r="C808" s="58">
        <f>IFERROR(__xludf.DUMMYFUNCTION("""COMPUTED_VALUE"""),1.0)</f>
        <v>1</v>
      </c>
    </row>
    <row r="809">
      <c r="A809" s="58" t="str">
        <f>IFERROR(__xludf.DUMMYFUNCTION("""COMPUTED_VALUE"""),"alfredopericon.b@fcyt.umss.edu.bo")</f>
        <v>alfredopericon.b@fcyt.umss.edu.bo</v>
      </c>
      <c r="B809" s="58" t="str">
        <f>IFERROR(__xludf.DUMMYFUNCTION("""COMPUTED_VALUE"""),"FACTIBILIDAD")</f>
        <v>FACTIBILIDAD</v>
      </c>
      <c r="C809" s="58">
        <f>IFERROR(__xludf.DUMMYFUNCTION("""COMPUTED_VALUE"""),3.0)</f>
        <v>3</v>
      </c>
    </row>
    <row r="810">
      <c r="A810" s="58" t="str">
        <f>IFERROR(__xludf.DUMMYFUNCTION("""COMPUTED_VALUE"""),"alfredopericon.b@fcyt.umss.edu.bo")</f>
        <v>alfredopericon.b@fcyt.umss.edu.bo</v>
      </c>
      <c r="B810" s="58" t="str">
        <f>IFERROR(__xludf.DUMMYFUNCTION("""COMPUTED_VALUE"""),"GESTIÓN ESTRATÉGICA
")</f>
        <v>GESTIÓN ESTRATÉGICA
</v>
      </c>
      <c r="C810" s="58">
        <f>IFERROR(__xludf.DUMMYFUNCTION("""COMPUTED_VALUE"""),1.0)</f>
        <v>1</v>
      </c>
    </row>
    <row r="811">
      <c r="A811" s="58" t="str">
        <f>IFERROR(__xludf.DUMMYFUNCTION("""COMPUTED_VALUE"""),"alfredopericon.b@fcyt.umss.edu.bo")</f>
        <v>alfredopericon.b@fcyt.umss.edu.bo</v>
      </c>
      <c r="B811" s="58" t="str">
        <f>IFERROR(__xludf.DUMMYFUNCTION("""COMPUTED_VALUE"""),"SEGURIDAD INDUSTRIAL")</f>
        <v>SEGURIDAD INDUSTRIAL</v>
      </c>
      <c r="C811" s="58">
        <f>IFERROR(__xludf.DUMMYFUNCTION("""COMPUTED_VALUE"""),3.0)</f>
        <v>3</v>
      </c>
    </row>
    <row r="812">
      <c r="A812" s="58" t="str">
        <f>IFERROR(__xludf.DUMMYFUNCTION("""COMPUTED_VALUE"""),"alvarez.1996ely@gmail.com")</f>
        <v>alvarez.1996ely@gmail.com</v>
      </c>
      <c r="B812" s="58" t="str">
        <f>IFERROR(__xludf.DUMMYFUNCTION("""COMPUTED_VALUE"""),"FACTIBILIDAD")</f>
        <v>FACTIBILIDAD</v>
      </c>
      <c r="C812" s="58">
        <f>IFERROR(__xludf.DUMMYFUNCTION("""COMPUTED_VALUE"""),1.0)</f>
        <v>1</v>
      </c>
    </row>
    <row r="813">
      <c r="A813" s="58" t="str">
        <f>IFERROR(__xludf.DUMMYFUNCTION("""COMPUTED_VALUE"""),"alvarez.1996ely@gmail.com ")</f>
        <v>alvarez.1996ely@gmail.com </v>
      </c>
      <c r="B813" s="58" t="str">
        <f>IFERROR(__xludf.DUMMYFUNCTION("""COMPUTED_VALUE"""),"EVALUACIÓN TÉCNICA")</f>
        <v>EVALUACIÓN TÉCNICA</v>
      </c>
      <c r="C813" s="58">
        <f>IFERROR(__xludf.DUMMYFUNCTION("""COMPUTED_VALUE"""),1.0)</f>
        <v>1</v>
      </c>
    </row>
    <row r="814">
      <c r="A814" s="58" t="str">
        <f>IFERROR(__xludf.DUMMYFUNCTION("""COMPUTED_VALUE"""),"alvarodiaz090503@gmail.com")</f>
        <v>alvarodiaz090503@gmail.com</v>
      </c>
      <c r="B814" s="58" t="str">
        <f>IFERROR(__xludf.DUMMYFUNCTION("""COMPUTED_VALUE"""),"DISEÑO")</f>
        <v>DISEÑO</v>
      </c>
      <c r="C814" s="58">
        <f>IFERROR(__xludf.DUMMYFUNCTION("""COMPUTED_VALUE"""),2.0)</f>
        <v>2</v>
      </c>
    </row>
    <row r="815">
      <c r="A815" s="58" t="str">
        <f>IFERROR(__xludf.DUMMYFUNCTION("""COMPUTED_VALUE"""),"alvarodiaz090503@gmail.com")</f>
        <v>alvarodiaz090503@gmail.com</v>
      </c>
      <c r="B815" s="58" t="str">
        <f>IFERROR(__xludf.DUMMYFUNCTION("""COMPUTED_VALUE"""),"FACTIBILIDAD")</f>
        <v>FACTIBILIDAD</v>
      </c>
      <c r="C815" s="58">
        <f>IFERROR(__xludf.DUMMYFUNCTION("""COMPUTED_VALUE"""),2.0)</f>
        <v>2</v>
      </c>
    </row>
    <row r="816">
      <c r="A816" s="58" t="str">
        <f>IFERROR(__xludf.DUMMYFUNCTION("""COMPUTED_VALUE"""),"amilkar2777@gmail.com")</f>
        <v>amilkar2777@gmail.com</v>
      </c>
      <c r="B816" s="58" t="str">
        <f>IFERROR(__xludf.DUMMYFUNCTION("""COMPUTED_VALUE"""),"CALIDAD")</f>
        <v>CALIDAD</v>
      </c>
      <c r="C816" s="58">
        <f>IFERROR(__xludf.DUMMYFUNCTION("""COMPUTED_VALUE"""),1.0)</f>
        <v>1</v>
      </c>
    </row>
    <row r="817">
      <c r="A817" s="58" t="str">
        <f>IFERROR(__xludf.DUMMYFUNCTION("""COMPUTED_VALUE"""),"amilkar2777@gmail.com")</f>
        <v>amilkar2777@gmail.com</v>
      </c>
      <c r="B817" s="58" t="str">
        <f>IFERROR(__xludf.DUMMYFUNCTION("""COMPUTED_VALUE"""),"DISEÑO")</f>
        <v>DISEÑO</v>
      </c>
      <c r="C817" s="58">
        <f>IFERROR(__xludf.DUMMYFUNCTION("""COMPUTED_VALUE"""),9.0)</f>
        <v>9</v>
      </c>
    </row>
    <row r="818">
      <c r="A818" s="58" t="str">
        <f>IFERROR(__xludf.DUMMYFUNCTION("""COMPUTED_VALUE"""),"amilkar2777@gmail.com")</f>
        <v>amilkar2777@gmail.com</v>
      </c>
      <c r="B818" s="58" t="str">
        <f>IFERROR(__xludf.DUMMYFUNCTION("""COMPUTED_VALUE"""),"SISTEMAS INTEGRADOS")</f>
        <v>SISTEMAS INTEGRADOS</v>
      </c>
      <c r="C818" s="58">
        <f>IFERROR(__xludf.DUMMYFUNCTION("""COMPUTED_VALUE"""),1.0)</f>
        <v>1</v>
      </c>
    </row>
    <row r="819">
      <c r="A819" s="58" t="str">
        <f>IFERROR(__xludf.DUMMYFUNCTION("""COMPUTED_VALUE"""),"arias.c0206@gmail.com")</f>
        <v>arias.c0206@gmail.com</v>
      </c>
      <c r="B819" s="58" t="str">
        <f>IFERROR(__xludf.DUMMYFUNCTION("""COMPUTED_VALUE"""),"CALIDAD")</f>
        <v>CALIDAD</v>
      </c>
      <c r="C819" s="58">
        <f>IFERROR(__xludf.DUMMYFUNCTION("""COMPUTED_VALUE"""),3.0)</f>
        <v>3</v>
      </c>
    </row>
    <row r="820">
      <c r="A820" s="58" t="str">
        <f>IFERROR(__xludf.DUMMYFUNCTION("""COMPUTED_VALUE"""),"arias.c0206@gmail.com")</f>
        <v>arias.c0206@gmail.com</v>
      </c>
      <c r="B820" s="58" t="str">
        <f>IFERROR(__xludf.DUMMYFUNCTION("""COMPUTED_VALUE"""),"GESTION DE CALIDAD")</f>
        <v>GESTION DE CALIDAD</v>
      </c>
      <c r="C820" s="58">
        <f>IFERROR(__xludf.DUMMYFUNCTION("""COMPUTED_VALUE"""),1.0)</f>
        <v>1</v>
      </c>
    </row>
    <row r="821">
      <c r="A821" s="58" t="str">
        <f>IFERROR(__xludf.DUMMYFUNCTION("""COMPUTED_VALUE"""),"arias.c0206@gmail.com")</f>
        <v>arias.c0206@gmail.com</v>
      </c>
      <c r="B821" s="58" t="str">
        <f>IFERROR(__xludf.DUMMYFUNCTION("""COMPUTED_VALUE"""),"SISTEMAS INTEGRADOS")</f>
        <v>SISTEMAS INTEGRADOS</v>
      </c>
      <c r="C821" s="58">
        <f>IFERROR(__xludf.DUMMYFUNCTION("""COMPUTED_VALUE"""),2.0)</f>
        <v>2</v>
      </c>
    </row>
    <row r="822">
      <c r="A822" s="58" t="str">
        <f>IFERROR(__xludf.DUMMYFUNCTION("""COMPUTED_VALUE"""),"arias.c0206@gmail.com ")</f>
        <v>arias.c0206@gmail.com </v>
      </c>
      <c r="B822" s="58" t="str">
        <f>IFERROR(__xludf.DUMMYFUNCTION("""COMPUTED_VALUE"""),"MARKETING/MERCADOTECNIA")</f>
        <v>MARKETING/MERCADOTECNIA</v>
      </c>
      <c r="C822" s="58">
        <f>IFERROR(__xludf.DUMMYFUNCTION("""COMPUTED_VALUE"""),1.0)</f>
        <v>1</v>
      </c>
    </row>
    <row r="823">
      <c r="A823" s="58" t="str">
        <f>IFERROR(__xludf.DUMMYFUNCTION("""COMPUTED_VALUE"""),"caroalvv@gmail.com")</f>
        <v>caroalvv@gmail.com</v>
      </c>
      <c r="B823" s="58" t="str">
        <f>IFERROR(__xludf.DUMMYFUNCTION("""COMPUTED_VALUE"""),"CALIDAD")</f>
        <v>CALIDAD</v>
      </c>
      <c r="C823" s="58">
        <f>IFERROR(__xludf.DUMMYFUNCTION("""COMPUTED_VALUE"""),2.0)</f>
        <v>2</v>
      </c>
    </row>
    <row r="824">
      <c r="A824" s="58" t="str">
        <f>IFERROR(__xludf.DUMMYFUNCTION("""COMPUTED_VALUE"""),"caroalvv@gmail.com")</f>
        <v>caroalvv@gmail.com</v>
      </c>
      <c r="B824" s="58" t="str">
        <f>IFERROR(__xludf.DUMMYFUNCTION("""COMPUTED_VALUE"""),"EVALUACIÓN TÉCNICA")</f>
        <v>EVALUACIÓN TÉCNICA</v>
      </c>
      <c r="C824" s="58">
        <f>IFERROR(__xludf.DUMMYFUNCTION("""COMPUTED_VALUE"""),1.0)</f>
        <v>1</v>
      </c>
    </row>
    <row r="825">
      <c r="A825" s="58" t="str">
        <f>IFERROR(__xludf.DUMMYFUNCTION("""COMPUTED_VALUE"""),"caroalvv@gmail.com")</f>
        <v>caroalvv@gmail.com</v>
      </c>
      <c r="B825" s="58" t="str">
        <f>IFERROR(__xludf.DUMMYFUNCTION("""COMPUTED_VALUE"""),"PLANIFICACION Y CONTROL DE LA PRODUCCION")</f>
        <v>PLANIFICACION Y CONTROL DE LA PRODUCCION</v>
      </c>
      <c r="C825" s="58">
        <f>IFERROR(__xludf.DUMMYFUNCTION("""COMPUTED_VALUE"""),1.0)</f>
        <v>1</v>
      </c>
    </row>
    <row r="826">
      <c r="A826" s="58" t="str">
        <f>IFERROR(__xludf.DUMMYFUNCTION("""COMPUTED_VALUE"""),"caroalvv@gmail.com")</f>
        <v>caroalvv@gmail.com</v>
      </c>
      <c r="B826" s="58" t="str">
        <f>IFERROR(__xludf.DUMMYFUNCTION("""COMPUTED_VALUE"""),"SISTEMAS INTEGRADOS")</f>
        <v>SISTEMAS INTEGRADOS</v>
      </c>
      <c r="C826" s="58">
        <f>IFERROR(__xludf.DUMMYFUNCTION("""COMPUTED_VALUE"""),1.0)</f>
        <v>1</v>
      </c>
    </row>
    <row r="827">
      <c r="A827" s="58" t="str">
        <f>IFERROR(__xludf.DUMMYFUNCTION("""COMPUTED_VALUE"""),"cocolc34@gmail.com")</f>
        <v>cocolc34@gmail.com</v>
      </c>
      <c r="B827" s="58" t="str">
        <f>IFERROR(__xludf.DUMMYFUNCTION("""COMPUTED_VALUE"""),"DISEÑO")</f>
        <v>DISEÑO</v>
      </c>
      <c r="C827" s="58">
        <f>IFERROR(__xludf.DUMMYFUNCTION("""COMPUTED_VALUE"""),6.0)</f>
        <v>6</v>
      </c>
    </row>
    <row r="828">
      <c r="A828" s="58" t="str">
        <f>IFERROR(__xludf.DUMMYFUNCTION("""COMPUTED_VALUE"""),"cocolc34@gmail.com")</f>
        <v>cocolc34@gmail.com</v>
      </c>
      <c r="B828" s="58" t="str">
        <f>IFERROR(__xludf.DUMMYFUNCTION("""COMPUTED_VALUE"""),"FACTIBILIDAD")</f>
        <v>FACTIBILIDAD</v>
      </c>
      <c r="C828" s="58">
        <f>IFERROR(__xludf.DUMMYFUNCTION("""COMPUTED_VALUE"""),1.0)</f>
        <v>1</v>
      </c>
    </row>
    <row r="829">
      <c r="A829" s="58" t="str">
        <f>IFERROR(__xludf.DUMMYFUNCTION("""COMPUTED_VALUE"""),"dagner5959@gmail.com ")</f>
        <v>dagner5959@gmail.com </v>
      </c>
      <c r="B829" s="58" t="str">
        <f>IFERROR(__xludf.DUMMYFUNCTION("""COMPUTED_VALUE"""),"FACTIBILIDAD")</f>
        <v>FACTIBILIDAD</v>
      </c>
      <c r="C829" s="58">
        <f>IFERROR(__xludf.DUMMYFUNCTION("""COMPUTED_VALUE"""),1.0)</f>
        <v>1</v>
      </c>
    </row>
    <row r="830">
      <c r="A830" s="58" t="str">
        <f>IFERROR(__xludf.DUMMYFUNCTION("""COMPUTED_VALUE"""),"fernandaseveriche456@gmail.com")</f>
        <v>fernandaseveriche456@gmail.com</v>
      </c>
      <c r="B830" s="58" t="str">
        <f>IFERROR(__xludf.DUMMYFUNCTION("""COMPUTED_VALUE"""),"FACTIBILIDAD")</f>
        <v>FACTIBILIDAD</v>
      </c>
      <c r="C830" s="58">
        <f>IFERROR(__xludf.DUMMYFUNCTION("""COMPUTED_VALUE"""),3.0)</f>
        <v>3</v>
      </c>
    </row>
    <row r="831">
      <c r="A831" s="58" t="str">
        <f>IFERROR(__xludf.DUMMYFUNCTION("""COMPUTED_VALUE"""),"graciela.guevara.gonzales@gmail.com")</f>
        <v>graciela.guevara.gonzales@gmail.com</v>
      </c>
      <c r="B831" s="58" t="str">
        <f>IFERROR(__xludf.DUMMYFUNCTION("""COMPUTED_VALUE"""),"CALIDAD")</f>
        <v>CALIDAD</v>
      </c>
      <c r="C831" s="58">
        <f>IFERROR(__xludf.DUMMYFUNCTION("""COMPUTED_VALUE"""),6.0)</f>
        <v>6</v>
      </c>
    </row>
    <row r="832">
      <c r="A832" s="58" t="str">
        <f>IFERROR(__xludf.DUMMYFUNCTION("""COMPUTED_VALUE"""),"graciela.guevara.gonzales@gmail.com")</f>
        <v>graciela.guevara.gonzales@gmail.com</v>
      </c>
      <c r="B832" s="58" t="str">
        <f>IFERROR(__xludf.DUMMYFUNCTION("""COMPUTED_VALUE"""),"DISEÑO")</f>
        <v>DISEÑO</v>
      </c>
      <c r="C832" s="58">
        <f>IFERROR(__xludf.DUMMYFUNCTION("""COMPUTED_VALUE"""),1.0)</f>
        <v>1</v>
      </c>
    </row>
    <row r="833">
      <c r="A833" s="58" t="str">
        <f>IFERROR(__xludf.DUMMYFUNCTION("""COMPUTED_VALUE"""),"graciela.guevara.gonzales@gmail.com")</f>
        <v>graciela.guevara.gonzales@gmail.com</v>
      </c>
      <c r="B833" s="58" t="str">
        <f>IFERROR(__xludf.DUMMYFUNCTION("""COMPUTED_VALUE"""),"EVALUACIÓN TÉCNICA")</f>
        <v>EVALUACIÓN TÉCNICA</v>
      </c>
      <c r="C833" s="58">
        <f>IFERROR(__xludf.DUMMYFUNCTION("""COMPUTED_VALUE"""),2.0)</f>
        <v>2</v>
      </c>
    </row>
    <row r="834">
      <c r="A834" s="58" t="str">
        <f>IFERROR(__xludf.DUMMYFUNCTION("""COMPUTED_VALUE"""),"graciela.guevara.gonzales@gmail.com")</f>
        <v>graciela.guevara.gonzales@gmail.com</v>
      </c>
      <c r="B834" s="58" t="str">
        <f>IFERROR(__xludf.DUMMYFUNCTION("""COMPUTED_VALUE"""),"FACTIBILIDAD")</f>
        <v>FACTIBILIDAD</v>
      </c>
      <c r="C834" s="58">
        <f>IFERROR(__xludf.DUMMYFUNCTION("""COMPUTED_VALUE"""),3.0)</f>
        <v>3</v>
      </c>
    </row>
    <row r="835">
      <c r="A835" s="58" t="str">
        <f>IFERROR(__xludf.DUMMYFUNCTION("""COMPUTED_VALUE"""),"graciela.guevara.gonzales@gmail.com")</f>
        <v>graciela.guevara.gonzales@gmail.com</v>
      </c>
      <c r="B835" s="58" t="str">
        <f>IFERROR(__xludf.DUMMYFUNCTION("""COMPUTED_VALUE"""),"GESTIÓN ESTRATÉGICA")</f>
        <v>GESTIÓN ESTRATÉGICA</v>
      </c>
      <c r="C835" s="58">
        <f>IFERROR(__xludf.DUMMYFUNCTION("""COMPUTED_VALUE"""),1.0)</f>
        <v>1</v>
      </c>
    </row>
    <row r="836">
      <c r="A836" s="58" t="str">
        <f>IFERROR(__xludf.DUMMYFUNCTION("""COMPUTED_VALUE"""),"graciela.guevara.gonzales@gmail.com")</f>
        <v>graciela.guevara.gonzales@gmail.com</v>
      </c>
      <c r="B836" s="58" t="str">
        <f>IFERROR(__xludf.DUMMYFUNCTION("""COMPUTED_VALUE"""),"INGENIERIA DE METODOS")</f>
        <v>INGENIERIA DE METODOS</v>
      </c>
      <c r="C836" s="58">
        <f>IFERROR(__xludf.DUMMYFUNCTION("""COMPUTED_VALUE"""),1.0)</f>
        <v>1</v>
      </c>
    </row>
    <row r="837">
      <c r="A837" s="58" t="str">
        <f>IFERROR(__xludf.DUMMYFUNCTION("""COMPUTED_VALUE"""),"graciela.guevara.gonzales@gmail.com")</f>
        <v>graciela.guevara.gonzales@gmail.com</v>
      </c>
      <c r="B837" s="58" t="str">
        <f>IFERROR(__xludf.DUMMYFUNCTION("""COMPUTED_VALUE"""),"PLANIFICACION Y CONTROL DE LA PRODUCCION")</f>
        <v>PLANIFICACION Y CONTROL DE LA PRODUCCION</v>
      </c>
      <c r="C837" s="58">
        <f>IFERROR(__xludf.DUMMYFUNCTION("""COMPUTED_VALUE"""),1.0)</f>
        <v>1</v>
      </c>
    </row>
    <row r="838">
      <c r="A838" s="58" t="str">
        <f>IFERROR(__xludf.DUMMYFUNCTION("""COMPUTED_VALUE"""),"graciela.guevara.gonzales@gmail.com")</f>
        <v>graciela.guevara.gonzales@gmail.com</v>
      </c>
      <c r="B838" s="58" t="str">
        <f>IFERROR(__xludf.DUMMYFUNCTION("""COMPUTED_VALUE"""),"PROCESOS INDUSTRIALES")</f>
        <v>PROCESOS INDUSTRIALES</v>
      </c>
      <c r="C838" s="58">
        <f>IFERROR(__xludf.DUMMYFUNCTION("""COMPUTED_VALUE"""),1.0)</f>
        <v>1</v>
      </c>
    </row>
    <row r="839">
      <c r="A839" s="58" t="str">
        <f>IFERROR(__xludf.DUMMYFUNCTION("""COMPUTED_VALUE"""),"graciela.guevara.gonzales@gmail.com")</f>
        <v>graciela.guevara.gonzales@gmail.com</v>
      </c>
      <c r="B839" s="58" t="str">
        <f>IFERROR(__xludf.DUMMYFUNCTION("""COMPUTED_VALUE"""),"SEGURIDAD INDUSTRIAL")</f>
        <v>SEGURIDAD INDUSTRIAL</v>
      </c>
      <c r="C839" s="58">
        <f>IFERROR(__xludf.DUMMYFUNCTION("""COMPUTED_VALUE"""),1.0)</f>
        <v>1</v>
      </c>
    </row>
    <row r="840">
      <c r="A840" s="58" t="str">
        <f>IFERROR(__xludf.DUMMYFUNCTION("""COMPUTED_VALUE"""),"graciela.guevara.gonzales@gmail.com ")</f>
        <v>graciela.guevara.gonzales@gmail.com </v>
      </c>
      <c r="B840" s="58" t="str">
        <f>IFERROR(__xludf.DUMMYFUNCTION("""COMPUTED_VALUE"""),"OPTIMIZACION")</f>
        <v>OPTIMIZACION</v>
      </c>
      <c r="C840" s="58">
        <f>IFERROR(__xludf.DUMMYFUNCTION("""COMPUTED_VALUE"""),1.0)</f>
        <v>1</v>
      </c>
    </row>
    <row r="841">
      <c r="A841" s="58" t="str">
        <f>IFERROR(__xludf.DUMMYFUNCTION("""COMPUTED_VALUE"""),"graciela.guevara.gonzales@gmail.com ")</f>
        <v>graciela.guevara.gonzales@gmail.com </v>
      </c>
      <c r="B841" s="58" t="str">
        <f>IFERROR(__xludf.DUMMYFUNCTION("""COMPUTED_VALUE"""),"PLANIFICACION Y CONTROL DE LA PRODUCCION")</f>
        <v>PLANIFICACION Y CONTROL DE LA PRODUCCION</v>
      </c>
      <c r="C841" s="58">
        <f>IFERROR(__xludf.DUMMYFUNCTION("""COMPUTED_VALUE"""),1.0)</f>
        <v>1</v>
      </c>
    </row>
    <row r="842">
      <c r="A842" s="58" t="str">
        <f>IFERROR(__xludf.DUMMYFUNCTION("""COMPUTED_VALUE"""),"jeraldin2016cbba@gmail.com")</f>
        <v>jeraldin2016cbba@gmail.com</v>
      </c>
      <c r="B842" s="58" t="str">
        <f>IFERROR(__xludf.DUMMYFUNCTION("""COMPUTED_VALUE"""),"GESTION DE CALIDAD")</f>
        <v>GESTION DE CALIDAD</v>
      </c>
      <c r="C842" s="58">
        <f>IFERROR(__xludf.DUMMYFUNCTION("""COMPUTED_VALUE"""),4.0)</f>
        <v>4</v>
      </c>
    </row>
    <row r="843">
      <c r="A843" s="58" t="str">
        <f>IFERROR(__xludf.DUMMYFUNCTION("""COMPUTED_VALUE"""),"jessmaithe@gmail.com")</f>
        <v>jessmaithe@gmail.com</v>
      </c>
      <c r="B843" s="58" t="str">
        <f>IFERROR(__xludf.DUMMYFUNCTION("""COMPUTED_VALUE"""),"DISEÑO")</f>
        <v>DISEÑO</v>
      </c>
      <c r="C843" s="58">
        <f>IFERROR(__xludf.DUMMYFUNCTION("""COMPUTED_VALUE"""),3.0)</f>
        <v>3</v>
      </c>
    </row>
    <row r="844">
      <c r="A844" s="58" t="str">
        <f>IFERROR(__xludf.DUMMYFUNCTION("""COMPUTED_VALUE"""),"jessmaithe@gmail.com")</f>
        <v>jessmaithe@gmail.com</v>
      </c>
      <c r="B844" s="58" t="str">
        <f>IFERROR(__xludf.DUMMYFUNCTION("""COMPUTED_VALUE"""),"FACTIBILIDAD")</f>
        <v>FACTIBILIDAD</v>
      </c>
      <c r="C844" s="58">
        <f>IFERROR(__xludf.DUMMYFUNCTION("""COMPUTED_VALUE"""),2.0)</f>
        <v>2</v>
      </c>
    </row>
    <row r="845">
      <c r="A845" s="58" t="str">
        <f>IFERROR(__xludf.DUMMYFUNCTION("""COMPUTED_VALUE"""),"jhonnatenorio@gmail.com")</f>
        <v>jhonnatenorio@gmail.com</v>
      </c>
      <c r="B845" s="58" t="str">
        <f>IFERROR(__xludf.DUMMYFUNCTION("""COMPUTED_VALUE"""),"PLANIFICACION Y CONTROL DE LA PRODUCCION")</f>
        <v>PLANIFICACION Y CONTROL DE LA PRODUCCION</v>
      </c>
      <c r="C845" s="58">
        <f>IFERROR(__xludf.DUMMYFUNCTION("""COMPUTED_VALUE"""),1.0)</f>
        <v>1</v>
      </c>
    </row>
    <row r="846">
      <c r="A846" s="58" t="str">
        <f>IFERROR(__xludf.DUMMYFUNCTION("""COMPUTED_VALUE"""),"mariaeva123abc@gmail.com")</f>
        <v>mariaeva123abc@gmail.com</v>
      </c>
      <c r="B846" s="58" t="str">
        <f>IFERROR(__xludf.DUMMYFUNCTION("""COMPUTED_VALUE"""),"CALIDAD")</f>
        <v>CALIDAD</v>
      </c>
      <c r="C846" s="58">
        <f>IFERROR(__xludf.DUMMYFUNCTION("""COMPUTED_VALUE"""),19.0)</f>
        <v>19</v>
      </c>
    </row>
    <row r="847">
      <c r="A847" s="58" t="str">
        <f>IFERROR(__xludf.DUMMYFUNCTION("""COMPUTED_VALUE"""),"mariaeva123abc@gmail.com")</f>
        <v>mariaeva123abc@gmail.com</v>
      </c>
      <c r="B847" s="58" t="str">
        <f>IFERROR(__xludf.DUMMYFUNCTION("""COMPUTED_VALUE"""),"GESTION DE CALIDAD")</f>
        <v>GESTION DE CALIDAD</v>
      </c>
      <c r="C847" s="58">
        <f>IFERROR(__xludf.DUMMYFUNCTION("""COMPUTED_VALUE"""),1.0)</f>
        <v>1</v>
      </c>
    </row>
    <row r="848">
      <c r="A848" s="58" t="str">
        <f>IFERROR(__xludf.DUMMYFUNCTION("""COMPUTED_VALUE"""),"mariaeva123abc@gmail.com")</f>
        <v>mariaeva123abc@gmail.com</v>
      </c>
      <c r="B848" s="58" t="str">
        <f>IFERROR(__xludf.DUMMYFUNCTION("""COMPUTED_VALUE"""),"INGENIERÍA DE MÉTODOS
")</f>
        <v>INGENIERÍA DE MÉTODOS
</v>
      </c>
      <c r="C848" s="58">
        <f>IFERROR(__xludf.DUMMYFUNCTION("""COMPUTED_VALUE"""),1.0)</f>
        <v>1</v>
      </c>
    </row>
    <row r="849">
      <c r="A849" s="58" t="str">
        <f>IFERROR(__xludf.DUMMYFUNCTION("""COMPUTED_VALUE"""),"mariaeva123abc@gmail.com")</f>
        <v>mariaeva123abc@gmail.com</v>
      </c>
      <c r="B849" s="58" t="str">
        <f>IFERROR(__xludf.DUMMYFUNCTION("""COMPUTED_VALUE"""),"PLANIFICACION Y CONTROL DE LA PRODUCCION")</f>
        <v>PLANIFICACION Y CONTROL DE LA PRODUCCION</v>
      </c>
      <c r="C849" s="58">
        <f>IFERROR(__xludf.DUMMYFUNCTION("""COMPUTED_VALUE"""),1.0)</f>
        <v>1</v>
      </c>
    </row>
    <row r="850">
      <c r="A850" s="58" t="str">
        <f>IFERROR(__xludf.DUMMYFUNCTION("""COMPUTED_VALUE"""),"mariaeva123abc@gmail.com")</f>
        <v>mariaeva123abc@gmail.com</v>
      </c>
      <c r="B850" s="58" t="str">
        <f>IFERROR(__xludf.DUMMYFUNCTION("""COMPUTED_VALUE"""),"SEGURIDAD INDUSTRIAL")</f>
        <v>SEGURIDAD INDUSTRIAL</v>
      </c>
      <c r="C850" s="58">
        <f>IFERROR(__xludf.DUMMYFUNCTION("""COMPUTED_VALUE"""),4.0)</f>
        <v>4</v>
      </c>
    </row>
    <row r="851">
      <c r="A851" s="58" t="str">
        <f>IFERROR(__xludf.DUMMYFUNCTION("""COMPUTED_VALUE"""),"mariaeva123abc@gmail.com")</f>
        <v>mariaeva123abc@gmail.com</v>
      </c>
      <c r="B851" s="58" t="str">
        <f>IFERROR(__xludf.DUMMYFUNCTION("""COMPUTED_VALUE"""),"SISTEMAS INTEGRADOS")</f>
        <v>SISTEMAS INTEGRADOS</v>
      </c>
      <c r="C851" s="58">
        <f>IFERROR(__xludf.DUMMYFUNCTION("""COMPUTED_VALUE"""),4.0)</f>
        <v>4</v>
      </c>
    </row>
    <row r="852">
      <c r="A852" s="58" t="str">
        <f>IFERROR(__xludf.DUMMYFUNCTION("""COMPUTED_VALUE"""),"mariaeva123abc@gmail.com ")</f>
        <v>mariaeva123abc@gmail.com </v>
      </c>
      <c r="B852" s="58" t="str">
        <f>IFERROR(__xludf.DUMMYFUNCTION("""COMPUTED_VALUE"""),"CALIDAD")</f>
        <v>CALIDAD</v>
      </c>
      <c r="C852" s="58">
        <f>IFERROR(__xludf.DUMMYFUNCTION("""COMPUTED_VALUE"""),2.0)</f>
        <v>2</v>
      </c>
    </row>
    <row r="853">
      <c r="A853" s="58" t="str">
        <f>IFERROR(__xludf.DUMMYFUNCTION("""COMPUTED_VALUE"""),"mariaeva123abc@gmail.com ")</f>
        <v>mariaeva123abc@gmail.com </v>
      </c>
      <c r="B853" s="58" t="str">
        <f>IFERROR(__xludf.DUMMYFUNCTION("""COMPUTED_VALUE"""),"INGENIERIA DE METODOS")</f>
        <v>INGENIERIA DE METODOS</v>
      </c>
      <c r="C853" s="58">
        <f>IFERROR(__xludf.DUMMYFUNCTION("""COMPUTED_VALUE"""),1.0)</f>
        <v>1</v>
      </c>
    </row>
    <row r="854">
      <c r="A854" s="58" t="str">
        <f>IFERROR(__xludf.DUMMYFUNCTION("""COMPUTED_VALUE"""),"mariaeva123abc@gmail.com ")</f>
        <v>mariaeva123abc@gmail.com </v>
      </c>
      <c r="B854" s="58" t="str">
        <f>IFERROR(__xludf.DUMMYFUNCTION("""COMPUTED_VALUE"""),"SISTEMAS INTEGRADOS")</f>
        <v>SISTEMAS INTEGRADOS</v>
      </c>
      <c r="C854" s="58">
        <f>IFERROR(__xludf.DUMMYFUNCTION("""COMPUTED_VALUE"""),1.0)</f>
        <v>1</v>
      </c>
    </row>
    <row r="855">
      <c r="A855" s="58" t="str">
        <f>IFERROR(__xludf.DUMMYFUNCTION("""COMPUTED_VALUE"""),"marianasoliz.98@gmail.com")</f>
        <v>marianasoliz.98@gmail.com</v>
      </c>
      <c r="B855" s="58" t="str">
        <f>IFERROR(__xludf.DUMMYFUNCTION("""COMPUTED_VALUE"""),"CALIDAD")</f>
        <v>CALIDAD</v>
      </c>
      <c r="C855" s="58">
        <f>IFERROR(__xludf.DUMMYFUNCTION("""COMPUTED_VALUE"""),3.0)</f>
        <v>3</v>
      </c>
    </row>
    <row r="856">
      <c r="A856" s="58" t="str">
        <f>IFERROR(__xludf.DUMMYFUNCTION("""COMPUTED_VALUE"""),"marianasoliz.98@gmail.com")</f>
        <v>marianasoliz.98@gmail.com</v>
      </c>
      <c r="B856" s="58" t="str">
        <f>IFERROR(__xludf.DUMMYFUNCTION("""COMPUTED_VALUE"""),"FACTIBILIDAD")</f>
        <v>FACTIBILIDAD</v>
      </c>
      <c r="C856" s="58">
        <f>IFERROR(__xludf.DUMMYFUNCTION("""COMPUTED_VALUE"""),2.0)</f>
        <v>2</v>
      </c>
    </row>
    <row r="857">
      <c r="A857" s="58" t="str">
        <f>IFERROR(__xludf.DUMMYFUNCTION("""COMPUTED_VALUE"""),"marianasoliz.98@gmail.com")</f>
        <v>marianasoliz.98@gmail.com</v>
      </c>
      <c r="B857" s="58" t="str">
        <f>IFERROR(__xludf.DUMMYFUNCTION("""COMPUTED_VALUE"""),"INGENIERÍA DE MÉTODOS")</f>
        <v>INGENIERÍA DE MÉTODOS</v>
      </c>
      <c r="C857" s="58">
        <f>IFERROR(__xludf.DUMMYFUNCTION("""COMPUTED_VALUE"""),1.0)</f>
        <v>1</v>
      </c>
    </row>
    <row r="858">
      <c r="A858" s="58" t="str">
        <f>IFERROR(__xludf.DUMMYFUNCTION("""COMPUTED_VALUE"""),"marianasoliz.98@gmail.com")</f>
        <v>marianasoliz.98@gmail.com</v>
      </c>
      <c r="B858" s="58" t="str">
        <f>IFERROR(__xludf.DUMMYFUNCTION("""COMPUTED_VALUE"""),"OPTIMIZACIÓN")</f>
        <v>OPTIMIZACIÓN</v>
      </c>
      <c r="C858" s="58">
        <f>IFERROR(__xludf.DUMMYFUNCTION("""COMPUTED_VALUE"""),1.0)</f>
        <v>1</v>
      </c>
    </row>
    <row r="859">
      <c r="A859" s="58" t="str">
        <f>IFERROR(__xludf.DUMMYFUNCTION("""COMPUTED_VALUE"""),"masiel.suarez.claure1234@gmail.com")</f>
        <v>masiel.suarez.claure1234@gmail.com</v>
      </c>
      <c r="B859" s="58" t="str">
        <f>IFERROR(__xludf.DUMMYFUNCTION("""COMPUTED_VALUE"""),"FACTIBILIDAD")</f>
        <v>FACTIBILIDAD</v>
      </c>
      <c r="C859" s="58">
        <f>IFERROR(__xludf.DUMMYFUNCTION("""COMPUTED_VALUE"""),4.0)</f>
        <v>4</v>
      </c>
    </row>
    <row r="860">
      <c r="A860" s="58" t="str">
        <f>IFERROR(__xludf.DUMMYFUNCTION("""COMPUTED_VALUE"""),"masiel.suarez.claure1234@gmail.com")</f>
        <v>masiel.suarez.claure1234@gmail.com</v>
      </c>
      <c r="B860" s="58" t="str">
        <f>IFERROR(__xludf.DUMMYFUNCTION("""COMPUTED_VALUE"""),"SUGURIDAD INDUSTRIAL")</f>
        <v>SUGURIDAD INDUSTRIAL</v>
      </c>
      <c r="C860" s="58">
        <f>IFERROR(__xludf.DUMMYFUNCTION("""COMPUTED_VALUE"""),1.0)</f>
        <v>1</v>
      </c>
    </row>
    <row r="861">
      <c r="A861" s="58" t="str">
        <f>IFERROR(__xludf.DUMMYFUNCTION("""COMPUTED_VALUE"""),"mdelgadillosandagorda@gmail.com")</f>
        <v>mdelgadillosandagorda@gmail.com</v>
      </c>
      <c r="B861" s="58" t="str">
        <f>IFERROR(__xludf.DUMMYFUNCTION("""COMPUTED_VALUE"""),"EVALUCION TECNICA")</f>
        <v>EVALUCION TECNICA</v>
      </c>
      <c r="C861" s="58">
        <f>IFERROR(__xludf.DUMMYFUNCTION("""COMPUTED_VALUE"""),1.0)</f>
        <v>1</v>
      </c>
    </row>
    <row r="862">
      <c r="A862" s="58" t="str">
        <f>IFERROR(__xludf.DUMMYFUNCTION("""COMPUTED_VALUE"""),"mdelgadillosandagorda@gmail.com")</f>
        <v>mdelgadillosandagorda@gmail.com</v>
      </c>
      <c r="B862" s="58" t="str">
        <f>IFERROR(__xludf.DUMMYFUNCTION("""COMPUTED_VALUE"""),"FACTIBILIDAD")</f>
        <v>FACTIBILIDAD</v>
      </c>
      <c r="C862" s="58">
        <f>IFERROR(__xludf.DUMMYFUNCTION("""COMPUTED_VALUE"""),3.0)</f>
        <v>3</v>
      </c>
    </row>
    <row r="863">
      <c r="A863" s="58" t="str">
        <f>IFERROR(__xludf.DUMMYFUNCTION("""COMPUTED_VALUE"""),"mdelgadillosandagorda@gmail.com")</f>
        <v>mdelgadillosandagorda@gmail.com</v>
      </c>
      <c r="B863" s="58" t="str">
        <f>IFERROR(__xludf.DUMMYFUNCTION("""COMPUTED_VALUE"""),"SUGURIDAD INDUSTRIAL")</f>
        <v>SUGURIDAD INDUSTRIAL</v>
      </c>
      <c r="C863" s="58">
        <f>IFERROR(__xludf.DUMMYFUNCTION("""COMPUTED_VALUE"""),3.0)</f>
        <v>3</v>
      </c>
    </row>
    <row r="864">
      <c r="A864" s="58" t="str">
        <f>IFERROR(__xludf.DUMMYFUNCTION("""COMPUTED_VALUE"""),"ml.jhoan443556@gmail.com")</f>
        <v>ml.jhoan443556@gmail.com</v>
      </c>
      <c r="B864" s="58" t="str">
        <f>IFERROR(__xludf.DUMMYFUNCTION("""COMPUTED_VALUE"""),"FACTIBILIDAD")</f>
        <v>FACTIBILIDAD</v>
      </c>
      <c r="C864" s="58">
        <f>IFERROR(__xludf.DUMMYFUNCTION("""COMPUTED_VALUE"""),1.0)</f>
        <v>1</v>
      </c>
    </row>
    <row r="865">
      <c r="A865" s="58" t="str">
        <f>IFERROR(__xludf.DUMMYFUNCTION("""COMPUTED_VALUE"""),"ml.jhoan443556@gmail.com")</f>
        <v>ml.jhoan443556@gmail.com</v>
      </c>
      <c r="B865" s="58" t="str">
        <f>IFERROR(__xludf.DUMMYFUNCTION("""COMPUTED_VALUE"""),"INVESTIGACIÓN OPERATIVA")</f>
        <v>INVESTIGACIÓN OPERATIVA</v>
      </c>
      <c r="C865" s="58">
        <f>IFERROR(__xludf.DUMMYFUNCTION("""COMPUTED_VALUE"""),1.0)</f>
        <v>1</v>
      </c>
    </row>
    <row r="866">
      <c r="A866" s="58" t="str">
        <f>IFERROR(__xludf.DUMMYFUNCTION("""COMPUTED_VALUE"""),"moraleszeballosfernanda@gmail.com")</f>
        <v>moraleszeballosfernanda@gmail.com</v>
      </c>
      <c r="B866" s="58" t="str">
        <f>IFERROR(__xludf.DUMMYFUNCTION("""COMPUTED_VALUE"""),"DISEÑO")</f>
        <v>DISEÑO</v>
      </c>
      <c r="C866" s="58">
        <f>IFERROR(__xludf.DUMMYFUNCTION("""COMPUTED_VALUE"""),1.0)</f>
        <v>1</v>
      </c>
    </row>
    <row r="867">
      <c r="A867" s="58" t="str">
        <f>IFERROR(__xludf.DUMMYFUNCTION("""COMPUTED_VALUE"""),"natalymamani201@gmail.com")</f>
        <v>natalymamani201@gmail.com</v>
      </c>
      <c r="B867" s="58" t="str">
        <f>IFERROR(__xludf.DUMMYFUNCTION("""COMPUTED_VALUE"""),"CALIDAD")</f>
        <v>CALIDAD</v>
      </c>
      <c r="C867" s="58">
        <f>IFERROR(__xludf.DUMMYFUNCTION("""COMPUTED_VALUE"""),3.0)</f>
        <v>3</v>
      </c>
    </row>
    <row r="868">
      <c r="A868" s="58" t="str">
        <f>IFERROR(__xludf.DUMMYFUNCTION("""COMPUTED_VALUE"""),"natalymamani201@gmail.com")</f>
        <v>natalymamani201@gmail.com</v>
      </c>
      <c r="B868" s="58" t="str">
        <f>IFERROR(__xludf.DUMMYFUNCTION("""COMPUTED_VALUE"""),"DISEÑO")</f>
        <v>DISEÑO</v>
      </c>
      <c r="C868" s="58">
        <f>IFERROR(__xludf.DUMMYFUNCTION("""COMPUTED_VALUE"""),8.0)</f>
        <v>8</v>
      </c>
    </row>
    <row r="869">
      <c r="A869" s="58" t="str">
        <f>IFERROR(__xludf.DUMMYFUNCTION("""COMPUTED_VALUE"""),"natalymamani201@gmail.com")</f>
        <v>natalymamani201@gmail.com</v>
      </c>
      <c r="B869" s="58" t="str">
        <f>IFERROR(__xludf.DUMMYFUNCTION("""COMPUTED_VALUE"""),"FACTIBILIDAD")</f>
        <v>FACTIBILIDAD</v>
      </c>
      <c r="C869" s="58">
        <f>IFERROR(__xludf.DUMMYFUNCTION("""COMPUTED_VALUE"""),1.0)</f>
        <v>1</v>
      </c>
    </row>
    <row r="870">
      <c r="A870" s="58" t="str">
        <f>IFERROR(__xludf.DUMMYFUNCTION("""COMPUTED_VALUE"""),"natalymamani201@gmail.com")</f>
        <v>natalymamani201@gmail.com</v>
      </c>
      <c r="B870" s="58" t="str">
        <f>IFERROR(__xludf.DUMMYFUNCTION("""COMPUTED_VALUE"""),"GESTION DE CALIDAD")</f>
        <v>GESTION DE CALIDAD</v>
      </c>
      <c r="C870" s="58">
        <f>IFERROR(__xludf.DUMMYFUNCTION("""COMPUTED_VALUE"""),3.0)</f>
        <v>3</v>
      </c>
    </row>
    <row r="871">
      <c r="A871" s="58" t="str">
        <f>IFERROR(__xludf.DUMMYFUNCTION("""COMPUTED_VALUE"""),"natalymamani201@gmail.com")</f>
        <v>natalymamani201@gmail.com</v>
      </c>
      <c r="B871" s="58" t="str">
        <f>IFERROR(__xludf.DUMMYFUNCTION("""COMPUTED_VALUE"""),"GESTIÓN ESTRATÉGICA")</f>
        <v>GESTIÓN ESTRATÉGICA</v>
      </c>
      <c r="C871" s="58">
        <f>IFERROR(__xludf.DUMMYFUNCTION("""COMPUTED_VALUE"""),1.0)</f>
        <v>1</v>
      </c>
    </row>
    <row r="872">
      <c r="A872" s="58" t="str">
        <f>IFERROR(__xludf.DUMMYFUNCTION("""COMPUTED_VALUE"""),"natalymamani201@gmail.com")</f>
        <v>natalymamani201@gmail.com</v>
      </c>
      <c r="B872" s="58" t="str">
        <f>IFERROR(__xludf.DUMMYFUNCTION("""COMPUTED_VALUE"""),"INGENIERÍA DE MÉTODOS")</f>
        <v>INGENIERÍA DE MÉTODOS</v>
      </c>
      <c r="C872" s="58">
        <f>IFERROR(__xludf.DUMMYFUNCTION("""COMPUTED_VALUE"""),5.0)</f>
        <v>5</v>
      </c>
    </row>
    <row r="873">
      <c r="A873" s="58" t="str">
        <f>IFERROR(__xludf.DUMMYFUNCTION("""COMPUTED_VALUE"""),"natalymamani201@gmail.com")</f>
        <v>natalymamani201@gmail.com</v>
      </c>
      <c r="B873" s="58" t="str">
        <f>IFERROR(__xludf.DUMMYFUNCTION("""COMPUTED_VALUE"""),"ORGANIZACION INDUTRIAL")</f>
        <v>ORGANIZACION INDUTRIAL</v>
      </c>
      <c r="C873" s="58">
        <f>IFERROR(__xludf.DUMMYFUNCTION("""COMPUTED_VALUE"""),1.0)</f>
        <v>1</v>
      </c>
    </row>
    <row r="874">
      <c r="A874" s="58" t="str">
        <f>IFERROR(__xludf.DUMMYFUNCTION("""COMPUTED_VALUE"""),"natalymamani201@gmail.com")</f>
        <v>natalymamani201@gmail.com</v>
      </c>
      <c r="B874" s="58" t="str">
        <f>IFERROR(__xludf.DUMMYFUNCTION("""COMPUTED_VALUE"""),"SUGURIDAD INDUSTRIAL")</f>
        <v>SUGURIDAD INDUSTRIAL</v>
      </c>
      <c r="C874" s="58">
        <f>IFERROR(__xludf.DUMMYFUNCTION("""COMPUTED_VALUE"""),1.0)</f>
        <v>1</v>
      </c>
    </row>
    <row r="875">
      <c r="A875" s="58" t="str">
        <f>IFERROR(__xludf.DUMMYFUNCTION("""COMPUTED_VALUE"""),"natalymamani201@gmail.com ")</f>
        <v>natalymamani201@gmail.com </v>
      </c>
      <c r="B875" s="58" t="str">
        <f>IFERROR(__xludf.DUMMYFUNCTION("""COMPUTED_VALUE"""),"DISEÑO")</f>
        <v>DISEÑO</v>
      </c>
      <c r="C875" s="58">
        <f>IFERROR(__xludf.DUMMYFUNCTION("""COMPUTED_VALUE"""),2.0)</f>
        <v>2</v>
      </c>
    </row>
    <row r="876">
      <c r="A876" s="58" t="str">
        <f>IFERROR(__xludf.DUMMYFUNCTION("""COMPUTED_VALUE"""),"obed.mch15@gmail.com")</f>
        <v>obed.mch15@gmail.com</v>
      </c>
      <c r="B876" s="58" t="str">
        <f>IFERROR(__xludf.DUMMYFUNCTION("""COMPUTED_VALUE"""),"DISEÑO")</f>
        <v>DISEÑO</v>
      </c>
      <c r="C876" s="58">
        <f>IFERROR(__xludf.DUMMYFUNCTION("""COMPUTED_VALUE"""),2.0)</f>
        <v>2</v>
      </c>
    </row>
    <row r="877">
      <c r="A877" s="58" t="str">
        <f>IFERROR(__xludf.DUMMYFUNCTION("""COMPUTED_VALUE"""),"rivera1995cris@gmail.com")</f>
        <v>rivera1995cris@gmail.com</v>
      </c>
      <c r="B877" s="58" t="str">
        <f>IFERROR(__xludf.DUMMYFUNCTION("""COMPUTED_VALUE"""),"DISEÑO")</f>
        <v>DISEÑO</v>
      </c>
      <c r="C877" s="58">
        <f>IFERROR(__xludf.DUMMYFUNCTION("""COMPUTED_VALUE"""),1.0)</f>
        <v>1</v>
      </c>
    </row>
    <row r="878">
      <c r="A878" s="58" t="str">
        <f>IFERROR(__xludf.DUMMYFUNCTION("""COMPUTED_VALUE"""),"rodrigozentenomartinez@gmail.com")</f>
        <v>rodrigozentenomartinez@gmail.com</v>
      </c>
      <c r="B878" s="58" t="str">
        <f>IFERROR(__xludf.DUMMYFUNCTION("""COMPUTED_VALUE"""),"CALIDAD")</f>
        <v>CALIDAD</v>
      </c>
      <c r="C878" s="58">
        <f>IFERROR(__xludf.DUMMYFUNCTION("""COMPUTED_VALUE"""),2.0)</f>
        <v>2</v>
      </c>
    </row>
    <row r="879">
      <c r="A879" s="58" t="str">
        <f>IFERROR(__xludf.DUMMYFUNCTION("""COMPUTED_VALUE"""),"rodrigozentenomartinez@gmail.com")</f>
        <v>rodrigozentenomartinez@gmail.com</v>
      </c>
      <c r="B879" s="58" t="str">
        <f>IFERROR(__xludf.DUMMYFUNCTION("""COMPUTED_VALUE"""),"GESTION DE CALIDAD")</f>
        <v>GESTION DE CALIDAD</v>
      </c>
      <c r="C879" s="58">
        <f>IFERROR(__xludf.DUMMYFUNCTION("""COMPUTED_VALUE"""),2.0)</f>
        <v>2</v>
      </c>
    </row>
    <row r="880">
      <c r="A880" s="58" t="str">
        <f>IFERROR(__xludf.DUMMYFUNCTION("""COMPUTED_VALUE"""),"rodrigozentenomartinez@gmail.com")</f>
        <v>rodrigozentenomartinez@gmail.com</v>
      </c>
      <c r="B880" s="58" t="str">
        <f>IFERROR(__xludf.DUMMYFUNCTION("""COMPUTED_VALUE"""),"INGENIERÍA DE MÉTODOS")</f>
        <v>INGENIERÍA DE MÉTODOS</v>
      </c>
      <c r="C880" s="58">
        <f>IFERROR(__xludf.DUMMYFUNCTION("""COMPUTED_VALUE"""),2.0)</f>
        <v>2</v>
      </c>
    </row>
    <row r="881">
      <c r="A881" s="58" t="str">
        <f>IFERROR(__xludf.DUMMYFUNCTION("""COMPUTED_VALUE"""),"rodrigozentenomartinez@gmail.com")</f>
        <v>rodrigozentenomartinez@gmail.com</v>
      </c>
      <c r="B881" s="58" t="str">
        <f>IFERROR(__xludf.DUMMYFUNCTION("""COMPUTED_VALUE"""),"SEGURIDAD INDUSTRIAL")</f>
        <v>SEGURIDAD INDUSTRIAL</v>
      </c>
      <c r="C881" s="58">
        <f>IFERROR(__xludf.DUMMYFUNCTION("""COMPUTED_VALUE"""),3.0)</f>
        <v>3</v>
      </c>
    </row>
    <row r="882">
      <c r="A882" s="58" t="str">
        <f>IFERROR(__xludf.DUMMYFUNCTION("""COMPUTED_VALUE"""),"rodrigozentenomartinez@gmail.com")</f>
        <v>rodrigozentenomartinez@gmail.com</v>
      </c>
      <c r="B882" s="58" t="str">
        <f>IFERROR(__xludf.DUMMYFUNCTION("""COMPUTED_VALUE"""),"SUGURIDAD INDUSTRIAL")</f>
        <v>SUGURIDAD INDUSTRIAL</v>
      </c>
      <c r="C882" s="58">
        <f>IFERROR(__xludf.DUMMYFUNCTION("""COMPUTED_VALUE"""),7.0)</f>
        <v>7</v>
      </c>
    </row>
    <row r="883">
      <c r="A883" s="58" t="str">
        <f>IFERROR(__xludf.DUMMYFUNCTION("""COMPUTED_VALUE"""),"ruthfernandez1719@gmail.com")</f>
        <v>ruthfernandez1719@gmail.com</v>
      </c>
      <c r="B883" s="58" t="str">
        <f>IFERROR(__xludf.DUMMYFUNCTION("""COMPUTED_VALUE"""),"DISEÑO")</f>
        <v>DISEÑO</v>
      </c>
      <c r="C883" s="58">
        <f>IFERROR(__xludf.DUMMYFUNCTION("""COMPUTED_VALUE"""),2.0)</f>
        <v>2</v>
      </c>
    </row>
    <row r="884">
      <c r="A884" s="58" t="str">
        <f>IFERROR(__xludf.DUMMYFUNCTION("""COMPUTED_VALUE"""),"ruthfernandez1719@gmail.com")</f>
        <v>ruthfernandez1719@gmail.com</v>
      </c>
      <c r="B884" s="58" t="str">
        <f>IFERROR(__xludf.DUMMYFUNCTION("""COMPUTED_VALUE"""),"FACTIBILIDAD")</f>
        <v>FACTIBILIDAD</v>
      </c>
      <c r="C884" s="58">
        <f>IFERROR(__xludf.DUMMYFUNCTION("""COMPUTED_VALUE"""),27.0)</f>
        <v>27</v>
      </c>
    </row>
    <row r="885">
      <c r="A885" s="58" t="str">
        <f>IFERROR(__xludf.DUMMYFUNCTION("""COMPUTED_VALUE"""),"ruthfernandez1719@gmail.com ")</f>
        <v>ruthfernandez1719@gmail.com </v>
      </c>
      <c r="B885" s="58" t="str">
        <f>IFERROR(__xludf.DUMMYFUNCTION("""COMPUTED_VALUE"""),"FACTIBILIDAD")</f>
        <v>FACTIBILIDAD</v>
      </c>
      <c r="C885" s="58">
        <f>IFERROR(__xludf.DUMMYFUNCTION("""COMPUTED_VALUE"""),2.0)</f>
        <v>2</v>
      </c>
    </row>
    <row r="886">
      <c r="A886" s="58" t="str">
        <f>IFERROR(__xludf.DUMMYFUNCTION("""COMPUTED_VALUE"""),"silisquivillanueva@gmail.com")</f>
        <v>silisquivillanueva@gmail.com</v>
      </c>
      <c r="B886" s="58" t="str">
        <f>IFERROR(__xludf.DUMMYFUNCTION("""COMPUTED_VALUE"""),"FACTIBILIDAD")</f>
        <v>FACTIBILIDAD</v>
      </c>
      <c r="C886" s="58">
        <f>IFERROR(__xludf.DUMMYFUNCTION("""COMPUTED_VALUE"""),2.0)</f>
        <v>2</v>
      </c>
    </row>
    <row r="887">
      <c r="A887" s="58" t="str">
        <f>IFERROR(__xludf.DUMMYFUNCTION("""COMPUTED_VALUE"""),"silisquivillanueva@gmail.com")</f>
        <v>silisquivillanueva@gmail.com</v>
      </c>
      <c r="B887" s="58" t="str">
        <f>IFERROR(__xludf.DUMMYFUNCTION("""COMPUTED_VALUE"""),"ORGANIZACION INDUTRIAL")</f>
        <v>ORGANIZACION INDUTRIAL</v>
      </c>
      <c r="C887" s="58">
        <f>IFERROR(__xludf.DUMMYFUNCTION("""COMPUTED_VALUE"""),1.0)</f>
        <v>1</v>
      </c>
    </row>
    <row r="888">
      <c r="A888" s="58" t="str">
        <f>IFERROR(__xludf.DUMMYFUNCTION("""COMPUTED_VALUE"""),"vtf28love@gmail.com")</f>
        <v>vtf28love@gmail.com</v>
      </c>
      <c r="B888" s="58" t="str">
        <f>IFERROR(__xludf.DUMMYFUNCTION("""COMPUTED_VALUE"""),"FACTIBILIDAD")</f>
        <v>FACTIBILIDAD</v>
      </c>
      <c r="C888" s="58">
        <f>IFERROR(__xludf.DUMMYFUNCTION("""COMPUTED_VALUE"""),1.0)</f>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7.63"/>
    <col customWidth="1" min="2" max="2" width="21.5"/>
    <col customWidth="1" min="3" max="3" width="21.0"/>
  </cols>
  <sheetData>
    <row r="1">
      <c r="A1" s="59" t="str">
        <f>IFERROR(__xludf.DUMMYFUNCTION("QUERY(Analytics!A:D,""SELECT C,B, COUNT(B) GROUP BY C,B"",1)"),"Categoria tesis")</f>
        <v>Categoria tesis</v>
      </c>
      <c r="B1" s="58" t="str">
        <f>IFERROR(__xludf.DUMMYFUNCTION("""COMPUTED_VALUE"""),"Nombre de tesis")</f>
        <v>Nombre de tesis</v>
      </c>
      <c r="C1" s="58" t="str">
        <f>IFERROR(__xludf.DUMMYFUNCTION("""COMPUTED_VALUE"""),"count Nombre de tesis")</f>
        <v>count Nombre de tesis</v>
      </c>
    </row>
    <row r="2">
      <c r="A2" s="58"/>
      <c r="B2" s="58"/>
      <c r="C2" s="58">
        <f>IFERROR(__xludf.DUMMYFUNCTION("""COMPUTED_VALUE"""),0.0)</f>
        <v>0</v>
      </c>
    </row>
    <row r="3">
      <c r="A3" s="58" t="str">
        <f>IFERROR(__xludf.DUMMYFUNCTION("""COMPUTED_VALUE"""),"ACADÉMICOS")</f>
        <v>ACADÉMICOS</v>
      </c>
      <c r="B3" s="58" t="str">
        <f>IFERROR(__xludf.DUMMYFUNCTION("""COMPUTED_VALUE"""),"ACTUALIZACIÓN DE LA AUTOEVALUACIÓN Y DESARROLLO DE UN PLAN ESTRATÉGICO PARA LA CARRERA DE INGENIERÍA ELÉCTRICA")</f>
        <v>ACTUALIZACIÓN DE LA AUTOEVALUACIÓN Y DESARROLLO DE UN PLAN ESTRATÉGICO PARA LA CARRERA DE INGENIERÍA ELÉCTRICA</v>
      </c>
      <c r="C3" s="58">
        <f>IFERROR(__xludf.DUMMYFUNCTION("""COMPUTED_VALUE"""),1.0)</f>
        <v>1</v>
      </c>
    </row>
    <row r="4">
      <c r="A4" s="58" t="str">
        <f>IFERROR(__xludf.DUMMYFUNCTION("""COMPUTED_VALUE"""),"ACADÉMICOS")</f>
        <v>ACADÉMICOS</v>
      </c>
      <c r="B4" s="58" t="str">
        <f>IFERROR(__xludf.DUMMYFUNCTION("""COMPUTED_VALUE"""),"DESARROLLO DE UN PROCESO DE AUTOEVALUACIÓN Y LA PROPUESTA DE UN PLAN ESTRATÉGICO PARA LA CARRERA DE INGENIERÍA DE SISTEMAS")</f>
        <v>DESARROLLO DE UN PROCESO DE AUTOEVALUACIÓN Y LA PROPUESTA DE UN PLAN ESTRATÉGICO PARA LA CARRERA DE INGENIERÍA DE SISTEMAS</v>
      </c>
      <c r="C4" s="58">
        <f>IFERROR(__xludf.DUMMYFUNCTION("""COMPUTED_VALUE"""),2.0)</f>
        <v>2</v>
      </c>
    </row>
    <row r="5">
      <c r="A5" s="58" t="str">
        <f>IFERROR(__xludf.DUMMYFUNCTION("""COMPUTED_VALUE"""),"ACADÉMICOS")</f>
        <v>ACADÉMICOS</v>
      </c>
      <c r="B5" s="58" t="str">
        <f>IFERROR(__xludf.DUMMYFUNCTION("""COMPUTED_VALUE"""),"DESARROLLO DE UNA BIBLIOTECA DIGITAL EN LA CARRERA DE INGENIERÍA INDUSTRIAL")</f>
        <v>DESARROLLO DE UNA BIBLIOTECA DIGITAL EN LA CARRERA DE INGENIERÍA INDUSTRIAL</v>
      </c>
      <c r="C5" s="58">
        <f>IFERROR(__xludf.DUMMYFUNCTION("""COMPUTED_VALUE"""),3.0)</f>
        <v>3</v>
      </c>
    </row>
    <row r="6">
      <c r="A6" s="58" t="str">
        <f>IFERROR(__xludf.DUMMYFUNCTION("""COMPUTED_VALUE"""),"ACADÉMICOS")</f>
        <v>ACADÉMICOS</v>
      </c>
      <c r="B6" s="58" t="str">
        <f>IFERROR(__xludf.DUMMYFUNCTION("""COMPUTED_VALUE"""),"DESARROLLO Y APLICACIÓN DE UN MODELO PARA MEDIR EL DESEMPEÑO Y CAPACIDAD DE UN CENTRO DE INVESTIGACIÓN EN LA VINCULACIÓN CON EL SECTOR PRODUCTIVO")</f>
        <v>DESARROLLO Y APLICACIÓN DE UN MODELO PARA MEDIR EL DESEMPEÑO Y CAPACIDAD DE UN CENTRO DE INVESTIGACIÓN EN LA VINCULACIÓN CON EL SECTOR PRODUCTIVO</v>
      </c>
      <c r="C6" s="58">
        <f>IFERROR(__xludf.DUMMYFUNCTION("""COMPUTED_VALUE"""),1.0)</f>
        <v>1</v>
      </c>
    </row>
    <row r="7">
      <c r="A7" s="58" t="str">
        <f>IFERROR(__xludf.DUMMYFUNCTION("""COMPUTED_VALUE"""),"ACADÉMICOS")</f>
        <v>ACADÉMICOS</v>
      </c>
      <c r="B7" s="58" t="str">
        <f>IFERROR(__xludf.DUMMYFUNCTION("""COMPUTED_VALUE"""),"DISEÑO DE UN SISTEMA DE GESTIÓN DE CALIDAD E IMPLENTACION DOCUMENTAL PARCIAL BASADO EN LA NORMA ISO 9001 VERSIÓN 2008 PARA LA DIRECCION DEL POSGRADO DE LA FACULTAD DE CIENCIAS Y TECNOLOGIA")</f>
        <v>DISEÑO DE UN SISTEMA DE GESTIÓN DE CALIDAD E IMPLENTACION DOCUMENTAL PARCIAL BASADO EN LA NORMA ISO 9001 VERSIÓN 2008 PARA LA DIRECCION DEL POSGRADO DE LA FACULTAD DE CIENCIAS Y TECNOLOGIA</v>
      </c>
      <c r="C7" s="58">
        <f>IFERROR(__xludf.DUMMYFUNCTION("""COMPUTED_VALUE"""),2.0)</f>
        <v>2</v>
      </c>
    </row>
    <row r="8">
      <c r="A8" s="58" t="str">
        <f>IFERROR(__xludf.DUMMYFUNCTION("""COMPUTED_VALUE"""),"ACADÉMICOS")</f>
        <v>ACADÉMICOS</v>
      </c>
      <c r="B8" s="58" t="str">
        <f>IFERROR(__xludf.DUMMYFUNCTION("""COMPUTED_VALUE"""),"ELABORACIÓN DE UN PLAN ESTRATÉGICO PARA LA CARRERA DE INGENIERÍA QUÍMICA")</f>
        <v>ELABORACIÓN DE UN PLAN ESTRATÉGICO PARA LA CARRERA DE INGENIERÍA QUÍMICA</v>
      </c>
      <c r="C8" s="58">
        <f>IFERROR(__xludf.DUMMYFUNCTION("""COMPUTED_VALUE"""),1.0)</f>
        <v>1</v>
      </c>
    </row>
    <row r="9">
      <c r="A9" s="58" t="str">
        <f>IFERROR(__xludf.DUMMYFUNCTION("""COMPUTED_VALUE"""),"ACADÉMICOS")</f>
        <v>ACADÉMICOS</v>
      </c>
      <c r="B9" s="58" t="str">
        <f>IFERROR(__xludf.DUMMYFUNCTION("""COMPUTED_VALUE"""),"ESTUDIO DE MERCADO PARA EL ANÁLISIS Y CONTROL DE PLAGUICIDAS EN ALIMENTOS ELABORADO PARA EL CENTRO DE TECNOLOGÍA AGROINDUSTRIAL DE LA UMSS")</f>
        <v>ESTUDIO DE MERCADO PARA EL ANÁLISIS Y CONTROL DE PLAGUICIDAS EN ALIMENTOS ELABORADO PARA EL CENTRO DE TECNOLOGÍA AGROINDUSTRIAL DE LA UMSS</v>
      </c>
      <c r="C9" s="58">
        <f>IFERROR(__xludf.DUMMYFUNCTION("""COMPUTED_VALUE"""),1.0)</f>
        <v>1</v>
      </c>
    </row>
    <row r="10">
      <c r="A10" s="58" t="str">
        <f>IFERROR(__xludf.DUMMYFUNCTION("""COMPUTED_VALUE"""),"ACADÉMICOS")</f>
        <v>ACADÉMICOS</v>
      </c>
      <c r="B10" s="58" t="str">
        <f>IFERROR(__xludf.DUMMYFUNCTION("""COMPUTED_VALUE"""),"GESTIÓN DE PROYECTOS DE INVESTIGACIÓN CONCURSABLES EN LA DIRECCIÓN DE INVESTIGACIÓN CIENTÍFICA Y TECNOLÓGICA")</f>
        <v>GESTIÓN DE PROYECTOS DE INVESTIGACIÓN CONCURSABLES EN LA DIRECCIÓN DE INVESTIGACIÓN CIENTÍFICA Y TECNOLÓGICA</v>
      </c>
      <c r="C10" s="58">
        <f>IFERROR(__xludf.DUMMYFUNCTION("""COMPUTED_VALUE"""),2.0)</f>
        <v>2</v>
      </c>
    </row>
    <row r="11">
      <c r="A11" s="58" t="str">
        <f>IFERROR(__xludf.DUMMYFUNCTION("""COMPUTED_VALUE"""),"ACADÉMICOS")</f>
        <v>ACADÉMICOS</v>
      </c>
      <c r="B11" s="58" t="str">
        <f>IFERROR(__xludf.DUMMYFUNCTION("""COMPUTED_VALUE"""),"IMPLEMENTACIÓN DE UN SISTEMA DE MANEJO DE INVENTARIOS PARA LOS   ALMACENES DEL CENTRO DE TECNOLOGÍA AGROINDUSTRIAL (CTA).")</f>
        <v>IMPLEMENTACIÓN DE UN SISTEMA DE MANEJO DE INVENTARIOS PARA LOS   ALMACENES DEL CENTRO DE TECNOLOGÍA AGROINDUSTRIAL (CTA).</v>
      </c>
      <c r="C11" s="58">
        <f>IFERROR(__xludf.DUMMYFUNCTION("""COMPUTED_VALUE"""),6.0)</f>
        <v>6</v>
      </c>
    </row>
    <row r="12">
      <c r="A12" s="58" t="str">
        <f>IFERROR(__xludf.DUMMYFUNCTION("""COMPUTED_VALUE"""),"ACADÉMICOS")</f>
        <v>ACADÉMICOS</v>
      </c>
      <c r="B12" s="58" t="str">
        <f>IFERROR(__xludf.DUMMYFUNCTION("""COMPUTED_VALUE"""),"MATERIAL DE APOYO DIDÁCTICO PARA EL APRENDIZAJE DE LA ASIGNATURA PROCESOS INDUSTRIALES II")</f>
        <v>MATERIAL DE APOYO DIDÁCTICO PARA EL APRENDIZAJE DE LA ASIGNATURA PROCESOS INDUSTRIALES II</v>
      </c>
      <c r="C12" s="58">
        <f>IFERROR(__xludf.DUMMYFUNCTION("""COMPUTED_VALUE"""),3.0)</f>
        <v>3</v>
      </c>
    </row>
    <row r="13">
      <c r="A13" s="58" t="str">
        <f>IFERROR(__xludf.DUMMYFUNCTION("""COMPUTED_VALUE"""),"ACADÉMICOS")</f>
        <v>ACADÉMICOS</v>
      </c>
      <c r="B13" s="58" t="str">
        <f>IFERROR(__xludf.DUMMYFUNCTION("""COMPUTED_VALUE"""),"PLAN ESTRATÉGICO PARA LA UNIDAD DE TRANSFERENCIA DE TECNOLOGÍA DE LA FCYT")</f>
        <v>PLAN ESTRATÉGICO PARA LA UNIDAD DE TRANSFERENCIA DE TECNOLOGÍA DE LA FCYT</v>
      </c>
      <c r="C13" s="58">
        <f>IFERROR(__xludf.DUMMYFUNCTION("""COMPUTED_VALUE"""),2.0)</f>
        <v>2</v>
      </c>
    </row>
    <row r="14">
      <c r="A14" s="58" t="str">
        <f>IFERROR(__xludf.DUMMYFUNCTION("""COMPUTED_VALUE"""),"ACADÉMICOS")</f>
        <v>ACADÉMICOS</v>
      </c>
      <c r="B14" s="58" t="str">
        <f>IFERROR(__xludf.DUMMYFUNCTION("""COMPUTED_VALUE"""),"PLAN PARA LA CONFORMACIÓN DE UN CLÚSTER DE TEXTILES Y CONFECCIONES EN LA FACULTAD DE CIENCIAS Y TECNOLOGÍA DE LA UMSS")</f>
        <v>PLAN PARA LA CONFORMACIÓN DE UN CLÚSTER DE TEXTILES Y CONFECCIONES EN LA FACULTAD DE CIENCIAS Y TECNOLOGÍA DE LA UMSS</v>
      </c>
      <c r="C14" s="58">
        <f>IFERROR(__xludf.DUMMYFUNCTION("""COMPUTED_VALUE"""),4.0)</f>
        <v>4</v>
      </c>
    </row>
    <row r="15">
      <c r="A15" s="58" t="str">
        <f>IFERROR(__xludf.DUMMYFUNCTION("""COMPUTED_VALUE"""),"ACADÉMICOS")</f>
        <v>ACADÉMICOS</v>
      </c>
      <c r="B15" s="58" t="str">
        <f>IFERROR(__xludf.DUMMYFUNCTION("""COMPUTED_VALUE"""),"PROPUESTA DE UN SISTEMA DE GESTION AMBIENTAL PARA EL DEPARTAMENTO DE QUIMICA DE LA FACULTAD DE CIENCIAS Y TECNOLOGÍA DE LA U.M.S.S.")</f>
        <v>PROPUESTA DE UN SISTEMA DE GESTION AMBIENTAL PARA EL DEPARTAMENTO DE QUIMICA DE LA FACULTAD DE CIENCIAS Y TECNOLOGÍA DE LA U.M.S.S.</v>
      </c>
      <c r="C15" s="58">
        <f>IFERROR(__xludf.DUMMYFUNCTION("""COMPUTED_VALUE"""),2.0)</f>
        <v>2</v>
      </c>
    </row>
    <row r="16">
      <c r="A16" s="58" t="str">
        <f>IFERROR(__xludf.DUMMYFUNCTION("""COMPUTED_VALUE"""),"ACADÉMICOS")</f>
        <v>ACADÉMICOS</v>
      </c>
      <c r="B16" s="58" t="str">
        <f>IFERROR(__xludf.DUMMYFUNCTION("""COMPUTED_VALUE"""),"PROYECTO DE TRANSFORMACIÓN CURRICULAR PARA LA CARRERA LICENCIATURA EN INGENIERÍA INDUSTRIAL DE LA FACULTAD DE  CIENCIAS Y TECNOLOGÍA DE LA UNIVERSIDAD MAYOR DE SAN SIMÓN")</f>
        <v>PROYECTO DE TRANSFORMACIÓN CURRICULAR PARA LA CARRERA LICENCIATURA EN INGENIERÍA INDUSTRIAL DE LA FACULTAD DE  CIENCIAS Y TECNOLOGÍA DE LA UNIVERSIDAD MAYOR DE SAN SIMÓN</v>
      </c>
      <c r="C16" s="58">
        <f>IFERROR(__xludf.DUMMYFUNCTION("""COMPUTED_VALUE"""),2.0)</f>
        <v>2</v>
      </c>
    </row>
    <row r="17">
      <c r="A17" s="58" t="str">
        <f>IFERROR(__xludf.DUMMYFUNCTION("""COMPUTED_VALUE"""),"ACADÉMICOS")</f>
        <v>ACADÉMICOS</v>
      </c>
      <c r="B17" s="58" t="str">
        <f>IFERROR(__xludf.DUMMYFUNCTION("""COMPUTED_VALUE"""),"PROYECTO DE TRANSFORMACIÓN CURRICULAR PARA LA CARRERA LICENCIATURA EN INGENIERÍA INDUSTRIAL DE LA FACULTAD DE CIENCIAS Y TECNOLOGÍA DE LA UNIVERSIDAD MAYOR DE SAN SIMÓN")</f>
        <v>PROYECTO DE TRANSFORMACIÓN CURRICULAR PARA LA CARRERA LICENCIATURA EN INGENIERÍA INDUSTRIAL DE LA FACULTAD DE CIENCIAS Y TECNOLOGÍA DE LA UNIVERSIDAD MAYOR DE SAN SIMÓN</v>
      </c>
      <c r="C17" s="58">
        <f>IFERROR(__xludf.DUMMYFUNCTION("""COMPUTED_VALUE"""),1.0)</f>
        <v>1</v>
      </c>
    </row>
    <row r="18">
      <c r="A18" s="58" t="str">
        <f>IFERROR(__xludf.DUMMYFUNCTION("""COMPUTED_VALUE"""),"ACADÉMICOS")</f>
        <v>ACADÉMICOS</v>
      </c>
      <c r="B18" s="58" t="str">
        <f>IFERROR(__xludf.DUMMYFUNCTION("""COMPUTED_VALUE"""),"REFORMULACIÓN DEL PLAN ESTRATÉGICO DEL 2002 PARA EL CENTRO DE BIOTECNOLOGÍA DE LA FCYT DE LA UMSS")</f>
        <v>REFORMULACIÓN DEL PLAN ESTRATÉGICO DEL 2002 PARA EL CENTRO DE BIOTECNOLOGÍA DE LA FCYT DE LA UMSS</v>
      </c>
      <c r="C18" s="58">
        <f>IFERROR(__xludf.DUMMYFUNCTION("""COMPUTED_VALUE"""),2.0)</f>
        <v>2</v>
      </c>
    </row>
    <row r="19">
      <c r="A19" s="58" t="str">
        <f>IFERROR(__xludf.DUMMYFUNCTION("""COMPUTED_VALUE"""),"CALIDAD")</f>
        <v>CALIDAD</v>
      </c>
      <c r="B19" s="58" t="str">
        <f>IFERROR(__xludf.DUMMYFUNCTION("""COMPUTED_VALUE"""),"ACTUALIZACIÓN DEL SISTEMA
DE GESTIÓN DE LA CALIDAD DE LA EMPRESA
INCERCO LTDA. BAJO LOS REQUISITOS
DE LA NB/ISO 9001:2008 A LA NB/ISO 9001:2015")</f>
        <v>ACTUALIZACIÓN DEL SISTEMA
DE GESTIÓN DE LA CALIDAD DE LA EMPRESA
INCERCO LTDA. BAJO LOS REQUISITOS
DE LA NB/ISO 9001:2008 A LA NB/ISO 9001:2015</v>
      </c>
      <c r="C19" s="58">
        <f>IFERROR(__xludf.DUMMYFUNCTION("""COMPUTED_VALUE"""),2.0)</f>
        <v>2</v>
      </c>
    </row>
    <row r="20">
      <c r="A20" s="58" t="str">
        <f>IFERROR(__xludf.DUMMYFUNCTION("""COMPUTED_VALUE"""),"CALIDAD")</f>
        <v>CALIDAD</v>
      </c>
      <c r="B20" s="58" t="str">
        <f>IFERROR(__xludf.DUMMYFUNCTION("""COMPUTED_VALUE"""),"ACTUALIZACIÓN DEL SISTEMA DE GESTIÓN DE LA CALIDAD DE LA EMPRESA INCERCO LTDA. BAJO LOS REQUISITOS DE LA NB/ISO 9001:2008 A LA NB/ISO 9001:2015")</f>
        <v>ACTUALIZACIÓN DEL SISTEMA DE GESTIÓN DE LA CALIDAD DE LA EMPRESA INCERCO LTDA. BAJO LOS REQUISITOS DE LA NB/ISO 9001:2008 A LA NB/ISO 9001:2015</v>
      </c>
      <c r="C20" s="58">
        <f>IFERROR(__xludf.DUMMYFUNCTION("""COMPUTED_VALUE"""),6.0)</f>
        <v>6</v>
      </c>
    </row>
    <row r="21">
      <c r="A21" s="58" t="str">
        <f>IFERROR(__xludf.DUMMYFUNCTION("""COMPUTED_VALUE"""),"CALIDAD")</f>
        <v>CALIDAD</v>
      </c>
      <c r="B21" s="58" t="str">
        <f>IFERROR(__xludf.DUMMYFUNCTION("""COMPUTED_VALUE"""),"CONTROL ESTADÍSTICO DE CALIDAD EN LA EMPRESA PLABOL")</f>
        <v>CONTROL ESTADÍSTICO DE CALIDAD EN LA EMPRESA PLABOL</v>
      </c>
      <c r="C21" s="58">
        <f>IFERROR(__xludf.DUMMYFUNCTION("""COMPUTED_VALUE"""),1.0)</f>
        <v>1</v>
      </c>
    </row>
    <row r="22">
      <c r="A22" s="58" t="str">
        <f>IFERROR(__xludf.DUMMYFUNCTION("""COMPUTED_VALUE"""),"CALIDAD")</f>
        <v>CALIDAD</v>
      </c>
      <c r="B22" s="58" t="str">
        <f>IFERROR(__xludf.DUMMYFUNCTION("""COMPUTED_VALUE"""),"CONTROL ESTADÍSTICO DE CALIDAD EN LA EMPRESA “PLABOL”.")</f>
        <v>CONTROL ESTADÍSTICO DE CALIDAD EN LA EMPRESA “PLABOL”.</v>
      </c>
      <c r="C22" s="58">
        <f>IFERROR(__xludf.DUMMYFUNCTION("""COMPUTED_VALUE"""),6.0)</f>
        <v>6</v>
      </c>
    </row>
    <row r="23">
      <c r="A23" s="58" t="str">
        <f>IFERROR(__xludf.DUMMYFUNCTION("""COMPUTED_VALUE"""),"CALIDAD")</f>
        <v>CALIDAD</v>
      </c>
      <c r="B23" s="58" t="str">
        <f>IFERROR(__xludf.DUMMYFUNCTION("""COMPUTED_VALUE"""),"DESARROLLO DE BUENAS PRÁCTICAS DE MANUFACTURA Y PROCEDIMIENTOS DE HIGIENE ESTANDAR OPERACIONAL EN EL INGENIO AZUCARERO GUABIRA S.A.")</f>
        <v>DESARROLLO DE BUENAS PRÁCTICAS DE MANUFACTURA Y PROCEDIMIENTOS DE HIGIENE ESTANDAR OPERACIONAL EN EL INGENIO AZUCARERO GUABIRA S.A.</v>
      </c>
      <c r="C23" s="58">
        <f>IFERROR(__xludf.DUMMYFUNCTION("""COMPUTED_VALUE"""),7.0)</f>
        <v>7</v>
      </c>
    </row>
    <row r="24">
      <c r="A24" s="58" t="str">
        <f>IFERROR(__xludf.DUMMYFUNCTION("""COMPUTED_VALUE"""),"CALIDAD")</f>
        <v>CALIDAD</v>
      </c>
      <c r="B24" s="58" t="str">
        <f>IFERROR(__xludf.DUMMYFUNCTION("""COMPUTED_VALUE"""),"DESARROLLO DE LAS BASES PARA UN SISTEMA DE GESTIÓN DE CALIDAD DEL DEPARTAMENTO DE PRODUCCIÓN DE GOMA Y PLÁSTICO DE LA EMPRESA MANUFACTURA BOLIVIANA S.A.")</f>
        <v>DESARROLLO DE LAS BASES PARA UN SISTEMA DE GESTIÓN DE CALIDAD DEL DEPARTAMENTO DE PRODUCCIÓN DE GOMA Y PLÁSTICO DE LA EMPRESA MANUFACTURA BOLIVIANA S.A.</v>
      </c>
      <c r="C24" s="58">
        <f>IFERROR(__xludf.DUMMYFUNCTION("""COMPUTED_VALUE"""),5.0)</f>
        <v>5</v>
      </c>
    </row>
    <row r="25">
      <c r="A25" s="58" t="str">
        <f>IFERROR(__xludf.DUMMYFUNCTION("""COMPUTED_VALUE"""),"CALIDAD")</f>
        <v>CALIDAD</v>
      </c>
      <c r="B25" s="58" t="str">
        <f>IFERROR(__xludf.DUMMYFUNCTION("""COMPUTED_VALUE"""),"DESARROLLO DE UN MODELO DE SISTEMA DE GESTIÓN AMBIENTAL BASADO EN LA NORMA ISO 14001 PARA LA EMPRESA ""ENABOLCO LTDA.""")</f>
        <v>DESARROLLO DE UN MODELO DE SISTEMA DE GESTIÓN AMBIENTAL BASADO EN LA NORMA ISO 14001 PARA LA EMPRESA "ENABOLCO LTDA."</v>
      </c>
      <c r="C25" s="58">
        <f>IFERROR(__xludf.DUMMYFUNCTION("""COMPUTED_VALUE"""),2.0)</f>
        <v>2</v>
      </c>
    </row>
    <row r="26">
      <c r="A26" s="58" t="str">
        <f>IFERROR(__xludf.DUMMYFUNCTION("""COMPUTED_VALUE"""),"CALIDAD")</f>
        <v>CALIDAD</v>
      </c>
      <c r="B26" s="58" t="str">
        <f>IFERROR(__xludf.DUMMYFUNCTION("""COMPUTED_VALUE"""),"DESARROLLO DE UN SISTEMA DE CONTROL DE CALIDAD
BASADO EN LAS NORMAS NB–1211001 (LADRILLOS
CERÁMICOS– CLASIFICACIÓN Y REQUISITOS) Y NB–1211002
(LADRILLOS CERÁMICOS-MÉTODOS DE ENSAYO) PARA LA
EMPRESA “COBOCE CERAMIL”")</f>
        <v>DESARROLLO DE UN SISTEMA DE CONTROL DE CALIDAD
BASADO EN LAS NORMAS NB–1211001 (LADRILLOS
CERÁMICOS– CLASIFICACIÓN Y REQUISITOS) Y NB–1211002
(LADRILLOS CERÁMICOS-MÉTODOS DE ENSAYO) PARA LA
EMPRESA “COBOCE CERAMIL”</v>
      </c>
      <c r="C26" s="58">
        <f>IFERROR(__xludf.DUMMYFUNCTION("""COMPUTED_VALUE"""),3.0)</f>
        <v>3</v>
      </c>
    </row>
    <row r="27">
      <c r="A27" s="58" t="str">
        <f>IFERROR(__xludf.DUMMYFUNCTION("""COMPUTED_VALUE"""),"CALIDAD")</f>
        <v>CALIDAD</v>
      </c>
      <c r="B27" s="58" t="str">
        <f>IFERROR(__xludf.DUMMYFUNCTION("""COMPUTED_VALUE"""),"DESARROLLO DE UN SISTEMA DE CONTROL DE CALIDAD BASADO EN LAS NORMAS NB–1211001 (LADRILLOS CERÁMICOS–CLASIFICACIÓN Y REQUISITOS) Y NB–1211002 (LADRILLOS CERÁMICOS-MÉTODOS DE ENSAYO) PARA LA EMPRESA “COBOCE CERAMIL”")</f>
        <v>DESARROLLO DE UN SISTEMA DE CONTROL DE CALIDAD BASADO EN LAS NORMAS NB–1211001 (LADRILLOS CERÁMICOS–CLASIFICACIÓN Y REQUISITOS) Y NB–1211002 (LADRILLOS CERÁMICOS-MÉTODOS DE ENSAYO) PARA LA EMPRESA “COBOCE CERAMIL”</v>
      </c>
      <c r="C27" s="58">
        <f>IFERROR(__xludf.DUMMYFUNCTION("""COMPUTED_VALUE"""),1.0)</f>
        <v>1</v>
      </c>
    </row>
    <row r="28">
      <c r="A28" s="58" t="str">
        <f>IFERROR(__xludf.DUMMYFUNCTION("""COMPUTED_VALUE"""),"CALIDAD")</f>
        <v>CALIDAD</v>
      </c>
      <c r="B28" s="58" t="str">
        <f>IFERROR(__xludf.DUMMYFUNCTION("""COMPUTED_VALUE"""),"DESARROLLO DE UN SISTEMA DE GESTION DE CALIDAD BASADO
EN LA NORMA ISO 9001:2008 EN EL PROCESO DE PRODUCCIÓN
PARA LA EMPRESA “CERÁMICA RÍO GRANDE S.A.”")</f>
        <v>DESARROLLO DE UN SISTEMA DE GESTION DE CALIDAD BASADO
EN LA NORMA ISO 9001:2008 EN EL PROCESO DE PRODUCCIÓN
PARA LA EMPRESA “CERÁMICA RÍO GRANDE S.A.”</v>
      </c>
      <c r="C28" s="58">
        <f>IFERROR(__xludf.DUMMYFUNCTION("""COMPUTED_VALUE"""),2.0)</f>
        <v>2</v>
      </c>
    </row>
    <row r="29">
      <c r="A29" s="58" t="str">
        <f>IFERROR(__xludf.DUMMYFUNCTION("""COMPUTED_VALUE"""),"CALIDAD")</f>
        <v>CALIDAD</v>
      </c>
      <c r="B29" s="58" t="str">
        <f>IFERROR(__xludf.DUMMYFUNCTION("""COMPUTED_VALUE"""),"DESARROLLO DE UN SISTEMA DE GESTION DE CALIDAD BASADO EN LA NORMA ISO 9001:2000 PARA LA LINEA DE PAN MOLDE DE LA EMPRESA “LA FRANCESA”")</f>
        <v>DESARROLLO DE UN SISTEMA DE GESTION DE CALIDAD BASADO EN LA NORMA ISO 9001:2000 PARA LA LINEA DE PAN MOLDE DE LA EMPRESA “LA FRANCESA”</v>
      </c>
      <c r="C29" s="58">
        <f>IFERROR(__xludf.DUMMYFUNCTION("""COMPUTED_VALUE"""),3.0)</f>
        <v>3</v>
      </c>
    </row>
    <row r="30">
      <c r="A30" s="58" t="str">
        <f>IFERROR(__xludf.DUMMYFUNCTION("""COMPUTED_VALUE"""),"CALIDAD")</f>
        <v>CALIDAD</v>
      </c>
      <c r="B30" s="58" t="str">
        <f>IFERROR(__xludf.DUMMYFUNCTION("""COMPUTED_VALUE"""),"DESARROLLO DE UN SISTEMA DE GESTIÓN DE CALIDAD BASADO EN LA NORMA ISO 9001:2000 PARA LA LÍNEA DE PAN MOLDE DE LA EMPRESA “LA FRANCESA”")</f>
        <v>DESARROLLO DE UN SISTEMA DE GESTIÓN DE CALIDAD BASADO EN LA NORMA ISO 9001:2000 PARA LA LÍNEA DE PAN MOLDE DE LA EMPRESA “LA FRANCESA”</v>
      </c>
      <c r="C30" s="58">
        <f>IFERROR(__xludf.DUMMYFUNCTION("""COMPUTED_VALUE"""),7.0)</f>
        <v>7</v>
      </c>
    </row>
    <row r="31">
      <c r="A31" s="58" t="str">
        <f>IFERROR(__xludf.DUMMYFUNCTION("""COMPUTED_VALUE"""),"CALIDAD")</f>
        <v>CALIDAD</v>
      </c>
      <c r="B31" s="58" t="str">
        <f>IFERROR(__xludf.DUMMYFUNCTION("""COMPUTED_VALUE"""),"DESARROLLO DE UN SISTEMA DE GESTIÓN DE CALIDAD BASADO EN LA NORMA ISO 9001:2008 EN EL PROCESO DE PRODUCCIÓN PARA LA EMPRESA “CERÁMICA RÍO GRANDE S.A.”")</f>
        <v>DESARROLLO DE UN SISTEMA DE GESTIÓN DE CALIDAD BASADO EN LA NORMA ISO 9001:2008 EN EL PROCESO DE PRODUCCIÓN PARA LA EMPRESA “CERÁMICA RÍO GRANDE S.A.”</v>
      </c>
      <c r="C31" s="58">
        <f>IFERROR(__xludf.DUMMYFUNCTION("""COMPUTED_VALUE"""),3.0)</f>
        <v>3</v>
      </c>
    </row>
    <row r="32">
      <c r="A32" s="58" t="str">
        <f>IFERROR(__xludf.DUMMYFUNCTION("""COMPUTED_VALUE"""),"CALIDAD")</f>
        <v>CALIDAD</v>
      </c>
      <c r="B32" s="58" t="str">
        <f>IFERROR(__xludf.DUMMYFUNCTION("""COMPUTED_VALUE"""),"DESARROLLO DE UN SISTEMA DE GESTIÓN DE CALIDAD PARA LA ATENCIÓN DE INSTALACIONES Y MANTENIMIENTOS DOMICILIARIOS DE LA EMPRESA ENTEL S.A. REGIONAL COCHABAMBA BASADO EN LA NORMA ISO 9001 VERSION 2000")</f>
        <v>DESARROLLO DE UN SISTEMA DE GESTIÓN DE CALIDAD PARA LA ATENCIÓN DE INSTALACIONES Y MANTENIMIENTOS DOMICILIARIOS DE LA EMPRESA ENTEL S.A. REGIONAL COCHABAMBA BASADO EN LA NORMA ISO 9001 VERSION 2000</v>
      </c>
      <c r="C32" s="58">
        <f>IFERROR(__xludf.DUMMYFUNCTION("""COMPUTED_VALUE"""),2.0)</f>
        <v>2</v>
      </c>
    </row>
    <row r="33">
      <c r="A33" s="58" t="str">
        <f>IFERROR(__xludf.DUMMYFUNCTION("""COMPUTED_VALUE"""),"CALIDAD")</f>
        <v>CALIDAD</v>
      </c>
      <c r="B33" s="58" t="str">
        <f>IFERROR(__xludf.DUMMYFUNCTION("""COMPUTED_VALUE"""),"DESARROLLO DE UN SISTEMA DE GESTIÓN DE LA CALIDAD  BASADO EN LA NORMA  NB-ISO 9001: 2000  EN EL PROCESO DE PRODUCCIÓN DEL DETERGENTE LÍQUIDO OLA LAVAVAJILLA EN LA EMPRESA ASTRIX S.A.")</f>
        <v>DESARROLLO DE UN SISTEMA DE GESTIÓN DE LA CALIDAD  BASADO EN LA NORMA  NB-ISO 9001: 2000  EN EL PROCESO DE PRODUCCIÓN DEL DETERGENTE LÍQUIDO OLA LAVAVAJILLA EN LA EMPRESA ASTRIX S.A.</v>
      </c>
      <c r="C33" s="58">
        <f>IFERROR(__xludf.DUMMYFUNCTION("""COMPUTED_VALUE"""),2.0)</f>
        <v>2</v>
      </c>
    </row>
    <row r="34">
      <c r="A34" s="58" t="str">
        <f>IFERROR(__xludf.DUMMYFUNCTION("""COMPUTED_VALUE"""),"CALIDAD")</f>
        <v>CALIDAD</v>
      </c>
      <c r="B34" s="58" t="str">
        <f>IFERROR(__xludf.DUMMYFUNCTION("""COMPUTED_VALUE"""),"DESARROLLO DE UN SISTEMA DE GESTIÓN DE LA CALIDAD BASADO EN LA NORMA ISO 9001 VERSIÓN 2000 PARA LA EMPRESA D.R. SERVICIOS TÉCNICOS Y VERIFICACIÓN.")</f>
        <v>DESARROLLO DE UN SISTEMA DE GESTIÓN DE LA CALIDAD BASADO EN LA NORMA ISO 9001 VERSIÓN 2000 PARA LA EMPRESA D.R. SERVICIOS TÉCNICOS Y VERIFICACIÓN.</v>
      </c>
      <c r="C34" s="58">
        <f>IFERROR(__xludf.DUMMYFUNCTION("""COMPUTED_VALUE"""),3.0)</f>
        <v>3</v>
      </c>
    </row>
    <row r="35">
      <c r="A35" s="58" t="str">
        <f>IFERROR(__xludf.DUMMYFUNCTION("""COMPUTED_VALUE"""),"CALIDAD")</f>
        <v>CALIDAD</v>
      </c>
      <c r="B35" s="58" t="str">
        <f>IFERROR(__xludf.DUMMYFUNCTION("""COMPUTED_VALUE"""),"DESARROLLO DE UN SISTEMA DE GESTIÓN DE LA CALIDAD BASADO EN LA NORMA ISO 9001:2000 PARA LA EMPRESA POTA EQUIP - AGUA VERTIENTE")</f>
        <v>DESARROLLO DE UN SISTEMA DE GESTIÓN DE LA CALIDAD BASADO EN LA NORMA ISO 9001:2000 PARA LA EMPRESA POTA EQUIP - AGUA VERTIENTE</v>
      </c>
      <c r="C35" s="58">
        <f>IFERROR(__xludf.DUMMYFUNCTION("""COMPUTED_VALUE"""),6.0)</f>
        <v>6</v>
      </c>
    </row>
    <row r="36">
      <c r="A36" s="58" t="str">
        <f>IFERROR(__xludf.DUMMYFUNCTION("""COMPUTED_VALUE"""),"CALIDAD")</f>
        <v>CALIDAD</v>
      </c>
      <c r="B36" s="58" t="str">
        <f>IFERROR(__xludf.DUMMYFUNCTION("""COMPUTED_VALUE"""),"DESARROLLO DE UNA PROPUESTA PARA LA IMPLEMENTACIÓN DEL CICLO DE MEJORA CONTINUA (PDCA) PARA DISMINUIR LOS COMPORTAMIENTOS INSEGUROS EN LA MINI PLANTA DE OPERACIONES PLANTA – TAQUIÑA")</f>
        <v>DESARROLLO DE UNA PROPUESTA PARA LA IMPLEMENTACIÓN DEL CICLO DE MEJORA CONTINUA (PDCA) PARA DISMINUIR LOS COMPORTAMIENTOS INSEGUROS EN LA MINI PLANTA DE OPERACIONES PLANTA – TAQUIÑA</v>
      </c>
      <c r="C36" s="58">
        <f>IFERROR(__xludf.DUMMYFUNCTION("""COMPUTED_VALUE"""),3.0)</f>
        <v>3</v>
      </c>
    </row>
    <row r="37">
      <c r="A37" s="58" t="str">
        <f>IFERROR(__xludf.DUMMYFUNCTION("""COMPUTED_VALUE"""),"CALIDAD")</f>
        <v>CALIDAD</v>
      </c>
      <c r="B37" s="58" t="str">
        <f>IFERROR(__xludf.DUMMYFUNCTION("""COMPUTED_VALUE"""),"DISEÑO  DE  UN  SISTEMA  DE  GESTIÓN  DE  CALIDAD  DEL PROCESO DE  FACTURACIÓN  DE   LA  COOPERATIVA DE TELECOMUNICACIONES  COCHABAMBA – COMTECO  BASADO EN  LA  NORMA ISO 9001:2000.
")</f>
        <v>DISEÑO  DE  UN  SISTEMA  DE  GESTIÓN  DE  CALIDAD  DEL PROCESO DE  FACTURACIÓN  DE   LA  COOPERATIVA DE TELECOMUNICACIONES  COCHABAMBA – COMTECO  BASADO EN  LA  NORMA ISO 9001:2000.
</v>
      </c>
      <c r="C37" s="58">
        <f>IFERROR(__xludf.DUMMYFUNCTION("""COMPUTED_VALUE"""),2.0)</f>
        <v>2</v>
      </c>
    </row>
    <row r="38">
      <c r="A38" s="58" t="str">
        <f>IFERROR(__xludf.DUMMYFUNCTION("""COMPUTED_VALUE"""),"CALIDAD")</f>
        <v>CALIDAD</v>
      </c>
      <c r="B38" s="58" t="str">
        <f>IFERROR(__xludf.DUMMYFUNCTION("""COMPUTED_VALUE"""),"DISEÑO  DE  UN SISTEMA  DE  GESTIÓN  DE  LA CALIDAD BASADO EN LA NORMA ISO 9001 VERSIÓN 2008 PARA INDUSTRIAS LÁCTEAS DEL VALLE ALTO “ILVA S.R.L.”")</f>
        <v>DISEÑO  DE  UN SISTEMA  DE  GESTIÓN  DE  LA CALIDAD BASADO EN LA NORMA ISO 9001 VERSIÓN 2008 PARA INDUSTRIAS LÁCTEAS DEL VALLE ALTO “ILVA S.R.L.”</v>
      </c>
      <c r="C38" s="58">
        <f>IFERROR(__xludf.DUMMYFUNCTION("""COMPUTED_VALUE"""),6.0)</f>
        <v>6</v>
      </c>
    </row>
    <row r="39">
      <c r="A39" s="58" t="str">
        <f>IFERROR(__xludf.DUMMYFUNCTION("""COMPUTED_VALUE"""),"CALIDAD")</f>
        <v>CALIDAD</v>
      </c>
      <c r="B39" s="58" t="str">
        <f>IFERROR(__xludf.DUMMYFUNCTION("""COMPUTED_VALUE"""),"DISEÑO DE UN  SISTEMA DE GESTION DE CALIDAD BASADO EN LA NORMA NB-ISO 9001:2008 PARA LE EMPRESA TRANSPORTES RAMALLO")</f>
        <v>DISEÑO DE UN  SISTEMA DE GESTION DE CALIDAD BASADO EN LA NORMA NB-ISO 9001:2008 PARA LE EMPRESA TRANSPORTES RAMALLO</v>
      </c>
      <c r="C39" s="58">
        <f>IFERROR(__xludf.DUMMYFUNCTION("""COMPUTED_VALUE"""),3.0)</f>
        <v>3</v>
      </c>
    </row>
    <row r="40">
      <c r="A40" s="58" t="str">
        <f>IFERROR(__xludf.DUMMYFUNCTION("""COMPUTED_VALUE"""),"CALIDAD")</f>
        <v>CALIDAD</v>
      </c>
      <c r="B40" s="58" t="str">
        <f>IFERROR(__xludf.DUMMYFUNCTION("""COMPUTED_VALUE"""),"DISEÑO DE UN MODELO DE GESTIÓN DE INOCUIDAD ALIMENTARIA SEGÚN LA NB/ISO 22000:2005 PARA LA EMPRESA “ALIMENTOS ALFA PRODUCTOS NORDLAND LTDA.”")</f>
        <v>DISEÑO DE UN MODELO DE GESTIÓN DE INOCUIDAD ALIMENTARIA SEGÚN LA NB/ISO 22000:2005 PARA LA EMPRESA “ALIMENTOS ALFA PRODUCTOS NORDLAND LTDA.”</v>
      </c>
      <c r="C40" s="58">
        <f>IFERROR(__xludf.DUMMYFUNCTION("""COMPUTED_VALUE"""),4.0)</f>
        <v>4</v>
      </c>
    </row>
    <row r="41">
      <c r="A41" s="58" t="str">
        <f>IFERROR(__xludf.DUMMYFUNCTION("""COMPUTED_VALUE"""),"CALIDAD")</f>
        <v>CALIDAD</v>
      </c>
      <c r="B41" s="58" t="str">
        <f>IFERROR(__xludf.DUMMYFUNCTION("""COMPUTED_VALUE"""),"DISEÑO DE UN MODELO DE GESTIÓN DE INOCUIDAD ALIMENTARÍA SEGÚN LA NB ISO 22000:2005 PARA LA EMPRESA VIGOR EN SU LÍNEA DE LÁCTEOS.")</f>
        <v>DISEÑO DE UN MODELO DE GESTIÓN DE INOCUIDAD ALIMENTARÍA SEGÚN LA NB ISO 22000:2005 PARA LA EMPRESA VIGOR EN SU LÍNEA DE LÁCTEOS.</v>
      </c>
      <c r="C41" s="58">
        <f>IFERROR(__xludf.DUMMYFUNCTION("""COMPUTED_VALUE"""),2.0)</f>
        <v>2</v>
      </c>
    </row>
    <row r="42">
      <c r="A42" s="58" t="str">
        <f>IFERROR(__xludf.DUMMYFUNCTION("""COMPUTED_VALUE"""),"CALIDAD")</f>
        <v>CALIDAD</v>
      </c>
      <c r="B42" s="58" t="str">
        <f>IFERROR(__xludf.DUMMYFUNCTION("""COMPUTED_VALUE"""),"DISEÑO DE UN SISTEMA DE CALIDAD BAJO LA  NORMA BOLIVIANA NB-ISO-IEC 17025:2005 PARA EL LABORATORIO DE SERVICIOS CAPN-UMSS")</f>
        <v>DISEÑO DE UN SISTEMA DE CALIDAD BAJO LA  NORMA BOLIVIANA NB-ISO-IEC 17025:2005 PARA EL LABORATORIO DE SERVICIOS CAPN-UMSS</v>
      </c>
      <c r="C42" s="58">
        <f>IFERROR(__xludf.DUMMYFUNCTION("""COMPUTED_VALUE"""),1.0)</f>
        <v>1</v>
      </c>
    </row>
    <row r="43">
      <c r="A43" s="58" t="str">
        <f>IFERROR(__xludf.DUMMYFUNCTION("""COMPUTED_VALUE"""),"CALIDAD")</f>
        <v>CALIDAD</v>
      </c>
      <c r="B43" s="58" t="str">
        <f>IFERROR(__xludf.DUMMYFUNCTION("""COMPUTED_VALUE"""),"DISEÑO DE UN SISTEMA DE CONTROL DE CALIDAD BASADO EN LAS NORMAS NB-1211001(LADRILLOS CERAMICOS-CLASIFICACION Y REQUISITOS) Y NB 1211002 (LADRILLOS CERAMICOS- METODOS DE ENSAYO) PARA LA EMPRESA CIMCO LTDA")</f>
        <v>DISEÑO DE UN SISTEMA DE CONTROL DE CALIDAD BASADO EN LAS NORMAS NB-1211001(LADRILLOS CERAMICOS-CLASIFICACION Y REQUISITOS) Y NB 1211002 (LADRILLOS CERAMICOS- METODOS DE ENSAYO) PARA LA EMPRESA CIMCO LTDA</v>
      </c>
      <c r="C43" s="58">
        <f>IFERROR(__xludf.DUMMYFUNCTION("""COMPUTED_VALUE"""),3.0)</f>
        <v>3</v>
      </c>
    </row>
    <row r="44">
      <c r="A44" s="58" t="str">
        <f>IFERROR(__xludf.DUMMYFUNCTION("""COMPUTED_VALUE"""),"CALIDAD")</f>
        <v>CALIDAD</v>
      </c>
      <c r="B44" s="58" t="str">
        <f>IFERROR(__xludf.DUMMYFUNCTION("""COMPUTED_VALUE"""),"DISEÑO DE UN SISTEMA DE CONTROL DE CALIDAD DE LA MATERIA
PRIMA EN “ILVA”")</f>
        <v>DISEÑO DE UN SISTEMA DE CONTROL DE CALIDAD DE LA MATERIA
PRIMA EN “ILVA”</v>
      </c>
      <c r="C44" s="58">
        <f>IFERROR(__xludf.DUMMYFUNCTION("""COMPUTED_VALUE"""),2.0)</f>
        <v>2</v>
      </c>
    </row>
    <row r="45">
      <c r="A45" s="58" t="str">
        <f>IFERROR(__xludf.DUMMYFUNCTION("""COMPUTED_VALUE"""),"CALIDAD")</f>
        <v>CALIDAD</v>
      </c>
      <c r="B45" s="58" t="str">
        <f>IFERROR(__xludf.DUMMYFUNCTION("""COMPUTED_VALUE"""),"DISEÑO DE UN SISTEMA DE CONTROL DE CALIDAD DE LA MATERIA PRIMA EN I L V A")</f>
        <v>DISEÑO DE UN SISTEMA DE CONTROL DE CALIDAD DE LA MATERIA PRIMA EN I L V A</v>
      </c>
      <c r="C45" s="58">
        <f>IFERROR(__xludf.DUMMYFUNCTION("""COMPUTED_VALUE"""),5.0)</f>
        <v>5</v>
      </c>
    </row>
    <row r="46">
      <c r="A46" s="58" t="str">
        <f>IFERROR(__xludf.DUMMYFUNCTION("""COMPUTED_VALUE"""),"CALIDAD")</f>
        <v>CALIDAD</v>
      </c>
      <c r="B46" s="58" t="str">
        <f>IFERROR(__xludf.DUMMYFUNCTION("""COMPUTED_VALUE"""),"DISEÑO DE UN SISTEMA DE GESTION AMBIENTAL
BASADO EN LA NORMA ISO 14001:2004
PARA IMPABOL S.R.L.")</f>
        <v>DISEÑO DE UN SISTEMA DE GESTION AMBIENTAL
BASADO EN LA NORMA ISO 14001:2004
PARA IMPABOL S.R.L.</v>
      </c>
      <c r="C46" s="58">
        <f>IFERROR(__xludf.DUMMYFUNCTION("""COMPUTED_VALUE"""),1.0)</f>
        <v>1</v>
      </c>
    </row>
    <row r="47">
      <c r="A47" s="58" t="str">
        <f>IFERROR(__xludf.DUMMYFUNCTION("""COMPUTED_VALUE"""),"CALIDAD")</f>
        <v>CALIDAD</v>
      </c>
      <c r="B47" s="58" t="str">
        <f>IFERROR(__xludf.DUMMYFUNCTION("""COMPUTED_VALUE"""),"DISEÑO DE UN SISTEMA DE GESTIÓN AMBIENTAL
PARA EL GRUPO EMPRESARIAL VALENCIA
SEGÚN LA NORMA ISO 14001:2004")</f>
        <v>DISEÑO DE UN SISTEMA DE GESTIÓN AMBIENTAL
PARA EL GRUPO EMPRESARIAL VALENCIA
SEGÚN LA NORMA ISO 14001:2004</v>
      </c>
      <c r="C47" s="58">
        <f>IFERROR(__xludf.DUMMYFUNCTION("""COMPUTED_VALUE"""),2.0)</f>
        <v>2</v>
      </c>
    </row>
    <row r="48">
      <c r="A48" s="58" t="str">
        <f>IFERROR(__xludf.DUMMYFUNCTION("""COMPUTED_VALUE"""),"CALIDAD")</f>
        <v>CALIDAD</v>
      </c>
      <c r="B48" s="58" t="str">
        <f>IFERROR(__xludf.DUMMYFUNCTION("""COMPUTED_VALUE"""),"DISEÑO DE UN SISTEMA DE GESTIÓN AMBIENTAL BASADO EN LA NORMA ISO 14001:2004 PARA COPELME S.A.")</f>
        <v>DISEÑO DE UN SISTEMA DE GESTIÓN AMBIENTAL BASADO EN LA NORMA ISO 14001:2004 PARA COPELME S.A.</v>
      </c>
      <c r="C48" s="58">
        <f>IFERROR(__xludf.DUMMYFUNCTION("""COMPUTED_VALUE"""),1.0)</f>
        <v>1</v>
      </c>
    </row>
    <row r="49">
      <c r="A49" s="58" t="str">
        <f>IFERROR(__xludf.DUMMYFUNCTION("""COMPUTED_VALUE"""),"CALIDAD")</f>
        <v>CALIDAD</v>
      </c>
      <c r="B49" s="58" t="str">
        <f>IFERROR(__xludf.DUMMYFUNCTION("""COMPUTED_VALUE"""),"DISEÑO DE UN SISTEMA DE GESTIÓN AMBIENTAL BASADO EN LA NORMA ISO 14001:2004 PARA IMPABOL S.R.L.")</f>
        <v>DISEÑO DE UN SISTEMA DE GESTIÓN AMBIENTAL BASADO EN LA NORMA ISO 14001:2004 PARA IMPABOL S.R.L.</v>
      </c>
      <c r="C49" s="58">
        <f>IFERROR(__xludf.DUMMYFUNCTION("""COMPUTED_VALUE"""),3.0)</f>
        <v>3</v>
      </c>
    </row>
    <row r="50">
      <c r="A50" s="58" t="str">
        <f>IFERROR(__xludf.DUMMYFUNCTION("""COMPUTED_VALUE"""),"CALIDAD")</f>
        <v>CALIDAD</v>
      </c>
      <c r="B50" s="58" t="str">
        <f>IFERROR(__xludf.DUMMYFUNCTION("""COMPUTED_VALUE"""),"DISEÑO DE UN SISTEMA DE GESTIÓN AMBIENTAL PARA LA COOPERATIVA INTEGRAL FOTRAMA LTDA. BASADO EN LA NORMA ISO 14001:2004")</f>
        <v>DISEÑO DE UN SISTEMA DE GESTIÓN AMBIENTAL PARA LA COOPERATIVA INTEGRAL FOTRAMA LTDA. BASADO EN LA NORMA ISO 14001:2004</v>
      </c>
      <c r="C50" s="58">
        <f>IFERROR(__xludf.DUMMYFUNCTION("""COMPUTED_VALUE"""),2.0)</f>
        <v>2</v>
      </c>
    </row>
    <row r="51">
      <c r="A51" s="58" t="str">
        <f>IFERROR(__xludf.DUMMYFUNCTION("""COMPUTED_VALUE"""),"CALIDAD")</f>
        <v>CALIDAD</v>
      </c>
      <c r="B51" s="58" t="str">
        <f>IFERROR(__xludf.DUMMYFUNCTION("""COMPUTED_VALUE"""),"DISEÑO DE UN SISTEMA DE GESTIÓN DE CALIDAD
BASADO EN LA NORMA ISO 9001:2008
PARA EL ÁREA DE PRODUCCIÓN DEL PDTF")</f>
        <v>DISEÑO DE UN SISTEMA DE GESTIÓN DE CALIDAD
BASADO EN LA NORMA ISO 9001:2008
PARA EL ÁREA DE PRODUCCIÓN DEL PDTF</v>
      </c>
      <c r="C51" s="58">
        <f>IFERROR(__xludf.DUMMYFUNCTION("""COMPUTED_VALUE"""),1.0)</f>
        <v>1</v>
      </c>
    </row>
    <row r="52">
      <c r="A52" s="58" t="str">
        <f>IFERROR(__xludf.DUMMYFUNCTION("""COMPUTED_VALUE"""),"CALIDAD")</f>
        <v>CALIDAD</v>
      </c>
      <c r="B52"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C52" s="58">
        <f>IFERROR(__xludf.DUMMYFUNCTION("""COMPUTED_VALUE"""),1.0)</f>
        <v>1</v>
      </c>
    </row>
    <row r="53">
      <c r="A53" s="58" t="str">
        <f>IFERROR(__xludf.DUMMYFUNCTION("""COMPUTED_VALUE"""),"CALIDAD")</f>
        <v>CALIDAD</v>
      </c>
      <c r="B53" s="58" t="str">
        <f>IFERROR(__xludf.DUMMYFUNCTION("""COMPUTED_VALUE"""),"DISEÑO DE UN SISTEMA DE GESTIÓN DE CALIDAD BASADO EN LA ISO 9001–2008 PARA LA EMPRESA METALMECÁNICA ALANOCA")</f>
        <v>DISEÑO DE UN SISTEMA DE GESTIÓN DE CALIDAD BASADO EN LA ISO 9001–2008 PARA LA EMPRESA METALMECÁNICA ALANOCA</v>
      </c>
      <c r="C53" s="58">
        <f>IFERROR(__xludf.DUMMYFUNCTION("""COMPUTED_VALUE"""),2.0)</f>
        <v>2</v>
      </c>
    </row>
    <row r="54">
      <c r="A54" s="58" t="str">
        <f>IFERROR(__xludf.DUMMYFUNCTION("""COMPUTED_VALUE"""),"CALIDAD")</f>
        <v>CALIDAD</v>
      </c>
      <c r="B54"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C54" s="58">
        <f>IFERROR(__xludf.DUMMYFUNCTION("""COMPUTED_VALUE"""),1.0)</f>
        <v>1</v>
      </c>
    </row>
    <row r="55">
      <c r="A55" s="58" t="str">
        <f>IFERROR(__xludf.DUMMYFUNCTION("""COMPUTED_VALUE"""),"CALIDAD")</f>
        <v>CALIDAD</v>
      </c>
      <c r="B55"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C55" s="58">
        <f>IFERROR(__xludf.DUMMYFUNCTION("""COMPUTED_VALUE"""),22.0)</f>
        <v>22</v>
      </c>
    </row>
    <row r="56">
      <c r="A56" s="58" t="str">
        <f>IFERROR(__xludf.DUMMYFUNCTION("""COMPUTED_VALUE"""),"CALIDAD")</f>
        <v>CALIDAD</v>
      </c>
      <c r="B56" s="58" t="str">
        <f>IFERROR(__xludf.DUMMYFUNCTION("""COMPUTED_VALUE"""),"DISEÑO DE UN SISTEMA DE GESTIÓN DE CALIDAD BASADO EN LA NORMA ISO 9001 EN EL DEPARTAMENTO DE DISEÑO Y DESARROLLO DE LA EMPRESA METALMECÁNICA PROMAQ I+D LTDA.")</f>
        <v>DISEÑO DE UN SISTEMA DE GESTIÓN DE CALIDAD BASADO EN LA NORMA ISO 9001 EN EL DEPARTAMENTO DE DISEÑO Y DESARROLLO DE LA EMPRESA METALMECÁNICA PROMAQ I+D LTDA.</v>
      </c>
      <c r="C56" s="58">
        <f>IFERROR(__xludf.DUMMYFUNCTION("""COMPUTED_VALUE"""),2.0)</f>
        <v>2</v>
      </c>
    </row>
    <row r="57">
      <c r="A57" s="58" t="str">
        <f>IFERROR(__xludf.DUMMYFUNCTION("""COMPUTED_VALUE"""),"CALIDAD")</f>
        <v>CALIDAD</v>
      </c>
      <c r="B57" s="58" t="str">
        <f>IFERROR(__xludf.DUMMYFUNCTION("""COMPUTED_VALUE"""),"DISEÑO DE UN SISTEMA DE GESTIÓN DE CALIDAD BASADO EN LA NORMA ISO 9001 VERSIÓN 2008 PARA LAS PRINCIPALES ÁREAS OPERATIVAS DE LA EMPRESA PÚBLICA SEMAPA")</f>
        <v>DISEÑO DE UN SISTEMA DE GESTIÓN DE CALIDAD BASADO EN LA NORMA ISO 9001 VERSIÓN 2008 PARA LAS PRINCIPALES ÁREAS OPERATIVAS DE LA EMPRESA PÚBLICA SEMAPA</v>
      </c>
      <c r="C57" s="58">
        <f>IFERROR(__xludf.DUMMYFUNCTION("""COMPUTED_VALUE"""),3.0)</f>
        <v>3</v>
      </c>
    </row>
    <row r="58">
      <c r="A58" s="58" t="str">
        <f>IFERROR(__xludf.DUMMYFUNCTION("""COMPUTED_VALUE"""),"CALIDAD")</f>
        <v>CALIDAD</v>
      </c>
      <c r="B58" s="58" t="str">
        <f>IFERROR(__xludf.DUMMYFUNCTION("""COMPUTED_VALUE"""),"DISEÑO DE UN SISTEMA DE GESTIÓN DE CALIDAD BASADO EN LA NORMA ISO 9001:2000 PARA LA EMPRESA IMPRESO S.R.L.")</f>
        <v>DISEÑO DE UN SISTEMA DE GESTIÓN DE CALIDAD BASADO EN LA NORMA ISO 9001:2000 PARA LA EMPRESA IMPRESO S.R.L.</v>
      </c>
      <c r="C58" s="58">
        <f>IFERROR(__xludf.DUMMYFUNCTION("""COMPUTED_VALUE"""),1.0)</f>
        <v>1</v>
      </c>
    </row>
    <row r="59">
      <c r="A59" s="58" t="str">
        <f>IFERROR(__xludf.DUMMYFUNCTION("""COMPUTED_VALUE"""),"CALIDAD")</f>
        <v>CALIDAD</v>
      </c>
      <c r="B59" s="58" t="str">
        <f>IFERROR(__xludf.DUMMYFUNCTION("""COMPUTED_VALUE"""),"DISEÑO DE UN SISTEMA DE GESTIÓN DE CALIDAD BASADO EN LA NORMA ISO 9001:2008 PARA LA EMPRESA DE PLÁSTICOS: “INMAPLAST S.R.L.")</f>
        <v>DISEÑO DE UN SISTEMA DE GESTIÓN DE CALIDAD BASADO EN LA NORMA ISO 9001:2008 PARA LA EMPRESA DE PLÁSTICOS: “INMAPLAST S.R.L.</v>
      </c>
      <c r="C59" s="58">
        <f>IFERROR(__xludf.DUMMYFUNCTION("""COMPUTED_VALUE"""),2.0)</f>
        <v>2</v>
      </c>
    </row>
    <row r="60">
      <c r="A60" s="58" t="str">
        <f>IFERROR(__xludf.DUMMYFUNCTION("""COMPUTED_VALUE"""),"CALIDAD")</f>
        <v>CALIDAD</v>
      </c>
      <c r="B60" s="58" t="str">
        <f>IFERROR(__xludf.DUMMYFUNCTION("""COMPUTED_VALUE"""),"DISEÑO DE UN SISTEMA DE GESTIÓN DE CALIDAD BASADO EN LA NORMA ISO 9001:2008, PARA LA COOPERATIVA DE AHORRO Y CRÉDITO ABIERTA SAN JOSÉ DE PUNATA LTDA")</f>
        <v>DISEÑO DE UN SISTEMA DE GESTIÓN DE CALIDAD BASADO EN LA NORMA ISO 9001:2008, PARA LA COOPERATIVA DE AHORRO Y CRÉDITO ABIERTA SAN JOSÉ DE PUNATA LTDA</v>
      </c>
      <c r="C60" s="58">
        <f>IFERROR(__xludf.DUMMYFUNCTION("""COMPUTED_VALUE"""),1.0)</f>
        <v>1</v>
      </c>
    </row>
    <row r="61">
      <c r="A61" s="58" t="str">
        <f>IFERROR(__xludf.DUMMYFUNCTION("""COMPUTED_VALUE"""),"CALIDAD")</f>
        <v>CALIDAD</v>
      </c>
      <c r="B61" s="58" t="str">
        <f>IFERROR(__xludf.DUMMYFUNCTION("""COMPUTED_VALUE"""),"DISEÑO DE UN SISTEMA DE GESTIÓN DE CALIDAD BASADO EN LA NORMA NB-ISO 9001:2008 PARA LA INDUSTRIA PANIFICADORA SAN ANTONIO INPASA.")</f>
        <v>DISEÑO DE UN SISTEMA DE GESTIÓN DE CALIDAD BASADO EN LA NORMA NB-ISO 9001:2008 PARA LA INDUSTRIA PANIFICADORA SAN ANTONIO INPASA.</v>
      </c>
      <c r="C61" s="58">
        <f>IFERROR(__xludf.DUMMYFUNCTION("""COMPUTED_VALUE"""),5.0)</f>
        <v>5</v>
      </c>
    </row>
    <row r="62">
      <c r="A62" s="58" t="str">
        <f>IFERROR(__xludf.DUMMYFUNCTION("""COMPUTED_VALUE"""),"CALIDAD")</f>
        <v>CALIDAD</v>
      </c>
      <c r="B62"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C62" s="58">
        <f>IFERROR(__xludf.DUMMYFUNCTION("""COMPUTED_VALUE"""),12.0)</f>
        <v>12</v>
      </c>
    </row>
    <row r="63">
      <c r="A63" s="58" t="str">
        <f>IFERROR(__xludf.DUMMYFUNCTION("""COMPUTED_VALUE"""),"CALIDAD")</f>
        <v>CALIDAD</v>
      </c>
      <c r="B63" s="58" t="str">
        <f>IFERROR(__xludf.DUMMYFUNCTION("""COMPUTED_VALUE"""),"DISEÑO DE UN SISTEMA DE GESTIÓN DE CALIDAD DEL PROCESO DE LAMINACIÓN PARA LA EMPRESA COPELME S.A.")</f>
        <v>DISEÑO DE UN SISTEMA DE GESTIÓN DE CALIDAD DEL PROCESO DE LAMINACIÓN PARA LA EMPRESA COPELME S.A.</v>
      </c>
      <c r="C63" s="58">
        <f>IFERROR(__xludf.DUMMYFUNCTION("""COMPUTED_VALUE"""),1.0)</f>
        <v>1</v>
      </c>
    </row>
    <row r="64">
      <c r="A64" s="58" t="str">
        <f>IFERROR(__xludf.DUMMYFUNCTION("""COMPUTED_VALUE"""),"CALIDAD")</f>
        <v>CALIDAD</v>
      </c>
      <c r="B64" s="58" t="str">
        <f>IFERROR(__xludf.DUMMYFUNCTION("""COMPUTED_VALUE"""),"DISEÑO DE UN SISTEMA DE GESTIÓN DE CALIDAD ISO 9001:2000 PARA LA EMPRESA VIVA-GSM")</f>
        <v>DISEÑO DE UN SISTEMA DE GESTIÓN DE CALIDAD ISO 9001:2000 PARA LA EMPRESA VIVA-GSM</v>
      </c>
      <c r="C64" s="58">
        <f>IFERROR(__xludf.DUMMYFUNCTION("""COMPUTED_VALUE"""),4.0)</f>
        <v>4</v>
      </c>
    </row>
    <row r="65">
      <c r="A65" s="58" t="str">
        <f>IFERROR(__xludf.DUMMYFUNCTION("""COMPUTED_VALUE"""),"CALIDAD")</f>
        <v>CALIDAD</v>
      </c>
      <c r="B65" s="58" t="str">
        <f>IFERROR(__xludf.DUMMYFUNCTION("""COMPUTED_VALUE"""),"DISEÑO DE UN SISTEMA DE GESTIÓN DE CALIDAD ISO 9001:2015 CERTIFICABLE PARA LA EMPRESA PIERINI S.A.")</f>
        <v>DISEÑO DE UN SISTEMA DE GESTIÓN DE CALIDAD ISO 9001:2015 CERTIFICABLE PARA LA EMPRESA PIERINI S.A.</v>
      </c>
      <c r="C65" s="58">
        <f>IFERROR(__xludf.DUMMYFUNCTION("""COMPUTED_VALUE"""),13.0)</f>
        <v>13</v>
      </c>
    </row>
    <row r="66">
      <c r="A66" s="58" t="str">
        <f>IFERROR(__xludf.DUMMYFUNCTION("""COMPUTED_VALUE"""),"CALIDAD")</f>
        <v>CALIDAD</v>
      </c>
      <c r="B66" s="58" t="str">
        <f>IFERROR(__xludf.DUMMYFUNCTION("""COMPUTED_VALUE"""),"DISEÑO DE UN SISTEMA DE GESTIÓN DE CALIDAD ORIENTADO A PROCESOS PARA LA INSTITUCIÓN FINANCIERA DE DESARROLLO CIDRE")</f>
        <v>DISEÑO DE UN SISTEMA DE GESTIÓN DE CALIDAD ORIENTADO A PROCESOS PARA LA INSTITUCIÓN FINANCIERA DE DESARROLLO CIDRE</v>
      </c>
      <c r="C66" s="58">
        <f>IFERROR(__xludf.DUMMYFUNCTION("""COMPUTED_VALUE"""),1.0)</f>
        <v>1</v>
      </c>
    </row>
    <row r="67">
      <c r="A67" s="58" t="str">
        <f>IFERROR(__xludf.DUMMYFUNCTION("""COMPUTED_VALUE"""),"CALIDAD")</f>
        <v>CALIDAD</v>
      </c>
      <c r="B67" s="58" t="str">
        <f>IFERROR(__xludf.DUMMYFUNCTION("""COMPUTED_VALUE"""),"DISEÑO DE UN SISTEMA DE GESTIÓN DE CALIDAD PARA LA EMPRESA DELMONTE S.R.L. EN         BASE A LA NORMA ISO 9001:2015")</f>
        <v>DISEÑO DE UN SISTEMA DE GESTIÓN DE CALIDAD PARA LA EMPRESA DELMONTE S.R.L. EN         BASE A LA NORMA ISO 9001:2015</v>
      </c>
      <c r="C67" s="58">
        <f>IFERROR(__xludf.DUMMYFUNCTION("""COMPUTED_VALUE"""),4.0)</f>
        <v>4</v>
      </c>
    </row>
    <row r="68">
      <c r="A68" s="58" t="str">
        <f>IFERROR(__xludf.DUMMYFUNCTION("""COMPUTED_VALUE"""),"CALIDAD")</f>
        <v>CALIDAD</v>
      </c>
      <c r="B68" s="58" t="str">
        <f>IFERROR(__xludf.DUMMYFUNCTION("""COMPUTED_VALUE"""),"DISEÑO DE UN SISTEMA DE GESTIÓN DE CALIDAD PARA PLANTA EXTERNA DE TELEFONÍA BÁSICA PARA LA EMPRESA COMTECO COCHABAMBA EN BASE A LA NORMA ISO 9001:2000")</f>
        <v>DISEÑO DE UN SISTEMA DE GESTIÓN DE CALIDAD PARA PLANTA EXTERNA DE TELEFONÍA BÁSICA PARA LA EMPRESA COMTECO COCHABAMBA EN BASE A LA NORMA ISO 9001:2000</v>
      </c>
      <c r="C68" s="58">
        <f>IFERROR(__xludf.DUMMYFUNCTION("""COMPUTED_VALUE"""),1.0)</f>
        <v>1</v>
      </c>
    </row>
    <row r="69">
      <c r="A69" s="58" t="str">
        <f>IFERROR(__xludf.DUMMYFUNCTION("""COMPUTED_VALUE"""),"CALIDAD")</f>
        <v>CALIDAD</v>
      </c>
      <c r="B69" s="58" t="str">
        <f>IFERROR(__xludf.DUMMYFUNCTION("""COMPUTED_VALUE"""),"DISEÑO DE UN SISTEMA DE GESTIÓN DE CALIDAD PARAPLANTA PILOTO DEL CENTRO DE TECNOLOGÍA
AGROINDUSTRIAL EN BASE A LA NORMA
ISO 9001:2000")</f>
        <v>DISEÑO DE UN SISTEMA DE GESTIÓN DE CALIDAD PARAPLANTA PILOTO DEL CENTRO DE TECNOLOGÍA
AGROINDUSTRIAL EN BASE A LA NORMA
ISO 9001:2000</v>
      </c>
      <c r="C69" s="58">
        <f>IFERROR(__xludf.DUMMYFUNCTION("""COMPUTED_VALUE"""),1.0)</f>
        <v>1</v>
      </c>
    </row>
    <row r="70">
      <c r="A70" s="58" t="str">
        <f>IFERROR(__xludf.DUMMYFUNCTION("""COMPUTED_VALUE"""),"CALIDAD")</f>
        <v>CALIDAD</v>
      </c>
      <c r="B70" s="58" t="str">
        <f>IFERROR(__xludf.DUMMYFUNCTION("""COMPUTED_VALUE"""),"DISEÑO DE UN SISTEMA DE GESTIÓN DE INOCUIDAD ALIMENTARIA BAJO EL ESQUEMA FSSC  22000 PARA LA EMPRESA LA PAPELERA S.A.")</f>
        <v>DISEÑO DE UN SISTEMA DE GESTIÓN DE INOCUIDAD ALIMENTARIA BAJO EL ESQUEMA FSSC  22000 PARA LA EMPRESA LA PAPELERA S.A.</v>
      </c>
      <c r="C70" s="58">
        <f>IFERROR(__xludf.DUMMYFUNCTION("""COMPUTED_VALUE"""),2.0)</f>
        <v>2</v>
      </c>
    </row>
    <row r="71">
      <c r="A71" s="58" t="str">
        <f>IFERROR(__xludf.DUMMYFUNCTION("""COMPUTED_VALUE"""),"CALIDAD")</f>
        <v>CALIDAD</v>
      </c>
      <c r="B71" s="58" t="str">
        <f>IFERROR(__xludf.DUMMYFUNCTION("""COMPUTED_VALUE"""),"DISEÑO DE UN SISTEMA DE GESTIÓN DE INOCUIDAD ALIMENTARIA BASADO EN LA NORMA ISO 22000:2005 PARA LA EMPRESA SIARAVE")</f>
        <v>DISEÑO DE UN SISTEMA DE GESTIÓN DE INOCUIDAD ALIMENTARIA BASADO EN LA NORMA ISO 22000:2005 PARA LA EMPRESA SIARAVE</v>
      </c>
      <c r="C71" s="58">
        <f>IFERROR(__xludf.DUMMYFUNCTION("""COMPUTED_VALUE"""),1.0)</f>
        <v>1</v>
      </c>
    </row>
    <row r="72">
      <c r="A72" s="58" t="str">
        <f>IFERROR(__xludf.DUMMYFUNCTION("""COMPUTED_VALUE"""),"CALIDAD")</f>
        <v>CALIDAD</v>
      </c>
      <c r="B72" s="58" t="str">
        <f>IFERROR(__xludf.DUMMYFUNCTION("""COMPUTED_VALUE"""),"DISEÑO DE UN SISTEMA DE GESTIÓN DE LA CALIDAD
BASADO EN LA NORMA ISO 9001 VERSIÓN 2008 PARA
INDUSTRIAS LACTEAS DEL VALLE ALTO “ILVA S.R.L.”")</f>
        <v>DISEÑO DE UN SISTEMA DE GESTIÓN DE LA CALIDAD
BASADO EN LA NORMA ISO 9001 VERSIÓN 2008 PARA
INDUSTRIAS LACTEAS DEL VALLE ALTO “ILVA S.R.L.”</v>
      </c>
      <c r="C72" s="58">
        <f>IFERROR(__xludf.DUMMYFUNCTION("""COMPUTED_VALUE"""),1.0)</f>
        <v>1</v>
      </c>
    </row>
    <row r="73">
      <c r="A73" s="58" t="str">
        <f>IFERROR(__xludf.DUMMYFUNCTION("""COMPUTED_VALUE"""),"CALIDAD")</f>
        <v>CALIDAD</v>
      </c>
      <c r="B73" s="58" t="str">
        <f>IFERROR(__xludf.DUMMYFUNCTION("""COMPUTED_VALUE"""),"DISEÑO DE UN SISTEMA DE GESTIÓN DE LA CALIDAD BASADO EN LA NORMA ISO 9001:2000 PARA LA EMPRESA MURANO S.R.L.")</f>
        <v>DISEÑO DE UN SISTEMA DE GESTIÓN DE LA CALIDAD BASADO EN LA NORMA ISO 9001:2000 PARA LA EMPRESA MURANO S.R.L.</v>
      </c>
      <c r="C73" s="58">
        <f>IFERROR(__xludf.DUMMYFUNCTION("""COMPUTED_VALUE"""),1.0)</f>
        <v>1</v>
      </c>
    </row>
    <row r="74">
      <c r="A74" s="58" t="str">
        <f>IFERROR(__xludf.DUMMYFUNCTION("""COMPUTED_VALUE"""),"CALIDAD")</f>
        <v>CALIDAD</v>
      </c>
      <c r="B74" s="58" t="str">
        <f>IFERROR(__xludf.DUMMYFUNCTION("""COMPUTED_VALUE"""),"DISEÑO DE UN SISTEMA DE GESTIÓN DE LA CALIDAD ISO 9001:2000 PARA MOPAR S.A.")</f>
        <v>DISEÑO DE UN SISTEMA DE GESTIÓN DE LA CALIDAD ISO 9001:2000 PARA MOPAR S.A.</v>
      </c>
      <c r="C74" s="58">
        <f>IFERROR(__xludf.DUMMYFUNCTION("""COMPUTED_VALUE"""),1.0)</f>
        <v>1</v>
      </c>
    </row>
    <row r="75">
      <c r="A75" s="58" t="str">
        <f>IFERROR(__xludf.DUMMYFUNCTION("""COMPUTED_VALUE"""),"CALIDAD")</f>
        <v>CALIDAD</v>
      </c>
      <c r="B75" s="58" t="str">
        <f>IFERROR(__xludf.DUMMYFUNCTION("""COMPUTED_VALUE"""),"DISEÑO DE UN SISTEMA DE GESTIÓN Y ASEGURAMIENTO DE LA CALIDAD DE LOS RESULTADOS DE CALIBRACIÓN, MEDICIÓN Y ENSAYO PARA EL LABORATORIO DE CALIBRACIÓN DEL LAB S.A. EN CONFORMIDAD A LA NORMA ISO/IEC 17025")</f>
        <v>DISEÑO DE UN SISTEMA DE GESTIÓN Y ASEGURAMIENTO DE LA CALIDAD DE LOS RESULTADOS DE CALIBRACIÓN, MEDICIÓN Y ENSAYO PARA EL LABORATORIO DE CALIBRACIÓN DEL LAB S.A. EN CONFORMIDAD A LA NORMA ISO/IEC 17025</v>
      </c>
      <c r="C75" s="58">
        <f>IFERROR(__xludf.DUMMYFUNCTION("""COMPUTED_VALUE"""),1.0)</f>
        <v>1</v>
      </c>
    </row>
    <row r="76">
      <c r="A76" s="58" t="str">
        <f>IFERROR(__xludf.DUMMYFUNCTION("""COMPUTED_VALUE"""),"CALIDAD")</f>
        <v>CALIDAD</v>
      </c>
      <c r="B76" s="58" t="str">
        <f>IFERROR(__xludf.DUMMYFUNCTION("""COMPUTED_VALUE"""),"DISEÑO DEL SISTEMA DE GESTION DE CALIDAD BASADO EN LA NB/ISO 9001:2015 PARA LA EMPRESA QUILOCONS SRL EN LA CIUDAD DE COCHABAMBA")</f>
        <v>DISEÑO DEL SISTEMA DE GESTION DE CALIDAD BASADO EN LA NB/ISO 9001:2015 PARA LA EMPRESA QUILOCONS SRL EN LA CIUDAD DE COCHABAMBA</v>
      </c>
      <c r="C76" s="58">
        <f>IFERROR(__xludf.DUMMYFUNCTION("""COMPUTED_VALUE"""),32.0)</f>
        <v>32</v>
      </c>
    </row>
    <row r="77">
      <c r="A77" s="58" t="str">
        <f>IFERROR(__xludf.DUMMYFUNCTION("""COMPUTED_VALUE"""),"CALIDAD")</f>
        <v>CALIDAD</v>
      </c>
      <c r="B77" s="58" t="str">
        <f>IFERROR(__xludf.DUMMYFUNCTION("""COMPUTED_VALUE"""),"DISEÑO DEL SISTEMA DE GESTIÓN DE CALIDAD BASADO EN LOS REQUISITOS DE LA NORMA ISO 9001:2008 PARA EL TALLER DE MANTENIMIENTO AERONÁUTICO DE ECOJET S.A. (TAME)")</f>
        <v>DISEÑO DEL SISTEMA DE GESTIÓN DE CALIDAD BASADO EN LOS REQUISITOS DE LA NORMA ISO 9001:2008 PARA EL TALLER DE MANTENIMIENTO AERONÁUTICO DE ECOJET S.A. (TAME)</v>
      </c>
      <c r="C77" s="58">
        <f>IFERROR(__xludf.DUMMYFUNCTION("""COMPUTED_VALUE"""),1.0)</f>
        <v>1</v>
      </c>
    </row>
    <row r="78">
      <c r="A78" s="58" t="str">
        <f>IFERROR(__xludf.DUMMYFUNCTION("""COMPUTED_VALUE"""),"CALIDAD")</f>
        <v>CALIDAD</v>
      </c>
      <c r="B78" s="58" t="str">
        <f>IFERROR(__xludf.DUMMYFUNCTION("""COMPUTED_VALUE"""),"DISEÑO DEL SISTEMA DE GESTIÓN DE CALIDAD BASADO EN LOS REQUISITOS DE LA NORMA NB/ISO 9001:2008 PARA LA EMPRESA MAMUT")</f>
        <v>DISEÑO DEL SISTEMA DE GESTIÓN DE CALIDAD BASADO EN LOS REQUISITOS DE LA NORMA NB/ISO 9001:2008 PARA LA EMPRESA MAMUT</v>
      </c>
      <c r="C78" s="58">
        <f>IFERROR(__xludf.DUMMYFUNCTION("""COMPUTED_VALUE"""),3.0)</f>
        <v>3</v>
      </c>
    </row>
    <row r="79">
      <c r="A79" s="58" t="str">
        <f>IFERROR(__xludf.DUMMYFUNCTION("""COMPUTED_VALUE"""),"CALIDAD")</f>
        <v>CALIDAD</v>
      </c>
      <c r="B79" s="58" t="str">
        <f>IFERROR(__xludf.DUMMYFUNCTION("""COMPUTED_VALUE"""),"DISEÑO DEL SISTEMA DE GESTIÓN DE CALIDAD PARA LA ASOCIACIÓN BOLIVIANA DE SOLDADURA ENSAYOS NO DESTRUCTIVOS INSPECCIÓN Y CORROSIÓN - ASBOSENDIC")</f>
        <v>DISEÑO DEL SISTEMA DE GESTIÓN DE CALIDAD PARA LA ASOCIACIÓN BOLIVIANA DE SOLDADURA ENSAYOS NO DESTRUCTIVOS INSPECCIÓN Y CORROSIÓN - ASBOSENDIC</v>
      </c>
      <c r="C79" s="58">
        <f>IFERROR(__xludf.DUMMYFUNCTION("""COMPUTED_VALUE"""),1.0)</f>
        <v>1</v>
      </c>
    </row>
    <row r="80">
      <c r="A80" s="58" t="str">
        <f>IFERROR(__xludf.DUMMYFUNCTION("""COMPUTED_VALUE"""),"CALIDAD")</f>
        <v>CALIDAD</v>
      </c>
      <c r="B80"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C80" s="58">
        <f>IFERROR(__xludf.DUMMYFUNCTION("""COMPUTED_VALUE"""),1.0)</f>
        <v>1</v>
      </c>
    </row>
    <row r="81">
      <c r="A81" s="58" t="str">
        <f>IFERROR(__xludf.DUMMYFUNCTION("""COMPUTED_VALUE"""),"CALIDAD")</f>
        <v>CALIDAD</v>
      </c>
      <c r="B81"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C81" s="58">
        <f>IFERROR(__xludf.DUMMYFUNCTION("""COMPUTED_VALUE"""),1.0)</f>
        <v>1</v>
      </c>
    </row>
    <row r="82">
      <c r="A82" s="58" t="str">
        <f>IFERROR(__xludf.DUMMYFUNCTION("""COMPUTED_VALUE"""),"CALIDAD")</f>
        <v>CALIDAD</v>
      </c>
      <c r="B82"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C82" s="58">
        <f>IFERROR(__xludf.DUMMYFUNCTION("""COMPUTED_VALUE"""),13.0)</f>
        <v>13</v>
      </c>
    </row>
    <row r="83">
      <c r="A83" s="58" t="str">
        <f>IFERROR(__xludf.DUMMYFUNCTION("""COMPUTED_VALUE"""),"CALIDAD")</f>
        <v>CALIDAD</v>
      </c>
      <c r="B83" s="58" t="str">
        <f>IFERROR(__xludf.DUMMYFUNCTION("""COMPUTED_VALUE"""),"DISEÑO E IMPLEMENTACIÓN DE UN SISTEMA DE GESTIÓN DE LA CALIDAD BASADO EN LA NORMA BOLIVIANA NB/ISO 9001:2008
PARA LA EMPRESA MOBLEFINO")</f>
        <v>DISEÑO E IMPLEMENTACIÓN DE UN SISTEMA DE GESTIÓN DE LA CALIDAD BASADO EN LA NORMA BOLIVIANA NB/ISO 9001:2008
PARA LA EMPRESA MOBLEFINO</v>
      </c>
      <c r="C83" s="58">
        <f>IFERROR(__xludf.DUMMYFUNCTION("""COMPUTED_VALUE"""),1.0)</f>
        <v>1</v>
      </c>
    </row>
    <row r="84">
      <c r="A84" s="58" t="str">
        <f>IFERROR(__xludf.DUMMYFUNCTION("""COMPUTED_VALUE"""),"CALIDAD")</f>
        <v>CALIDAD</v>
      </c>
      <c r="B84" s="58" t="str">
        <f>IFERROR(__xludf.DUMMYFUNCTION("""COMPUTED_VALUE"""),"DISEÑO E IMPLEMENTACIÓN DE UN SISTEMA DE GESTIÓN DE LA CALIDAD BASADO EN LA NORMA BOLIVIANA NB/ISO 9001:2008 PARA LA EMPRESA MOBLEFINO.")</f>
        <v>DISEÑO E IMPLEMENTACIÓN DE UN SISTEMA DE GESTIÓN DE LA CALIDAD BASADO EN LA NORMA BOLIVIANA NB/ISO 9001:2008 PARA LA EMPRESA MOBLEFINO.</v>
      </c>
      <c r="C84" s="58">
        <f>IFERROR(__xludf.DUMMYFUNCTION("""COMPUTED_VALUE"""),6.0)</f>
        <v>6</v>
      </c>
    </row>
    <row r="85">
      <c r="A85" s="58" t="str">
        <f>IFERROR(__xludf.DUMMYFUNCTION("""COMPUTED_VALUE"""),"CALIDAD")</f>
        <v>CALIDAD</v>
      </c>
      <c r="B85"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C85" s="58">
        <f>IFERROR(__xludf.DUMMYFUNCTION("""COMPUTED_VALUE"""),9.0)</f>
        <v>9</v>
      </c>
    </row>
    <row r="86">
      <c r="A86" s="58" t="str">
        <f>IFERROR(__xludf.DUMMYFUNCTION("""COMPUTED_VALUE"""),"CALIDAD")</f>
        <v>CALIDAD</v>
      </c>
      <c r="B86" s="58" t="str">
        <f>IFERROR(__xludf.DUMMYFUNCTION("""COMPUTED_VALUE"""),"DISEÑO Y DESARROLLO DE UN SISTEMA DE GESTIÓN DE LA CALIDAD BASADO EN LA NORMA NB ISO 9001:2000 PARA CURTIEMBRE Y MANUFACTURA CURMA SRL. (DOCUMENTACIÓN DEL SISTEMA)")</f>
        <v>DISEÑO Y DESARROLLO DE UN SISTEMA DE GESTIÓN DE LA CALIDAD BASADO EN LA NORMA NB ISO 9001:2000 PARA CURTIEMBRE Y MANUFACTURA CURMA SRL. (DOCUMENTACIÓN DEL SISTEMA)</v>
      </c>
      <c r="C86" s="58">
        <f>IFERROR(__xludf.DUMMYFUNCTION("""COMPUTED_VALUE"""),1.0)</f>
        <v>1</v>
      </c>
    </row>
    <row r="87">
      <c r="A87" s="58" t="str">
        <f>IFERROR(__xludf.DUMMYFUNCTION("""COMPUTED_VALUE"""),"CALIDAD")</f>
        <v>CALIDAD</v>
      </c>
      <c r="B87" s="58" t="str">
        <f>IFERROR(__xludf.DUMMYFUNCTION("""COMPUTED_VALUE"""),"ELABORACIÓN DE UN SISTEMA DE GESTIÓN AMBIENTAL BASADO EN LA NORMA ISO 14001 PARA INDUSTRIAS DE ACEITE S.A.")</f>
        <v>ELABORACIÓN DE UN SISTEMA DE GESTIÓN AMBIENTAL BASADO EN LA NORMA ISO 14001 PARA INDUSTRIAS DE ACEITE S.A.</v>
      </c>
      <c r="C87" s="58">
        <f>IFERROR(__xludf.DUMMYFUNCTION("""COMPUTED_VALUE"""),6.0)</f>
        <v>6</v>
      </c>
    </row>
    <row r="88">
      <c r="A88" s="58" t="str">
        <f>IFERROR(__xludf.DUMMYFUNCTION("""COMPUTED_VALUE"""),"CALIDAD")</f>
        <v>CALIDAD</v>
      </c>
      <c r="B88" s="58" t="str">
        <f>IFERROR(__xludf.DUMMYFUNCTION("""COMPUTED_VALUE"""),"ELABORACIÓN DE UN SISTEMA DE GESTIÓN DE LA CALIDAD CON BASE A LA NB/ISO 9001:2008 PARA LA EMPRESA MANUFACTURA Y CURTIEMBRE CURMA S.R.L.")</f>
        <v>ELABORACIÓN DE UN SISTEMA DE GESTIÓN DE LA CALIDAD CON BASE A LA NB/ISO 9001:2008 PARA LA EMPRESA MANUFACTURA Y CURTIEMBRE CURMA S.R.L.</v>
      </c>
      <c r="C88" s="58">
        <f>IFERROR(__xludf.DUMMYFUNCTION("""COMPUTED_VALUE"""),2.0)</f>
        <v>2</v>
      </c>
    </row>
    <row r="89">
      <c r="A89" s="58" t="str">
        <f>IFERROR(__xludf.DUMMYFUNCTION("""COMPUTED_VALUE"""),"CALIDAD")</f>
        <v>CALIDAD</v>
      </c>
      <c r="B89" s="58" t="str">
        <f>IFERROR(__xludf.DUMMYFUNCTION("""COMPUTED_VALUE"""),"ESTUDIO DE UN SISTEMA DE GESTIÓN DE LA CALIDAD  PARA  LA IMPLEMENTACIÓN  DE LA  NORMA ISO 9001: 2000 EN LA EMPRESA “IRBA LTDA.”")</f>
        <v>ESTUDIO DE UN SISTEMA DE GESTIÓN DE LA CALIDAD  PARA  LA IMPLEMENTACIÓN  DE LA  NORMA ISO 9001: 2000 EN LA EMPRESA “IRBA LTDA.”</v>
      </c>
      <c r="C89" s="58">
        <f>IFERROR(__xludf.DUMMYFUNCTION("""COMPUTED_VALUE"""),1.0)</f>
        <v>1</v>
      </c>
    </row>
    <row r="90">
      <c r="A90" s="58" t="str">
        <f>IFERROR(__xludf.DUMMYFUNCTION("""COMPUTED_VALUE"""),"CALIDAD")</f>
        <v>CALIDAD</v>
      </c>
      <c r="B90" s="58" t="str">
        <f>IFERROR(__xludf.DUMMYFUNCTION("""COMPUTED_VALUE"""),"ESTUDIO PARA LA IMPLEMENTACIÓN DE LA NORMA ISO 9001:2000 EN LA FÁBRICA DE CHOMPAS DE LANA DE ALPACA ASARTI")</f>
        <v>ESTUDIO PARA LA IMPLEMENTACIÓN DE LA NORMA ISO 9001:2000 EN LA FÁBRICA DE CHOMPAS DE LANA DE ALPACA ASARTI</v>
      </c>
      <c r="C90" s="58">
        <f>IFERROR(__xludf.DUMMYFUNCTION("""COMPUTED_VALUE"""),8.0)</f>
        <v>8</v>
      </c>
    </row>
    <row r="91">
      <c r="A91" s="58" t="str">
        <f>IFERROR(__xludf.DUMMYFUNCTION("""COMPUTED_VALUE"""),"CALIDAD")</f>
        <v>CALIDAD</v>
      </c>
      <c r="B91" s="58" t="str">
        <f>IFERROR(__xludf.DUMMYFUNCTION("""COMPUTED_VALUE"""),"ESTUDIO PARA MEJORAR LA CALIDAD Y LA PRODUCTIVIDAD EN LA EMPRESA NUEVA ERA, CON LA APLICACIÓN DE LAS HERRAMIENTAS DE MANUFACTURA ESBELTA")</f>
        <v>ESTUDIO PARA MEJORAR LA CALIDAD Y LA PRODUCTIVIDAD EN LA EMPRESA NUEVA ERA, CON LA APLICACIÓN DE LAS HERRAMIENTAS DE MANUFACTURA ESBELTA</v>
      </c>
      <c r="C91" s="58">
        <f>IFERROR(__xludf.DUMMYFUNCTION("""COMPUTED_VALUE"""),9.0)</f>
        <v>9</v>
      </c>
    </row>
    <row r="92">
      <c r="A92" s="58" t="str">
        <f>IFERROR(__xludf.DUMMYFUNCTION("""COMPUTED_VALUE"""),"CALIDAD")</f>
        <v>CALIDAD</v>
      </c>
      <c r="B92" s="58" t="str">
        <f>IFERROR(__xludf.DUMMYFUNCTION("""COMPUTED_VALUE"""),"ESTUDIO PARA MEJORAR LA CALIDAD Y LA PRODUCTIVIDAD EN LA EMPRESA NUEVA ERA, CON LA APLICACIÓN DE LAS HERRAMIENTAS DE MANUFACTURA ESBELTA.")</f>
        <v>ESTUDIO PARA MEJORAR LA CALIDAD Y LA PRODUCTIVIDAD EN LA EMPRESA NUEVA ERA, CON LA APLICACIÓN DE LAS HERRAMIENTAS DE MANUFACTURA ESBELTA.</v>
      </c>
      <c r="C92" s="58">
        <f>IFERROR(__xludf.DUMMYFUNCTION("""COMPUTED_VALUE"""),2.0)</f>
        <v>2</v>
      </c>
    </row>
    <row r="93">
      <c r="A93" s="58" t="str">
        <f>IFERROR(__xludf.DUMMYFUNCTION("""COMPUTED_VALUE"""),"CALIDAD")</f>
        <v>CALIDAD</v>
      </c>
      <c r="B93" s="58" t="str">
        <f>IFERROR(__xludf.DUMMYFUNCTION("""COMPUTED_VALUE"""),"IMPLEMENTACIÓN DE UN SISTEMA DE GESTIÓN DE CALIDAD Y BUENAS PRÁCTICAS DE ALMACENAMIENTO EN BASE A LOS ESTÁNDARES DE CALIDAD DE UNILEVER ANDINA BOLIVIA S.A. Y LA NORMA ISO 9001:2008 EN EL ALMACÉN 3D")</f>
        <v>IMPLEMENTACIÓN DE UN SISTEMA DE GESTIÓN DE CALIDAD Y BUENAS PRÁCTICAS DE ALMACENAMIENTO EN BASE A LOS ESTÁNDARES DE CALIDAD DE UNILEVER ANDINA BOLIVIA S.A. Y LA NORMA ISO 9001:2008 EN EL ALMACÉN 3D</v>
      </c>
      <c r="C93" s="58">
        <f>IFERROR(__xludf.DUMMYFUNCTION("""COMPUTED_VALUE"""),2.0)</f>
        <v>2</v>
      </c>
    </row>
    <row r="94">
      <c r="A94" s="58" t="str">
        <f>IFERROR(__xludf.DUMMYFUNCTION("""COMPUTED_VALUE"""),"CALIDAD")</f>
        <v>CALIDAD</v>
      </c>
      <c r="B94" s="58" t="str">
        <f>IFERROR(__xludf.DUMMYFUNCTION("""COMPUTED_VALUE"""),"IMPLEMENTACIÓN DE UN SISTEMA DE GESTIÓN DE LA CALIDAD EN BASE A LA NORMA ISO 9001:2000 EN LOS
PROCESOS: PRODUCCIÓN DE PRETENSADOS, PLASTOFORM Y
CONTROL DE LA CALIDAD EN LA EMPRESA
I.S.S.A. - CONCRETEC”")</f>
        <v>IMPLEMENTACIÓN DE UN SISTEMA DE GESTIÓN DE LA CALIDAD EN BASE A LA NORMA ISO 9001:2000 EN LOS
PROCESOS: PRODUCCIÓN DE PRETENSADOS, PLASTOFORM Y
CONTROL DE LA CALIDAD EN LA EMPRESA
I.S.S.A. - CONCRETEC”</v>
      </c>
      <c r="C94" s="58">
        <f>IFERROR(__xludf.DUMMYFUNCTION("""COMPUTED_VALUE"""),1.0)</f>
        <v>1</v>
      </c>
    </row>
    <row r="95">
      <c r="A95" s="58" t="str">
        <f>IFERROR(__xludf.DUMMYFUNCTION("""COMPUTED_VALUE"""),"CALIDAD")</f>
        <v>CALIDAD</v>
      </c>
      <c r="B95" s="58" t="str">
        <f>IFERROR(__xludf.DUMMYFUNCTION("""COMPUTED_VALUE"""),"MODELO DE CONTROL ESTADÍSTICO DE CALIDAD
EN BASE A SOFTWARE MINITAB PARA EL PROCESO DE
FABRICACIÓN DE LA MUNICIÓN 7.62 X 51 MM.
DE LA “FABRICA BOLIVIANA DE MUNICIÓN”")</f>
        <v>MODELO DE CONTROL ESTADÍSTICO DE CALIDAD
EN BASE A SOFTWARE MINITAB PARA EL PROCESO DE
FABRICACIÓN DE LA MUNICIÓN 7.62 X 51 MM.
DE LA “FABRICA BOLIVIANA DE MUNICIÓN”</v>
      </c>
      <c r="C95" s="58">
        <f>IFERROR(__xludf.DUMMYFUNCTION("""COMPUTED_VALUE"""),1.0)</f>
        <v>1</v>
      </c>
    </row>
    <row r="96">
      <c r="A96" s="58" t="str">
        <f>IFERROR(__xludf.DUMMYFUNCTION("""COMPUTED_VALUE"""),"CALIDAD")</f>
        <v>CALIDAD</v>
      </c>
      <c r="B96" s="58" t="str">
        <f>IFERROR(__xludf.DUMMYFUNCTION("""COMPUTED_VALUE"""),"MODELO DE GESTIÓN OSHA PARA LA PLANTA DE
COBOCE - CERAMICA.”")</f>
        <v>MODELO DE GESTIÓN OSHA PARA LA PLANTA DE
COBOCE - CERAMICA.”</v>
      </c>
      <c r="C96" s="58">
        <f>IFERROR(__xludf.DUMMYFUNCTION("""COMPUTED_VALUE"""),1.0)</f>
        <v>1</v>
      </c>
    </row>
    <row r="97">
      <c r="A97" s="58" t="str">
        <f>IFERROR(__xludf.DUMMYFUNCTION("""COMPUTED_VALUE"""),"CALIDAD")</f>
        <v>CALIDAD</v>
      </c>
      <c r="B97" s="58" t="str">
        <f>IFERROR(__xludf.DUMMYFUNCTION("""COMPUTED_VALUE"""),"PLAN PARA LA IMPLEMENTACIÓN DE LAS HERRAMIENTAS DE LA METODOLOGÍA WCM (WORLD CLASS MANUFACTURING) DEL PILAR DE CALIDADEN LA PLANTA DE DETERGENTES EN POLVO DE UNILEVER ANDINA BOLIVIA S.A.")</f>
        <v>PLAN PARA LA IMPLEMENTACIÓN DE LAS HERRAMIENTAS DE LA METODOLOGÍA WCM (WORLD CLASS MANUFACTURING) DEL PILAR DE CALIDADEN LA PLANTA DE DETERGENTES EN POLVO DE UNILEVER ANDINA BOLIVIA S.A.</v>
      </c>
      <c r="C97" s="58">
        <f>IFERROR(__xludf.DUMMYFUNCTION("""COMPUTED_VALUE"""),1.0)</f>
        <v>1</v>
      </c>
    </row>
    <row r="98">
      <c r="A98" s="58" t="str">
        <f>IFERROR(__xludf.DUMMYFUNCTION("""COMPUTED_VALUE"""),"CALIDAD")</f>
        <v>CALIDAD</v>
      </c>
      <c r="B98" s="58" t="str">
        <f>IFERROR(__xludf.DUMMYFUNCTION("""COMPUTED_VALUE"""),"POTENCIAMIENTO DEL SISTEMA DE GESTIÓN DE CALIDAD DE LA CÁMARA DEPARTAMENTAL DE INDUSTRIA EN LOS REQUISITOS 5.5.1, 6.2.1  DE LA NORMA ISO 9001:2008, BASADO EN UNA GESTIÓN DE RECURSOS HUMANOS POR COMPETENCIAS.")</f>
        <v>POTENCIAMIENTO DEL SISTEMA DE GESTIÓN DE CALIDAD DE LA CÁMARA DEPARTAMENTAL DE INDUSTRIA EN LOS REQUISITOS 5.5.1, 6.2.1  DE LA NORMA ISO 9001:2008, BASADO EN UNA GESTIÓN DE RECURSOS HUMANOS POR COMPETENCIAS.</v>
      </c>
      <c r="C98" s="58">
        <f>IFERROR(__xludf.DUMMYFUNCTION("""COMPUTED_VALUE"""),1.0)</f>
        <v>1</v>
      </c>
    </row>
    <row r="99">
      <c r="A99" s="58" t="str">
        <f>IFERROR(__xludf.DUMMYFUNCTION("""COMPUTED_VALUE"""),"CALIDAD")</f>
        <v>CALIDAD</v>
      </c>
      <c r="B99" s="58" t="str">
        <f>IFERROR(__xludf.DUMMYFUNCTION("""COMPUTED_VALUE"""),"PROPUESTA DE UN MODELO DE MEJORA CONTINUA BASADO EN UN SISTEMA DE GESTIÓN DE CALIDAD SEGÚN NORMA ISO17025:2005 PARA LA UNIDAD DE LABORATORIO DE MEDIDAS DE ELFEC S.A.")</f>
        <v>PROPUESTA DE UN MODELO DE MEJORA CONTINUA BASADO EN UN SISTEMA DE GESTIÓN DE CALIDAD SEGÚN NORMA ISO17025:2005 PARA LA UNIDAD DE LABORATORIO DE MEDIDAS DE ELFEC S.A.</v>
      </c>
      <c r="C99" s="58">
        <f>IFERROR(__xludf.DUMMYFUNCTION("""COMPUTED_VALUE"""),2.0)</f>
        <v>2</v>
      </c>
    </row>
    <row r="100">
      <c r="A100" s="58" t="str">
        <f>IFERROR(__xludf.DUMMYFUNCTION("""COMPUTED_VALUE"""),"CALIDAD")</f>
        <v>CALIDAD</v>
      </c>
      <c r="B100" s="58" t="str">
        <f>IFERROR(__xludf.DUMMYFUNCTION("""COMPUTED_VALUE"""),"PROPUESTA DE UN MODELO DE MEJORA CONTINUA BASADO EN UN SISTEMA DE GESTIÓN DE CALIDAD SEGÚN NORMA NB-ISO-IEC 17025:2005 PARA LA UNIDAD DE LABORATORIO DE MEDIDAS - LABMED DE
ELFEC S.A.")</f>
        <v>PROPUESTA DE UN MODELO DE MEJORA CONTINUA BASADO EN UN SISTEMA DE GESTIÓN DE CALIDAD SEGÚN NORMA NB-ISO-IEC 17025:2005 PARA LA UNIDAD DE LABORATORIO DE MEDIDAS - LABMED DE
ELFEC S.A.</v>
      </c>
      <c r="C100" s="58">
        <f>IFERROR(__xludf.DUMMYFUNCTION("""COMPUTED_VALUE"""),1.0)</f>
        <v>1</v>
      </c>
    </row>
    <row r="101">
      <c r="A101" s="58" t="str">
        <f>IFERROR(__xludf.DUMMYFUNCTION("""COMPUTED_VALUE"""),"CALIDAD")</f>
        <v>CALIDAD</v>
      </c>
      <c r="B101" s="58" t="str">
        <f>IFERROR(__xludf.DUMMYFUNCTION("""COMPUTED_VALUE"""),"PROPUESTA Y DESARROLLO DE UN SISTEMA DE GESTION DE CALIDAD EN BASE A LA NORMA ISO 9001:2008 EN LA EMPRESA GRINAL S.R.L.")</f>
        <v>PROPUESTA Y DESARROLLO DE UN SISTEMA DE GESTION DE CALIDAD EN BASE A LA NORMA ISO 9001:2008 EN LA EMPRESA GRINAL S.R.L.</v>
      </c>
      <c r="C101" s="58">
        <f>IFERROR(__xludf.DUMMYFUNCTION("""COMPUTED_VALUE"""),1.0)</f>
        <v>1</v>
      </c>
    </row>
    <row r="102">
      <c r="A102" s="58" t="str">
        <f>IFERROR(__xludf.DUMMYFUNCTION("""COMPUTED_VALUE"""),"CALIDAD")</f>
        <v>CALIDAD</v>
      </c>
      <c r="B102" s="58" t="str">
        <f>IFERROR(__xludf.DUMMYFUNCTION("""COMPUTED_VALUE"""),"SISTEMA DE CONTROL DE CALIDAD DE PRODUCTO
TERMINADO DE INCERPAZ")</f>
        <v>SISTEMA DE CONTROL DE CALIDAD DE PRODUCTO
TERMINADO DE INCERPAZ</v>
      </c>
      <c r="C102" s="58">
        <f>IFERROR(__xludf.DUMMYFUNCTION("""COMPUTED_VALUE"""),1.0)</f>
        <v>1</v>
      </c>
    </row>
    <row r="103">
      <c r="A103" s="58" t="str">
        <f>IFERROR(__xludf.DUMMYFUNCTION("""COMPUTED_VALUE"""),"CALIDAD")</f>
        <v>CALIDAD</v>
      </c>
      <c r="B103" s="58" t="str">
        <f>IFERROR(__xludf.DUMMYFUNCTION("""COMPUTED_VALUE"""),"SISTEMA DE CONTROL DE CALIDAD DE PRODUCTO TERMINADO DE INCERPAZ.")</f>
        <v>SISTEMA DE CONTROL DE CALIDAD DE PRODUCTO TERMINADO DE INCERPAZ.</v>
      </c>
      <c r="C103" s="58">
        <f>IFERROR(__xludf.DUMMYFUNCTION("""COMPUTED_VALUE"""),4.0)</f>
        <v>4</v>
      </c>
    </row>
    <row r="104">
      <c r="A104" s="58" t="str">
        <f>IFERROR(__xludf.DUMMYFUNCTION("""COMPUTED_VALUE"""),"CALIDAD")</f>
        <v>CALIDAD</v>
      </c>
      <c r="B104" s="58" t="str">
        <f>IFERROR(__xludf.DUMMYFUNCTION("""COMPUTED_VALUE"""),"SISTEMA DE GESTIÓN DE CALIDAD BASADO EN LA NORMA ISO 9001:2008 PARA UNILEVER           ANDINA BOLIVIA S.A. EN EL CENTRO NACIONAL DE DISTRIBUCIÓN")</f>
        <v>SISTEMA DE GESTIÓN DE CALIDAD BASADO EN LA NORMA ISO 9001:2008 PARA UNILEVER           ANDINA BOLIVIA S.A. EN EL CENTRO NACIONAL DE DISTRIBUCIÓN</v>
      </c>
      <c r="C104" s="58">
        <f>IFERROR(__xludf.DUMMYFUNCTION("""COMPUTED_VALUE"""),2.0)</f>
        <v>2</v>
      </c>
    </row>
    <row r="105">
      <c r="A105" s="58" t="str">
        <f>IFERROR(__xludf.DUMMYFUNCTION("""COMPUTED_VALUE"""),"CALIDAD")</f>
        <v>CALIDAD</v>
      </c>
      <c r="B105" s="58" t="str">
        <f>IFERROR(__xludf.DUMMYFUNCTION("""COMPUTED_VALUE"""),"SISTEMA DE GESTIÓN DE LA CALIDAD SEGÚN CERTIFICACIÓN DE PRODUCTO CON SELLO IBNORCA DE CONFORMIDAD CON NB 325001 PARA “LA CASCADA S.A")</f>
        <v>SISTEMA DE GESTIÓN DE LA CALIDAD SEGÚN CERTIFICACIÓN DE PRODUCTO CON SELLO IBNORCA DE CONFORMIDAD CON NB 325001 PARA “LA CASCADA S.A</v>
      </c>
      <c r="C105" s="58">
        <f>IFERROR(__xludf.DUMMYFUNCTION("""COMPUTED_VALUE"""),1.0)</f>
        <v>1</v>
      </c>
    </row>
    <row r="106">
      <c r="A106" s="58" t="str">
        <f>IFERROR(__xludf.DUMMYFUNCTION("""COMPUTED_VALUE"""),"CALIDAD")</f>
        <v>CALIDAD</v>
      </c>
      <c r="B106" s="58" t="str">
        <f>IFERROR(__xludf.DUMMYFUNCTION("""COMPUTED_VALUE"""),"“DISEÑO DE UN SISTEMA DE GESTIÓN Y ASEGURAMIENTO DE LA CALIDAD DE LOS RESULTADOS DE CALIBRACIÓN, MEDICIÓN Y ENSAYO PARA EL LABORATORIO DE CALIBRACIÓN DEL LAB S.A. EN CONFORMIDAD A LA NORMA ISO/IEC 17025”")</f>
        <v>“DISEÑO DE UN SISTEMA DE GESTIÓN Y ASEGURAMIENTO DE LA CALIDAD DE LOS RESULTADOS DE CALIBRACIÓN, MEDICIÓN Y ENSAYO PARA EL LABORATORIO DE CALIBRACIÓN DEL LAB S.A. EN CONFORMIDAD A LA NORMA ISO/IEC 17025”</v>
      </c>
      <c r="C106" s="58">
        <f>IFERROR(__xludf.DUMMYFUNCTION("""COMPUTED_VALUE"""),1.0)</f>
        <v>1</v>
      </c>
    </row>
    <row r="107">
      <c r="A107" s="58" t="str">
        <f>IFERROR(__xludf.DUMMYFUNCTION("""COMPUTED_VALUE"""),"CALIDAD")</f>
        <v>CALIDAD</v>
      </c>
      <c r="B107" s="58" t="str">
        <f>IFERROR(__xludf.DUMMYFUNCTION("""COMPUTED_VALUE"""),"“ESTUDIO DE UN SISTEMA DE GESTIÓN DE LA CALIDAD  PARA  LA IMPLEMENTACIÓN  DE LA  NORMA ISO 9001: 2000 EN LA EMPRESA “IRBA LTDA.”")</f>
        <v>“ESTUDIO DE UN SISTEMA DE GESTIÓN DE LA CALIDAD  PARA  LA IMPLEMENTACIÓN  DE LA  NORMA ISO 9001: 2000 EN LA EMPRESA “IRBA LTDA.”</v>
      </c>
      <c r="C107" s="58">
        <f>IFERROR(__xludf.DUMMYFUNCTION("""COMPUTED_VALUE"""),2.0)</f>
        <v>2</v>
      </c>
    </row>
    <row r="108">
      <c r="A108" s="58" t="str">
        <f>IFERROR(__xludf.DUMMYFUNCTION("""COMPUTED_VALUE"""),"DISEÑO")</f>
        <v>DISEÑO</v>
      </c>
      <c r="B108" s="58" t="str">
        <f>IFERROR(__xludf.DUMMYFUNCTION("""COMPUTED_VALUE"""),"DISEÑO CONCEPTUAL DE UNA BATERÍA DE LITIO PARA VEHÍCULOS SOLARES")</f>
        <v>DISEÑO CONCEPTUAL DE UNA BATERÍA DE LITIO PARA VEHÍCULOS SOLARES</v>
      </c>
      <c r="C108" s="58">
        <f>IFERROR(__xludf.DUMMYFUNCTION("""COMPUTED_VALUE"""),8.0)</f>
        <v>8</v>
      </c>
    </row>
    <row r="109">
      <c r="A109" s="58" t="str">
        <f>IFERROR(__xludf.DUMMYFUNCTION("""COMPUTED_VALUE"""),"DISEÑO")</f>
        <v>DISEÑO</v>
      </c>
      <c r="B109" s="58" t="str">
        <f>IFERROR(__xludf.DUMMYFUNCTION("""COMPUTED_VALUE"""),"DISEÑO DE MAQUINA DE TRANSPORTE DE AFRECHO PARA LA INDUSTRIA MOLINERA CONCORDIA.")</f>
        <v>DISEÑO DE MAQUINA DE TRANSPORTE DE AFRECHO PARA LA INDUSTRIA MOLINERA CONCORDIA.</v>
      </c>
      <c r="C109" s="58">
        <f>IFERROR(__xludf.DUMMYFUNCTION("""COMPUTED_VALUE"""),4.0)</f>
        <v>4</v>
      </c>
    </row>
    <row r="110">
      <c r="A110" s="58" t="str">
        <f>IFERROR(__xludf.DUMMYFUNCTION("""COMPUTED_VALUE"""),"DISEÑO")</f>
        <v>DISEÑO</v>
      </c>
      <c r="B110" s="58" t="str">
        <f>IFERROR(__xludf.DUMMYFUNCTION("""COMPUTED_VALUE"""),"DISEÑO DE UN MODELO DE BUENAS PRACTICAS DE MANUFACTURA Y PROCEDIMIENTOS DE OPERACIÓN ESTANDAR DE SANIDAD PARA LA EMPRESA “NORDLAND LTDA")</f>
        <v>DISEÑO DE UN MODELO DE BUENAS PRACTICAS DE MANUFACTURA Y PROCEDIMIENTOS DE OPERACIÓN ESTANDAR DE SANIDAD PARA LA EMPRESA “NORDLAND LTDA</v>
      </c>
      <c r="C110" s="58">
        <f>IFERROR(__xludf.DUMMYFUNCTION("""COMPUTED_VALUE"""),4.0)</f>
        <v>4</v>
      </c>
    </row>
    <row r="111">
      <c r="A111" s="58" t="str">
        <f>IFERROR(__xludf.DUMMYFUNCTION("""COMPUTED_VALUE"""),"DISEÑO")</f>
        <v>DISEÑO</v>
      </c>
      <c r="B111" s="58" t="str">
        <f>IFERROR(__xludf.DUMMYFUNCTION("""COMPUTED_VALUE"""),"DISEÑO DE UN PLAN DE ANÁLISIS DE PELIGROS Y PUNTOS CRÍTICOS DE CONTROL (HACCP) Y UN PROGRAMA DE SEGURIDAD Y SALUD EN EL TRABAJO (PSST) PARA INDUSTRIAS YACOBS S.R.L")</f>
        <v>DISEÑO DE UN PLAN DE ANÁLISIS DE PELIGROS Y PUNTOS CRÍTICOS DE CONTROL (HACCP) Y UN PROGRAMA DE SEGURIDAD Y SALUD EN EL TRABAJO (PSST) PARA INDUSTRIAS YACOBS S.R.L</v>
      </c>
      <c r="C111" s="58">
        <f>IFERROR(__xludf.DUMMYFUNCTION("""COMPUTED_VALUE"""),2.0)</f>
        <v>2</v>
      </c>
    </row>
    <row r="112">
      <c r="A112" s="58" t="str">
        <f>IFERROR(__xludf.DUMMYFUNCTION("""COMPUTED_VALUE"""),"DISEÑO")</f>
        <v>DISEÑO</v>
      </c>
      <c r="B112"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C112" s="58">
        <f>IFERROR(__xludf.DUMMYFUNCTION("""COMPUTED_VALUE"""),1.0)</f>
        <v>1</v>
      </c>
    </row>
    <row r="113">
      <c r="A113" s="58" t="str">
        <f>IFERROR(__xludf.DUMMYFUNCTION("""COMPUTED_VALUE"""),"DISEÑO")</f>
        <v>DISEÑO</v>
      </c>
      <c r="B113" s="58" t="str">
        <f>IFERROR(__xludf.DUMMYFUNCTION("""COMPUTED_VALUE"""),"DISEÑO DE UN PLAN ESTRATÉGICO PARA LA EMPRESA FRUTIJUGO 
EN EL DEPARTAMENTO DE COCHABAMBA PERIODO 2020-2024")</f>
        <v>DISEÑO DE UN PLAN ESTRATÉGICO PARA LA EMPRESA FRUTIJUGO 
EN EL DEPARTAMENTO DE COCHABAMBA PERIODO 2020-2024</v>
      </c>
      <c r="C113" s="58">
        <f>IFERROR(__xludf.DUMMYFUNCTION("""COMPUTED_VALUE"""),10.0)</f>
        <v>10</v>
      </c>
    </row>
    <row r="114">
      <c r="A114" s="58" t="str">
        <f>IFERROR(__xludf.DUMMYFUNCTION("""COMPUTED_VALUE"""),"DISEÑO")</f>
        <v>DISEÑO</v>
      </c>
      <c r="B114" s="58" t="str">
        <f>IFERROR(__xludf.DUMMYFUNCTION("""COMPUTED_VALUE"""),"DISEÑO DE UN PROGRAMA DE PRODUCCIÓN MÁS LIMPIA ORIENTADO AL SECTOR  LADRILLERO ARTESANAL DE LA ZONA DE CH’AMPA RANCHO")</f>
        <v>DISEÑO DE UN PROGRAMA DE PRODUCCIÓN MÁS LIMPIA ORIENTADO AL SECTOR  LADRILLERO ARTESANAL DE LA ZONA DE CH’AMPA RANCHO</v>
      </c>
      <c r="C114" s="58">
        <f>IFERROR(__xludf.DUMMYFUNCTION("""COMPUTED_VALUE"""),1.0)</f>
        <v>1</v>
      </c>
    </row>
    <row r="115">
      <c r="A115" s="58" t="str">
        <f>IFERROR(__xludf.DUMMYFUNCTION("""COMPUTED_VALUE"""),"DISEÑO")</f>
        <v>DISEÑO</v>
      </c>
      <c r="B115" s="58" t="str">
        <f>IFERROR(__xludf.DUMMYFUNCTION("""COMPUTED_VALUE"""),"DISEÑO DE UN SISTEMA DE ANÁLISIS DE PELIGROS Y DE PUNTOS CRÍTICOS DE CONTROL (HACCP), PARA LA EMPRESA “INDUSTRIA PANIFICADORA INPASA”")</f>
        <v>DISEÑO DE UN SISTEMA DE ANÁLISIS DE PELIGROS Y DE PUNTOS CRÍTICOS DE CONTROL (HACCP), PARA LA EMPRESA “INDUSTRIA PANIFICADORA INPASA”</v>
      </c>
      <c r="C115" s="58">
        <f>IFERROR(__xludf.DUMMYFUNCTION("""COMPUTED_VALUE"""),2.0)</f>
        <v>2</v>
      </c>
    </row>
    <row r="116">
      <c r="A116" s="58" t="str">
        <f>IFERROR(__xludf.DUMMYFUNCTION("""COMPUTED_VALUE"""),"DISEÑO")</f>
        <v>DISEÑO</v>
      </c>
      <c r="B116" s="58" t="str">
        <f>IFERROR(__xludf.DUMMYFUNCTION("""COMPUTED_VALUE"""),"DISEÑO DE UN SISTEMA DE GESTION DE CALIDAD BASADO EN LA NORMA NB-ISO 9001:2008 PARA LA INDUSTRIA PANIFICADORA SAN ANTONIO INPASA")</f>
        <v>DISEÑO DE UN SISTEMA DE GESTION DE CALIDAD BASADO EN LA NORMA NB-ISO 9001:2008 PARA LA INDUSTRIA PANIFICADORA SAN ANTONIO INPASA</v>
      </c>
      <c r="C116" s="58">
        <f>IFERROR(__xludf.DUMMYFUNCTION("""COMPUTED_VALUE"""),3.0)</f>
        <v>3</v>
      </c>
    </row>
    <row r="117">
      <c r="A117" s="58" t="str">
        <f>IFERROR(__xludf.DUMMYFUNCTION("""COMPUTED_VALUE"""),"DISEÑO")</f>
        <v>DISEÑO</v>
      </c>
      <c r="B117" s="58" t="str">
        <f>IFERROR(__xludf.DUMMYFUNCTION("""COMPUTED_VALUE"""),"DISEÑO DE UN SISTEMA DE GESTION DE CALIDAD ISO 9001:2015 CERTIFICABLE PARA LA EMPRESA PIERINI S.A.")</f>
        <v>DISEÑO DE UN SISTEMA DE GESTION DE CALIDAD ISO 9001:2015 CERTIFICABLE PARA LA EMPRESA PIERINI S.A.</v>
      </c>
      <c r="C117" s="58">
        <f>IFERROR(__xludf.DUMMYFUNCTION("""COMPUTED_VALUE"""),1.0)</f>
        <v>1</v>
      </c>
    </row>
    <row r="118">
      <c r="A118" s="58" t="str">
        <f>IFERROR(__xludf.DUMMYFUNCTION("""COMPUTED_VALUE"""),"DISEÑO")</f>
        <v>DISEÑO</v>
      </c>
      <c r="B118" s="58" t="str">
        <f>IFERROR(__xludf.DUMMYFUNCTION("""COMPUTED_VALUE"""),"DISEÑO DE UN SISTEMA DE GESTION DE LA CALIDAD SEGÚN NORMA NB/ISO 9001:2008 PARA LA LÍNEA FRACCIONAMIENTO DE LA EMPRESA FOODS COMPANY S.R.L.")</f>
        <v>DISEÑO DE UN SISTEMA DE GESTION DE LA CALIDAD SEGÚN NORMA NB/ISO 9001:2008 PARA LA LÍNEA FRACCIONAMIENTO DE LA EMPRESA FOODS COMPANY S.R.L.</v>
      </c>
      <c r="C118" s="58">
        <f>IFERROR(__xludf.DUMMYFUNCTION("""COMPUTED_VALUE"""),1.0)</f>
        <v>1</v>
      </c>
    </row>
    <row r="119">
      <c r="A119" s="58" t="str">
        <f>IFERROR(__xludf.DUMMYFUNCTION("""COMPUTED_VALUE"""),"DISEÑO")</f>
        <v>DISEÑO</v>
      </c>
      <c r="B119"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C119" s="58">
        <f>IFERROR(__xludf.DUMMYFUNCTION("""COMPUTED_VALUE"""),3.0)</f>
        <v>3</v>
      </c>
    </row>
    <row r="120">
      <c r="A120" s="58" t="str">
        <f>IFERROR(__xludf.DUMMYFUNCTION("""COMPUTED_VALUE"""),"DISEÑO")</f>
        <v>DISEÑO</v>
      </c>
      <c r="B120" s="58" t="str">
        <f>IFERROR(__xludf.DUMMYFUNCTION("""COMPUTED_VALUE"""),"DISEÑO DE UN SISTEMA DE GESTIÓN DE CALIDAD BASADO EN LA NORMA BOLIVIANA ISO 9001/2015 PARA LA EMPRESAN ISOFORTE S.R.L.")</f>
        <v>DISEÑO DE UN SISTEMA DE GESTIÓN DE CALIDAD BASADO EN LA NORMA BOLIVIANA ISO 9001/2015 PARA LA EMPRESAN ISOFORTE S.R.L.</v>
      </c>
      <c r="C120" s="58">
        <f>IFERROR(__xludf.DUMMYFUNCTION("""COMPUTED_VALUE"""),1.0)</f>
        <v>1</v>
      </c>
    </row>
    <row r="121">
      <c r="A121" s="58" t="str">
        <f>IFERROR(__xludf.DUMMYFUNCTION("""COMPUTED_VALUE"""),"DISEÑO")</f>
        <v>DISEÑO</v>
      </c>
      <c r="B121" s="58" t="str">
        <f>IFERROR(__xludf.DUMMYFUNCTION("""COMPUTED_VALUE"""),"DISEÑO DE UN SISTEMA DE GESTIÓN DE CALIDAD PARA LA EMPRESA DELMONTE S.R.L. EN BASE A LA NORMA ISO 9001:2015")</f>
        <v>DISEÑO DE UN SISTEMA DE GESTIÓN DE CALIDAD PARA LA EMPRESA DELMONTE S.R.L. EN BASE A LA NORMA ISO 9001:2015</v>
      </c>
      <c r="C121" s="58">
        <f>IFERROR(__xludf.DUMMYFUNCTION("""COMPUTED_VALUE"""),4.0)</f>
        <v>4</v>
      </c>
    </row>
    <row r="122">
      <c r="A122" s="58" t="str">
        <f>IFERROR(__xludf.DUMMYFUNCTION("""COMPUTED_VALUE"""),"DISEÑO")</f>
        <v>DISEÑO</v>
      </c>
      <c r="B122" s="58" t="str">
        <f>IFERROR(__xludf.DUMMYFUNCTION("""COMPUTED_VALUE"""),"DISEÑO DE UN SISTEMA DE GESTIÓN DE CALIDAD PARA LA EMPRESA DELMONTE S.R.L. EN BASE A LA NORMA ISO 9001:2016")</f>
        <v>DISEÑO DE UN SISTEMA DE GESTIÓN DE CALIDAD PARA LA EMPRESA DELMONTE S.R.L. EN BASE A LA NORMA ISO 9001:2016</v>
      </c>
      <c r="C122" s="58">
        <f>IFERROR(__xludf.DUMMYFUNCTION("""COMPUTED_VALUE"""),1.0)</f>
        <v>1</v>
      </c>
    </row>
    <row r="123">
      <c r="A123" s="58" t="str">
        <f>IFERROR(__xludf.DUMMYFUNCTION("""COMPUTED_VALUE"""),"DISEÑO")</f>
        <v>DISEÑO</v>
      </c>
      <c r="B123" s="58" t="str">
        <f>IFERROR(__xludf.DUMMYFUNCTION("""COMPUTED_VALUE"""),"DISEÑO DE UN SISTEMA DE GESTIÓN DE CALIDAD PARA LA EMPRESA DELMONTE S.R.L. EN BASE A LA NORMA ISO 9001:2017")</f>
        <v>DISEÑO DE UN SISTEMA DE GESTIÓN DE CALIDAD PARA LA EMPRESA DELMONTE S.R.L. EN BASE A LA NORMA ISO 9001:2017</v>
      </c>
      <c r="C123" s="58">
        <f>IFERROR(__xludf.DUMMYFUNCTION("""COMPUTED_VALUE"""),5.0)</f>
        <v>5</v>
      </c>
    </row>
    <row r="124">
      <c r="A124" s="58" t="str">
        <f>IFERROR(__xludf.DUMMYFUNCTION("""COMPUTED_VALUE"""),"DISEÑO")</f>
        <v>DISEÑO</v>
      </c>
      <c r="B124" s="58" t="str">
        <f>IFERROR(__xludf.DUMMYFUNCTION("""COMPUTED_VALUE"""),"DISEÑO DE UN SISTEMA DE GESTIÓN DE LA SEGURIDAD Y SALUD EN EL TRABAJO PARA LA EMPRESA DE CONFECCIONES ROMAN JEANS")</f>
        <v>DISEÑO DE UN SISTEMA DE GESTIÓN DE LA SEGURIDAD Y SALUD EN EL TRABAJO PARA LA EMPRESA DE CONFECCIONES ROMAN JEANS</v>
      </c>
      <c r="C124" s="58">
        <f>IFERROR(__xludf.DUMMYFUNCTION("""COMPUTED_VALUE"""),2.0)</f>
        <v>2</v>
      </c>
    </row>
    <row r="125">
      <c r="A125" s="58" t="str">
        <f>IFERROR(__xludf.DUMMYFUNCTION("""COMPUTED_VALUE"""),"DISEÑO")</f>
        <v>DISEÑO</v>
      </c>
      <c r="B125"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C125" s="58">
        <f>IFERROR(__xludf.DUMMYFUNCTION("""COMPUTED_VALUE"""),1.0)</f>
        <v>1</v>
      </c>
    </row>
    <row r="126">
      <c r="A126" s="58" t="str">
        <f>IFERROR(__xludf.DUMMYFUNCTION("""COMPUTED_VALUE"""),"DISEÑO")</f>
        <v>DISEÑO</v>
      </c>
      <c r="B126" s="58" t="str">
        <f>IFERROR(__xludf.DUMMYFUNCTION("""COMPUTED_VALUE"""),"DISEÑO DE UNA PLANTA DE PRODUCCIÓN DE ANHÍDRIDO SULFUROSO EN BOLIVIA")</f>
        <v>DISEÑO DE UNA PLANTA DE PRODUCCIÓN DE ANHÍDRIDO SULFUROSO EN BOLIVIA</v>
      </c>
      <c r="C126" s="58">
        <f>IFERROR(__xludf.DUMMYFUNCTION("""COMPUTED_VALUE"""),3.0)</f>
        <v>3</v>
      </c>
    </row>
    <row r="127">
      <c r="A127" s="58" t="str">
        <f>IFERROR(__xludf.DUMMYFUNCTION("""COMPUTED_VALUE"""),"DISEÑO")</f>
        <v>DISEÑO</v>
      </c>
      <c r="B127" s="58" t="str">
        <f>IFERROR(__xludf.DUMMYFUNCTION("""COMPUTED_VALUE"""),"DISEÑO DEL SISTEMA DE GESTIÓN DE CALIDAD BASADO EN LOS REQUISITOS DE LA NORMA NB/ISO 9001:2008 PARA LA EMPRESA “MAMUT”")</f>
        <v>DISEÑO DEL SISTEMA DE GESTIÓN DE CALIDAD BASADO EN LOS REQUISITOS DE LA NORMA NB/ISO 9001:2008 PARA LA EMPRESA “MAMUT”</v>
      </c>
      <c r="C127" s="58">
        <f>IFERROR(__xludf.DUMMYFUNCTION("""COMPUTED_VALUE"""),1.0)</f>
        <v>1</v>
      </c>
    </row>
    <row r="128">
      <c r="A128" s="58" t="str">
        <f>IFERROR(__xludf.DUMMYFUNCTION("""COMPUTED_VALUE"""),"DISEÑO")</f>
        <v>DISEÑO</v>
      </c>
      <c r="B128" s="58" t="str">
        <f>IFERROR(__xludf.DUMMYFUNCTION("""COMPUTED_VALUE"""),"DISEÑO E IMPLEMENTACIÓN DE LAS BUENAS PRÁCTICAS DE MANUFACTURA EN LA LINEA INDUSTRIAL DE CIA ALIMENTOS FOODS COMPANY S.R.L.")</f>
        <v>DISEÑO E IMPLEMENTACIÓN DE LAS BUENAS PRÁCTICAS DE MANUFACTURA EN LA LINEA INDUSTRIAL DE CIA ALIMENTOS FOODS COMPANY S.R.L.</v>
      </c>
      <c r="C128" s="58">
        <f>IFERROR(__xludf.DUMMYFUNCTION("""COMPUTED_VALUE"""),4.0)</f>
        <v>4</v>
      </c>
    </row>
    <row r="129">
      <c r="A129" s="58" t="str">
        <f>IFERROR(__xludf.DUMMYFUNCTION("""COMPUTED_VALUE"""),"DISEÑO")</f>
        <v>DISEÑO</v>
      </c>
      <c r="B129" s="58" t="str">
        <f>IFERROR(__xludf.DUMMYFUNCTION("""COMPUTED_VALUE"""),"DISEÑO E IMPLEMENTACIÓN DE UN MANUAL DE PROCEDIMIENTOS PARA LA EMPRESA SERING S.R.L")</f>
        <v>DISEÑO E IMPLEMENTACIÓN DE UN MANUAL DE PROCEDIMIENTOS PARA LA EMPRESA SERING S.R.L</v>
      </c>
      <c r="C129" s="58">
        <f>IFERROR(__xludf.DUMMYFUNCTION("""COMPUTED_VALUE"""),1.0)</f>
        <v>1</v>
      </c>
    </row>
    <row r="130">
      <c r="A130" s="58" t="str">
        <f>IFERROR(__xludf.DUMMYFUNCTION("""COMPUTED_VALUE"""),"DISEÑO")</f>
        <v>DISEÑO</v>
      </c>
      <c r="B130"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C130" s="58">
        <f>IFERROR(__xludf.DUMMYFUNCTION("""COMPUTED_VALUE"""),2.0)</f>
        <v>2</v>
      </c>
    </row>
    <row r="131">
      <c r="A131" s="58" t="str">
        <f>IFERROR(__xludf.DUMMYFUNCTION("""COMPUTED_VALUE"""),"DISEÑO")</f>
        <v>DISEÑO</v>
      </c>
      <c r="B131"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C131" s="58">
        <f>IFERROR(__xludf.DUMMYFUNCTION("""COMPUTED_VALUE"""),1.0)</f>
        <v>1</v>
      </c>
    </row>
    <row r="132">
      <c r="A132" s="58" t="str">
        <f>IFERROR(__xludf.DUMMYFUNCTION("""COMPUTED_VALUE"""),"DISEÑO")</f>
        <v>DISEÑO</v>
      </c>
      <c r="B132" s="58" t="str">
        <f>IFERROR(__xludf.DUMMYFUNCTION("""COMPUTED_VALUE"""),"DISEÑO, INGENIERÍA BÁSICA Y EVALUACIÓN DE COSTOS DEL TENDIDO DEL TRAMO ESPECIAL PAROTANI-MILLUKASA DEL POLIDUCTO OCOLP II")</f>
        <v>DISEÑO, INGENIERÍA BÁSICA Y EVALUACIÓN DE COSTOS DEL TENDIDO DEL TRAMO ESPECIAL PAROTANI-MILLUKASA DEL POLIDUCTO OCOLP II</v>
      </c>
      <c r="C132" s="58">
        <f>IFERROR(__xludf.DUMMYFUNCTION("""COMPUTED_VALUE"""),2.0)</f>
        <v>2</v>
      </c>
    </row>
    <row r="133">
      <c r="A133" s="58" t="str">
        <f>IFERROR(__xludf.DUMMYFUNCTION("""COMPUTED_VALUE"""),"DISEÑO")</f>
        <v>DISEÑO</v>
      </c>
      <c r="B133" s="58" t="str">
        <f>IFERROR(__xludf.DUMMYFUNCTION("""COMPUTED_VALUE"""),"IMPLEMENTACIÓN DE HERRAMIENTAS DE SUSTENTABILIDAD Y MEJORA CONTINUA DE RESULTADOS EN EL ÁREA DE ENVASADO DE PLANTA PEPSI CBN S.A BASADA EN EL PROGRAMA VOYAGER PLANT OPTIMIZATION.")</f>
        <v>IMPLEMENTACIÓN DE HERRAMIENTAS DE SUSTENTABILIDAD Y MEJORA CONTINUA DE RESULTADOS EN EL ÁREA DE ENVASADO DE PLANTA PEPSI CBN S.A BASADA EN EL PROGRAMA VOYAGER PLANT OPTIMIZATION.</v>
      </c>
      <c r="C133" s="58">
        <f>IFERROR(__xludf.DUMMYFUNCTION("""COMPUTED_VALUE"""),7.0)</f>
        <v>7</v>
      </c>
    </row>
    <row r="134">
      <c r="A134" s="58" t="str">
        <f>IFERROR(__xludf.DUMMYFUNCTION("""COMPUTED_VALUE"""),"DISEÑO")</f>
        <v>DISEÑO</v>
      </c>
      <c r="B134" s="58" t="str">
        <f>IFERROR(__xludf.DUMMYFUNCTION("""COMPUTED_VALUE"""),"IMPLEMENTACIÓN DE HERRAMIENTAS DEL “SISTEMA DE PRODUCCIÓN TOYOTA” EN EL DEPARTAMENTO DE PRODUCCIÓN DE CALZADOS DE CUERO DE LA EMPRESA MANACO S.A.")</f>
        <v>IMPLEMENTACIÓN DE HERRAMIENTAS DEL “SISTEMA DE PRODUCCIÓN TOYOTA” EN EL DEPARTAMENTO DE PRODUCCIÓN DE CALZADOS DE CUERO DE LA EMPRESA MANACO S.A.</v>
      </c>
      <c r="C134" s="58">
        <f>IFERROR(__xludf.DUMMYFUNCTION("""COMPUTED_VALUE"""),1.0)</f>
        <v>1</v>
      </c>
    </row>
    <row r="135">
      <c r="A135" s="58" t="str">
        <f>IFERROR(__xludf.DUMMYFUNCTION("""COMPUTED_VALUE"""),"DISEÑO")</f>
        <v>DISEÑO</v>
      </c>
      <c r="B135" s="58" t="str">
        <f>IFERROR(__xludf.DUMMYFUNCTION("""COMPUTED_VALUE"""),"IMPLEMENTACIÓN DE UN SISTEMA DE RECUPERACIÓN DE CALOR DE HUMOS DE CALDEROS DE LA PLANTA UNILEVER ANDINA BOLIVIA S.A. A TRAVÉS DE LAS HERRAMIENTAS DE PILAR EEM DE WCM (EARLY EQUIPMENT MANAGEMENT DE WORLD CLASS MANUFACTURING")</f>
        <v>IMPLEMENTACIÓN DE UN SISTEMA DE RECUPERACIÓN DE CALOR DE HUMOS DE CALDEROS DE LA PLANTA UNILEVER ANDINA BOLIVIA S.A. A TRAVÉS DE LAS HERRAMIENTAS DE PILAR EEM DE WCM (EARLY EQUIPMENT MANAGEMENT DE WORLD CLASS MANUFACTURING</v>
      </c>
      <c r="C135" s="58">
        <f>IFERROR(__xludf.DUMMYFUNCTION("""COMPUTED_VALUE"""),1.0)</f>
        <v>1</v>
      </c>
    </row>
    <row r="136">
      <c r="A136" s="58" t="str">
        <f>IFERROR(__xludf.DUMMYFUNCTION("""COMPUTED_VALUE"""),"DISEÑO")</f>
        <v>DISEÑO</v>
      </c>
      <c r="B136" s="58" t="str">
        <f>IFERROR(__xludf.DUMMYFUNCTION("""COMPUTED_VALUE"""),"IMPLEMENTACIÓN DE UNA LÍNEA DE ARTÍCULOS DE CUERO EN LA EMPRESA “ANGIMAR” PARA LA EXPORTACIÓN A LA UNIÓN EUROPEA.")</f>
        <v>IMPLEMENTACIÓN DE UNA LÍNEA DE ARTÍCULOS DE CUERO EN LA EMPRESA “ANGIMAR” PARA LA EXPORTACIÓN A LA UNIÓN EUROPEA.</v>
      </c>
      <c r="C136" s="58">
        <f>IFERROR(__xludf.DUMMYFUNCTION("""COMPUTED_VALUE"""),1.0)</f>
        <v>1</v>
      </c>
    </row>
    <row r="137">
      <c r="A137" s="58" t="str">
        <f>IFERROR(__xludf.DUMMYFUNCTION("""COMPUTED_VALUE"""),"DISEÑO")</f>
        <v>DISEÑO</v>
      </c>
      <c r="B137" s="58" t="str">
        <f>IFERROR(__xludf.DUMMYFUNCTION("""COMPUTED_VALUE"""),"IMPLEMENTACIÓN DE UNA PLANTA DESHIDRATADORA DE FRUTAS EN LA UNIBOL QUECHUA  “CASIMIRO HUANCA”, PARA FORTALECER EL PROCESO DE ENSEÑANZA-APRENDIZAJE")</f>
        <v>IMPLEMENTACIÓN DE UNA PLANTA DESHIDRATADORA DE FRUTAS EN LA UNIBOL QUECHUA  “CASIMIRO HUANCA”, PARA FORTALECER EL PROCESO DE ENSEÑANZA-APRENDIZAJE</v>
      </c>
      <c r="C137" s="58">
        <f>IFERROR(__xludf.DUMMYFUNCTION("""COMPUTED_VALUE"""),1.0)</f>
        <v>1</v>
      </c>
    </row>
    <row r="138">
      <c r="A138" s="58" t="str">
        <f>IFERROR(__xludf.DUMMYFUNCTION("""COMPUTED_VALUE"""),"DISEÑO")</f>
        <v>DISEÑO</v>
      </c>
      <c r="B138" s="58" t="str">
        <f>IFERROR(__xludf.DUMMYFUNCTION("""COMPUTED_VALUE"""),"INNOVACIÓN EN EL DISEÑO Y LA CONSTRUCCIÓN DE HORNOS
PARA OPTIMIZAR EL PROCESO DE TOSTACIÓN DE MANÍ EN
VAINA")</f>
        <v>INNOVACIÓN EN EL DISEÑO Y LA CONSTRUCCIÓN DE HORNOS
PARA OPTIMIZAR EL PROCESO DE TOSTACIÓN DE MANÍ EN
VAINA</v>
      </c>
      <c r="C138" s="58">
        <f>IFERROR(__xludf.DUMMYFUNCTION("""COMPUTED_VALUE"""),2.0)</f>
        <v>2</v>
      </c>
    </row>
    <row r="139">
      <c r="A139" s="58" t="str">
        <f>IFERROR(__xludf.DUMMYFUNCTION("""COMPUTED_VALUE"""),"DISEÑO")</f>
        <v>DISEÑO</v>
      </c>
      <c r="B139" s="58" t="str">
        <f>IFERROR(__xludf.DUMMYFUNCTION("""COMPUTED_VALUE"""),"INNOVACIÓN EN EL DISEÑO Y LA CONSTRUCCIÓN DE HORNOS PARA OPTIMIZAR EL PROCESO DE TOSTACIÓN DE MANÍ EN VAINA")</f>
        <v>INNOVACIÓN EN EL DISEÑO Y LA CONSTRUCCIÓN DE HORNOS PARA OPTIMIZAR EL PROCESO DE TOSTACIÓN DE MANÍ EN VAINA</v>
      </c>
      <c r="C139" s="58">
        <f>IFERROR(__xludf.DUMMYFUNCTION("""COMPUTED_VALUE"""),2.0)</f>
        <v>2</v>
      </c>
    </row>
    <row r="140">
      <c r="A140" s="58" t="str">
        <f>IFERROR(__xludf.DUMMYFUNCTION("""COMPUTED_VALUE"""),"EVALUACIÓN TÉCNICA")</f>
        <v>EVALUACIÓN TÉCNICA</v>
      </c>
      <c r="B140" s="58" t="str">
        <f>IFERROR(__xludf.DUMMYFUNCTION("""COMPUTED_VALUE"""),"ANÁLISIS TÉCNICO Y ECONÓMICA DE LA MICROCENTRAL HIDROELÉCTRICA QUEWIÑAPAMPA POR LA VENTA DE ELECTRICIDAD A ELFEC.")</f>
        <v>ANÁLISIS TÉCNICO Y ECONÓMICA DE LA MICROCENTRAL HIDROELÉCTRICA QUEWIÑAPAMPA POR LA VENTA DE ELECTRICIDAD A ELFEC.</v>
      </c>
      <c r="C140" s="58">
        <f>IFERROR(__xludf.DUMMYFUNCTION("""COMPUTED_VALUE"""),1.0)</f>
        <v>1</v>
      </c>
    </row>
    <row r="141">
      <c r="A141" s="58" t="str">
        <f>IFERROR(__xludf.DUMMYFUNCTION("""COMPUTED_VALUE"""),"EVALUACIÓN TÉCNICA")</f>
        <v>EVALUACIÓN TÉCNICA</v>
      </c>
      <c r="B141" s="58" t="str">
        <f>IFERROR(__xludf.DUMMYFUNCTION("""COMPUTED_VALUE"""),"ESTUDIO DE FACTIBILIDAD TÉCNICO-ECONÓMICO PARA LA FABRICACIÓN DE CEMENTO COLA")</f>
        <v>ESTUDIO DE FACTIBILIDAD TÉCNICO-ECONÓMICO PARA LA FABRICACIÓN DE CEMENTO COLA</v>
      </c>
      <c r="C141" s="58">
        <f>IFERROR(__xludf.DUMMYFUNCTION("""COMPUTED_VALUE"""),8.0)</f>
        <v>8</v>
      </c>
    </row>
    <row r="142">
      <c r="A142" s="58" t="str">
        <f>IFERROR(__xludf.DUMMYFUNCTION("""COMPUTED_VALUE"""),"EVALUACIÓN TÉCNICA")</f>
        <v>EVALUACIÓN TÉCNICA</v>
      </c>
      <c r="B142" s="58" t="str">
        <f>IFERROR(__xludf.DUMMYFUNCTION("""COMPUTED_VALUE"""),"ESTUDIO TECNICO PARA EL DESARROLLO DE UNA ALTERNATIVA DE MITIGACION DE IMPACTO AMBIENTAL DE LOS RIL EN LA SECCION DE LITOGRAFIA DE LA FABRICA BOLIVIANA DE ENVASES")</f>
        <v>ESTUDIO TECNICO PARA EL DESARROLLO DE UNA ALTERNATIVA DE MITIGACION DE IMPACTO AMBIENTAL DE LOS RIL EN LA SECCION DE LITOGRAFIA DE LA FABRICA BOLIVIANA DE ENVASES</v>
      </c>
      <c r="C142" s="58">
        <f>IFERROR(__xludf.DUMMYFUNCTION("""COMPUTED_VALUE"""),1.0)</f>
        <v>1</v>
      </c>
    </row>
    <row r="143">
      <c r="A143" s="58" t="str">
        <f>IFERROR(__xludf.DUMMYFUNCTION("""COMPUTED_VALUE"""),"EVALUACIÓN TÉCNICA")</f>
        <v>EVALUACIÓN TÉCNICA</v>
      </c>
      <c r="B143" s="58" t="str">
        <f>IFERROR(__xludf.DUMMYFUNCTION("""COMPUTED_VALUE"""),"ESTUDIO TÉCNICO - FINANCIERO PARA LA AMPLIACIÓN DE LA PRODUCCIÓN DE JEANS EN CONFECCIONES “CALVILL`S”")</f>
        <v>ESTUDIO TÉCNICO - FINANCIERO PARA LA AMPLIACIÓN DE LA PRODUCCIÓN DE JEANS EN CONFECCIONES “CALVILL`S”</v>
      </c>
      <c r="C143" s="58">
        <f>IFERROR(__xludf.DUMMYFUNCTION("""COMPUTED_VALUE"""),1.0)</f>
        <v>1</v>
      </c>
    </row>
    <row r="144">
      <c r="A144" s="58" t="str">
        <f>IFERROR(__xludf.DUMMYFUNCTION("""COMPUTED_VALUE"""),"EVALUACIÓN TÉCNICA")</f>
        <v>EVALUACIÓN TÉCNICA</v>
      </c>
      <c r="B144" s="58" t="str">
        <f>IFERROR(__xludf.DUMMYFUNCTION("""COMPUTED_VALUE"""),"ESTUDIO TÉCNICO DEL CEMENTO ESTRUCTURADO EN LA LÍNEA DURAFLEX DE INDUSTRIAS DURALIT S.A.")</f>
        <v>ESTUDIO TÉCNICO DEL CEMENTO ESTRUCTURADO EN LA LÍNEA DURAFLEX DE INDUSTRIAS DURALIT S.A.</v>
      </c>
      <c r="C144" s="58">
        <f>IFERROR(__xludf.DUMMYFUNCTION("""COMPUTED_VALUE"""),3.0)</f>
        <v>3</v>
      </c>
    </row>
    <row r="145">
      <c r="A145" s="58" t="str">
        <f>IFERROR(__xludf.DUMMYFUNCTION("""COMPUTED_VALUE"""),"EVALUACIÓN TÉCNICA")</f>
        <v>EVALUACIÓN TÉCNICA</v>
      </c>
      <c r="B145" s="58" t="str">
        <f>IFERROR(__xludf.DUMMYFUNCTION("""COMPUTED_VALUE"""),"ESTUDIO TÉCNICO ECONÓMICO DE LA PRODUCCIÓN DE LEVADURA EN POLVO A PARTIR DE LA LEVADURA RESIDUAL DE CERVEZA, PARA SU COMERCIALIZACIÓN COMO INSUMO EN LA PREPARACIÓN DE ALIMENTO BALANCEADO PARA CULTIVO")</f>
        <v>ESTUDIO TÉCNICO ECONÓMICO DE LA PRODUCCIÓN DE LEVADURA EN POLVO A PARTIR DE LA LEVADURA RESIDUAL DE CERVEZA, PARA SU COMERCIALIZACIÓN COMO INSUMO EN LA PREPARACIÓN DE ALIMENTO BALANCEADO PARA CULTIVO</v>
      </c>
      <c r="C145" s="58">
        <f>IFERROR(__xludf.DUMMYFUNCTION("""COMPUTED_VALUE"""),2.0)</f>
        <v>2</v>
      </c>
    </row>
    <row r="146">
      <c r="A146" s="58" t="str">
        <f>IFERROR(__xludf.DUMMYFUNCTION("""COMPUTED_VALUE"""),"EVALUACIÓN TÉCNICA")</f>
        <v>EVALUACIÓN TÉCNICA</v>
      </c>
      <c r="B146" s="58" t="str">
        <f>IFERROR(__xludf.DUMMYFUNCTION("""COMPUTED_VALUE"""),"ESTUDIO TÉCNICO ECONÓMICO PARA LA EXPLOTACIÓN INTENSIVA DE MIEL DE ABEJA EN LA LOCALIDAD DE BELLA VISTA")</f>
        <v>ESTUDIO TÉCNICO ECONÓMICO PARA LA EXPLOTACIÓN INTENSIVA DE MIEL DE ABEJA EN LA LOCALIDAD DE BELLA VISTA</v>
      </c>
      <c r="C146" s="58">
        <f>IFERROR(__xludf.DUMMYFUNCTION("""COMPUTED_VALUE"""),1.0)</f>
        <v>1</v>
      </c>
    </row>
    <row r="147">
      <c r="A147" s="58" t="str">
        <f>IFERROR(__xludf.DUMMYFUNCTION("""COMPUTED_VALUE"""),"EVALUACIÓN TÉCNICA")</f>
        <v>EVALUACIÓN TÉCNICA</v>
      </c>
      <c r="B147" s="58" t="str">
        <f>IFERROR(__xludf.DUMMYFUNCTION("""COMPUTED_VALUE"""),"ESTUDIO TÉCNICO ECONÓMICO PARA LA INSTALACIÓN DE UN LABORATORIO DE MANUFACTURA BASADA EN LA INDUSTRIA 4.0 PARA EL DEPARTAMENTO DE INDUSTRIAS DE LA FCYT – UMSS.")</f>
        <v>ESTUDIO TÉCNICO ECONÓMICO PARA LA INSTALACIÓN DE UN LABORATORIO DE MANUFACTURA BASADA EN LA INDUSTRIA 4.0 PARA EL DEPARTAMENTO DE INDUSTRIAS DE LA FCYT – UMSS.</v>
      </c>
      <c r="C147" s="58">
        <f>IFERROR(__xludf.DUMMYFUNCTION("""COMPUTED_VALUE"""),9.0)</f>
        <v>9</v>
      </c>
    </row>
    <row r="148">
      <c r="A148" s="58" t="str">
        <f>IFERROR(__xludf.DUMMYFUNCTION("""COMPUTED_VALUE"""),"EVALUACIÓN TÉCNICA")</f>
        <v>EVALUACIÓN TÉCNICA</v>
      </c>
      <c r="B148" s="58" t="str">
        <f>IFERROR(__xludf.DUMMYFUNCTION("""COMPUTED_VALUE"""),"ESTUDIO TÉCNICO FINANCIERO PARA EL LANZAMIENTO AL MERCADO DE JUGO ZANAHORIA NARANJA PARA LA EMPRESA PIL ANDINA S.A.")</f>
        <v>ESTUDIO TÉCNICO FINANCIERO PARA EL LANZAMIENTO AL MERCADO DE JUGO ZANAHORIA NARANJA PARA LA EMPRESA PIL ANDINA S.A.</v>
      </c>
      <c r="C148" s="58">
        <f>IFERROR(__xludf.DUMMYFUNCTION("""COMPUTED_VALUE"""),2.0)</f>
        <v>2</v>
      </c>
    </row>
    <row r="149">
      <c r="A149" s="58" t="str">
        <f>IFERROR(__xludf.DUMMYFUNCTION("""COMPUTED_VALUE"""),"EVALUACIÓN TÉCNICA")</f>
        <v>EVALUACIÓN TÉCNICA</v>
      </c>
      <c r="B149" s="58" t="str">
        <f>IFERROR(__xludf.DUMMYFUNCTION("""COMPUTED_VALUE"""),"ESTUDIO TÉCNICO FINANCIERO PARA IMPLEMENTACIÓN DE UNA PLANTA DEDICADA A LA PRODUCCIÓN DE BOLSAS DE PAPEL")</f>
        <v>ESTUDIO TÉCNICO FINANCIERO PARA IMPLEMENTACIÓN DE UNA PLANTA DEDICADA A LA PRODUCCIÓN DE BOLSAS DE PAPEL</v>
      </c>
      <c r="C149" s="58">
        <f>IFERROR(__xludf.DUMMYFUNCTION("""COMPUTED_VALUE"""),3.0)</f>
        <v>3</v>
      </c>
    </row>
    <row r="150">
      <c r="A150" s="58" t="str">
        <f>IFERROR(__xludf.DUMMYFUNCTION("""COMPUTED_VALUE"""),"EVALUACIÓN TÉCNICA")</f>
        <v>EVALUACIÓN TÉCNICA</v>
      </c>
      <c r="B150" s="58" t="str">
        <f>IFERROR(__xludf.DUMMYFUNCTION("""COMPUTED_VALUE"""),"ESTUDIO TÉCNICO FINANCIERO PARA LA
IMPLEMENTACIÓN DE UNA PLANTA PROCESADORA DE
MERMELADA Y NÉCTAR DE CAMU CAMU (MYRCIARIA
DUBIA) EN EL TRÓPICO DE COCHABAMBA")</f>
        <v>ESTUDIO TÉCNICO FINANCIERO PARA LA
IMPLEMENTACIÓN DE UNA PLANTA PROCESADORA DE
MERMELADA Y NÉCTAR DE CAMU CAMU (MYRCIARIA
DUBIA) EN EL TRÓPICO DE COCHABAMBA</v>
      </c>
      <c r="C150" s="58">
        <f>IFERROR(__xludf.DUMMYFUNCTION("""COMPUTED_VALUE"""),1.0)</f>
        <v>1</v>
      </c>
    </row>
    <row r="151">
      <c r="A151" s="58" t="str">
        <f>IFERROR(__xludf.DUMMYFUNCTION("""COMPUTED_VALUE"""),"EVALUACIÓN TÉCNICA")</f>
        <v>EVALUACIÓN TÉCNICA</v>
      </c>
      <c r="B151" s="58" t="str">
        <f>IFERROR(__xludf.DUMMYFUNCTION("""COMPUTED_VALUE"""),"ESTUDIO TÉCNICO FINANCIERO PARA LA AMPLIACIÓN DE LA PLANTA PROCESADORA DE CARBONATO DE CALCIO (CACO3) DE DURALIT S.A.")</f>
        <v>ESTUDIO TÉCNICO FINANCIERO PARA LA AMPLIACIÓN DE LA PLANTA PROCESADORA DE CARBONATO DE CALCIO (CACO3) DE DURALIT S.A.</v>
      </c>
      <c r="C151" s="58">
        <f>IFERROR(__xludf.DUMMYFUNCTION("""COMPUTED_VALUE"""),2.0)</f>
        <v>2</v>
      </c>
    </row>
    <row r="152">
      <c r="A152" s="58" t="str">
        <f>IFERROR(__xludf.DUMMYFUNCTION("""COMPUTED_VALUE"""),"EVALUACIÓN TÉCNICA")</f>
        <v>EVALUACIÓN TÉCNICA</v>
      </c>
      <c r="B152" s="58" t="str">
        <f>IFERROR(__xludf.DUMMYFUNCTION("""COMPUTED_VALUE"""),"ESTUDIO TÉCNICO FINANCIERO PARA LA IMPLEMENTACIÓN DE UNA PLANTA PROCESADORA DE NÉCTAR Y MERMELADA DE CAMU CAMU (MYRCIARIA DUBIA) EN EL TRÓPICO DE COCHABAMBA")</f>
        <v>ESTUDIO TÉCNICO FINANCIERO PARA LA IMPLEMENTACIÓN DE UNA PLANTA PROCESADORA DE NÉCTAR Y MERMELADA DE CAMU CAMU (MYRCIARIA DUBIA) EN EL TRÓPICO DE COCHABAMBA</v>
      </c>
      <c r="C152" s="58">
        <f>IFERROR(__xludf.DUMMYFUNCTION("""COMPUTED_VALUE"""),2.0)</f>
        <v>2</v>
      </c>
    </row>
    <row r="153">
      <c r="A153" s="58" t="str">
        <f>IFERROR(__xludf.DUMMYFUNCTION("""COMPUTED_VALUE"""),"EVALUACIÓN TÉCNICA")</f>
        <v>EVALUACIÓN TÉCNICA</v>
      </c>
      <c r="B153" s="58" t="str">
        <f>IFERROR(__xludf.DUMMYFUNCTION("""COMPUTED_VALUE"""),"ESTUDIO TÉCNICO, ECONÓMICO Y FINANCIERO PARA LA AMPLIACIÓN DE LA EMPRESA SOLIPLAST S.R.L., PROCESADORA DE ENVASES Y TAPAS PLÁSTICAS")</f>
        <v>ESTUDIO TÉCNICO, ECONÓMICO Y FINANCIERO PARA LA AMPLIACIÓN DE LA EMPRESA SOLIPLAST S.R.L., PROCESADORA DE ENVASES Y TAPAS PLÁSTICAS</v>
      </c>
      <c r="C153" s="58">
        <f>IFERROR(__xludf.DUMMYFUNCTION("""COMPUTED_VALUE"""),1.0)</f>
        <v>1</v>
      </c>
    </row>
    <row r="154">
      <c r="A154" s="58" t="str">
        <f>IFERROR(__xludf.DUMMYFUNCTION("""COMPUTED_VALUE"""),"EVALUACIÓN TÉCNICA")</f>
        <v>EVALUACIÓN TÉCNICA</v>
      </c>
      <c r="B154"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C154" s="58">
        <f>IFERROR(__xludf.DUMMYFUNCTION("""COMPUTED_VALUE"""),1.0)</f>
        <v>1</v>
      </c>
    </row>
    <row r="155">
      <c r="A155" s="58" t="str">
        <f>IFERROR(__xludf.DUMMYFUNCTION("""COMPUTED_VALUE"""),"EVALUACIÓN TÉCNICA")</f>
        <v>EVALUACIÓN TÉCNICA</v>
      </c>
      <c r="B155" s="58" t="str">
        <f>IFERROR(__xludf.DUMMYFUNCTION("""COMPUTED_VALUE"""),"PROPUESTA TÉCNICA Y FINANCIERA PARA MEJORAR LA PRODUCTIVIDAD DE EUCALIPTOL EN EL CENTRO DE TECNOLOGÍA AGROINDUSTRIAL DE LA FCYT - UMSS")</f>
        <v>PROPUESTA TÉCNICA Y FINANCIERA PARA MEJORAR LA PRODUCTIVIDAD DE EUCALIPTOL EN EL CENTRO DE TECNOLOGÍA AGROINDUSTRIAL DE LA FCYT - UMSS</v>
      </c>
      <c r="C155" s="58">
        <f>IFERROR(__xludf.DUMMYFUNCTION("""COMPUTED_VALUE"""),1.0)</f>
        <v>1</v>
      </c>
    </row>
    <row r="156">
      <c r="A156" s="58" t="str">
        <f>IFERROR(__xludf.DUMMYFUNCTION("""COMPUTED_VALUE"""),"EVALUCION TECNICA")</f>
        <v>EVALUCION TECNICA</v>
      </c>
      <c r="B156" s="58" t="str">
        <f>IFERROR(__xludf.DUMMYFUNCTION("""COMPUTED_VALUE"""),"ESTUDIO TÉCNICO FINANCIERO PARA LA AMPLIACIÓN DE LA PLANTA PROCESADORA DE CARBONATO DE CALCIO (CACO3) DE LA EMPRESA DURALIT S.A.")</f>
        <v>ESTUDIO TÉCNICO FINANCIERO PARA LA AMPLIACIÓN DE LA PLANTA PROCESADORA DE CARBONATO DE CALCIO (CACO3) DE LA EMPRESA DURALIT S.A.</v>
      </c>
      <c r="C156" s="58">
        <f>IFERROR(__xludf.DUMMYFUNCTION("""COMPUTED_VALUE"""),1.0)</f>
        <v>1</v>
      </c>
    </row>
    <row r="157">
      <c r="A157" s="58" t="str">
        <f>IFERROR(__xludf.DUMMYFUNCTION("""COMPUTED_VALUE"""),"FACTIBILIDAD")</f>
        <v>FACTIBILIDAD</v>
      </c>
      <c r="B157" s="58" t="str">
        <f>IFERROR(__xludf.DUMMYFUNCTION("""COMPUTED_VALUE"""),"201603794@est.umss.edu")</f>
        <v>201603794@est.umss.edu</v>
      </c>
      <c r="C157" s="58">
        <f>IFERROR(__xludf.DUMMYFUNCTION("""COMPUTED_VALUE"""),1.0)</f>
        <v>1</v>
      </c>
    </row>
    <row r="158">
      <c r="A158" s="58" t="str">
        <f>IFERROR(__xludf.DUMMYFUNCTION("""COMPUTED_VALUE"""),"FACTIBILIDAD")</f>
        <v>FACTIBILIDAD</v>
      </c>
      <c r="B158" s="58" t="str">
        <f>IFERROR(__xludf.DUMMYFUNCTION("""COMPUTED_VALUE"""),"ANÁLISIS DE LA INVERSIÓN EN EL ESTUDIO DE FACTIBILIDAD PARA LA FABRICACIÓN DE MERMELADA Y DULCE DE DURAZNO")</f>
        <v>ANÁLISIS DE LA INVERSIÓN EN EL ESTUDIO DE FACTIBILIDAD PARA LA FABRICACIÓN DE MERMELADA Y DULCE DE DURAZNO</v>
      </c>
      <c r="C158" s="58">
        <f>IFERROR(__xludf.DUMMYFUNCTION("""COMPUTED_VALUE"""),3.0)</f>
        <v>3</v>
      </c>
    </row>
    <row r="159">
      <c r="A159" s="58" t="str">
        <f>IFERROR(__xludf.DUMMYFUNCTION("""COMPUTED_VALUE"""),"FACTIBILIDAD")</f>
        <v>FACTIBILIDAD</v>
      </c>
      <c r="B159" s="58" t="str">
        <f>IFERROR(__xludf.DUMMYFUNCTION("""COMPUTED_VALUE"""),"ANÁLISIS PROSPECTIVO Y DEFINICIÓN DE ESTRATEGIAS PARA EL DESARROLLO DE LA INDUSTRIA MANUFACTURERA DE COCHABAMBA 2021-2025")</f>
        <v>ANÁLISIS PROSPECTIVO Y DEFINICIÓN DE ESTRATEGIAS PARA EL DESARROLLO DE LA INDUSTRIA MANUFACTURERA DE COCHABAMBA 2021-2025</v>
      </c>
      <c r="C159" s="58">
        <f>IFERROR(__xludf.DUMMYFUNCTION("""COMPUTED_VALUE"""),6.0)</f>
        <v>6</v>
      </c>
    </row>
    <row r="160">
      <c r="A160" s="58" t="str">
        <f>IFERROR(__xludf.DUMMYFUNCTION("""COMPUTED_VALUE"""),"FACTIBILIDAD")</f>
        <v>FACTIBILIDAD</v>
      </c>
      <c r="B160" s="58" t="str">
        <f>IFERROR(__xludf.DUMMYFUNCTION("""COMPUTED_VALUE"""),"DESARROLLO DE UN PLAN COMERCIAL PARA INTRODUCIR AL MERCADO CARTERAS FEMENINAS ELABORADAS EN CUERO DE PESCADO POR ARTESANAS DEL TRÓPICO, EN LA CIUDAD DE COCHABAMBA")</f>
        <v>DESARROLLO DE UN PLAN COMERCIAL PARA INTRODUCIR AL MERCADO CARTERAS FEMENINAS ELABORADAS EN CUERO DE PESCADO POR ARTESANAS DEL TRÓPICO, EN LA CIUDAD DE COCHABAMBA</v>
      </c>
      <c r="C160" s="58">
        <f>IFERROR(__xludf.DUMMYFUNCTION("""COMPUTED_VALUE"""),1.0)</f>
        <v>1</v>
      </c>
    </row>
    <row r="161">
      <c r="A161" s="58" t="str">
        <f>IFERROR(__xludf.DUMMYFUNCTION("""COMPUTED_VALUE"""),"FACTIBILIDAD")</f>
        <v>FACTIBILIDAD</v>
      </c>
      <c r="B161" s="58" t="str">
        <f>IFERROR(__xludf.DUMMYFUNCTION("""COMPUTED_VALUE"""),"DESARROLLO DE UN PLAN DE EMERGENCIAS PARA ELFEC S.A. E INTEGRA S.A.")</f>
        <v>DESARROLLO DE UN PLAN DE EMERGENCIAS PARA ELFEC S.A. E INTEGRA S.A.</v>
      </c>
      <c r="C161" s="58">
        <f>IFERROR(__xludf.DUMMYFUNCTION("""COMPUTED_VALUE"""),1.0)</f>
        <v>1</v>
      </c>
    </row>
    <row r="162">
      <c r="A162" s="58" t="str">
        <f>IFERROR(__xludf.DUMMYFUNCTION("""COMPUTED_VALUE"""),"FACTIBILIDAD")</f>
        <v>FACTIBILIDAD</v>
      </c>
      <c r="B162" s="58" t="str">
        <f>IFERROR(__xludf.DUMMYFUNCTION("""COMPUTED_VALUE"""),"DIAGNOSTICO Y ESTUDIO DE FACTIBILIDAD PARA LA AMPLIACION DE LA PLANTA AGROINDUSTRIAL “HIDROVIDA” EN EL MUNICIPIO DE COCHABAMBA.")</f>
        <v>DIAGNOSTICO Y ESTUDIO DE FACTIBILIDAD PARA LA AMPLIACION DE LA PLANTA AGROINDUSTRIAL “HIDROVIDA” EN EL MUNICIPIO DE COCHABAMBA.</v>
      </c>
      <c r="C162" s="58">
        <f>IFERROR(__xludf.DUMMYFUNCTION("""COMPUTED_VALUE"""),3.0)</f>
        <v>3</v>
      </c>
    </row>
    <row r="163">
      <c r="A163" s="58" t="str">
        <f>IFERROR(__xludf.DUMMYFUNCTION("""COMPUTED_VALUE"""),"FACTIBILIDAD")</f>
        <v>FACTIBILIDAD</v>
      </c>
      <c r="B163"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C163" s="58">
        <f>IFERROR(__xludf.DUMMYFUNCTION("""COMPUTED_VALUE"""),2.0)</f>
        <v>2</v>
      </c>
    </row>
    <row r="164">
      <c r="A164" s="58" t="str">
        <f>IFERROR(__xludf.DUMMYFUNCTION("""COMPUTED_VALUE"""),"FACTIBILIDAD")</f>
        <v>FACTIBILIDAD</v>
      </c>
      <c r="B164" s="58" t="str">
        <f>IFERROR(__xludf.DUMMYFUNCTION("""COMPUTED_VALUE"""),"ELABORACIÓN DE UN SISTEMA DE GESTIÓN DE PROYECTOS EN BASE A LA NORMA ISO 21500 PARA COBOCE HORMIGÓN COCHABAMBA")</f>
        <v>ELABORACIÓN DE UN SISTEMA DE GESTIÓN DE PROYECTOS EN BASE A LA NORMA ISO 21500 PARA COBOCE HORMIGÓN COCHABAMBA</v>
      </c>
      <c r="C164" s="58">
        <f>IFERROR(__xludf.DUMMYFUNCTION("""COMPUTED_VALUE"""),1.0)</f>
        <v>1</v>
      </c>
    </row>
    <row r="165">
      <c r="A165" s="58" t="str">
        <f>IFERROR(__xludf.DUMMYFUNCTION("""COMPUTED_VALUE"""),"FACTIBILIDAD")</f>
        <v>FACTIBILIDAD</v>
      </c>
      <c r="B165" s="58" t="str">
        <f>IFERROR(__xludf.DUMMYFUNCTION("""COMPUTED_VALUE"""),"ESTABLECIMIENTO DE UN SISTEMA DE GESTIÓN DE LA CALIDAD EN BASE A LA NORMA ISO 9001:2000, EN LA LÍNEA DE BOLSAS Y SACOS  DE PAPEL PARA LA EMPRESA LA PAPELERA S.A. CBBA")</f>
        <v>ESTABLECIMIENTO DE UN SISTEMA DE GESTIÓN DE LA CALIDAD EN BASE A LA NORMA ISO 9001:2000, EN LA LÍNEA DE BOLSAS Y SACOS  DE PAPEL PARA LA EMPRESA LA PAPELERA S.A. CBBA</v>
      </c>
      <c r="C165" s="58">
        <f>IFERROR(__xludf.DUMMYFUNCTION("""COMPUTED_VALUE"""),1.0)</f>
        <v>1</v>
      </c>
    </row>
    <row r="166">
      <c r="A166" s="58" t="str">
        <f>IFERROR(__xludf.DUMMYFUNCTION("""COMPUTED_VALUE"""),"FACTIBILIDAD")</f>
        <v>FACTIBILIDAD</v>
      </c>
      <c r="B166" s="58" t="str">
        <f>IFERROR(__xludf.DUMMYFUNCTION("""COMPUTED_VALUE"""),"ESTUDIO DE *FACTIBILIDAD PARA LA IMPLEMENTACIÓN DE UNA PLANTA PRODUCTORA DE ABONO ORGÁNICO A BASE DE RESIDUOS SÓLIDOS ORGÁNICOS EN EL MUNICIPIO DE SANTIVAÑEZ")</f>
        <v>ESTUDIO DE *FACTIBILIDAD PARA LA IMPLEMENTACIÓN DE UNA PLANTA PRODUCTORA DE ABONO ORGÁNICO A BASE DE RESIDUOS SÓLIDOS ORGÁNICOS EN EL MUNICIPIO DE SANTIVAÑEZ</v>
      </c>
      <c r="C166" s="58">
        <f>IFERROR(__xludf.DUMMYFUNCTION("""COMPUTED_VALUE"""),6.0)</f>
        <v>6</v>
      </c>
    </row>
    <row r="167">
      <c r="A167" s="58" t="str">
        <f>IFERROR(__xludf.DUMMYFUNCTION("""COMPUTED_VALUE"""),"FACTIBILIDAD")</f>
        <v>FACTIBILIDAD</v>
      </c>
      <c r="B167" s="58" t="str">
        <f>IFERROR(__xludf.DUMMYFUNCTION("""COMPUTED_VALUE"""),"ESTUDIO DE EVALUACIÓN INTEGRAL PARA LA INSTALACIÓN DE UN MATADERO EN EL MUNICIPIO DE VINTO")</f>
        <v>ESTUDIO DE EVALUACIÓN INTEGRAL PARA LA INSTALACIÓN DE UN MATADERO EN EL MUNICIPIO DE VINTO</v>
      </c>
      <c r="C167" s="58">
        <f>IFERROR(__xludf.DUMMYFUNCTION("""COMPUTED_VALUE"""),1.0)</f>
        <v>1</v>
      </c>
    </row>
    <row r="168">
      <c r="A168" s="58" t="str">
        <f>IFERROR(__xludf.DUMMYFUNCTION("""COMPUTED_VALUE"""),"FACTIBILIDAD")</f>
        <v>FACTIBILIDAD</v>
      </c>
      <c r="B168" s="58" t="str">
        <f>IFERROR(__xludf.DUMMYFUNCTION("""COMPUTED_VALUE"""),"ESTUDIO DE FACTIBILIDA PARA LA INSTALACION DE UNA PLANTA ELABORADORA DE CARAMBOLA EN ALMIBAR PARA EL MERCADO DE COCHABAMBA")</f>
        <v>ESTUDIO DE FACTIBILIDA PARA LA INSTALACION DE UNA PLANTA ELABORADORA DE CARAMBOLA EN ALMIBAR PARA EL MERCADO DE COCHABAMBA</v>
      </c>
      <c r="C168" s="58">
        <f>IFERROR(__xludf.DUMMYFUNCTION("""COMPUTED_VALUE"""),2.0)</f>
        <v>2</v>
      </c>
    </row>
    <row r="169">
      <c r="A169" s="58" t="str">
        <f>IFERROR(__xludf.DUMMYFUNCTION("""COMPUTED_VALUE"""),"FACTIBILIDAD")</f>
        <v>FACTIBILIDAD</v>
      </c>
      <c r="B169" s="58" t="str">
        <f>IFERROR(__xludf.DUMMYFUNCTION("""COMPUTED_VALUE"""),"ESTUDIO DE FACTIBILIDAD  PARA LA CREACIÓN DE UNA FÁBRICA DE VIGUETAS PRETENSADAS PARA LA CIUDAD DEL CERCADO DE COCHABAMBA")</f>
        <v>ESTUDIO DE FACTIBILIDAD  PARA LA CREACIÓN DE UNA FÁBRICA DE VIGUETAS PRETENSADAS PARA LA CIUDAD DEL CERCADO DE COCHABAMBA</v>
      </c>
      <c r="C169" s="58">
        <f>IFERROR(__xludf.DUMMYFUNCTION("""COMPUTED_VALUE"""),1.0)</f>
        <v>1</v>
      </c>
    </row>
    <row r="170">
      <c r="A170" s="58" t="str">
        <f>IFERROR(__xludf.DUMMYFUNCTION("""COMPUTED_VALUE"""),"FACTIBILIDAD")</f>
        <v>FACTIBILIDAD</v>
      </c>
      <c r="B170" s="58" t="str">
        <f>IFERROR(__xludf.DUMMYFUNCTION("""COMPUTED_VALUE"""),"ESTUDIO DE FACTIBILIDAD COMERCIAL Y FINANCIERA PARA LA EXPANCIÓN DE SERVICIOS DE TELEFONÍA Y BANDA ANCHA DE LA CORPORACIÓN COMTECO LTDA. A LAS POBLACIONES DE IVIRGARZAMA, ENTRE RÍOS Y BULO BULO BAJO LA TECNOLOGÍA PLC")</f>
        <v>ESTUDIO DE FACTIBILIDAD COMERCIAL Y FINANCIERA PARA LA EXPANCIÓN DE SERVICIOS DE TELEFONÍA Y BANDA ANCHA DE LA CORPORACIÓN COMTECO LTDA. A LAS POBLACIONES DE IVIRGARZAMA, ENTRE RÍOS Y BULO BULO BAJO LA TECNOLOGÍA PLC</v>
      </c>
      <c r="C170" s="58">
        <f>IFERROR(__xludf.DUMMYFUNCTION("""COMPUTED_VALUE"""),1.0)</f>
        <v>1</v>
      </c>
    </row>
    <row r="171">
      <c r="A171" s="58" t="str">
        <f>IFERROR(__xludf.DUMMYFUNCTION("""COMPUTED_VALUE"""),"FACTIBILIDAD")</f>
        <v>FACTIBILIDAD</v>
      </c>
      <c r="B171" s="58" t="str">
        <f>IFERROR(__xludf.DUMMYFUNCTION("""COMPUTED_VALUE"""),"ESTUDIO DE FACTIBILIDAD DE UNA BEBIDA ENERGIZANTE A BASE DE EXTRACTO DE COCA")</f>
        <v>ESTUDIO DE FACTIBILIDAD DE UNA BEBIDA ENERGIZANTE A BASE DE EXTRACTO DE COCA</v>
      </c>
      <c r="C171" s="58">
        <f>IFERROR(__xludf.DUMMYFUNCTION("""COMPUTED_VALUE"""),2.0)</f>
        <v>2</v>
      </c>
    </row>
    <row r="172">
      <c r="A172" s="58" t="str">
        <f>IFERROR(__xludf.DUMMYFUNCTION("""COMPUTED_VALUE"""),"FACTIBILIDAD")</f>
        <v>FACTIBILIDAD</v>
      </c>
      <c r="B172" s="58" t="str">
        <f>IFERROR(__xludf.DUMMYFUNCTION("""COMPUTED_VALUE"""),"ESTUDIO DE FACTIBILIDAD PARA COMERCIALIZACIÓN DE BITTER PALMENIA EN EL DEPARTAMENTO DE COCHABAMBA")</f>
        <v>ESTUDIO DE FACTIBILIDAD PARA COMERCIALIZACIÓN DE BITTER PALMENIA EN EL DEPARTAMENTO DE COCHABAMBA</v>
      </c>
      <c r="C172" s="58">
        <f>IFERROR(__xludf.DUMMYFUNCTION("""COMPUTED_VALUE"""),1.0)</f>
        <v>1</v>
      </c>
    </row>
    <row r="173">
      <c r="A173" s="58" t="str">
        <f>IFERROR(__xludf.DUMMYFUNCTION("""COMPUTED_VALUE"""),"FACTIBILIDAD")</f>
        <v>FACTIBILIDAD</v>
      </c>
      <c r="B173" s="58" t="str">
        <f>IFERROR(__xludf.DUMMYFUNCTION("""COMPUTED_VALUE"""),"ESTUDIO DE FACTIBILIDAD PARA EL DISEÑO DE UNA PLANTA DE PASTELERÍA INDUSTRIAL SECA Y FRESCA PARA LA COORPORACIÓN INDUSTRIAL DILLMANN S.A")</f>
        <v>ESTUDIO DE FACTIBILIDAD PARA EL DISEÑO DE UNA PLANTA DE PASTELERÍA INDUSTRIAL SECA Y FRESCA PARA LA COORPORACIÓN INDUSTRIAL DILLMANN S.A</v>
      </c>
      <c r="C173" s="58">
        <f>IFERROR(__xludf.DUMMYFUNCTION("""COMPUTED_VALUE"""),1.0)</f>
        <v>1</v>
      </c>
    </row>
    <row r="174">
      <c r="A174" s="58" t="str">
        <f>IFERROR(__xludf.DUMMYFUNCTION("""COMPUTED_VALUE"""),"FACTIBILIDAD")</f>
        <v>FACTIBILIDAD</v>
      </c>
      <c r="B174" s="58" t="str">
        <f>IFERROR(__xludf.DUMMYFUNCTION("""COMPUTED_VALUE"""),"ESTUDIO DE FACTIBILIDAD PARA EL DISEÑO DE UNA PLANTA PROCESADORA DE ALMIDÓN A PARTIR DE RAÍCES ANDINAS-SUBTROPICALES")</f>
        <v>ESTUDIO DE FACTIBILIDAD PARA EL DISEÑO DE UNA PLANTA PROCESADORA DE ALMIDÓN A PARTIR DE RAÍCES ANDINAS-SUBTROPICALES</v>
      </c>
      <c r="C174" s="58">
        <f>IFERROR(__xludf.DUMMYFUNCTION("""COMPUTED_VALUE"""),1.0)</f>
        <v>1</v>
      </c>
    </row>
    <row r="175">
      <c r="A175" s="58" t="str">
        <f>IFERROR(__xludf.DUMMYFUNCTION("""COMPUTED_VALUE"""),"FACTIBILIDAD")</f>
        <v>FACTIBILIDAD</v>
      </c>
      <c r="B175" s="58" t="str">
        <f>IFERROR(__xludf.DUMMYFUNCTION("""COMPUTED_VALUE"""),"ESTUDIO DE FACTIBILIDAD PARA EL ESTABLECIMIENTO DE UNA EMPRESA PRODUCTORA Y COMERCIALIZADORA DE BARRAS DE PROTEÍNA CON FRUTOS SECOS PARA EL MERCADO DE LA CIUDAD DE COCHABAMBA")</f>
        <v>ESTUDIO DE FACTIBILIDAD PARA EL ESTABLECIMIENTO DE UNA EMPRESA PRODUCTORA Y COMERCIALIZADORA DE BARRAS DE PROTEÍNA CON FRUTOS SECOS PARA EL MERCADO DE LA CIUDAD DE COCHABAMBA</v>
      </c>
      <c r="C175" s="58">
        <f>IFERROR(__xludf.DUMMYFUNCTION("""COMPUTED_VALUE"""),4.0)</f>
        <v>4</v>
      </c>
    </row>
    <row r="176">
      <c r="A176" s="58" t="str">
        <f>IFERROR(__xludf.DUMMYFUNCTION("""COMPUTED_VALUE"""),"FACTIBILIDAD")</f>
        <v>FACTIBILIDAD</v>
      </c>
      <c r="B176" s="58" t="str">
        <f>IFERROR(__xludf.DUMMYFUNCTION("""COMPUTED_VALUE"""),"ESTUDIO DE FACTIBILIDAD PARA EL ESTABLECIMIENTO DE UNA FÁBRICA DE GALLETAS NUTRITIVAS DE CAMOTE EN EL DEPARTAMENTO DE COCHABAMBA")</f>
        <v>ESTUDIO DE FACTIBILIDAD PARA EL ESTABLECIMIENTO DE UNA FÁBRICA DE GALLETAS NUTRITIVAS DE CAMOTE EN EL DEPARTAMENTO DE COCHABAMBA</v>
      </c>
      <c r="C176" s="58">
        <f>IFERROR(__xludf.DUMMYFUNCTION("""COMPUTED_VALUE"""),3.0)</f>
        <v>3</v>
      </c>
    </row>
    <row r="177">
      <c r="A177" s="58" t="str">
        <f>IFERROR(__xludf.DUMMYFUNCTION("""COMPUTED_VALUE"""),"FACTIBILIDAD")</f>
        <v>FACTIBILIDAD</v>
      </c>
      <c r="B177" s="58" t="str">
        <f>IFERROR(__xludf.DUMMYFUNCTION("""COMPUTED_VALUE"""),"ESTUDIO DE FACTIBILIDAD PARA EL TRASLADO Y AMPLIACIÓN DE LA CAPACIDAD DE PRODUCCIÓN EN LA EMPRESA “MADERVAF” S.R.L.")</f>
        <v>ESTUDIO DE FACTIBILIDAD PARA EL TRASLADO Y AMPLIACIÓN DE LA CAPACIDAD DE PRODUCCIÓN EN LA EMPRESA “MADERVAF” S.R.L.</v>
      </c>
      <c r="C177" s="58">
        <f>IFERROR(__xludf.DUMMYFUNCTION("""COMPUTED_VALUE"""),3.0)</f>
        <v>3</v>
      </c>
    </row>
    <row r="178">
      <c r="A178" s="58" t="str">
        <f>IFERROR(__xludf.DUMMYFUNCTION("""COMPUTED_VALUE"""),"FACTIBILIDAD")</f>
        <v>FACTIBILIDAD</v>
      </c>
      <c r="B178" s="58" t="str">
        <f>IFERROR(__xludf.DUMMYFUNCTION("""COMPUTED_VALUE"""),"ESTUDIO DE FACTIBILIDAD PARA EXPORTACIÓN DE QUÍNUA AL MERCADO DE EUROPA")</f>
        <v>ESTUDIO DE FACTIBILIDAD PARA EXPORTACIÓN DE QUÍNUA AL MERCADO DE EUROPA</v>
      </c>
      <c r="C178" s="58">
        <f>IFERROR(__xludf.DUMMYFUNCTION("""COMPUTED_VALUE"""),2.0)</f>
        <v>2</v>
      </c>
    </row>
    <row r="179">
      <c r="A179" s="58" t="str">
        <f>IFERROR(__xludf.DUMMYFUNCTION("""COMPUTED_VALUE"""),"FACTIBILIDAD")</f>
        <v>FACTIBILIDAD</v>
      </c>
      <c r="B179" s="58" t="str">
        <f>IFERROR(__xludf.DUMMYFUNCTION("""COMPUTED_VALUE"""),"ESTUDIO DE FACTIBILIDAD PARA IMPLEMENTACIÓN DE UNA EMPRESA CRIADORA DE PERDICES PARA LA PRODUCCIÓN DE HUEVOS (PISACCA – NOTHOPROCTA ORNATA) EN QUILLACOLLO – IRONCOLLO.")</f>
        <v>ESTUDIO DE FACTIBILIDAD PARA IMPLEMENTACIÓN DE UNA EMPRESA CRIADORA DE PERDICES PARA LA PRODUCCIÓN DE HUEVOS (PISACCA – NOTHOPROCTA ORNATA) EN QUILLACOLLO – IRONCOLLO.</v>
      </c>
      <c r="C179" s="58">
        <f>IFERROR(__xludf.DUMMYFUNCTION("""COMPUTED_VALUE"""),1.0)</f>
        <v>1</v>
      </c>
    </row>
    <row r="180">
      <c r="A180" s="58" t="str">
        <f>IFERROR(__xludf.DUMMYFUNCTION("""COMPUTED_VALUE"""),"FACTIBILIDAD")</f>
        <v>FACTIBILIDAD</v>
      </c>
      <c r="B180" s="58" t="str">
        <f>IFERROR(__xludf.DUMMYFUNCTION("""COMPUTED_VALUE"""),"ESTUDIO DE FACTIBILIDAD PARA IMPLEMENTAR UNA PLANTA PRODUCTORA DE MANGA ROSA EN CONSERVA")</f>
        <v>ESTUDIO DE FACTIBILIDAD PARA IMPLEMENTAR UNA PLANTA PRODUCTORA DE MANGA ROSA EN CONSERVA</v>
      </c>
      <c r="C180" s="58">
        <f>IFERROR(__xludf.DUMMYFUNCTION("""COMPUTED_VALUE"""),1.0)</f>
        <v>1</v>
      </c>
    </row>
    <row r="181">
      <c r="A181" s="58" t="str">
        <f>IFERROR(__xludf.DUMMYFUNCTION("""COMPUTED_VALUE"""),"FACTIBILIDAD")</f>
        <v>FACTIBILIDAD</v>
      </c>
      <c r="B181" s="58" t="str">
        <f>IFERROR(__xludf.DUMMYFUNCTION("""COMPUTED_VALUE"""),"ESTUDIO DE FACTIBILIDAD PARA LA AMPLIACIÓN Y MEJORA DE LA PLANTA PROCESADORA DE PRODUCTOS LÁCTEOS DEL DEPARTAMENTO DE AGROINDUSTRIAS DE LA FACULTAD DE CIENCIAS AGRÍCOLAS Y PECUARIAS")</f>
        <v>ESTUDIO DE FACTIBILIDAD PARA LA AMPLIACIÓN Y MEJORA DE LA PLANTA PROCESADORA DE PRODUCTOS LÁCTEOS DEL DEPARTAMENTO DE AGROINDUSTRIAS DE LA FACULTAD DE CIENCIAS AGRÍCOLAS Y PECUARIAS</v>
      </c>
      <c r="C181" s="58">
        <f>IFERROR(__xludf.DUMMYFUNCTION("""COMPUTED_VALUE"""),2.0)</f>
        <v>2</v>
      </c>
    </row>
    <row r="182">
      <c r="A182" s="58" t="str">
        <f>IFERROR(__xludf.DUMMYFUNCTION("""COMPUTED_VALUE"""),"FACTIBILIDAD")</f>
        <v>FACTIBILIDAD</v>
      </c>
      <c r="B182" s="58" t="str">
        <f>IFERROR(__xludf.DUMMYFUNCTION("""COMPUTED_VALUE"""),"ESTUDIO DE FACTIBILIDAD PARA LA APERTURA DE UNA EMPRESA DE DISTRIBUCIÓN Y COMERCIALIZACIÓN DE GLP EN EL VALLE ALTO DE COCHABAMBA")</f>
        <v>ESTUDIO DE FACTIBILIDAD PARA LA APERTURA DE UNA EMPRESA DE DISTRIBUCIÓN Y COMERCIALIZACIÓN DE GLP EN EL VALLE ALTO DE COCHABAMBA</v>
      </c>
      <c r="C182" s="58">
        <f>IFERROR(__xludf.DUMMYFUNCTION("""COMPUTED_VALUE"""),3.0)</f>
        <v>3</v>
      </c>
    </row>
    <row r="183">
      <c r="A183" s="58" t="str">
        <f>IFERROR(__xludf.DUMMYFUNCTION("""COMPUTED_VALUE"""),"FACTIBILIDAD")</f>
        <v>FACTIBILIDAD</v>
      </c>
      <c r="B183" s="58" t="str">
        <f>IFERROR(__xludf.DUMMYFUNCTION("""COMPUTED_VALUE"""),"ESTUDIO DE FACTIBILIDAD PARA LA COMERCIALIZACIÓN DE AGUA NATURAL EMBOTELLADA Y LA IMPLEMENTACIÓN DE UNA PLANTA DE TRATAMIENTO DE AGUAS")</f>
        <v>ESTUDIO DE FACTIBILIDAD PARA LA COMERCIALIZACIÓN DE AGUA NATURAL EMBOTELLADA Y LA IMPLEMENTACIÓN DE UNA PLANTA DE TRATAMIENTO DE AGUAS</v>
      </c>
      <c r="C183" s="58">
        <f>IFERROR(__xludf.DUMMYFUNCTION("""COMPUTED_VALUE"""),4.0)</f>
        <v>4</v>
      </c>
    </row>
    <row r="184">
      <c r="A184" s="58" t="str">
        <f>IFERROR(__xludf.DUMMYFUNCTION("""COMPUTED_VALUE"""),"FACTIBILIDAD")</f>
        <v>FACTIBILIDAD</v>
      </c>
      <c r="B184" s="58" t="str">
        <f>IFERROR(__xludf.DUMMYFUNCTION("""COMPUTED_VALUE"""),"ESTUDIO DE FACTIBILIDAD PARA LA COMERCIALIZACIÓN DE CARNE DESHIDRATADA DE LLAMA ENVASADA AL VACÍO EN LA CIUDAD DE COCHABAMBA.")</f>
        <v>ESTUDIO DE FACTIBILIDAD PARA LA COMERCIALIZACIÓN DE CARNE DESHIDRATADA DE LLAMA ENVASADA AL VACÍO EN LA CIUDAD DE COCHABAMBA.</v>
      </c>
      <c r="C184" s="58">
        <f>IFERROR(__xludf.DUMMYFUNCTION("""COMPUTED_VALUE"""),4.0)</f>
        <v>4</v>
      </c>
    </row>
    <row r="185">
      <c r="A185" s="58" t="str">
        <f>IFERROR(__xludf.DUMMYFUNCTION("""COMPUTED_VALUE"""),"FACTIBILIDAD")</f>
        <v>FACTIBILIDAD</v>
      </c>
      <c r="B185" s="58" t="str">
        <f>IFERROR(__xludf.DUMMYFUNCTION("""COMPUTED_VALUE"""),"ESTUDIO DE FACTIBILIDAD PARA LA CREACION DE UNA EMPRESA                                                                                             DEDICADA A LA PRODUCCION DE ASFALTO FLEXIBLE A PARTIR DE GRANO DE            CAUCHO RECICLADO")</f>
        <v>ESTUDIO DE FACTIBILIDAD PARA LA CREACION DE UNA EMPRESA                                                                                             DEDICADA A LA PRODUCCION DE ASFALTO FLEXIBLE A PARTIR DE GRANO DE            CAUCHO RECICLADO</v>
      </c>
      <c r="C185" s="58">
        <f>IFERROR(__xludf.DUMMYFUNCTION("""COMPUTED_VALUE"""),2.0)</f>
        <v>2</v>
      </c>
    </row>
    <row r="186">
      <c r="A186" s="58" t="str">
        <f>IFERROR(__xludf.DUMMYFUNCTION("""COMPUTED_VALUE"""),"FACTIBILIDAD")</f>
        <v>FACTIBILIDAD</v>
      </c>
      <c r="B186" s="58" t="str">
        <f>IFERROR(__xludf.DUMMYFUNCTION("""COMPUTED_VALUE"""),"ESTUDIO DE FACTIBILIDAD PARA LA CREACION DE UNA EMPRESA DE VINO DE NARANJA EN LA CIUDAD DE COCHABAMBA")</f>
        <v>ESTUDIO DE FACTIBILIDAD PARA LA CREACION DE UNA EMPRESA DE VINO DE NARANJA EN LA CIUDAD DE COCHABAMBA</v>
      </c>
      <c r="C186" s="58">
        <f>IFERROR(__xludf.DUMMYFUNCTION("""COMPUTED_VALUE"""),1.0)</f>
        <v>1</v>
      </c>
    </row>
    <row r="187">
      <c r="A187" s="58" t="str">
        <f>IFERROR(__xludf.DUMMYFUNCTION("""COMPUTED_VALUE"""),"FACTIBILIDAD")</f>
        <v>FACTIBILIDAD</v>
      </c>
      <c r="B187" s="58" t="str">
        <f>IFERROR(__xludf.DUMMYFUNCTION("""COMPUTED_VALUE"""),"ESTUDIO DE FACTIBILIDAD PARA LA CREACIÓN DE UN CENTRO DE FORMACIÓN EN SOLDADURA DE ESTRUCTURA Y TUBERÍA PARA EL SECTOR PETROLERO")</f>
        <v>ESTUDIO DE FACTIBILIDAD PARA LA CREACIÓN DE UN CENTRO DE FORMACIÓN EN SOLDADURA DE ESTRUCTURA Y TUBERÍA PARA EL SECTOR PETROLERO</v>
      </c>
      <c r="C187" s="58">
        <f>IFERROR(__xludf.DUMMYFUNCTION("""COMPUTED_VALUE"""),1.0)</f>
        <v>1</v>
      </c>
    </row>
    <row r="188">
      <c r="A188" s="58" t="str">
        <f>IFERROR(__xludf.DUMMYFUNCTION("""COMPUTED_VALUE"""),"FACTIBILIDAD")</f>
        <v>FACTIBILIDAD</v>
      </c>
      <c r="B188" s="58" t="str">
        <f>IFERROR(__xludf.DUMMYFUNCTION("""COMPUTED_VALUE"""),"ESTUDIO DE FACTIBILIDAD PARA LA CREACIÓN DE UNA EMPRESA DE INSTALACIÓN DE                            REDES Y SEGURIDAD ELECTRÓNICA")</f>
        <v>ESTUDIO DE FACTIBILIDAD PARA LA CREACIÓN DE UNA EMPRESA DE INSTALACIÓN DE                            REDES Y SEGURIDAD ELECTRÓNICA</v>
      </c>
      <c r="C188" s="58">
        <f>IFERROR(__xludf.DUMMYFUNCTION("""COMPUTED_VALUE"""),1.0)</f>
        <v>1</v>
      </c>
    </row>
    <row r="189">
      <c r="A189" s="58" t="str">
        <f>IFERROR(__xludf.DUMMYFUNCTION("""COMPUTED_VALUE"""),"FACTIBILIDAD")</f>
        <v>FACTIBILIDAD</v>
      </c>
      <c r="B189" s="58" t="str">
        <f>IFERROR(__xludf.DUMMYFUNCTION("""COMPUTED_VALUE"""),"ESTUDIO DE FACTIBILIDAD PARA LA CREACIÓN DE UNA EMPRESA DE VINO DE NARANJA EN LA CIUDAD DE COCHABAMBA")</f>
        <v>ESTUDIO DE FACTIBILIDAD PARA LA CREACIÓN DE UNA EMPRESA DE VINO DE NARANJA EN LA CIUDAD DE COCHABAMBA</v>
      </c>
      <c r="C189" s="58">
        <f>IFERROR(__xludf.DUMMYFUNCTION("""COMPUTED_VALUE"""),4.0)</f>
        <v>4</v>
      </c>
    </row>
    <row r="190">
      <c r="A190" s="58" t="str">
        <f>IFERROR(__xludf.DUMMYFUNCTION("""COMPUTED_VALUE"""),"FACTIBILIDAD")</f>
        <v>FACTIBILIDAD</v>
      </c>
      <c r="B190" s="58" t="str">
        <f>IFERROR(__xludf.DUMMYFUNCTION("""COMPUTED_VALUE"""),"ESTUDIO DE FACTIBILIDAD PARA LA CREACIÓN DE UNA EMPRESA PRODUCTORA Y COMERCIALIZADORA DE ABONO COMPOST PARA EL APROVECHAMIENTO DE LOS RESTOS VEGETALES DE LAS FLORES COMERCIALES EN LA CIUDAD DE COCHABAMBA")</f>
        <v>ESTUDIO DE FACTIBILIDAD PARA LA CREACIÓN DE UNA EMPRESA PRODUCTORA Y COMERCIALIZADORA DE ABONO COMPOST PARA EL APROVECHAMIENTO DE LOS RESTOS VEGETALES DE LAS FLORES COMERCIALES EN LA CIUDAD DE COCHABAMBA</v>
      </c>
      <c r="C190" s="58">
        <f>IFERROR(__xludf.DUMMYFUNCTION("""COMPUTED_VALUE"""),4.0)</f>
        <v>4</v>
      </c>
    </row>
    <row r="191">
      <c r="A191" s="58" t="str">
        <f>IFERROR(__xludf.DUMMYFUNCTION("""COMPUTED_VALUE"""),"FACTIBILIDAD")</f>
        <v>FACTIBILIDAD</v>
      </c>
      <c r="B191" s="58" t="str">
        <f>IFERROR(__xludf.DUMMYFUNCTION("""COMPUTED_VALUE"""),"ESTUDIO DE FACTIBILIDAD PARA LA CREACIÓN DE UNA HELADERÍA DEDICADA A LA PRODUCCIÓN Y COMERCIALIZACIÓN DE HELADOS SANOS Y NUTRITIVOS A BASE DE SOYA, QUINUA, AMARANTO Y TARWI EN EL CERCADO DE LA PROVINCIA DE QUILLACOLLO-COCHABAMBA")</f>
        <v>ESTUDIO DE FACTIBILIDAD PARA LA CREACIÓN DE UNA HELADERÍA DEDICADA A LA PRODUCCIÓN Y COMERCIALIZACIÓN DE HELADOS SANOS Y NUTRITIVOS A BASE DE SOYA, QUINUA, AMARANTO Y TARWI EN EL CERCADO DE LA PROVINCIA DE QUILLACOLLO-COCHABAMBA</v>
      </c>
      <c r="C191" s="58">
        <f>IFERROR(__xludf.DUMMYFUNCTION("""COMPUTED_VALUE"""),5.0)</f>
        <v>5</v>
      </c>
    </row>
    <row r="192">
      <c r="A192" s="58" t="str">
        <f>IFERROR(__xludf.DUMMYFUNCTION("""COMPUTED_VALUE"""),"FACTIBILIDAD")</f>
        <v>FACTIBILIDAD</v>
      </c>
      <c r="B192" s="58" t="str">
        <f>IFERROR(__xludf.DUMMYFUNCTION("""COMPUTED_VALUE"""),"ESTUDIO DE FACTIBILIDAD PARA LA CREACIÓN DE UNA PLANTA PROCESADORA DE LECHE Y SUS DERIVADOS EN EL DEPARTAMENTO DE COCHABAMBA")</f>
        <v>ESTUDIO DE FACTIBILIDAD PARA LA CREACIÓN DE UNA PLANTA PROCESADORA DE LECHE Y SUS DERIVADOS EN EL DEPARTAMENTO DE COCHABAMBA</v>
      </c>
      <c r="C192" s="58">
        <f>IFERROR(__xludf.DUMMYFUNCTION("""COMPUTED_VALUE"""),4.0)</f>
        <v>4</v>
      </c>
    </row>
    <row r="193">
      <c r="A193" s="58" t="str">
        <f>IFERROR(__xludf.DUMMYFUNCTION("""COMPUTED_VALUE"""),"FACTIBILIDAD")</f>
        <v>FACTIBILIDAD</v>
      </c>
      <c r="B193" s="58" t="str">
        <f>IFERROR(__xludf.DUMMYFUNCTION("""COMPUTED_VALUE"""),"ESTUDIO DE FACTIBILIDAD PARA LA DESHIDRATACIÓN DE LODOS PRIMARIOS DE LA PLANTA DE TRATAMIENTO DE EFLUENTES (P.T.E.) PARA LA EMPRESA PIL ANDINA S.A. DE COCHABAMBA")</f>
        <v>ESTUDIO DE FACTIBILIDAD PARA LA DESHIDRATACIÓN DE LODOS PRIMARIOS DE LA PLANTA DE TRATAMIENTO DE EFLUENTES (P.T.E.) PARA LA EMPRESA PIL ANDINA S.A. DE COCHABAMBA</v>
      </c>
      <c r="C193" s="58">
        <f>IFERROR(__xludf.DUMMYFUNCTION("""COMPUTED_VALUE"""),6.0)</f>
        <v>6</v>
      </c>
    </row>
    <row r="194">
      <c r="A194" s="58" t="str">
        <f>IFERROR(__xludf.DUMMYFUNCTION("""COMPUTED_VALUE"""),"FACTIBILIDAD")</f>
        <v>FACTIBILIDAD</v>
      </c>
      <c r="B194" s="58" t="str">
        <f>IFERROR(__xludf.DUMMYFUNCTION("""COMPUTED_VALUE"""),"ESTUDIO DE FACTIBILIDAD PARA LA ELABORACION DE ZUMOS EN LA PLANTA PILOTO DE LA CARRERA DE INGENIERIA INDUSTRIAL DESTINADO AL COMEDOR DE LA UMSS")</f>
        <v>ESTUDIO DE FACTIBILIDAD PARA LA ELABORACION DE ZUMOS EN LA PLANTA PILOTO DE LA CARRERA DE INGENIERIA INDUSTRIAL DESTINADO AL COMEDOR DE LA UMSS</v>
      </c>
      <c r="C194" s="58">
        <f>IFERROR(__xludf.DUMMYFUNCTION("""COMPUTED_VALUE"""),2.0)</f>
        <v>2</v>
      </c>
    </row>
    <row r="195">
      <c r="A195" s="58" t="str">
        <f>IFERROR(__xludf.DUMMYFUNCTION("""COMPUTED_VALUE"""),"FACTIBILIDAD")</f>
        <v>FACTIBILIDAD</v>
      </c>
      <c r="B195" s="58" t="str">
        <f>IFERROR(__xludf.DUMMYFUNCTION("""COMPUTED_VALUE"""),"ESTUDIO DE FACTIBILIDAD PARA LA ELABORACION Y COMERCIALIZACION DE REFRESCOS NATURALES DE COCO Y DE TOSTADA EN CERCADO - COCHABAMBA")</f>
        <v>ESTUDIO DE FACTIBILIDAD PARA LA ELABORACION Y COMERCIALIZACION DE REFRESCOS NATURALES DE COCO Y DE TOSTADA EN CERCADO - COCHABAMBA</v>
      </c>
      <c r="C195" s="58">
        <f>IFERROR(__xludf.DUMMYFUNCTION("""COMPUTED_VALUE"""),25.0)</f>
        <v>25</v>
      </c>
    </row>
    <row r="196">
      <c r="A196" s="58" t="str">
        <f>IFERROR(__xludf.DUMMYFUNCTION("""COMPUTED_VALUE"""),"FACTIBILIDAD")</f>
        <v>FACTIBILIDAD</v>
      </c>
      <c r="B196" s="58" t="str">
        <f>IFERROR(__xludf.DUMMYFUNCTION("""COMPUTED_VALUE"""),"ESTUDIO DE FACTIBILIDAD PARA LA ELABORACIÓN DE ZUMOS EN LA PLANTA PILOTO DE LA CARRERA DE INGENIERIA INDUSTRIAL DESTINADO AL COMEDOR DE LA UMSS")</f>
        <v>ESTUDIO DE FACTIBILIDAD PARA LA ELABORACIÓN DE ZUMOS EN LA PLANTA PILOTO DE LA CARRERA DE INGENIERIA INDUSTRIAL DESTINADO AL COMEDOR DE LA UMSS</v>
      </c>
      <c r="C196" s="58">
        <f>IFERROR(__xludf.DUMMYFUNCTION("""COMPUTED_VALUE"""),1.0)</f>
        <v>1</v>
      </c>
    </row>
    <row r="197">
      <c r="A197" s="58" t="str">
        <f>IFERROR(__xludf.DUMMYFUNCTION("""COMPUTED_VALUE"""),"FACTIBILIDAD")</f>
        <v>FACTIBILIDAD</v>
      </c>
      <c r="B197" s="58" t="str">
        <f>IFERROR(__xludf.DUMMYFUNCTION("""COMPUTED_VALUE"""),"ESTUDIO DE FACTIBILIDAD PARA LA EMPRESA DE SERVICIO AUTOMOTRIZ WILLY'S EN EL ÁREA DE SERVICIO DE MANTENIMIENTO PREVENTIVO.")</f>
        <v>ESTUDIO DE FACTIBILIDAD PARA LA EMPRESA DE SERVICIO AUTOMOTRIZ WILLY'S EN EL ÁREA DE SERVICIO DE MANTENIMIENTO PREVENTIVO.</v>
      </c>
      <c r="C197" s="58">
        <f>IFERROR(__xludf.DUMMYFUNCTION("""COMPUTED_VALUE"""),3.0)</f>
        <v>3</v>
      </c>
    </row>
    <row r="198">
      <c r="A198" s="58" t="str">
        <f>IFERROR(__xludf.DUMMYFUNCTION("""COMPUTED_VALUE"""),"FACTIBILIDAD")</f>
        <v>FACTIBILIDAD</v>
      </c>
      <c r="B198" s="58" t="str">
        <f>IFERROR(__xludf.DUMMYFUNCTION("""COMPUTED_VALUE"""),"ESTUDIO DE FACTIBILIDAD PARA LA EXTRACCIÓN DE ACEITE ESENCIAL DE JENGIBRE PARA LA EXPORTACIÓN.")</f>
        <v>ESTUDIO DE FACTIBILIDAD PARA LA EXTRACCIÓN DE ACEITE ESENCIAL DE JENGIBRE PARA LA EXPORTACIÓN.</v>
      </c>
      <c r="C198" s="58">
        <f>IFERROR(__xludf.DUMMYFUNCTION("""COMPUTED_VALUE"""),2.0)</f>
        <v>2</v>
      </c>
    </row>
    <row r="199">
      <c r="A199" s="58" t="str">
        <f>IFERROR(__xludf.DUMMYFUNCTION("""COMPUTED_VALUE"""),"FACTIBILIDAD")</f>
        <v>FACTIBILIDAD</v>
      </c>
      <c r="B199" s="58" t="str">
        <f>IFERROR(__xludf.DUMMYFUNCTION("""COMPUTED_VALUE"""),"ESTUDIO DE FACTIBILIDAD PARA LA IMPLEMENTACION DE
UN CRIADERO DE GANADO PORCINO")</f>
        <v>ESTUDIO DE FACTIBILIDAD PARA LA IMPLEMENTACION DE
UN CRIADERO DE GANADO PORCINO</v>
      </c>
      <c r="C199" s="58">
        <f>IFERROR(__xludf.DUMMYFUNCTION("""COMPUTED_VALUE"""),1.0)</f>
        <v>1</v>
      </c>
    </row>
    <row r="200">
      <c r="A200" s="58" t="str">
        <f>IFERROR(__xludf.DUMMYFUNCTION("""COMPUTED_VALUE"""),"FACTIBILIDAD")</f>
        <v>FACTIBILIDAD</v>
      </c>
      <c r="B200" s="58" t="str">
        <f>IFERROR(__xludf.DUMMYFUNCTION("""COMPUTED_VALUE"""),"ESTUDIO DE FACTIBILIDAD PARA LA IMPLEMENTACION DE UNA NUEVA LINEA DE PRODUCCION DE QUESO DE SOYA PARA LA EMPRESA RAMA SANA")</f>
        <v>ESTUDIO DE FACTIBILIDAD PARA LA IMPLEMENTACION DE UNA NUEVA LINEA DE PRODUCCION DE QUESO DE SOYA PARA LA EMPRESA RAMA SANA</v>
      </c>
      <c r="C200" s="58">
        <f>IFERROR(__xludf.DUMMYFUNCTION("""COMPUTED_VALUE"""),5.0)</f>
        <v>5</v>
      </c>
    </row>
    <row r="201">
      <c r="A201" s="58" t="str">
        <f>IFERROR(__xludf.DUMMYFUNCTION("""COMPUTED_VALUE"""),"FACTIBILIDAD")</f>
        <v>FACTIBILIDAD</v>
      </c>
      <c r="B201" s="58" t="str">
        <f>IFERROR(__xludf.DUMMYFUNCTION("""COMPUTED_VALUE"""),"ESTUDIO DE FACTIBILIDAD PARA LA IMPLEMENTACION DE UNA PLANTA DE PELLETS A PARTIR DEL RECICLAJE DE PLASTICOS EN LA CIUDAD DE COCHABAMBA")</f>
        <v>ESTUDIO DE FACTIBILIDAD PARA LA IMPLEMENTACION DE UNA PLANTA DE PELLETS A PARTIR DEL RECICLAJE DE PLASTICOS EN LA CIUDAD DE COCHABAMBA</v>
      </c>
      <c r="C201" s="58">
        <f>IFERROR(__xludf.DUMMYFUNCTION("""COMPUTED_VALUE"""),16.0)</f>
        <v>16</v>
      </c>
    </row>
    <row r="202">
      <c r="A202" s="58" t="str">
        <f>IFERROR(__xludf.DUMMYFUNCTION("""COMPUTED_VALUE"""),"FACTIBILIDAD")</f>
        <v>FACTIBILIDAD</v>
      </c>
      <c r="B202" s="58" t="str">
        <f>IFERROR(__xludf.DUMMYFUNCTION("""COMPUTED_VALUE"""),"ESTUDIO DE FACTIBILIDAD PARA LA IMPLEMENTACION DE UNA PLANTA PROCESADORA DE ACEITE DE MANÍ EN LA LOCALIDAD MIZQUE")</f>
        <v>ESTUDIO DE FACTIBILIDAD PARA LA IMPLEMENTACION DE UNA PLANTA PROCESADORA DE ACEITE DE MANÍ EN LA LOCALIDAD MIZQUE</v>
      </c>
      <c r="C202" s="58">
        <f>IFERROR(__xludf.DUMMYFUNCTION("""COMPUTED_VALUE"""),1.0)</f>
        <v>1</v>
      </c>
    </row>
    <row r="203">
      <c r="A203" s="58" t="str">
        <f>IFERROR(__xludf.DUMMYFUNCTION("""COMPUTED_VALUE"""),"FACTIBILIDAD")</f>
        <v>FACTIBILIDAD</v>
      </c>
      <c r="B203"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C203" s="58">
        <f>IFERROR(__xludf.DUMMYFUNCTION("""COMPUTED_VALUE"""),1.0)</f>
        <v>1</v>
      </c>
    </row>
    <row r="204">
      <c r="A204" s="58" t="str">
        <f>IFERROR(__xludf.DUMMYFUNCTION("""COMPUTED_VALUE"""),"FACTIBILIDAD")</f>
        <v>FACTIBILIDAD</v>
      </c>
      <c r="B204" s="58" t="str">
        <f>IFERROR(__xludf.DUMMYFUNCTION("""COMPUTED_VALUE"""),"ESTUDIO DE FACTIBILIDAD PARA LA IMPLEMENTACIÓN DE FORRAJES HIDROPÓNICOS EN EL MUNICIPIO DE TACOBAMBA DEL DEPARTAMENTO DE POTOSÍ")</f>
        <v>ESTUDIO DE FACTIBILIDAD PARA LA IMPLEMENTACIÓN DE FORRAJES HIDROPÓNICOS EN EL MUNICIPIO DE TACOBAMBA DEL DEPARTAMENTO DE POTOSÍ</v>
      </c>
      <c r="C204" s="58">
        <f>IFERROR(__xludf.DUMMYFUNCTION("""COMPUTED_VALUE"""),3.0)</f>
        <v>3</v>
      </c>
    </row>
    <row r="205">
      <c r="A205" s="58" t="str">
        <f>IFERROR(__xludf.DUMMYFUNCTION("""COMPUTED_VALUE"""),"FACTIBILIDAD")</f>
        <v>FACTIBILIDAD</v>
      </c>
      <c r="B205" s="58" t="str">
        <f>IFERROR(__xludf.DUMMYFUNCTION("""COMPUTED_VALUE"""),"ESTUDIO DE FACTIBILIDAD PARA LA IMPLEMENTACIÓN DE UN ASERRADERO EN BENI BAJO EL CUMPLIMIENTO DE NORMAS DE LA ABT.")</f>
        <v>ESTUDIO DE FACTIBILIDAD PARA LA IMPLEMENTACIÓN DE UN ASERRADERO EN BENI BAJO EL CUMPLIMIENTO DE NORMAS DE LA ABT.</v>
      </c>
      <c r="C205" s="58">
        <f>IFERROR(__xludf.DUMMYFUNCTION("""COMPUTED_VALUE"""),2.0)</f>
        <v>2</v>
      </c>
    </row>
    <row r="206">
      <c r="A206" s="58" t="str">
        <f>IFERROR(__xludf.DUMMYFUNCTION("""COMPUTED_VALUE"""),"FACTIBILIDAD")</f>
        <v>FACTIBILIDAD</v>
      </c>
      <c r="B206" s="58" t="str">
        <f>IFERROR(__xludf.DUMMYFUNCTION("""COMPUTED_VALUE"""),"ESTUDIO DE FACTIBILIDAD PARA LA IMPLEMENTACIÓN DE UN ESTUDIO DE GRABACIÓN FONOGRÁFICA")</f>
        <v>ESTUDIO DE FACTIBILIDAD PARA LA IMPLEMENTACIÓN DE UN ESTUDIO DE GRABACIÓN FONOGRÁFICA</v>
      </c>
      <c r="C206" s="58">
        <f>IFERROR(__xludf.DUMMYFUNCTION("""COMPUTED_VALUE"""),4.0)</f>
        <v>4</v>
      </c>
    </row>
    <row r="207">
      <c r="A207" s="58" t="str">
        <f>IFERROR(__xludf.DUMMYFUNCTION("""COMPUTED_VALUE"""),"FACTIBILIDAD")</f>
        <v>FACTIBILIDAD</v>
      </c>
      <c r="B207" s="58" t="str">
        <f>IFERROR(__xludf.DUMMYFUNCTION("""COMPUTED_VALUE"""),"ESTUDIO DE FACTIBILIDAD PARA LA IMPLEMENTACIÓN DE UN PROCESO DE")</f>
        <v>ESTUDIO DE FACTIBILIDAD PARA LA IMPLEMENTACIÓN DE UN PROCESO DE</v>
      </c>
      <c r="C207" s="58">
        <f>IFERROR(__xludf.DUMMYFUNCTION("""COMPUTED_VALUE"""),2.0)</f>
        <v>2</v>
      </c>
    </row>
    <row r="208">
      <c r="A208" s="58" t="str">
        <f>IFERROR(__xludf.DUMMYFUNCTION("""COMPUTED_VALUE"""),"FACTIBILIDAD")</f>
        <v>FACTIBILIDAD</v>
      </c>
      <c r="B208" s="58" t="str">
        <f>IFERROR(__xludf.DUMMYFUNCTION("""COMPUTED_VALUE"""),"ESTUDIO DE FACTIBILIDAD PARA LA IMPLEMENTACIÓN DE UNA EMPRESA DE CARBÓN HECHO A PARTIR DE LA CASCARA DE COCO EN EL DEPARTAMENTO DE COCHABAMBA")</f>
        <v>ESTUDIO DE FACTIBILIDAD PARA LA IMPLEMENTACIÓN DE UNA EMPRESA DE CARBÓN HECHO A PARTIR DE LA CASCARA DE COCO EN EL DEPARTAMENTO DE COCHABAMBA</v>
      </c>
      <c r="C208" s="58">
        <f>IFERROR(__xludf.DUMMYFUNCTION("""COMPUTED_VALUE"""),1.0)</f>
        <v>1</v>
      </c>
    </row>
    <row r="209">
      <c r="A209" s="58" t="str">
        <f>IFERROR(__xludf.DUMMYFUNCTION("""COMPUTED_VALUE"""),"FACTIBILIDAD")</f>
        <v>FACTIBILIDAD</v>
      </c>
      <c r="B209" s="58" t="str">
        <f>IFERROR(__xludf.DUMMYFUNCTION("""COMPUTED_VALUE"""),"ESTUDIO DE FACTIBILIDAD PARA LA IMPLEMENTACIÓN DE UNA EMPRESA DE PAPEL ECOLÓGICO A BASE DE PINZOTE DE PLÁTANO")</f>
        <v>ESTUDIO DE FACTIBILIDAD PARA LA IMPLEMENTACIÓN DE UNA EMPRESA DE PAPEL ECOLÓGICO A BASE DE PINZOTE DE PLÁTANO</v>
      </c>
      <c r="C209" s="58">
        <f>IFERROR(__xludf.DUMMYFUNCTION("""COMPUTED_VALUE"""),1.0)</f>
        <v>1</v>
      </c>
    </row>
    <row r="210">
      <c r="A210" s="58" t="str">
        <f>IFERROR(__xludf.DUMMYFUNCTION("""COMPUTED_VALUE"""),"FACTIBILIDAD")</f>
        <v>FACTIBILIDAD</v>
      </c>
      <c r="B210" s="58" t="str">
        <f>IFERROR(__xludf.DUMMYFUNCTION("""COMPUTED_VALUE"""),"ESTUDIO DE FACTIBILIDAD PARA LA IMPLEMENTACIÓN DE UNA EMPRESA DISTRIBUIDORA  DE AGUA DE MESA Y HIELO EN LA CIUDAD DE COCHABAMBA")</f>
        <v>ESTUDIO DE FACTIBILIDAD PARA LA IMPLEMENTACIÓN DE UNA EMPRESA DISTRIBUIDORA  DE AGUA DE MESA Y HIELO EN LA CIUDAD DE COCHABAMBA</v>
      </c>
      <c r="C210" s="58">
        <f>IFERROR(__xludf.DUMMYFUNCTION("""COMPUTED_VALUE"""),3.0)</f>
        <v>3</v>
      </c>
    </row>
    <row r="211">
      <c r="A211" s="58" t="str">
        <f>IFERROR(__xludf.DUMMYFUNCTION("""COMPUTED_VALUE"""),"FACTIBILIDAD")</f>
        <v>FACTIBILIDAD</v>
      </c>
      <c r="B211" s="58" t="str">
        <f>IFERROR(__xludf.DUMMYFUNCTION("""COMPUTED_VALUE"""),"ESTUDIO DE FACTIBILIDAD PARA LA IMPLEMENTACIÓN DE UNA FABRICA TEXTIL DE PANTALONES JEANS EN LA ZONA OESTE DE LA CIUDAD DE COCHABAMBA")</f>
        <v>ESTUDIO DE FACTIBILIDAD PARA LA IMPLEMENTACIÓN DE UNA FABRICA TEXTIL DE PANTALONES JEANS EN LA ZONA OESTE DE LA CIUDAD DE COCHABAMBA</v>
      </c>
      <c r="C211" s="58">
        <f>IFERROR(__xludf.DUMMYFUNCTION("""COMPUTED_VALUE"""),1.0)</f>
        <v>1</v>
      </c>
    </row>
    <row r="212">
      <c r="A212" s="58" t="str">
        <f>IFERROR(__xludf.DUMMYFUNCTION("""COMPUTED_VALUE"""),"FACTIBILIDAD")</f>
        <v>FACTIBILIDAD</v>
      </c>
      <c r="B212" s="58" t="str">
        <f>IFERROR(__xludf.DUMMYFUNCTION("""COMPUTED_VALUE"""),"ESTUDIO DE FACTIBILIDAD PARA LA IMPLEMENTACIÓN DE UNA FÁBRICA  DE TELA DENIM EN BOLIVIA")</f>
        <v>ESTUDIO DE FACTIBILIDAD PARA LA IMPLEMENTACIÓN DE UNA FÁBRICA  DE TELA DENIM EN BOLIVIA</v>
      </c>
      <c r="C212" s="58">
        <f>IFERROR(__xludf.DUMMYFUNCTION("""COMPUTED_VALUE"""),1.0)</f>
        <v>1</v>
      </c>
    </row>
    <row r="213">
      <c r="A213" s="58" t="str">
        <f>IFERROR(__xludf.DUMMYFUNCTION("""COMPUTED_VALUE"""),"FACTIBILIDAD")</f>
        <v>FACTIBILIDAD</v>
      </c>
      <c r="B213" s="58" t="str">
        <f>IFERROR(__xludf.DUMMYFUNCTION("""COMPUTED_VALUE"""),"ESTUDIO DE FACTIBILIDAD PARA LA IMPLEMENTACIÓN DE UNA FÁBRICA DE JOYAS DE PLATA")</f>
        <v>ESTUDIO DE FACTIBILIDAD PARA LA IMPLEMENTACIÓN DE UNA FÁBRICA DE JOYAS DE PLATA</v>
      </c>
      <c r="C213" s="58">
        <f>IFERROR(__xludf.DUMMYFUNCTION("""COMPUTED_VALUE"""),2.0)</f>
        <v>2</v>
      </c>
    </row>
    <row r="214">
      <c r="A214" s="58" t="str">
        <f>IFERROR(__xludf.DUMMYFUNCTION("""COMPUTED_VALUE"""),"FACTIBILIDAD")</f>
        <v>FACTIBILIDAD</v>
      </c>
      <c r="B214" s="58" t="str">
        <f>IFERROR(__xludf.DUMMYFUNCTION("""COMPUTED_VALUE"""),"ESTUDIO DE FACTIBILIDAD PARA LA IMPLEMENTACIÓN DE UNA FÁBRICA DE LADRILLO REFRACTARIO")</f>
        <v>ESTUDIO DE FACTIBILIDAD PARA LA IMPLEMENTACIÓN DE UNA FÁBRICA DE LADRILLO REFRACTARIO</v>
      </c>
      <c r="C214" s="58">
        <f>IFERROR(__xludf.DUMMYFUNCTION("""COMPUTED_VALUE"""),2.0)</f>
        <v>2</v>
      </c>
    </row>
    <row r="215">
      <c r="A215" s="58" t="str">
        <f>IFERROR(__xludf.DUMMYFUNCTION("""COMPUTED_VALUE"""),"FACTIBILIDAD")</f>
        <v>FACTIBILIDAD</v>
      </c>
      <c r="B215" s="58" t="str">
        <f>IFERROR(__xludf.DUMMYFUNCTION("""COMPUTED_VALUE"""),"ESTUDIO DE FACTIBILIDAD PARA LA IMPLEMENTACIÓN DE UNA FÁBRICA DE LADRILLOS ECOLÓGICOS EN EL DEPARTAMENTO DE COCHABAMBA.")</f>
        <v>ESTUDIO DE FACTIBILIDAD PARA LA IMPLEMENTACIÓN DE UNA FÁBRICA DE LADRILLOS ECOLÓGICOS EN EL DEPARTAMENTO DE COCHABAMBA.</v>
      </c>
      <c r="C215" s="58">
        <f>IFERROR(__xludf.DUMMYFUNCTION("""COMPUTED_VALUE"""),6.0)</f>
        <v>6</v>
      </c>
    </row>
    <row r="216">
      <c r="A216" s="58" t="str">
        <f>IFERROR(__xludf.DUMMYFUNCTION("""COMPUTED_VALUE"""),"FACTIBILIDAD")</f>
        <v>FACTIBILIDAD</v>
      </c>
      <c r="B216" s="58" t="str">
        <f>IFERROR(__xludf.DUMMYFUNCTION("""COMPUTED_VALUE"""),"ESTUDIO DE FACTIBILIDAD PARA LA IMPLEMENTACIÓN DE UNA FÁBRICA DE MOBILIARIOS EN MELAMINA, HIERRO Y ALUMINIO EN LA CIUDAD DE COCHABAMBA")</f>
        <v>ESTUDIO DE FACTIBILIDAD PARA LA IMPLEMENTACIÓN DE UNA FÁBRICA DE MOBILIARIOS EN MELAMINA, HIERRO Y ALUMINIO EN LA CIUDAD DE COCHABAMBA</v>
      </c>
      <c r="C216" s="58">
        <f>IFERROR(__xludf.DUMMYFUNCTION("""COMPUTED_VALUE"""),3.0)</f>
        <v>3</v>
      </c>
    </row>
    <row r="217">
      <c r="A217" s="58" t="str">
        <f>IFERROR(__xludf.DUMMYFUNCTION("""COMPUTED_VALUE"""),"FACTIBILIDAD")</f>
        <v>FACTIBILIDAD</v>
      </c>
      <c r="B217" s="58" t="str">
        <f>IFERROR(__xludf.DUMMYFUNCTION("""COMPUTED_VALUE"""),"ESTUDIO DE FACTIBILIDAD PARA LA IMPLEMENTACIÓN DE UNA FÁBRICA DE MUEBLES DE BAMBÚ")</f>
        <v>ESTUDIO DE FACTIBILIDAD PARA LA IMPLEMENTACIÓN DE UNA FÁBRICA DE MUEBLES DE BAMBÚ</v>
      </c>
      <c r="C217" s="58">
        <f>IFERROR(__xludf.DUMMYFUNCTION("""COMPUTED_VALUE"""),5.0)</f>
        <v>5</v>
      </c>
    </row>
    <row r="218">
      <c r="A218" s="58" t="str">
        <f>IFERROR(__xludf.DUMMYFUNCTION("""COMPUTED_VALUE"""),"FACTIBILIDAD")</f>
        <v>FACTIBILIDAD</v>
      </c>
      <c r="B218" s="58" t="str">
        <f>IFERROR(__xludf.DUMMYFUNCTION("""COMPUTED_VALUE"""),"ESTUDIO DE FACTIBILIDAD PARA LA IMPLEMENTACIÓN DE UNA FÁBRICA DE MUEBLES MELAMINICOS EN LA CIUDAD DE COCHABAMBA")</f>
        <v>ESTUDIO DE FACTIBILIDAD PARA LA IMPLEMENTACIÓN DE UNA FÁBRICA DE MUEBLES MELAMINICOS EN LA CIUDAD DE COCHABAMBA</v>
      </c>
      <c r="C218" s="58">
        <f>IFERROR(__xludf.DUMMYFUNCTION("""COMPUTED_VALUE"""),3.0)</f>
        <v>3</v>
      </c>
    </row>
    <row r="219">
      <c r="A219" s="58" t="str">
        <f>IFERROR(__xludf.DUMMYFUNCTION("""COMPUTED_VALUE"""),"FACTIBILIDAD")</f>
        <v>FACTIBILIDAD</v>
      </c>
      <c r="B219" s="58" t="str">
        <f>IFERROR(__xludf.DUMMYFUNCTION("""COMPUTED_VALUE"""),"ESTUDIO DE FACTIBILIDAD PARA LA IMPLEMENTACIÓN DE UNA GRANJA AVÍCOLA DE CRIANZA DE PATOS")</f>
        <v>ESTUDIO DE FACTIBILIDAD PARA LA IMPLEMENTACIÓN DE UNA GRANJA AVÍCOLA DE CRIANZA DE PATOS</v>
      </c>
      <c r="C219" s="58">
        <f>IFERROR(__xludf.DUMMYFUNCTION("""COMPUTED_VALUE"""),6.0)</f>
        <v>6</v>
      </c>
    </row>
    <row r="220">
      <c r="A220" s="58" t="str">
        <f>IFERROR(__xludf.DUMMYFUNCTION("""COMPUTED_VALUE"""),"FACTIBILIDAD")</f>
        <v>FACTIBILIDAD</v>
      </c>
      <c r="B220" s="58" t="str">
        <f>IFERROR(__xludf.DUMMYFUNCTION("""COMPUTED_VALUE"""),"ESTUDIO DE FACTIBILIDAD PARA LA IMPLEMENTACIÓN DE UNA LÍNEA DE PRODUCCIÓN DE INFUSIONES EN BOLSITA DE HOJAS DE MORINDA CITRIFOLIA (NONI) PARA LA EMPRESA NONI HEALTH.")</f>
        <v>ESTUDIO DE FACTIBILIDAD PARA LA IMPLEMENTACIÓN DE UNA LÍNEA DE PRODUCCIÓN DE INFUSIONES EN BOLSITA DE HOJAS DE MORINDA CITRIFOLIA (NONI) PARA LA EMPRESA NONI HEALTH.</v>
      </c>
      <c r="C220" s="58">
        <f>IFERROR(__xludf.DUMMYFUNCTION("""COMPUTED_VALUE"""),2.0)</f>
        <v>2</v>
      </c>
    </row>
    <row r="221">
      <c r="A221" s="58" t="str">
        <f>IFERROR(__xludf.DUMMYFUNCTION("""COMPUTED_VALUE"""),"FACTIBILIDAD")</f>
        <v>FACTIBILIDAD</v>
      </c>
      <c r="B221" s="58" t="str">
        <f>IFERROR(__xludf.DUMMYFUNCTION("""COMPUTED_VALUE"""),"ESTUDIO DE FACTIBILIDAD PARA LA IMPLEMENTACIÓN DE UNA LÍNEA DE PRODUCCIÓN DE JABONES DE TOCADOR PARA LA EMPRESA INDUQUIN")</f>
        <v>ESTUDIO DE FACTIBILIDAD PARA LA IMPLEMENTACIÓN DE UNA LÍNEA DE PRODUCCIÓN DE JABONES DE TOCADOR PARA LA EMPRESA INDUQUIN</v>
      </c>
      <c r="C221" s="58">
        <f>IFERROR(__xludf.DUMMYFUNCTION("""COMPUTED_VALUE"""),14.0)</f>
        <v>14</v>
      </c>
    </row>
    <row r="222">
      <c r="A222" s="58" t="str">
        <f>IFERROR(__xludf.DUMMYFUNCTION("""COMPUTED_VALUE"""),"FACTIBILIDAD")</f>
        <v>FACTIBILIDAD</v>
      </c>
      <c r="B222" s="58" t="str">
        <f>IFERROR(__xludf.DUMMYFUNCTION("""COMPUTED_VALUE"""),"ESTUDIO DE FACTIBILIDAD PARA LA IMPLEMENTACIÓN DE UNA LÍNEA PRODUCTIVA DE SUCEDÁNEO DE JUGO DE LIMÓN PARA LA EMPRESA CORDILL S.A.")</f>
        <v>ESTUDIO DE FACTIBILIDAD PARA LA IMPLEMENTACIÓN DE UNA LÍNEA PRODUCTIVA DE SUCEDÁNEO DE JUGO DE LIMÓN PARA LA EMPRESA CORDILL S.A.</v>
      </c>
      <c r="C222" s="58">
        <f>IFERROR(__xludf.DUMMYFUNCTION("""COMPUTED_VALUE"""),1.0)</f>
        <v>1</v>
      </c>
    </row>
    <row r="223">
      <c r="A223" s="58" t="str">
        <f>IFERROR(__xludf.DUMMYFUNCTION("""COMPUTED_VALUE"""),"FACTIBILIDAD")</f>
        <v>FACTIBILIDAD</v>
      </c>
      <c r="B223" s="58" t="str">
        <f>IFERROR(__xludf.DUMMYFUNCTION("""COMPUTED_VALUE"""),"ESTUDIO DE FACTIBILIDAD PARA LA IMPLEMENTACIÓN DE UNA MICROEMPRESA DE CHOCOLATES ARTESANALES PARA LA ONG AYNI RUWAY")</f>
        <v>ESTUDIO DE FACTIBILIDAD PARA LA IMPLEMENTACIÓN DE UNA MICROEMPRESA DE CHOCOLATES ARTESANALES PARA LA ONG AYNI RUWAY</v>
      </c>
      <c r="C223" s="58">
        <f>IFERROR(__xludf.DUMMYFUNCTION("""COMPUTED_VALUE"""),1.0)</f>
        <v>1</v>
      </c>
    </row>
    <row r="224">
      <c r="A224" s="58" t="str">
        <f>IFERROR(__xludf.DUMMYFUNCTION("""COMPUTED_VALUE"""),"FACTIBILIDAD")</f>
        <v>FACTIBILIDAD</v>
      </c>
      <c r="B224" s="58" t="str">
        <f>IFERROR(__xludf.DUMMYFUNCTION("""COMPUTED_VALUE"""),"ESTUDIO DE FACTIBILIDAD PARA LA IMPLEMENTACIÓN DE UNA NUEVA PLANTA PRODUCTIVA CON CAPACIDAD 500.000 M2/MES DE CERAMICA COBOCE LTDA.")</f>
        <v>ESTUDIO DE FACTIBILIDAD PARA LA IMPLEMENTACIÓN DE UNA NUEVA PLANTA PRODUCTIVA CON CAPACIDAD 500.000 M2/MES DE CERAMICA COBOCE LTDA.</v>
      </c>
      <c r="C224" s="58">
        <f>IFERROR(__xludf.DUMMYFUNCTION("""COMPUTED_VALUE"""),6.0)</f>
        <v>6</v>
      </c>
    </row>
    <row r="225">
      <c r="A225" s="58" t="str">
        <f>IFERROR(__xludf.DUMMYFUNCTION("""COMPUTED_VALUE"""),"FACTIBILIDAD")</f>
        <v>FACTIBILIDAD</v>
      </c>
      <c r="B225" s="58" t="str">
        <f>IFERROR(__xludf.DUMMYFUNCTION("""COMPUTED_VALUE"""),"ESTUDIO DE FACTIBILIDAD PARA LA IMPLEMENTACIÓN DE UNA PLANTA   PROCESADORA DE PAPAS FRITAS Y PAPAS PREFRITAS CONGELADAS EN EL MUNICIPIO DE TOTORA")</f>
        <v>ESTUDIO DE FACTIBILIDAD PARA LA IMPLEMENTACIÓN DE UNA PLANTA   PROCESADORA DE PAPAS FRITAS Y PAPAS PREFRITAS CONGELADAS EN EL MUNICIPIO DE TOTORA</v>
      </c>
      <c r="C225" s="58">
        <f>IFERROR(__xludf.DUMMYFUNCTION("""COMPUTED_VALUE"""),3.0)</f>
        <v>3</v>
      </c>
    </row>
    <row r="226">
      <c r="A226" s="58" t="str">
        <f>IFERROR(__xludf.DUMMYFUNCTION("""COMPUTED_VALUE"""),"FACTIBILIDAD")</f>
        <v>FACTIBILIDAD</v>
      </c>
      <c r="B226" s="58" t="str">
        <f>IFERROR(__xludf.DUMMYFUNCTION("""COMPUTED_VALUE"""),"ESTUDIO DE FACTIBILIDAD PARA LA IMPLEMENTACIÓN DE UNA PLANTA  DE CONFECCIÓN TEXTIL “PANTALONES-JEANS”")</f>
        <v>ESTUDIO DE FACTIBILIDAD PARA LA IMPLEMENTACIÓN DE UNA PLANTA  DE CONFECCIÓN TEXTIL “PANTALONES-JEANS”</v>
      </c>
      <c r="C226" s="58">
        <f>IFERROR(__xludf.DUMMYFUNCTION("""COMPUTED_VALUE"""),5.0)</f>
        <v>5</v>
      </c>
    </row>
    <row r="227">
      <c r="A227" s="58" t="str">
        <f>IFERROR(__xludf.DUMMYFUNCTION("""COMPUTED_VALUE"""),"FACTIBILIDAD")</f>
        <v>FACTIBILIDAD</v>
      </c>
      <c r="B227" s="58" t="str">
        <f>IFERROR(__xludf.DUMMYFUNCTION("""COMPUTED_VALUE"""),"ESTUDIO DE FACTIBILIDAD PARA LA IMPLEMENTACIÓN DE UNA PLANTA DE BIODIGESTORES EN KARA KARA")</f>
        <v>ESTUDIO DE FACTIBILIDAD PARA LA IMPLEMENTACIÓN DE UNA PLANTA DE BIODIGESTORES EN KARA KARA</v>
      </c>
      <c r="C227" s="58">
        <f>IFERROR(__xludf.DUMMYFUNCTION("""COMPUTED_VALUE"""),1.0)</f>
        <v>1</v>
      </c>
    </row>
    <row r="228">
      <c r="A228" s="58" t="str">
        <f>IFERROR(__xludf.DUMMYFUNCTION("""COMPUTED_VALUE"""),"FACTIBILIDAD")</f>
        <v>FACTIBILIDAD</v>
      </c>
      <c r="B228" s="58" t="str">
        <f>IFERROR(__xludf.DUMMYFUNCTION("""COMPUTED_VALUE"""),"ESTUDIO DE FACTIBILIDAD PARA LA IMPLEMENTACIÓN DE UNA PLANTA DE CERVEZA ARTESANAL ENVASADA EN BARRILES EN COCHABAMBA")</f>
        <v>ESTUDIO DE FACTIBILIDAD PARA LA IMPLEMENTACIÓN DE UNA PLANTA DE CERVEZA ARTESANAL ENVASADA EN BARRILES EN COCHABAMBA</v>
      </c>
      <c r="C228" s="58">
        <f>IFERROR(__xludf.DUMMYFUNCTION("""COMPUTED_VALUE"""),5.0)</f>
        <v>5</v>
      </c>
    </row>
    <row r="229">
      <c r="A229" s="58" t="str">
        <f>IFERROR(__xludf.DUMMYFUNCTION("""COMPUTED_VALUE"""),"FACTIBILIDAD")</f>
        <v>FACTIBILIDAD</v>
      </c>
      <c r="B229" s="58" t="str">
        <f>IFERROR(__xludf.DUMMYFUNCTION("""COMPUTED_VALUE"""),"ESTUDIO DE FACTIBILIDAD PARA LA IMPLEMENTACIÓN DE UNA PLANTA DE EMPAQUES PLÁSTICOS BIODEGRADABLES")</f>
        <v>ESTUDIO DE FACTIBILIDAD PARA LA IMPLEMENTACIÓN DE UNA PLANTA DE EMPAQUES PLÁSTICOS BIODEGRADABLES</v>
      </c>
      <c r="C229" s="58">
        <f>IFERROR(__xludf.DUMMYFUNCTION("""COMPUTED_VALUE"""),3.0)</f>
        <v>3</v>
      </c>
    </row>
    <row r="230">
      <c r="A230" s="58" t="str">
        <f>IFERROR(__xludf.DUMMYFUNCTION("""COMPUTED_VALUE"""),"FACTIBILIDAD")</f>
        <v>FACTIBILIDAD</v>
      </c>
      <c r="B230" s="58" t="str">
        <f>IFERROR(__xludf.DUMMYFUNCTION("""COMPUTED_VALUE"""),"ESTUDIO DE FACTIBILIDAD PARA LA IMPLEMENTACIÓN DE UNA PLANTA DE FABRICACIÓN DE TUBOS PET A PARTIR DE MATERIAL RECICLABLE EN LA CIUDAD DE COCHABAMBA PARA LA EMPRESA TERMOPLASTIC S.R.L")</f>
        <v>ESTUDIO DE FACTIBILIDAD PARA LA IMPLEMENTACIÓN DE UNA PLANTA DE FABRICACIÓN DE TUBOS PET A PARTIR DE MATERIAL RECICLABLE EN LA CIUDAD DE COCHABAMBA PARA LA EMPRESA TERMOPLASTIC S.R.L</v>
      </c>
      <c r="C230" s="58">
        <f>IFERROR(__xludf.DUMMYFUNCTION("""COMPUTED_VALUE"""),4.0)</f>
        <v>4</v>
      </c>
    </row>
    <row r="231">
      <c r="A231" s="58" t="str">
        <f>IFERROR(__xludf.DUMMYFUNCTION("""COMPUTED_VALUE"""),"FACTIBILIDAD")</f>
        <v>FACTIBILIDAD</v>
      </c>
      <c r="B231" s="58" t="str">
        <f>IFERROR(__xludf.DUMMYFUNCTION("""COMPUTED_VALUE"""),"ESTUDIO DE FACTIBILIDAD PARA LA IMPLEMENTACIÓN DE UNA PLANTA DE JABÓN LÍQUIDO")</f>
        <v>ESTUDIO DE FACTIBILIDAD PARA LA IMPLEMENTACIÓN DE UNA PLANTA DE JABÓN LÍQUIDO</v>
      </c>
      <c r="C231" s="58">
        <f>IFERROR(__xludf.DUMMYFUNCTION("""COMPUTED_VALUE"""),6.0)</f>
        <v>6</v>
      </c>
    </row>
    <row r="232">
      <c r="A232" s="58" t="str">
        <f>IFERROR(__xludf.DUMMYFUNCTION("""COMPUTED_VALUE"""),"FACTIBILIDAD")</f>
        <v>FACTIBILIDAD</v>
      </c>
      <c r="B232" s="58" t="str">
        <f>IFERROR(__xludf.DUMMYFUNCTION("""COMPUTED_VALUE"""),"ESTUDIO DE FACTIBILIDAD PARA LA IMPLEMENTACIÓN DE UNA PLANTA DE PROCESAMIENTO Y COMERCIALIZACIÓN DE HARINA INSTANTÁNEA PARA REFRESCO DE LINAZA")</f>
        <v>ESTUDIO DE FACTIBILIDAD PARA LA IMPLEMENTACIÓN DE UNA PLANTA DE PROCESAMIENTO Y COMERCIALIZACIÓN DE HARINA INSTANTÁNEA PARA REFRESCO DE LINAZA</v>
      </c>
      <c r="C232" s="58">
        <f>IFERROR(__xludf.DUMMYFUNCTION("""COMPUTED_VALUE"""),3.0)</f>
        <v>3</v>
      </c>
    </row>
    <row r="233">
      <c r="A233" s="58" t="str">
        <f>IFERROR(__xludf.DUMMYFUNCTION("""COMPUTED_VALUE"""),"FACTIBILIDAD")</f>
        <v>FACTIBILIDAD</v>
      </c>
      <c r="B233" s="58" t="str">
        <f>IFERROR(__xludf.DUMMYFUNCTION("""COMPUTED_VALUE"""),"ESTUDIO DE FACTIBILIDAD PARA LA IMPLEMENTACIÓN DE UNA PLANTA DE PRODUCCIÓN DE SACOS MULTIPLIEGOS PARA LOS PRODUCTOS DE COBOCE I R P A I R P A")</f>
        <v>ESTUDIO DE FACTIBILIDAD PARA LA IMPLEMENTACIÓN DE UNA PLANTA DE PRODUCCIÓN DE SACOS MULTIPLIEGOS PARA LOS PRODUCTOS DE COBOCE I R P A I R P A</v>
      </c>
      <c r="C233" s="58">
        <f>IFERROR(__xludf.DUMMYFUNCTION("""COMPUTED_VALUE"""),1.0)</f>
        <v>1</v>
      </c>
    </row>
    <row r="234">
      <c r="A234" s="58" t="str">
        <f>IFERROR(__xludf.DUMMYFUNCTION("""COMPUTED_VALUE"""),"FACTIBILIDAD")</f>
        <v>FACTIBILIDAD</v>
      </c>
      <c r="B234" s="58" t="str">
        <f>IFERROR(__xludf.DUMMYFUNCTION("""COMPUTED_VALUE"""),"ESTUDIO DE FACTIBILIDAD PARA LA IMPLEMENTACIÓN DE UNA PLANTA DE PRODUCCIÓN DE YOGUR MIX CON GRANOLA")</f>
        <v>ESTUDIO DE FACTIBILIDAD PARA LA IMPLEMENTACIÓN DE UNA PLANTA DE PRODUCCIÓN DE YOGUR MIX CON GRANOLA</v>
      </c>
      <c r="C234" s="58">
        <f>IFERROR(__xludf.DUMMYFUNCTION("""COMPUTED_VALUE"""),1.0)</f>
        <v>1</v>
      </c>
    </row>
    <row r="235">
      <c r="A235" s="58" t="str">
        <f>IFERROR(__xludf.DUMMYFUNCTION("""COMPUTED_VALUE"""),"FACTIBILIDAD")</f>
        <v>FACTIBILIDAD</v>
      </c>
      <c r="B235" s="58" t="str">
        <f>IFERROR(__xludf.DUMMYFUNCTION("""COMPUTED_VALUE"""),"ESTUDIO DE FACTIBILIDAD PARA LA IMPLEMENTACIÓN DE UNA PLANTA DESHIDRATADORA DE HABA DESTINADA PARA LA EXPORTACIÓN")</f>
        <v>ESTUDIO DE FACTIBILIDAD PARA LA IMPLEMENTACIÓN DE UNA PLANTA DESHIDRATADORA DE HABA DESTINADA PARA LA EXPORTACIÓN</v>
      </c>
      <c r="C235" s="58">
        <f>IFERROR(__xludf.DUMMYFUNCTION("""COMPUTED_VALUE"""),1.0)</f>
        <v>1</v>
      </c>
    </row>
    <row r="236">
      <c r="A236" s="58" t="str">
        <f>IFERROR(__xludf.DUMMYFUNCTION("""COMPUTED_VALUE"""),"FACTIBILIDAD")</f>
        <v>FACTIBILIDAD</v>
      </c>
      <c r="B236" s="58" t="str">
        <f>IFERROR(__xludf.DUMMYFUNCTION("""COMPUTED_VALUE"""),"ESTUDIO DE FACTIBILIDAD PARA LA IMPLEMENTACIÓN DE UNA PLANTA EXTRACTORA DE ACEITE EXTRA VIRGEN DE SACHA INCHI EN IVIRGARZAMA")</f>
        <v>ESTUDIO DE FACTIBILIDAD PARA LA IMPLEMENTACIÓN DE UNA PLANTA EXTRACTORA DE ACEITE EXTRA VIRGEN DE SACHA INCHI EN IVIRGARZAMA</v>
      </c>
      <c r="C236" s="58">
        <f>IFERROR(__xludf.DUMMYFUNCTION("""COMPUTED_VALUE"""),3.0)</f>
        <v>3</v>
      </c>
    </row>
    <row r="237">
      <c r="A237" s="58" t="str">
        <f>IFERROR(__xludf.DUMMYFUNCTION("""COMPUTED_VALUE"""),"FACTIBILIDAD")</f>
        <v>FACTIBILIDAD</v>
      </c>
      <c r="B237" s="58" t="str">
        <f>IFERROR(__xludf.DUMMYFUNCTION("""COMPUTED_VALUE"""),"ESTUDIO DE FACTIBILIDAD PARA LA IMPLEMENTACIÓN DE UNA PLANTA INDUSTRIAL DE HUEVO LÍQUIDO PASTEURIZADO EN AVÍCOLA ROLÓN")</f>
        <v>ESTUDIO DE FACTIBILIDAD PARA LA IMPLEMENTACIÓN DE UNA PLANTA INDUSTRIAL DE HUEVO LÍQUIDO PASTEURIZADO EN AVÍCOLA ROLÓN</v>
      </c>
      <c r="C237" s="58">
        <f>IFERROR(__xludf.DUMMYFUNCTION("""COMPUTED_VALUE"""),3.0)</f>
        <v>3</v>
      </c>
    </row>
    <row r="238">
      <c r="A238" s="58" t="str">
        <f>IFERROR(__xludf.DUMMYFUNCTION("""COMPUTED_VALUE"""),"FACTIBILIDAD")</f>
        <v>FACTIBILIDAD</v>
      </c>
      <c r="B238" s="58" t="str">
        <f>IFERROR(__xludf.DUMMYFUNCTION("""COMPUTED_VALUE"""),"ESTUDIO DE FACTIBILIDAD PARA LA IMPLEMENTACIÓN DE UNA PLANTA INDUSTRIAL DE LECHE DE QUINUA.")</f>
        <v>ESTUDIO DE FACTIBILIDAD PARA LA IMPLEMENTACIÓN DE UNA PLANTA INDUSTRIAL DE LECHE DE QUINUA.</v>
      </c>
      <c r="C238" s="58">
        <f>IFERROR(__xludf.DUMMYFUNCTION("""COMPUTED_VALUE"""),2.0)</f>
        <v>2</v>
      </c>
    </row>
    <row r="239">
      <c r="A239" s="58" t="str">
        <f>IFERROR(__xludf.DUMMYFUNCTION("""COMPUTED_VALUE"""),"FACTIBILIDAD")</f>
        <v>FACTIBILIDAD</v>
      </c>
      <c r="B239" s="58" t="str">
        <f>IFERROR(__xludf.DUMMYFUNCTION("""COMPUTED_VALUE"""),"ESTUDIO DE FACTIBILIDAD PARA LA IMPLEMENTACIÓN DE UNA PLANTA INDUSTRIAL DE LECHE DE TARWI, DIRIGIDO AL MERCADO DE COCHABAMBA.")</f>
        <v>ESTUDIO DE FACTIBILIDAD PARA LA IMPLEMENTACIÓN DE UNA PLANTA INDUSTRIAL DE LECHE DE TARWI, DIRIGIDO AL MERCADO DE COCHABAMBA.</v>
      </c>
      <c r="C239" s="58">
        <f>IFERROR(__xludf.DUMMYFUNCTION("""COMPUTED_VALUE"""),4.0)</f>
        <v>4</v>
      </c>
    </row>
    <row r="240">
      <c r="A240" s="58" t="str">
        <f>IFERROR(__xludf.DUMMYFUNCTION("""COMPUTED_VALUE"""),"FACTIBILIDAD")</f>
        <v>FACTIBILIDAD</v>
      </c>
      <c r="B240" s="58" t="str">
        <f>IFERROR(__xludf.DUMMYFUNCTION("""COMPUTED_VALUE"""),"ESTUDIO DE FACTIBILIDAD PARA LA IMPLEMENTACIÓN DE UNA PLANTA INDUSTRIAL DE PAPAS FRITAS CHIPS DESARROLLANDO U SISTEMA DE BUENA PRÁCTICAS DE MANUFACTURA")</f>
        <v>ESTUDIO DE FACTIBILIDAD PARA LA IMPLEMENTACIÓN DE UNA PLANTA INDUSTRIAL DE PAPAS FRITAS CHIPS DESARROLLANDO U SISTEMA DE BUENA PRÁCTICAS DE MANUFACTURA</v>
      </c>
      <c r="C240" s="58">
        <f>IFERROR(__xludf.DUMMYFUNCTION("""COMPUTED_VALUE"""),4.0)</f>
        <v>4</v>
      </c>
    </row>
    <row r="241">
      <c r="A241" s="58" t="str">
        <f>IFERROR(__xludf.DUMMYFUNCTION("""COMPUTED_VALUE"""),"FACTIBILIDAD")</f>
        <v>FACTIBILIDAD</v>
      </c>
      <c r="B241" s="58" t="str">
        <f>IFERROR(__xludf.DUMMYFUNCTION("""COMPUTED_VALUE"""),"ESTUDIO DE FACTIBILIDAD PARA LA IMPLEMENTACIÓN DE UNA PLANTA INDUSTRIAL PARA LA EMPRESA KORIGOMA LTDA.")</f>
        <v>ESTUDIO DE FACTIBILIDAD PARA LA IMPLEMENTACIÓN DE UNA PLANTA INDUSTRIAL PARA LA EMPRESA KORIGOMA LTDA.</v>
      </c>
      <c r="C241" s="58">
        <f>IFERROR(__xludf.DUMMYFUNCTION("""COMPUTED_VALUE"""),1.0)</f>
        <v>1</v>
      </c>
    </row>
    <row r="242">
      <c r="A242" s="58" t="str">
        <f>IFERROR(__xludf.DUMMYFUNCTION("""COMPUTED_VALUE"""),"FACTIBILIDAD")</f>
        <v>FACTIBILIDAD</v>
      </c>
      <c r="B242" s="58" t="str">
        <f>IFERROR(__xludf.DUMMYFUNCTION("""COMPUTED_VALUE"""),"ESTUDIO DE FACTIBILIDAD PARA LA IMPLEMENTACIÓN DE UNA PLANTA INDUSTRIALIZADORA DE LECHE PARA LA ASOCIACIÓN DEPARTAMENTAL DE PRODUCTORES LECHEROS DE COCHABAMBA “ADEPLEC”")</f>
        <v>ESTUDIO DE FACTIBILIDAD PARA LA IMPLEMENTACIÓN DE UNA PLANTA INDUSTRIALIZADORA DE LECHE PARA LA ASOCIACIÓN DEPARTAMENTAL DE PRODUCTORES LECHEROS DE COCHABAMBA “ADEPLEC”</v>
      </c>
      <c r="C242" s="58">
        <f>IFERROR(__xludf.DUMMYFUNCTION("""COMPUTED_VALUE"""),1.0)</f>
        <v>1</v>
      </c>
    </row>
    <row r="243">
      <c r="A243" s="58" t="str">
        <f>IFERROR(__xludf.DUMMYFUNCTION("""COMPUTED_VALUE"""),"FACTIBILIDAD")</f>
        <v>FACTIBILIDAD</v>
      </c>
      <c r="B243" s="58" t="str">
        <f>IFERROR(__xludf.DUMMYFUNCTION("""COMPUTED_VALUE"""),"ESTUDIO DE FACTIBILIDAD PARA LA IMPLEMENTACIÓN DE UNA PLANTA INDUSTRIALIZADORA DE LECHE VEGETAL EN COCHABAMBA")</f>
        <v>ESTUDIO DE FACTIBILIDAD PARA LA IMPLEMENTACIÓN DE UNA PLANTA INDUSTRIALIZADORA DE LECHE VEGETAL EN COCHABAMBA</v>
      </c>
      <c r="C243" s="58">
        <f>IFERROR(__xludf.DUMMYFUNCTION("""COMPUTED_VALUE"""),6.0)</f>
        <v>6</v>
      </c>
    </row>
    <row r="244">
      <c r="A244" s="58" t="str">
        <f>IFERROR(__xludf.DUMMYFUNCTION("""COMPUTED_VALUE"""),"FACTIBILIDAD")</f>
        <v>FACTIBILIDAD</v>
      </c>
      <c r="B244" s="58" t="str">
        <f>IFERROR(__xludf.DUMMYFUNCTION("""COMPUTED_VALUE"""),"ESTUDIO DE FACTIBILIDAD PARA LA IMPLEMENTACIÓN DE UNA PLANTA INDUSTRIALIZADORA DE MANZANA EN ALMÍBAR EN EL VALLE ALTO DE COCHABAMBA.")</f>
        <v>ESTUDIO DE FACTIBILIDAD PARA LA IMPLEMENTACIÓN DE UNA PLANTA INDUSTRIALIZADORA DE MANZANA EN ALMÍBAR EN EL VALLE ALTO DE COCHABAMBA.</v>
      </c>
      <c r="C244" s="58">
        <f>IFERROR(__xludf.DUMMYFUNCTION("""COMPUTED_VALUE"""),2.0)</f>
        <v>2</v>
      </c>
    </row>
    <row r="245">
      <c r="A245" s="58" t="str">
        <f>IFERROR(__xludf.DUMMYFUNCTION("""COMPUTED_VALUE"""),"FACTIBILIDAD")</f>
        <v>FACTIBILIDAD</v>
      </c>
      <c r="B245" s="58" t="str">
        <f>IFERROR(__xludf.DUMMYFUNCTION("""COMPUTED_VALUE"""),"ESTUDIO DE FACTIBILIDAD PARA LA IMPLEMENTACIÓN DE UNA PLANTA PARA LA ELABORACIÓN DE PASTAS EN BASE A TRIGO QUINUA Y MAÍZ EN LA CIUDAD DE COCHABAMBA.")</f>
        <v>ESTUDIO DE FACTIBILIDAD PARA LA IMPLEMENTACIÓN DE UNA PLANTA PARA LA ELABORACIÓN DE PASTAS EN BASE A TRIGO QUINUA Y MAÍZ EN LA CIUDAD DE COCHABAMBA.</v>
      </c>
      <c r="C245" s="58">
        <f>IFERROR(__xludf.DUMMYFUNCTION("""COMPUTED_VALUE"""),5.0)</f>
        <v>5</v>
      </c>
    </row>
    <row r="246">
      <c r="A246" s="58" t="str">
        <f>IFERROR(__xludf.DUMMYFUNCTION("""COMPUTED_VALUE"""),"FACTIBILIDAD")</f>
        <v>FACTIBILIDAD</v>
      </c>
      <c r="B246" s="58" t="str">
        <f>IFERROR(__xludf.DUMMYFUNCTION("""COMPUTED_VALUE"""),"ESTUDIO DE FACTIBILIDAD PARA LA IMPLEMENTACIÓN DE UNA PLANTA PILOTO DE FIAMBRES Y EMBUTIDOS PARA LA CARRERA DE INGENIERÍA DE ALIMENTOS DE LA UMSS.")</f>
        <v>ESTUDIO DE FACTIBILIDAD PARA LA IMPLEMENTACIÓN DE UNA PLANTA PILOTO DE FIAMBRES Y EMBUTIDOS PARA LA CARRERA DE INGENIERÍA DE ALIMENTOS DE LA UMSS.</v>
      </c>
      <c r="C246" s="58">
        <f>IFERROR(__xludf.DUMMYFUNCTION("""COMPUTED_VALUE"""),1.0)</f>
        <v>1</v>
      </c>
    </row>
    <row r="247">
      <c r="A247" s="58" t="str">
        <f>IFERROR(__xludf.DUMMYFUNCTION("""COMPUTED_VALUE"""),"FACTIBILIDAD")</f>
        <v>FACTIBILIDAD</v>
      </c>
      <c r="B247" s="58" t="str">
        <f>IFERROR(__xludf.DUMMYFUNCTION("""COMPUTED_VALUE"""),"ESTUDIO DE FACTIBILIDAD PARA LA IMPLEMENTACIÓN DE UNA PLANTA PROCESADORA DE ACEITE DE MANÍ EN LA LOCALIDAD DE MIZQUE")</f>
        <v>ESTUDIO DE FACTIBILIDAD PARA LA IMPLEMENTACIÓN DE UNA PLANTA PROCESADORA DE ACEITE DE MANÍ EN LA LOCALIDAD DE MIZQUE</v>
      </c>
      <c r="C247" s="58">
        <f>IFERROR(__xludf.DUMMYFUNCTION("""COMPUTED_VALUE"""),8.0)</f>
        <v>8</v>
      </c>
    </row>
    <row r="248">
      <c r="A248" s="58" t="str">
        <f>IFERROR(__xludf.DUMMYFUNCTION("""COMPUTED_VALUE"""),"FACTIBILIDAD")</f>
        <v>FACTIBILIDAD</v>
      </c>
      <c r="B248" s="58" t="str">
        <f>IFERROR(__xludf.DUMMYFUNCTION("""COMPUTED_VALUE"""),"ESTUDIO DE FACTIBILIDAD PARA LA IMPLEMENTACIÓN DE UNA PLANTA PROCESADORA DE ASFALTO MODIFICADO A BASE DE POLÍMERO EN LA CIUDAD DE COCHABAMBA")</f>
        <v>ESTUDIO DE FACTIBILIDAD PARA LA IMPLEMENTACIÓN DE UNA PLANTA PROCESADORA DE ASFALTO MODIFICADO A BASE DE POLÍMERO EN LA CIUDAD DE COCHABAMBA</v>
      </c>
      <c r="C248" s="58">
        <f>IFERROR(__xludf.DUMMYFUNCTION("""COMPUTED_VALUE"""),2.0)</f>
        <v>2</v>
      </c>
    </row>
    <row r="249">
      <c r="A249" s="58" t="str">
        <f>IFERROR(__xludf.DUMMYFUNCTION("""COMPUTED_VALUE"""),"FACTIBILIDAD")</f>
        <v>FACTIBILIDAD</v>
      </c>
      <c r="B249" s="58" t="str">
        <f>IFERROR(__xludf.DUMMYFUNCTION("""COMPUTED_VALUE"""),"ESTUDIO DE FACTIBILIDAD PARA LA IMPLEMENTACIÓN DE UNA PLANTA PROCESADORA DE HOJUELAS A BASE DE GRANO ANDINO (CAÑAHUA)")</f>
        <v>ESTUDIO DE FACTIBILIDAD PARA LA IMPLEMENTACIÓN DE UNA PLANTA PROCESADORA DE HOJUELAS A BASE DE GRANO ANDINO (CAÑAHUA)</v>
      </c>
      <c r="C249" s="58">
        <f>IFERROR(__xludf.DUMMYFUNCTION("""COMPUTED_VALUE"""),5.0)</f>
        <v>5</v>
      </c>
    </row>
    <row r="250">
      <c r="A250" s="58" t="str">
        <f>IFERROR(__xludf.DUMMYFUNCTION("""COMPUTED_VALUE"""),"FACTIBILIDAD")</f>
        <v>FACTIBILIDAD</v>
      </c>
      <c r="B250" s="58" t="str">
        <f>IFERROR(__xludf.DUMMYFUNCTION("""COMPUTED_VALUE"""),"ESTUDIO DE FACTIBILIDAD PARA LA IMPLEMENTACIÓN DE UNA PLANTA PROCESADORA DE JUGO DE CAÑA DE AZÚCAR EN EL DEPARTAMENTO DE COCHABAMBA")</f>
        <v>ESTUDIO DE FACTIBILIDAD PARA LA IMPLEMENTACIÓN DE UNA PLANTA PROCESADORA DE JUGO DE CAÑA DE AZÚCAR EN EL DEPARTAMENTO DE COCHABAMBA</v>
      </c>
      <c r="C250" s="58">
        <f>IFERROR(__xludf.DUMMYFUNCTION("""COMPUTED_VALUE"""),1.0)</f>
        <v>1</v>
      </c>
    </row>
    <row r="251">
      <c r="A251" s="58" t="str">
        <f>IFERROR(__xludf.DUMMYFUNCTION("""COMPUTED_VALUE"""),"FACTIBILIDAD")</f>
        <v>FACTIBILIDAD</v>
      </c>
      <c r="B251" s="58" t="str">
        <f>IFERROR(__xludf.DUMMYFUNCTION("""COMPUTED_VALUE"""),"ESTUDIO DE FACTIBILIDAD PARA LA IMPLEMENTACIÓN DE UNA PLANTA PROCESADORA DE LECHE DE MANÍ EN EL DEPARTAMENTO DE COCHABAMBA")</f>
        <v>ESTUDIO DE FACTIBILIDAD PARA LA IMPLEMENTACIÓN DE UNA PLANTA PROCESADORA DE LECHE DE MANÍ EN EL DEPARTAMENTO DE COCHABAMBA</v>
      </c>
      <c r="C251" s="58">
        <f>IFERROR(__xludf.DUMMYFUNCTION("""COMPUTED_VALUE"""),2.0)</f>
        <v>2</v>
      </c>
    </row>
    <row r="252">
      <c r="A252" s="58" t="str">
        <f>IFERROR(__xludf.DUMMYFUNCTION("""COMPUTED_VALUE"""),"FACTIBILIDAD")</f>
        <v>FACTIBILIDAD</v>
      </c>
      <c r="B252" s="58" t="str">
        <f>IFERROR(__xludf.DUMMYFUNCTION("""COMPUTED_VALUE"""),"ESTUDIO DE FACTIBILIDAD PARA LA IMPLEMENTACIÓN DE UNA PLANTA PROCESADORA DE LECHE VEGETAL A BASE DE ALMENDRAS EN EL DEPARTAMENTO DE COCHABAMBA.")</f>
        <v>ESTUDIO DE FACTIBILIDAD PARA LA IMPLEMENTACIÓN DE UNA PLANTA PROCESADORA DE LECHE VEGETAL A BASE DE ALMENDRAS EN EL DEPARTAMENTO DE COCHABAMBA.</v>
      </c>
      <c r="C252" s="58">
        <f>IFERROR(__xludf.DUMMYFUNCTION("""COMPUTED_VALUE"""),6.0)</f>
        <v>6</v>
      </c>
    </row>
    <row r="253">
      <c r="A253" s="58" t="str">
        <f>IFERROR(__xludf.DUMMYFUNCTION("""COMPUTED_VALUE"""),"FACTIBILIDAD")</f>
        <v>FACTIBILIDAD</v>
      </c>
      <c r="B253" s="58" t="str">
        <f>IFERROR(__xludf.DUMMYFUNCTION("""COMPUTED_VALUE"""),"ESTUDIO DE FACTIBILIDAD PARA LA IMPLEMENTACIÓN DE UNA PLANTA PROCESADORA DE LECHE, YOGURT Y QUESO EN LA PROVINCIA DE CAPINOTA")</f>
        <v>ESTUDIO DE FACTIBILIDAD PARA LA IMPLEMENTACIÓN DE UNA PLANTA PROCESADORA DE LECHE, YOGURT Y QUESO EN LA PROVINCIA DE CAPINOTA</v>
      </c>
      <c r="C253" s="58">
        <f>IFERROR(__xludf.DUMMYFUNCTION("""COMPUTED_VALUE"""),9.0)</f>
        <v>9</v>
      </c>
    </row>
    <row r="254">
      <c r="A254" s="58" t="str">
        <f>IFERROR(__xludf.DUMMYFUNCTION("""COMPUTED_VALUE"""),"FACTIBILIDAD")</f>
        <v>FACTIBILIDAD</v>
      </c>
      <c r="B254" s="58" t="str">
        <f>IFERROR(__xludf.DUMMYFUNCTION("""COMPUTED_VALUE"""),"ESTUDIO DE FACTIBILIDAD PARA LA IMPLEMENTACIÓN DE UNA PLANTA PROCESADORA DE MANTEQUILLA CON CANELA Y MIEL PARA COCHABAMBA.")</f>
        <v>ESTUDIO DE FACTIBILIDAD PARA LA IMPLEMENTACIÓN DE UNA PLANTA PROCESADORA DE MANTEQUILLA CON CANELA Y MIEL PARA COCHABAMBA.</v>
      </c>
      <c r="C254" s="58">
        <f>IFERROR(__xludf.DUMMYFUNCTION("""COMPUTED_VALUE"""),2.0)</f>
        <v>2</v>
      </c>
    </row>
    <row r="255">
      <c r="A255" s="58" t="str">
        <f>IFERROR(__xludf.DUMMYFUNCTION("""COMPUTED_VALUE"""),"FACTIBILIDAD")</f>
        <v>FACTIBILIDAD</v>
      </c>
      <c r="B255" s="58" t="str">
        <f>IFERROR(__xludf.DUMMYFUNCTION("""COMPUTED_VALUE"""),"ESTUDIO DE FACTIBILIDAD PARA LA IMPLEMENTACIÓN DE UNA PLANTA PROCESADORA DE PAPAS PREFRITAS CONGELADAS")</f>
        <v>ESTUDIO DE FACTIBILIDAD PARA LA IMPLEMENTACIÓN DE UNA PLANTA PROCESADORA DE PAPAS PREFRITAS CONGELADAS</v>
      </c>
      <c r="C255" s="58">
        <f>IFERROR(__xludf.DUMMYFUNCTION("""COMPUTED_VALUE"""),6.0)</f>
        <v>6</v>
      </c>
    </row>
    <row r="256">
      <c r="A256" s="58" t="str">
        <f>IFERROR(__xludf.DUMMYFUNCTION("""COMPUTED_VALUE"""),"FACTIBILIDAD")</f>
        <v>FACTIBILIDAD</v>
      </c>
      <c r="B256" s="58" t="str">
        <f>IFERROR(__xludf.DUMMYFUNCTION("""COMPUTED_VALUE"""),"ESTUDIO DE FACTIBILIDAD PARA LA IMPLEMENTACIÓN DE UNA PLANTA PROCESADORA DE PLÁSTICOS BIODEGRADABLES A PARTIR DEL MICROORGANISMO HALOMONAS BOLIVIENSIS EN EL DEPARTAMENTO DE COCHABAMBA")</f>
        <v>ESTUDIO DE FACTIBILIDAD PARA LA IMPLEMENTACIÓN DE UNA PLANTA PROCESADORA DE PLÁSTICOS BIODEGRADABLES A PARTIR DEL MICROORGANISMO HALOMONAS BOLIVIENSIS EN EL DEPARTAMENTO DE COCHABAMBA</v>
      </c>
      <c r="C256" s="58">
        <f>IFERROR(__xludf.DUMMYFUNCTION("""COMPUTED_VALUE"""),3.0)</f>
        <v>3</v>
      </c>
    </row>
    <row r="257">
      <c r="A257" s="58" t="str">
        <f>IFERROR(__xludf.DUMMYFUNCTION("""COMPUTED_VALUE"""),"FACTIBILIDAD")</f>
        <v>FACTIBILIDAD</v>
      </c>
      <c r="B257" s="58" t="str">
        <f>IFERROR(__xludf.DUMMYFUNCTION("""COMPUTED_VALUE"""),"ESTUDIO DE FACTIBILIDAD PARA LA IMPLEMENTACIÓN DE UNA PLANTA PROCESADORA DE PULPA DE TUMBO EN EL DEPARTAMENTO DE COCHABAMBA.")</f>
        <v>ESTUDIO DE FACTIBILIDAD PARA LA IMPLEMENTACIÓN DE UNA PLANTA PROCESADORA DE PULPA DE TUMBO EN EL DEPARTAMENTO DE COCHABAMBA.</v>
      </c>
      <c r="C257" s="58">
        <f>IFERROR(__xludf.DUMMYFUNCTION("""COMPUTED_VALUE"""),1.0)</f>
        <v>1</v>
      </c>
    </row>
    <row r="258">
      <c r="A258" s="58" t="str">
        <f>IFERROR(__xludf.DUMMYFUNCTION("""COMPUTED_VALUE"""),"FACTIBILIDAD")</f>
        <v>FACTIBILIDAD</v>
      </c>
      <c r="B258" s="58" t="str">
        <f>IFERROR(__xludf.DUMMYFUNCTION("""COMPUTED_VALUE"""),"ESTUDIO DE FACTIBILIDAD PARA LA IMPLEMENTACIÓN DE UNA PLANTA PROCESADORA DE SALSA DE LOCOTO EN EL DEPARTAMENTO DE COCHABAMBA")</f>
        <v>ESTUDIO DE FACTIBILIDAD PARA LA IMPLEMENTACIÓN DE UNA PLANTA PROCESADORA DE SALSA DE LOCOTO EN EL DEPARTAMENTO DE COCHABAMBA</v>
      </c>
      <c r="C258" s="58">
        <f>IFERROR(__xludf.DUMMYFUNCTION("""COMPUTED_VALUE"""),2.0)</f>
        <v>2</v>
      </c>
    </row>
    <row r="259">
      <c r="A259" s="58" t="str">
        <f>IFERROR(__xludf.DUMMYFUNCTION("""COMPUTED_VALUE"""),"FACTIBILIDAD")</f>
        <v>FACTIBILIDAD</v>
      </c>
      <c r="B259" s="58" t="str">
        <f>IFERROR(__xludf.DUMMYFUNCTION("""COMPUTED_VALUE"""),"ESTUDIO DE FACTIBILIDAD PARA LA IMPLEMENTACIÓN DE UNA PLANTA PROCESADORA DE YOGURT ESTILO GRIEGO CON VEGETALES Y FRUTAS EN LA PROVINCIA CERCADO DEL DEPARTAMENTO DE COCHABAMBA")</f>
        <v>ESTUDIO DE FACTIBILIDAD PARA LA IMPLEMENTACIÓN DE UNA PLANTA PROCESADORA DE YOGURT ESTILO GRIEGO CON VEGETALES Y FRUTAS EN LA PROVINCIA CERCADO DEL DEPARTAMENTO DE COCHABAMBA</v>
      </c>
      <c r="C259" s="58">
        <f>IFERROR(__xludf.DUMMYFUNCTION("""COMPUTED_VALUE"""),9.0)</f>
        <v>9</v>
      </c>
    </row>
    <row r="260">
      <c r="A260" s="58" t="str">
        <f>IFERROR(__xludf.DUMMYFUNCTION("""COMPUTED_VALUE"""),"FACTIBILIDAD")</f>
        <v>FACTIBILIDAD</v>
      </c>
      <c r="B260" s="58" t="str">
        <f>IFERROR(__xludf.DUMMYFUNCTION("""COMPUTED_VALUE"""),"ESTUDIO DE FACTIBILIDAD PARA LA IMPLEMENTACIÓN DE UNA PLANTA PRODUCTORA DE ABONO EN BASE A RESIDUOS ORGANICOS DEL DISTRITO 3 DE LA CIUDAD DE CERCADO")</f>
        <v>ESTUDIO DE FACTIBILIDAD PARA LA IMPLEMENTACIÓN DE UNA PLANTA PRODUCTORA DE ABONO EN BASE A RESIDUOS ORGANICOS DEL DISTRITO 3 DE LA CIUDAD DE CERCADO</v>
      </c>
      <c r="C260" s="58">
        <f>IFERROR(__xludf.DUMMYFUNCTION("""COMPUTED_VALUE"""),1.0)</f>
        <v>1</v>
      </c>
    </row>
    <row r="261">
      <c r="A261" s="58" t="str">
        <f>IFERROR(__xludf.DUMMYFUNCTION("""COMPUTED_VALUE"""),"FACTIBILIDAD")</f>
        <v>FACTIBILIDAD</v>
      </c>
      <c r="B261"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C261" s="58">
        <f>IFERROR(__xludf.DUMMYFUNCTION("""COMPUTED_VALUE"""),1.0)</f>
        <v>1</v>
      </c>
    </row>
    <row r="262">
      <c r="A262" s="58" t="str">
        <f>IFERROR(__xludf.DUMMYFUNCTION("""COMPUTED_VALUE"""),"FACTIBILIDAD")</f>
        <v>FACTIBILIDAD</v>
      </c>
      <c r="B262"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C262" s="58">
        <f>IFERROR(__xludf.DUMMYFUNCTION("""COMPUTED_VALUE"""),3.0)</f>
        <v>3</v>
      </c>
    </row>
    <row r="263">
      <c r="A263" s="58" t="str">
        <f>IFERROR(__xludf.DUMMYFUNCTION("""COMPUTED_VALUE"""),"FACTIBILIDAD")</f>
        <v>FACTIBILIDAD</v>
      </c>
      <c r="B263" s="58" t="str">
        <f>IFERROR(__xludf.DUMMYFUNCTION("""COMPUTED_VALUE"""),"ESTUDIO DE FACTIBILIDAD PARA LA IMPLEMENTACIÓN DE UNA PLANTA PRODUCTORA DE ALMIDÓN DULCE DE YUCA Y SU EXPORTACIÓN")</f>
        <v>ESTUDIO DE FACTIBILIDAD PARA LA IMPLEMENTACIÓN DE UNA PLANTA PRODUCTORA DE ALMIDÓN DULCE DE YUCA Y SU EXPORTACIÓN</v>
      </c>
      <c r="C263" s="58">
        <f>IFERROR(__xludf.DUMMYFUNCTION("""COMPUTED_VALUE"""),10.0)</f>
        <v>10</v>
      </c>
    </row>
    <row r="264">
      <c r="A264" s="58" t="str">
        <f>IFERROR(__xludf.DUMMYFUNCTION("""COMPUTED_VALUE"""),"FACTIBILIDAD")</f>
        <v>FACTIBILIDAD</v>
      </c>
      <c r="B264" s="58" t="str">
        <f>IFERROR(__xludf.DUMMYFUNCTION("""COMPUTED_VALUE"""),"ESTUDIO DE FACTIBILIDAD PARA LA IMPLEMENTACIÓN DE UNA PLANTA PRODUCTORA DE QUESO EN LA COMUNA ITOCTA.")</f>
        <v>ESTUDIO DE FACTIBILIDAD PARA LA IMPLEMENTACIÓN DE UNA PLANTA PRODUCTORA DE QUESO EN LA COMUNA ITOCTA.</v>
      </c>
      <c r="C264" s="58">
        <f>IFERROR(__xludf.DUMMYFUNCTION("""COMPUTED_VALUE"""),2.0)</f>
        <v>2</v>
      </c>
    </row>
    <row r="265">
      <c r="A265" s="58" t="str">
        <f>IFERROR(__xludf.DUMMYFUNCTION("""COMPUTED_VALUE"""),"FACTIBILIDAD")</f>
        <v>FACTIBILIDAD</v>
      </c>
      <c r="B265" s="58" t="str">
        <f>IFERROR(__xludf.DUMMYFUNCTION("""COMPUTED_VALUE"""),"ESTUDIO DE FACTIBILIDAD PARA LA IMPLEMENTACIÓN DE UNA PLANTA PRODUCTORA Y COMERCIALIZADORA DE SNACKS DE YUCA.")</f>
        <v>ESTUDIO DE FACTIBILIDAD PARA LA IMPLEMENTACIÓN DE UNA PLANTA PRODUCTORA Y COMERCIALIZADORA DE SNACKS DE YUCA.</v>
      </c>
      <c r="C265" s="58">
        <f>IFERROR(__xludf.DUMMYFUNCTION("""COMPUTED_VALUE"""),3.0)</f>
        <v>3</v>
      </c>
    </row>
    <row r="266">
      <c r="A266" s="58" t="str">
        <f>IFERROR(__xludf.DUMMYFUNCTION("""COMPUTED_VALUE"""),"FACTIBILIDAD")</f>
        <v>FACTIBILIDAD</v>
      </c>
      <c r="B266" s="58" t="str">
        <f>IFERROR(__xludf.DUMMYFUNCTION("""COMPUTED_VALUE"""),"ESTUDIO DE FACTIBILIDAD PARA LA IMPLEMENTACIÓN DE UNA PROCESADORA DE ALIMENTO        BALANCEADO PARA LAS ZONAS LECHERAS DE LA PROVINCIA CERCADO DEL DEPARTAMENTO DE  COCHABAMBA.")</f>
        <v>ESTUDIO DE FACTIBILIDAD PARA LA IMPLEMENTACIÓN DE UNA PROCESADORA DE ALIMENTO        BALANCEADO PARA LAS ZONAS LECHERAS DE LA PROVINCIA CERCADO DEL DEPARTAMENTO DE  COCHABAMBA.</v>
      </c>
      <c r="C266" s="58">
        <f>IFERROR(__xludf.DUMMYFUNCTION("""COMPUTED_VALUE"""),1.0)</f>
        <v>1</v>
      </c>
    </row>
    <row r="267">
      <c r="A267" s="58" t="str">
        <f>IFERROR(__xludf.DUMMYFUNCTION("""COMPUTED_VALUE"""),"FACTIBILIDAD")</f>
        <v>FACTIBILIDAD</v>
      </c>
      <c r="B267" s="58" t="str">
        <f>IFERROR(__xludf.DUMMYFUNCTION("""COMPUTED_VALUE"""),"ESTUDIO DE FACTIBILIDAD PARA LA INSTALACION DE UNA
LÍNEA PROCESADORA DE CEREALES EXTRUIDOS PARA LA
EMPRESA PATUJÚ DEL CLUSTER DE ALIMENTOS")</f>
        <v>ESTUDIO DE FACTIBILIDAD PARA LA INSTALACION DE UNA
LÍNEA PROCESADORA DE CEREALES EXTRUIDOS PARA LA
EMPRESA PATUJÚ DEL CLUSTER DE ALIMENTOS</v>
      </c>
      <c r="C267" s="58">
        <f>IFERROR(__xludf.DUMMYFUNCTION("""COMPUTED_VALUE"""),1.0)</f>
        <v>1</v>
      </c>
    </row>
    <row r="268">
      <c r="A268" s="58" t="str">
        <f>IFERROR(__xludf.DUMMYFUNCTION("""COMPUTED_VALUE"""),"FACTIBILIDAD")</f>
        <v>FACTIBILIDAD</v>
      </c>
      <c r="B268" s="58" t="str">
        <f>IFERROR(__xludf.DUMMYFUNCTION("""COMPUTED_VALUE"""),"ESTUDIO DE FACTIBILIDAD PARA LA INSTALACION DE UNA PLANTA DE ENVASADO DE TÉ, PARA LA INDUSTRIA “AGROTE”")</f>
        <v>ESTUDIO DE FACTIBILIDAD PARA LA INSTALACION DE UNA PLANTA DE ENVASADO DE TÉ, PARA LA INDUSTRIA “AGROTE”</v>
      </c>
      <c r="C268" s="58">
        <f>IFERROR(__xludf.DUMMYFUNCTION("""COMPUTED_VALUE"""),2.0)</f>
        <v>2</v>
      </c>
    </row>
    <row r="269">
      <c r="A269" s="58" t="str">
        <f>IFERROR(__xludf.DUMMYFUNCTION("""COMPUTED_VALUE"""),"FACTIBILIDAD")</f>
        <v>FACTIBILIDAD</v>
      </c>
      <c r="B269" s="58" t="str">
        <f>IFERROR(__xludf.DUMMYFUNCTION("""COMPUTED_VALUE"""),"ESTUDIO DE FACTIBILIDAD PARA LA INSTALACION DE UNA PLANTA DE PRODUCCIÓN DE ALEVINES DE TRUCHA EN COCHABAMBA")</f>
        <v>ESTUDIO DE FACTIBILIDAD PARA LA INSTALACION DE UNA PLANTA DE PRODUCCIÓN DE ALEVINES DE TRUCHA EN COCHABAMBA</v>
      </c>
      <c r="C269" s="58">
        <f>IFERROR(__xludf.DUMMYFUNCTION("""COMPUTED_VALUE"""),1.0)</f>
        <v>1</v>
      </c>
    </row>
    <row r="270">
      <c r="A270" s="58" t="str">
        <f>IFERROR(__xludf.DUMMYFUNCTION("""COMPUTED_VALUE"""),"FACTIBILIDAD")</f>
        <v>FACTIBILIDAD</v>
      </c>
      <c r="B270" s="58" t="str">
        <f>IFERROR(__xludf.DUMMYFUNCTION("""COMPUTED_VALUE"""),"ESTUDIO DE FACTIBILIDAD PARA LA INSTALACION DE UNA PLANTA PROCESADORA DE REBOZADOR PARA ALIMENTOS LIBRE DE GLUTEN EN BASE A HARINA DE YUCA")</f>
        <v>ESTUDIO DE FACTIBILIDAD PARA LA INSTALACION DE UNA PLANTA PROCESADORA DE REBOZADOR PARA ALIMENTOS LIBRE DE GLUTEN EN BASE A HARINA DE YUCA</v>
      </c>
      <c r="C270" s="58">
        <f>IFERROR(__xludf.DUMMYFUNCTION("""COMPUTED_VALUE"""),2.0)</f>
        <v>2</v>
      </c>
    </row>
    <row r="271">
      <c r="A271" s="58" t="str">
        <f>IFERROR(__xludf.DUMMYFUNCTION("""COMPUTED_VALUE"""),"FACTIBILIDAD")</f>
        <v>FACTIBILIDAD</v>
      </c>
      <c r="B271" s="58" t="str">
        <f>IFERROR(__xludf.DUMMYFUNCTION("""COMPUTED_VALUE"""),"ESTUDIO DE FACTIBILIDAD PARA LA INSTALACION DE UNA PLANTA PRODUCTORA DE HARINA DE PULPA DE PLATANO (MUSA PARADISIACA) Y BIO ENVASES A PARTIR DE LA CASCARA EN CERCADO COCHABAMBA")</f>
        <v>ESTUDIO DE FACTIBILIDAD PARA LA INSTALACION DE UNA PLANTA PRODUCTORA DE HARINA DE PULPA DE PLATANO (MUSA PARADISIACA) Y BIO ENVASES A PARTIR DE LA CASCARA EN CERCADO COCHABAMBA</v>
      </c>
      <c r="C271" s="58">
        <f>IFERROR(__xludf.DUMMYFUNCTION("""COMPUTED_VALUE"""),18.0)</f>
        <v>18</v>
      </c>
    </row>
    <row r="272">
      <c r="A272" s="58" t="str">
        <f>IFERROR(__xludf.DUMMYFUNCTION("""COMPUTED_VALUE"""),"FACTIBILIDAD")</f>
        <v>FACTIBILIDAD</v>
      </c>
      <c r="B272" s="58" t="str">
        <f>IFERROR(__xludf.DUMMYFUNCTION("""COMPUTED_VALUE"""),"ESTUDIO DE FACTIBILIDAD PARA LA INSTALACIÓN DE
UNA PLANTA INDUSTRIALIZADORA DE ARVEJA EN LA
CIUDAD DE COCHABAMBA")</f>
        <v>ESTUDIO DE FACTIBILIDAD PARA LA INSTALACIÓN DE
UNA PLANTA INDUSTRIALIZADORA DE ARVEJA EN LA
CIUDAD DE COCHABAMBA</v>
      </c>
      <c r="C272" s="58">
        <f>IFERROR(__xludf.DUMMYFUNCTION("""COMPUTED_VALUE"""),1.0)</f>
        <v>1</v>
      </c>
    </row>
    <row r="273">
      <c r="A273" s="58" t="str">
        <f>IFERROR(__xludf.DUMMYFUNCTION("""COMPUTED_VALUE"""),"FACTIBILIDAD")</f>
        <v>FACTIBILIDAD</v>
      </c>
      <c r="B273" s="58" t="str">
        <f>IFERROR(__xludf.DUMMYFUNCTION("""COMPUTED_VALUE"""),"ESTUDIO DE FACTIBILIDAD PARA LA INSTALACIÓN DE UN CENTRO DE CAPACITACIÓN Y FORMACIÓN TÉCNICA EN MECANICA INDUSTRIAL EN COCHABAMBA A TRAVÉS DE LA PREFECTURA DE DEPARTAMENTO")</f>
        <v>ESTUDIO DE FACTIBILIDAD PARA LA INSTALACIÓN DE UN CENTRO DE CAPACITACIÓN Y FORMACIÓN TÉCNICA EN MECANICA INDUSTRIAL EN COCHABAMBA A TRAVÉS DE LA PREFECTURA DE DEPARTAMENTO</v>
      </c>
      <c r="C273" s="58">
        <f>IFERROR(__xludf.DUMMYFUNCTION("""COMPUTED_VALUE"""),1.0)</f>
        <v>1</v>
      </c>
    </row>
    <row r="274">
      <c r="A274" s="58" t="str">
        <f>IFERROR(__xludf.DUMMYFUNCTION("""COMPUTED_VALUE"""),"FACTIBILIDAD")</f>
        <v>FACTIBILIDAD</v>
      </c>
      <c r="B274" s="58" t="str">
        <f>IFERROR(__xludf.DUMMYFUNCTION("""COMPUTED_VALUE"""),"ESTUDIO DE FACTIBILIDAD PARA LA INSTALACIÓN DE UN CENTRO DE CAPACITACIÓN Y FORMACIÓN TÉCNICA EN MECÁNICA INDUSTRIAL EN COCHABAMBA A TRAVÉS DE LA PREFECTURA DEL DEPARTAMENTO")</f>
        <v>ESTUDIO DE FACTIBILIDAD PARA LA INSTALACIÓN DE UN CENTRO DE CAPACITACIÓN Y FORMACIÓN TÉCNICA EN MECÁNICA INDUSTRIAL EN COCHABAMBA A TRAVÉS DE LA PREFECTURA DEL DEPARTAMENTO</v>
      </c>
      <c r="C274" s="58">
        <f>IFERROR(__xludf.DUMMYFUNCTION("""COMPUTED_VALUE"""),1.0)</f>
        <v>1</v>
      </c>
    </row>
    <row r="275">
      <c r="A275" s="58" t="str">
        <f>IFERROR(__xludf.DUMMYFUNCTION("""COMPUTED_VALUE"""),"FACTIBILIDAD")</f>
        <v>FACTIBILIDAD</v>
      </c>
      <c r="B275" s="58" t="str">
        <f>IFERROR(__xludf.DUMMYFUNCTION("""COMPUTED_VALUE"""),"ESTUDIO DE FACTIBILIDAD PARA LA INSTALACIÓN DE UN TALLER DE CONVERSIÓN DE VEHÍCULOS A GAS NATURAL VEHICULAR")</f>
        <v>ESTUDIO DE FACTIBILIDAD PARA LA INSTALACIÓN DE UN TALLER DE CONVERSIÓN DE VEHÍCULOS A GAS NATURAL VEHICULAR</v>
      </c>
      <c r="C275" s="58">
        <f>IFERROR(__xludf.DUMMYFUNCTION("""COMPUTED_VALUE"""),1.0)</f>
        <v>1</v>
      </c>
    </row>
    <row r="276">
      <c r="A276" s="58" t="str">
        <f>IFERROR(__xludf.DUMMYFUNCTION("""COMPUTED_VALUE"""),"FACTIBILIDAD")</f>
        <v>FACTIBILIDAD</v>
      </c>
      <c r="B276" s="58" t="str">
        <f>IFERROR(__xludf.DUMMYFUNCTION("""COMPUTED_VALUE"""),"ESTUDIO DE FACTIBILIDAD PARA LA INSTALACIÓN DE UNA FÁBRICA DE LADRILLOS EN EL DEPARTAMENTO DE TARIJA")</f>
        <v>ESTUDIO DE FACTIBILIDAD PARA LA INSTALACIÓN DE UNA FÁBRICA DE LADRILLOS EN EL DEPARTAMENTO DE TARIJA</v>
      </c>
      <c r="C276" s="58">
        <f>IFERROR(__xludf.DUMMYFUNCTION("""COMPUTED_VALUE"""),1.0)</f>
        <v>1</v>
      </c>
    </row>
    <row r="277">
      <c r="A277" s="58" t="str">
        <f>IFERROR(__xludf.DUMMYFUNCTION("""COMPUTED_VALUE"""),"FACTIBILIDAD")</f>
        <v>FACTIBILIDAD</v>
      </c>
      <c r="B277" s="58" t="str">
        <f>IFERROR(__xludf.DUMMYFUNCTION("""COMPUTED_VALUE"""),"ESTUDIO DE FACTIBILIDAD PARA LA INSTALACIÓN DE UNA LÍNEA PROCESADORA DE CEREALES EXTRUIDOS PARA LA EMPRESA PATUJÚ DEL CLÚSTER DE ALIMENTOS")</f>
        <v>ESTUDIO DE FACTIBILIDAD PARA LA INSTALACIÓN DE UNA LÍNEA PROCESADORA DE CEREALES EXTRUIDOS PARA LA EMPRESA PATUJÚ DEL CLÚSTER DE ALIMENTOS</v>
      </c>
      <c r="C277" s="58">
        <f>IFERROR(__xludf.DUMMYFUNCTION("""COMPUTED_VALUE"""),1.0)</f>
        <v>1</v>
      </c>
    </row>
    <row r="278">
      <c r="A278" s="58" t="str">
        <f>IFERROR(__xludf.DUMMYFUNCTION("""COMPUTED_VALUE"""),"FACTIBILIDAD")</f>
        <v>FACTIBILIDAD</v>
      </c>
      <c r="B278" s="58" t="str">
        <f>IFERROR(__xludf.DUMMYFUNCTION("""COMPUTED_VALUE"""),"ESTUDIO DE FACTIBILIDAD PARA LA INSTALACIÓN DE UNA PLANTA DE PROCESAMIENTO DE ACEITE COMESTIBLE Y HAMBURGUESAS VEGANAS EN BASE A SACHA INCHI")</f>
        <v>ESTUDIO DE FACTIBILIDAD PARA LA INSTALACIÓN DE UNA PLANTA DE PROCESAMIENTO DE ACEITE COMESTIBLE Y HAMBURGUESAS VEGANAS EN BASE A SACHA INCHI</v>
      </c>
      <c r="C278" s="58">
        <f>IFERROR(__xludf.DUMMYFUNCTION("""COMPUTED_VALUE"""),1.0)</f>
        <v>1</v>
      </c>
    </row>
    <row r="279">
      <c r="A279" s="58" t="str">
        <f>IFERROR(__xludf.DUMMYFUNCTION("""COMPUTED_VALUE"""),"FACTIBILIDAD")</f>
        <v>FACTIBILIDAD</v>
      </c>
      <c r="B279" s="58" t="str">
        <f>IFERROR(__xludf.DUMMYFUNCTION("""COMPUTED_VALUE"""),"ESTUDIO DE FACTIBILIDAD PARA LA INSTALACIÓN DE UNA PLANTA DE PRODUCCIÓN DE LECHE Y DULCE DE LECHE DE SOJA")</f>
        <v>ESTUDIO DE FACTIBILIDAD PARA LA INSTALACIÓN DE UNA PLANTA DE PRODUCCIÓN DE LECHE Y DULCE DE LECHE DE SOJA</v>
      </c>
      <c r="C279" s="58">
        <f>IFERROR(__xludf.DUMMYFUNCTION("""COMPUTED_VALUE"""),2.0)</f>
        <v>2</v>
      </c>
    </row>
    <row r="280">
      <c r="A280" s="58" t="str">
        <f>IFERROR(__xludf.DUMMYFUNCTION("""COMPUTED_VALUE"""),"FACTIBILIDAD")</f>
        <v>FACTIBILIDAD</v>
      </c>
      <c r="B280" s="58" t="str">
        <f>IFERROR(__xludf.DUMMYFUNCTION("""COMPUTED_VALUE"""),"ESTUDIO DE FACTIBILIDAD PARA LA INSTALACIÓN DE UNA PLANTA DE PRODUCCIÓN DE SILLAS, MESAS Y TABURETES DE PLÁSTICO A BASE DE POLIPROPILENO POR INYECCIÓN")</f>
        <v>ESTUDIO DE FACTIBILIDAD PARA LA INSTALACIÓN DE UNA PLANTA DE PRODUCCIÓN DE SILLAS, MESAS Y TABURETES DE PLÁSTICO A BASE DE POLIPROPILENO POR INYECCIÓN</v>
      </c>
      <c r="C280" s="58">
        <f>IFERROR(__xludf.DUMMYFUNCTION("""COMPUTED_VALUE"""),13.0)</f>
        <v>13</v>
      </c>
    </row>
    <row r="281">
      <c r="A281" s="58" t="str">
        <f>IFERROR(__xludf.DUMMYFUNCTION("""COMPUTED_VALUE"""),"FACTIBILIDAD")</f>
        <v>FACTIBILIDAD</v>
      </c>
      <c r="B281" s="58" t="str">
        <f>IFERROR(__xludf.DUMMYFUNCTION("""COMPUTED_VALUE"""),"ESTUDIO DE FACTIBILIDAD PARA LA INSTALACIÓN DE UNA PLANTA DE PRODUCCIÓN DE VINO A PARTIR DE CIRUELA EN COCHABAMBA.")</f>
        <v>ESTUDIO DE FACTIBILIDAD PARA LA INSTALACIÓN DE UNA PLANTA DE PRODUCCIÓN DE VINO A PARTIR DE CIRUELA EN COCHABAMBA.</v>
      </c>
      <c r="C281" s="58">
        <f>IFERROR(__xludf.DUMMYFUNCTION("""COMPUTED_VALUE"""),18.0)</f>
        <v>18</v>
      </c>
    </row>
    <row r="282">
      <c r="A282" s="58" t="str">
        <f>IFERROR(__xludf.DUMMYFUNCTION("""COMPUTED_VALUE"""),"FACTIBILIDAD")</f>
        <v>FACTIBILIDAD</v>
      </c>
      <c r="B282" s="58" t="str">
        <f>IFERROR(__xludf.DUMMYFUNCTION("""COMPUTED_VALUE"""),"ESTUDIO DE FACTIBILIDAD PARA LA INSTALACIÓN DE UNA PLANTA DESHIDRATADORA DE FRUTILLA EN COCHABAMBA.")</f>
        <v>ESTUDIO DE FACTIBILIDAD PARA LA INSTALACIÓN DE UNA PLANTA DESHIDRATADORA DE FRUTILLA EN COCHABAMBA.</v>
      </c>
      <c r="C282" s="58">
        <f>IFERROR(__xludf.DUMMYFUNCTION("""COMPUTED_VALUE"""),2.0)</f>
        <v>2</v>
      </c>
    </row>
    <row r="283">
      <c r="A283" s="58" t="str">
        <f>IFERROR(__xludf.DUMMYFUNCTION("""COMPUTED_VALUE"""),"FACTIBILIDAD")</f>
        <v>FACTIBILIDAD</v>
      </c>
      <c r="B283" s="58" t="str">
        <f>IFERROR(__xludf.DUMMYFUNCTION("""COMPUTED_VALUE"""),"ESTUDIO DE FACTIBILIDAD PARA LA INSTALACIÓN DE UNA PLANTA PROCESADORA DE CROQUETAS A PARTIR DE YUCA.")</f>
        <v>ESTUDIO DE FACTIBILIDAD PARA LA INSTALACIÓN DE UNA PLANTA PROCESADORA DE CROQUETAS A PARTIR DE YUCA.</v>
      </c>
      <c r="C283" s="58">
        <f>IFERROR(__xludf.DUMMYFUNCTION("""COMPUTED_VALUE"""),6.0)</f>
        <v>6</v>
      </c>
    </row>
    <row r="284">
      <c r="A284" s="58" t="str">
        <f>IFERROR(__xludf.DUMMYFUNCTION("""COMPUTED_VALUE"""),"FACTIBILIDAD")</f>
        <v>FACTIBILIDAD</v>
      </c>
      <c r="B284" s="58" t="str">
        <f>IFERROR(__xludf.DUMMYFUNCTION("""COMPUTED_VALUE"""),"ESTUDIO DE FACTIBILIDAD PARA LA INSTALACIÓN DE UNA PLANTA PRODUCTORA DE MERMELADA Y HARINA DE QUINUA EN COCHABAMBA CON ALTO CONTENIDO EN PROTEÍNAS Y VITAMINAS.")</f>
        <v>ESTUDIO DE FACTIBILIDAD PARA LA INSTALACIÓN DE UNA PLANTA PRODUCTORA DE MERMELADA Y HARINA DE QUINUA EN COCHABAMBA CON ALTO CONTENIDO EN PROTEÍNAS Y VITAMINAS.</v>
      </c>
      <c r="C284" s="58">
        <f>IFERROR(__xludf.DUMMYFUNCTION("""COMPUTED_VALUE"""),1.0)</f>
        <v>1</v>
      </c>
    </row>
    <row r="285">
      <c r="A285" s="58" t="str">
        <f>IFERROR(__xludf.DUMMYFUNCTION("""COMPUTED_VALUE"""),"FACTIBILIDAD")</f>
        <v>FACTIBILIDAD</v>
      </c>
      <c r="B285" s="58" t="str">
        <f>IFERROR(__xludf.DUMMYFUNCTION("""COMPUTED_VALUE"""),"ESTUDIO DE FACTIBILIDAD PARA LA INSTALACIÓN Y FUNCIONAMIENTO DE UNA PLANTA DE CAL EN LA PROVINCIA EDUARDO AVAROA DEL DEPARTAMENTO DE ORURO")</f>
        <v>ESTUDIO DE FACTIBILIDAD PARA LA INSTALACIÓN Y FUNCIONAMIENTO DE UNA PLANTA DE CAL EN LA PROVINCIA EDUARDO AVAROA DEL DEPARTAMENTO DE ORURO</v>
      </c>
      <c r="C285" s="58">
        <f>IFERROR(__xludf.DUMMYFUNCTION("""COMPUTED_VALUE"""),1.0)</f>
        <v>1</v>
      </c>
    </row>
    <row r="286">
      <c r="A286" s="58" t="str">
        <f>IFERROR(__xludf.DUMMYFUNCTION("""COMPUTED_VALUE"""),"FACTIBILIDAD")</f>
        <v>FACTIBILIDAD</v>
      </c>
      <c r="B286" s="58" t="str">
        <f>IFERROR(__xludf.DUMMYFUNCTION("""COMPUTED_VALUE"""),"ESTUDIO DE FACTIBILIDAD PARA LA INTRODUCCIÓN DE UNA MARCA EN EL MERCADO DE JUGO DE FRUTAS A BASE DE PULPA")</f>
        <v>ESTUDIO DE FACTIBILIDAD PARA LA INTRODUCCIÓN DE UNA MARCA EN EL MERCADO DE JUGO DE FRUTAS A BASE DE PULPA</v>
      </c>
      <c r="C286" s="58">
        <f>IFERROR(__xludf.DUMMYFUNCTION("""COMPUTED_VALUE"""),4.0)</f>
        <v>4</v>
      </c>
    </row>
    <row r="287">
      <c r="A287" s="58" t="str">
        <f>IFERROR(__xludf.DUMMYFUNCTION("""COMPUTED_VALUE"""),"FACTIBILIDAD")</f>
        <v>FACTIBILIDAD</v>
      </c>
      <c r="B287" s="58" t="str">
        <f>IFERROR(__xludf.DUMMYFUNCTION("""COMPUTED_VALUE"""),"ESTUDIO DE FACTIBILIDAD PARA LA OBTENCIÓN DE HARINA DE ZAPALLO ENRIQUECIDA CON QUINUA EN EL MUNICIPIO DE CERCADO.")</f>
        <v>ESTUDIO DE FACTIBILIDAD PARA LA OBTENCIÓN DE HARINA DE ZAPALLO ENRIQUECIDA CON QUINUA EN EL MUNICIPIO DE CERCADO.</v>
      </c>
      <c r="C287" s="58">
        <f>IFERROR(__xludf.DUMMYFUNCTION("""COMPUTED_VALUE"""),2.0)</f>
        <v>2</v>
      </c>
    </row>
    <row r="288">
      <c r="A288" s="58" t="str">
        <f>IFERROR(__xludf.DUMMYFUNCTION("""COMPUTED_VALUE"""),"FACTIBILIDAD")</f>
        <v>FACTIBILIDAD</v>
      </c>
      <c r="B288" s="58" t="str">
        <f>IFERROR(__xludf.DUMMYFUNCTION("""COMPUTED_VALUE"""),"ESTUDIO DE FACTIBILIDAD PARA LA PRODUCCIÓN
DE HUEVO Y CARNE DE CODORNIZ EN LA CIUDAD
DE SANTA CRUZ DE LA SIERRA")</f>
        <v>ESTUDIO DE FACTIBILIDAD PARA LA PRODUCCIÓN
DE HUEVO Y CARNE DE CODORNIZ EN LA CIUDAD
DE SANTA CRUZ DE LA SIERRA</v>
      </c>
      <c r="C288" s="58">
        <f>IFERROR(__xludf.DUMMYFUNCTION("""COMPUTED_VALUE"""),1.0)</f>
        <v>1</v>
      </c>
    </row>
    <row r="289">
      <c r="A289" s="58" t="str">
        <f>IFERROR(__xludf.DUMMYFUNCTION("""COMPUTED_VALUE"""),"FACTIBILIDAD")</f>
        <v>FACTIBILIDAD</v>
      </c>
      <c r="B289" s="58" t="str">
        <f>IFERROR(__xludf.DUMMYFUNCTION("""COMPUTED_VALUE"""),"ESTUDIO DE FACTIBILIDAD PARA LA PRODUCCIÓN DE BIODIESEL A PARTIR DE ACEITE VEGETAL USADO")</f>
        <v>ESTUDIO DE FACTIBILIDAD PARA LA PRODUCCIÓN DE BIODIESEL A PARTIR DE ACEITE VEGETAL USADO</v>
      </c>
      <c r="C289" s="58">
        <f>IFERROR(__xludf.DUMMYFUNCTION("""COMPUTED_VALUE"""),2.0)</f>
        <v>2</v>
      </c>
    </row>
    <row r="290">
      <c r="A290" s="58" t="str">
        <f>IFERROR(__xludf.DUMMYFUNCTION("""COMPUTED_VALUE"""),"FACTIBILIDAD")</f>
        <v>FACTIBILIDAD</v>
      </c>
      <c r="B290" s="58" t="str">
        <f>IFERROR(__xludf.DUMMYFUNCTION("""COMPUTED_VALUE"""),"ESTUDIO DE FACTIBILIDAD PARA LA PRODUCCIÓN DE CAFÉ DE HIGO PARA EL DEPARTAMENTO DE COCHABAMBA")</f>
        <v>ESTUDIO DE FACTIBILIDAD PARA LA PRODUCCIÓN DE CAFÉ DE HIGO PARA EL DEPARTAMENTO DE COCHABAMBA</v>
      </c>
      <c r="C290" s="58">
        <f>IFERROR(__xludf.DUMMYFUNCTION("""COMPUTED_VALUE"""),8.0)</f>
        <v>8</v>
      </c>
    </row>
    <row r="291">
      <c r="A291" s="58" t="str">
        <f>IFERROR(__xludf.DUMMYFUNCTION("""COMPUTED_VALUE"""),"FACTIBILIDAD")</f>
        <v>FACTIBILIDAD</v>
      </c>
      <c r="B291" s="58" t="str">
        <f>IFERROR(__xludf.DUMMYFUNCTION("""COMPUTED_VALUE"""),"ESTUDIO DE FACTIBILIDAD PARA LA PRODUCCIÓN DE COMPOSTADORAS DOMICILIARIAS EN EL   MUNICIPIO DE TIQUIPAYA")</f>
        <v>ESTUDIO DE FACTIBILIDAD PARA LA PRODUCCIÓN DE COMPOSTADORAS DOMICILIARIAS EN EL   MUNICIPIO DE TIQUIPAYA</v>
      </c>
      <c r="C291" s="58">
        <f>IFERROR(__xludf.DUMMYFUNCTION("""COMPUTED_VALUE"""),1.0)</f>
        <v>1</v>
      </c>
    </row>
    <row r="292">
      <c r="A292" s="58" t="str">
        <f>IFERROR(__xludf.DUMMYFUNCTION("""COMPUTED_VALUE"""),"FACTIBILIDAD")</f>
        <v>FACTIBILIDAD</v>
      </c>
      <c r="B292" s="58" t="str">
        <f>IFERROR(__xludf.DUMMYFUNCTION("""COMPUTED_VALUE"""),"ESTUDIO DE FACTIBILIDAD PARA LA PRODUCCIÓN DE HUEVO Y CARNE DE CODORNIZ EN LA CIUDAD DE SANTA CRUZ DE LA SIERRA.")</f>
        <v>ESTUDIO DE FACTIBILIDAD PARA LA PRODUCCIÓN DE HUEVO Y CARNE DE CODORNIZ EN LA CIUDAD DE SANTA CRUZ DE LA SIERRA.</v>
      </c>
      <c r="C292" s="58">
        <f>IFERROR(__xludf.DUMMYFUNCTION("""COMPUTED_VALUE"""),2.0)</f>
        <v>2</v>
      </c>
    </row>
    <row r="293">
      <c r="A293" s="58" t="str">
        <f>IFERROR(__xludf.DUMMYFUNCTION("""COMPUTED_VALUE"""),"FACTIBILIDAD")</f>
        <v>FACTIBILIDAD</v>
      </c>
      <c r="B293" s="58" t="str">
        <f>IFERROR(__xludf.DUMMYFUNCTION("""COMPUTED_VALUE"""),"ESTUDIO DE FACTIBILIDAD PARA LA PRODUCCIÓN DE UNA LÍNEA DE EDREDONES EN BASE A PLUMA DE PATO PARA LA EMPRESA “A.C. ASOCIADOS S.R.L.”
")</f>
        <v>ESTUDIO DE FACTIBILIDAD PARA LA PRODUCCIÓN DE UNA LÍNEA DE EDREDONES EN BASE A PLUMA DE PATO PARA LA EMPRESA “A.C. ASOCIADOS S.R.L.”
</v>
      </c>
      <c r="C293" s="58">
        <f>IFERROR(__xludf.DUMMYFUNCTION("""COMPUTED_VALUE"""),2.0)</f>
        <v>2</v>
      </c>
    </row>
    <row r="294">
      <c r="A294" s="58" t="str">
        <f>IFERROR(__xludf.DUMMYFUNCTION("""COMPUTED_VALUE"""),"FACTIBILIDAD")</f>
        <v>FACTIBILIDAD</v>
      </c>
      <c r="B294" s="58" t="str">
        <f>IFERROR(__xludf.DUMMYFUNCTION("""COMPUTED_VALUE"""),"ESTUDIO DE FACTIBILIDAD PARA LA PRODUCCIÓN INDUSTRIAL DE CREMA CORPORAL A BASE DE CASCARA DE PLÁTANO EN EL DEPARTAMENTO DE COCHABAMBA")</f>
        <v>ESTUDIO DE FACTIBILIDAD PARA LA PRODUCCIÓN INDUSTRIAL DE CREMA CORPORAL A BASE DE CASCARA DE PLÁTANO EN EL DEPARTAMENTO DE COCHABAMBA</v>
      </c>
      <c r="C294" s="58">
        <f>IFERROR(__xludf.DUMMYFUNCTION("""COMPUTED_VALUE"""),10.0)</f>
        <v>10</v>
      </c>
    </row>
    <row r="295">
      <c r="A295" s="58" t="str">
        <f>IFERROR(__xludf.DUMMYFUNCTION("""COMPUTED_VALUE"""),"FACTIBILIDAD")</f>
        <v>FACTIBILIDAD</v>
      </c>
      <c r="B295" s="58" t="str">
        <f>IFERROR(__xludf.DUMMYFUNCTION("""COMPUTED_VALUE"""),"ESTUDIO DE FACTIBILIDAD PARA LA PRODUCCIÓN Y COMERCIALIZACION DE “GALLETAS DE QUINUA” DIRIGIDO AL MERCADO DE COCHABAMBA PARA LA EMPRESA “CORONILLA S.A.”")</f>
        <v>ESTUDIO DE FACTIBILIDAD PARA LA PRODUCCIÓN Y COMERCIALIZACION DE “GALLETAS DE QUINUA” DIRIGIDO AL MERCADO DE COCHABAMBA PARA LA EMPRESA “CORONILLA S.A.”</v>
      </c>
      <c r="C295" s="58">
        <f>IFERROR(__xludf.DUMMYFUNCTION("""COMPUTED_VALUE"""),2.0)</f>
        <v>2</v>
      </c>
    </row>
    <row r="296">
      <c r="A296" s="58" t="str">
        <f>IFERROR(__xludf.DUMMYFUNCTION("""COMPUTED_VALUE"""),"FACTIBILIDAD")</f>
        <v>FACTIBILIDAD</v>
      </c>
      <c r="B296" s="58" t="str">
        <f>IFERROR(__xludf.DUMMYFUNCTION("""COMPUTED_VALUE"""),"ESTUDIO DE FACTIBILIDAD PARA LA PRODUCCIÓN Y COMERCIALIZACIÓN DE CAFÉ DEL FRUTO
                  DE CHAÑAR EN EL EJE METROPOLITANO DE COCHABAMBA")</f>
        <v>ESTUDIO DE FACTIBILIDAD PARA LA PRODUCCIÓN Y COMERCIALIZACIÓN DE CAFÉ DEL FRUTO
                  DE CHAÑAR EN EL EJE METROPOLITANO DE COCHABAMBA</v>
      </c>
      <c r="C296" s="58">
        <f>IFERROR(__xludf.DUMMYFUNCTION("""COMPUTED_VALUE"""),37.0)</f>
        <v>37</v>
      </c>
    </row>
    <row r="297">
      <c r="A297" s="58" t="str">
        <f>IFERROR(__xludf.DUMMYFUNCTION("""COMPUTED_VALUE"""),"FACTIBILIDAD")</f>
        <v>FACTIBILIDAD</v>
      </c>
      <c r="B297" s="58" t="str">
        <f>IFERROR(__xludf.DUMMYFUNCTION("""COMPUTED_VALUE"""),"ESTUDIO DE FACTIBILIDAD PARA LA PRODUCCIÓN Y COMERCIALIZACIÓN DE HUMUS DE LOMBRIZ “EISENIA FOÉTIDA” A PARTIR DE RESIDUOS ORGÁNICOS GENERADOS EN EL MUNICIPIO DE VINTO”")</f>
        <v>ESTUDIO DE FACTIBILIDAD PARA LA PRODUCCIÓN Y COMERCIALIZACIÓN DE HUMUS DE LOMBRIZ “EISENIA FOÉTIDA” A PARTIR DE RESIDUOS ORGÁNICOS GENERADOS EN EL MUNICIPIO DE VINTO”</v>
      </c>
      <c r="C297" s="58">
        <f>IFERROR(__xludf.DUMMYFUNCTION("""COMPUTED_VALUE"""),4.0)</f>
        <v>4</v>
      </c>
    </row>
    <row r="298">
      <c r="A298" s="58" t="str">
        <f>IFERROR(__xludf.DUMMYFUNCTION("""COMPUTED_VALUE"""),"FACTIBILIDAD")</f>
        <v>FACTIBILIDAD</v>
      </c>
      <c r="B298" s="58" t="str">
        <f>IFERROR(__xludf.DUMMYFUNCTION("""COMPUTED_VALUE"""),"ESTUDIO DE FACTIBILIDAD PARA LA PRODUCCIÓN Y COMERCIALIZACIÓN DE “GALLETAS DE QUINUA” DIRIGIDO AL MERCADO DE COCHABAMBA PARA LA EMPRESA “CORONILLA S.A.”")</f>
        <v>ESTUDIO DE FACTIBILIDAD PARA LA PRODUCCIÓN Y COMERCIALIZACIÓN DE “GALLETAS DE QUINUA” DIRIGIDO AL MERCADO DE COCHABAMBA PARA LA EMPRESA “CORONILLA S.A.”</v>
      </c>
      <c r="C298" s="58">
        <f>IFERROR(__xludf.DUMMYFUNCTION("""COMPUTED_VALUE"""),3.0)</f>
        <v>3</v>
      </c>
    </row>
    <row r="299">
      <c r="A299" s="58" t="str">
        <f>IFERROR(__xludf.DUMMYFUNCTION("""COMPUTED_VALUE"""),"FACTIBILIDAD")</f>
        <v>FACTIBILIDAD</v>
      </c>
      <c r="B299" s="58" t="str">
        <f>IFERROR(__xludf.DUMMYFUNCTION("""COMPUTED_VALUE"""),"ESTUDIO DE FACTIBILIDAD PARA LA REACTIVACIÓN DE LA LÍNEA DE CEMENTO DE LA FÁBRICA SIMSA")</f>
        <v>ESTUDIO DE FACTIBILIDAD PARA LA REACTIVACIÓN DE LA LÍNEA DE CEMENTO DE LA FÁBRICA SIMSA</v>
      </c>
      <c r="C299" s="58">
        <f>IFERROR(__xludf.DUMMYFUNCTION("""COMPUTED_VALUE"""),2.0)</f>
        <v>2</v>
      </c>
    </row>
    <row r="300">
      <c r="A300" s="58" t="str">
        <f>IFERROR(__xludf.DUMMYFUNCTION("""COMPUTED_VALUE"""),"FACTIBILIDAD")</f>
        <v>FACTIBILIDAD</v>
      </c>
      <c r="B300" s="58" t="str">
        <f>IFERROR(__xludf.DUMMYFUNCTION("""COMPUTED_VALUE"""),"ESTUDIO DE FACTIBILIDAD PARA LA “APERTURA DE GABINETES DE NUTRICION Y VENTA DE PRODUCTOS SALUDABLES”.")</f>
        <v>ESTUDIO DE FACTIBILIDAD PARA LA “APERTURA DE GABINETES DE NUTRICION Y VENTA DE PRODUCTOS SALUDABLES”.</v>
      </c>
      <c r="C300" s="58">
        <f>IFERROR(__xludf.DUMMYFUNCTION("""COMPUTED_VALUE"""),1.0)</f>
        <v>1</v>
      </c>
    </row>
    <row r="301">
      <c r="A301" s="58" t="str">
        <f>IFERROR(__xludf.DUMMYFUNCTION("""COMPUTED_VALUE"""),"FACTIBILIDAD")</f>
        <v>FACTIBILIDAD</v>
      </c>
      <c r="B301" s="58" t="str">
        <f>IFERROR(__xludf.DUMMYFUNCTION("""COMPUTED_VALUE"""),"ESTUDIO DE FACTIBILIDAD PARA UNA PLANTA DE PRODUCCIÓN DE CREMA FACIAL A BASE DE SACHA INCHI.")</f>
        <v>ESTUDIO DE FACTIBILIDAD PARA UNA PLANTA DE PRODUCCIÓN DE CREMA FACIAL A BASE DE SACHA INCHI.</v>
      </c>
      <c r="C301" s="58">
        <f>IFERROR(__xludf.DUMMYFUNCTION("""COMPUTED_VALUE"""),10.0)</f>
        <v>10</v>
      </c>
    </row>
    <row r="302">
      <c r="A302" s="58" t="str">
        <f>IFERROR(__xludf.DUMMYFUNCTION("""COMPUTED_VALUE"""),"FACTIBILIDAD")</f>
        <v>FACTIBILIDAD</v>
      </c>
      <c r="B302" s="58" t="str">
        <f>IFERROR(__xludf.DUMMYFUNCTION("""COMPUTED_VALUE"""),"ESTUDIO DE FACTIBILIDAD PARA UNA PLANTA PRODUCTORA DE BANANO Y PIÑA DESHIDRATADA EN EL TRÓPICO DE COCHABAMBA.")</f>
        <v>ESTUDIO DE FACTIBILIDAD PARA UNA PLANTA PRODUCTORA DE BANANO Y PIÑA DESHIDRATADA EN EL TRÓPICO DE COCHABAMBA.</v>
      </c>
      <c r="C302" s="58">
        <f>IFERROR(__xludf.DUMMYFUNCTION("""COMPUTED_VALUE"""),1.0)</f>
        <v>1</v>
      </c>
    </row>
    <row r="303">
      <c r="A303" s="58" t="str">
        <f>IFERROR(__xludf.DUMMYFUNCTION("""COMPUTED_VALUE"""),"FACTIBILIDAD")</f>
        <v>FACTIBILIDAD</v>
      </c>
      <c r="B303" s="58" t="str">
        <f>IFERROR(__xludf.DUMMYFUNCTION("""COMPUTED_VALUE"""),"ESTUDIO DE FACTIBILIDAD PARA UNA PLANTA RECICLADORA DE PAPEL DENTRO LA U.M.S.S.")</f>
        <v>ESTUDIO DE FACTIBILIDAD PARA UNA PLANTA RECICLADORA DE PAPEL DENTRO LA U.M.S.S.</v>
      </c>
      <c r="C303" s="58">
        <f>IFERROR(__xludf.DUMMYFUNCTION("""COMPUTED_VALUE"""),3.0)</f>
        <v>3</v>
      </c>
    </row>
    <row r="304">
      <c r="A304" s="58" t="str">
        <f>IFERROR(__xludf.DUMMYFUNCTION("""COMPUTED_VALUE"""),"FACTIBILIDAD")</f>
        <v>FACTIBILIDAD</v>
      </c>
      <c r="B304" s="58" t="str">
        <f>IFERROR(__xludf.DUMMYFUNCTION("""COMPUTED_VALUE"""),"ESTUDIO DE FACTIBILIDAD PLANTA DE ELECTROLITO")</f>
        <v>ESTUDIO DE FACTIBILIDAD PLANTA DE ELECTROLITO</v>
      </c>
      <c r="C304" s="58">
        <f>IFERROR(__xludf.DUMMYFUNCTION("""COMPUTED_VALUE"""),1.0)</f>
        <v>1</v>
      </c>
    </row>
    <row r="305">
      <c r="A305" s="58" t="str">
        <f>IFERROR(__xludf.DUMMYFUNCTION("""COMPUTED_VALUE"""),"FACTIBILIDAD")</f>
        <v>FACTIBILIDAD</v>
      </c>
      <c r="B305" s="58" t="str">
        <f>IFERROR(__xludf.DUMMYFUNCTION("""COMPUTED_VALUE"""),"ESTUDIO DE FACTIBILIDAD SOCIO-ECONÓMICO PARA LA CRIANZA Y COMERCIALIZACIÓN DE LA CARNE DE CERDO REALIZADO POR ORGANIZACIONES DE MUJERES PARA CINCO MUNICIPIOS DEL CONO SUR DEL DEPARTAMENTO DE COCHABAMBA")</f>
        <v>ESTUDIO DE FACTIBILIDAD SOCIO-ECONÓMICO PARA LA CRIANZA Y COMERCIALIZACIÓN DE LA CARNE DE CERDO REALIZADO POR ORGANIZACIONES DE MUJERES PARA CINCO MUNICIPIOS DEL CONO SUR DEL DEPARTAMENTO DE COCHABAMBA</v>
      </c>
      <c r="C305" s="58">
        <f>IFERROR(__xludf.DUMMYFUNCTION("""COMPUTED_VALUE"""),1.0)</f>
        <v>1</v>
      </c>
    </row>
    <row r="306">
      <c r="A306" s="58" t="str">
        <f>IFERROR(__xludf.DUMMYFUNCTION("""COMPUTED_VALUE"""),"FACTIBILIDAD")</f>
        <v>FACTIBILIDAD</v>
      </c>
      <c r="B306" s="58" t="str">
        <f>IFERROR(__xludf.DUMMYFUNCTION("""COMPUTED_VALUE"""),"ESTUDIO DE FACTIBILIDAD TECNICA Y ECONOMICA PARA LA INSTALACION DE UNA LINEA DE PRODUCCION DE TOMATE HIDROPONICO PARA LA EMPRESA PEACH-COCHABAMBA")</f>
        <v>ESTUDIO DE FACTIBILIDAD TECNICA Y ECONOMICA PARA LA INSTALACION DE UNA LINEA DE PRODUCCION DE TOMATE HIDROPONICO PARA LA EMPRESA PEACH-COCHABAMBA</v>
      </c>
      <c r="C306" s="58">
        <f>IFERROR(__xludf.DUMMYFUNCTION("""COMPUTED_VALUE"""),2.0)</f>
        <v>2</v>
      </c>
    </row>
    <row r="307">
      <c r="A307" s="58" t="str">
        <f>IFERROR(__xludf.DUMMYFUNCTION("""COMPUTED_VALUE"""),"FACTIBILIDAD")</f>
        <v>FACTIBILIDAD</v>
      </c>
      <c r="B307" s="58" t="str">
        <f>IFERROR(__xludf.DUMMYFUNCTION("""COMPUTED_VALUE"""),"ESTUDIO DE FACTIBILIDAD TECNICA Y ECONOMICA PARA LA INSTALACION DE UNA LINEA DE PRODUCCION DE TOMATE HIDROPONICO PARA LA “EMPRESA IITAM-PEACH COCHABAMBA”")</f>
        <v>ESTUDIO DE FACTIBILIDAD TECNICA Y ECONOMICA PARA LA INSTALACION DE UNA LINEA DE PRODUCCION DE TOMATE HIDROPONICO PARA LA “EMPRESA IITAM-PEACH COCHABAMBA”</v>
      </c>
      <c r="C307" s="58">
        <f>IFERROR(__xludf.DUMMYFUNCTION("""COMPUTED_VALUE"""),1.0)</f>
        <v>1</v>
      </c>
    </row>
    <row r="308">
      <c r="A308" s="58" t="str">
        <f>IFERROR(__xludf.DUMMYFUNCTION("""COMPUTED_VALUE"""),"FACTIBILIDAD")</f>
        <v>FACTIBILIDAD</v>
      </c>
      <c r="B308" s="58" t="str">
        <f>IFERROR(__xludf.DUMMYFUNCTION("""COMPUTED_VALUE"""),"ESTUDIO DE FACTIBILIDAD TECNICA Y ECONOMICA PARA LA INSTALACION DE UNA PLANTA PROCESADORA DE JUGOS CON PULPA DE FRUTAS PARA LA EMPRESA “MANANTIAL LOS ANDES”")</f>
        <v>ESTUDIO DE FACTIBILIDAD TECNICA Y ECONOMICA PARA LA INSTALACION DE UNA PLANTA PROCESADORA DE JUGOS CON PULPA DE FRUTAS PARA LA EMPRESA “MANANTIAL LOS ANDES”</v>
      </c>
      <c r="C308" s="58">
        <f>IFERROR(__xludf.DUMMYFUNCTION("""COMPUTED_VALUE"""),28.0)</f>
        <v>28</v>
      </c>
    </row>
    <row r="309">
      <c r="A309" s="58" t="str">
        <f>IFERROR(__xludf.DUMMYFUNCTION("""COMPUTED_VALUE"""),"FACTIBILIDAD")</f>
        <v>FACTIBILIDAD</v>
      </c>
      <c r="B309" s="58" t="str">
        <f>IFERROR(__xludf.DUMMYFUNCTION("""COMPUTED_VALUE"""),"ESTUDIO DE FACTIBILIDAD TECNICA Y FINANCIERA PARA LA INSTALACION DE UNA EMPRESA DE BEBIDAS ENERGÉTICAS A BASE DE CHÍA Y FRUTAS EN COCHABAMBA METROPOLITANA”.")</f>
        <v>ESTUDIO DE FACTIBILIDAD TECNICA Y FINANCIERA PARA LA INSTALACION DE UNA EMPRESA DE BEBIDAS ENERGÉTICAS A BASE DE CHÍA Y FRUTAS EN COCHABAMBA METROPOLITANA”.</v>
      </c>
      <c r="C309" s="58">
        <f>IFERROR(__xludf.DUMMYFUNCTION("""COMPUTED_VALUE"""),2.0)</f>
        <v>2</v>
      </c>
    </row>
    <row r="310">
      <c r="A310" s="58" t="str">
        <f>IFERROR(__xludf.DUMMYFUNCTION("""COMPUTED_VALUE"""),"FACTIBILIDAD")</f>
        <v>FACTIBILIDAD</v>
      </c>
      <c r="B310" s="58" t="str">
        <f>IFERROR(__xludf.DUMMYFUNCTION("""COMPUTED_VALUE"""),"ESTUDIO DE FACTIBILIDAD TECNICA Y FINANCIERA PARA PRODUCIR ALCOHOL CARBURANTE A PARTIR DE CAÑA DE AZUCAR")</f>
        <v>ESTUDIO DE FACTIBILIDAD TECNICA Y FINANCIERA PARA PRODUCIR ALCOHOL CARBURANTE A PARTIR DE CAÑA DE AZUCAR</v>
      </c>
      <c r="C310" s="58">
        <f>IFERROR(__xludf.DUMMYFUNCTION("""COMPUTED_VALUE"""),1.0)</f>
        <v>1</v>
      </c>
    </row>
    <row r="311">
      <c r="A311" s="58" t="str">
        <f>IFERROR(__xludf.DUMMYFUNCTION("""COMPUTED_VALUE"""),"FACTIBILIDAD")</f>
        <v>FACTIBILIDAD</v>
      </c>
      <c r="B311" s="58" t="str">
        <f>IFERROR(__xludf.DUMMYFUNCTION("""COMPUTED_VALUE"""),"ESTUDIO DE FACTIBILIDAD TECNICO, ECONOMICO Y FINANCIERO PARA DESARROLLAR LOS SISTEMAS DE PRODUCCION HIDROPONICOS PARA EL CULTIVO DE FLORES EN TIQUIPAYA")</f>
        <v>ESTUDIO DE FACTIBILIDAD TECNICO, ECONOMICO Y FINANCIERO PARA DESARROLLAR LOS SISTEMAS DE PRODUCCION HIDROPONICOS PARA EL CULTIVO DE FLORES EN TIQUIPAYA</v>
      </c>
      <c r="C311" s="58">
        <f>IFERROR(__xludf.DUMMYFUNCTION("""COMPUTED_VALUE"""),1.0)</f>
        <v>1</v>
      </c>
    </row>
    <row r="312">
      <c r="A312" s="58" t="str">
        <f>IFERROR(__xludf.DUMMYFUNCTION("""COMPUTED_VALUE"""),"FACTIBILIDAD")</f>
        <v>FACTIBILIDAD</v>
      </c>
      <c r="B312" s="58" t="str">
        <f>IFERROR(__xludf.DUMMYFUNCTION("""COMPUTED_VALUE"""),"ESTUDIO DE FACTIBILIDAD TÉCNICA Y COMERCIAL PARA LA CREACIÓN DE UNA PLANTA INDUSTRIALIZADORA DE CERVEZA A BASE DE QUINUA EN COCHABAMBA")</f>
        <v>ESTUDIO DE FACTIBILIDAD TÉCNICA Y COMERCIAL PARA LA CREACIÓN DE UNA PLANTA INDUSTRIALIZADORA DE CERVEZA A BASE DE QUINUA EN COCHABAMBA</v>
      </c>
      <c r="C312" s="58">
        <f>IFERROR(__xludf.DUMMYFUNCTION("""COMPUTED_VALUE"""),14.0)</f>
        <v>14</v>
      </c>
    </row>
    <row r="313">
      <c r="A313" s="58" t="str">
        <f>IFERROR(__xludf.DUMMYFUNCTION("""COMPUTED_VALUE"""),"FACTIBILIDAD")</f>
        <v>FACTIBILIDAD</v>
      </c>
      <c r="B313" s="58" t="str">
        <f>IFERROR(__xludf.DUMMYFUNCTION("""COMPUTED_VALUE"""),"ESTUDIO DE FACTIBILIDAD TÉCNICA Y ECONÓMICA PARA LA ELABORACIÓN DE SOPAS Y CREMAS PRE COCIDAS A BASE DE QUINUA EN LA CIUDAD DE COCHABAMBA")</f>
        <v>ESTUDIO DE FACTIBILIDAD TÉCNICA Y ECONÓMICA PARA LA ELABORACIÓN DE SOPAS Y CREMAS PRE COCIDAS A BASE DE QUINUA EN LA CIUDAD DE COCHABAMBA</v>
      </c>
      <c r="C313" s="58">
        <f>IFERROR(__xludf.DUMMYFUNCTION("""COMPUTED_VALUE"""),4.0)</f>
        <v>4</v>
      </c>
    </row>
    <row r="314">
      <c r="A314" s="58" t="str">
        <f>IFERROR(__xludf.DUMMYFUNCTION("""COMPUTED_VALUE"""),"FACTIBILIDAD")</f>
        <v>FACTIBILIDAD</v>
      </c>
      <c r="B314" s="58" t="str">
        <f>IFERROR(__xludf.DUMMYFUNCTION("""COMPUTED_VALUE"""),"ESTUDIO DE FACTIBILIDAD TÉCNICA Y ECONÓMICA PARA LA INSTALACIÓN DE UNA ESTACIÓN DE SERVICIO EN EL DISTRITO DE BULO BULO")</f>
        <v>ESTUDIO DE FACTIBILIDAD TÉCNICA Y ECONÓMICA PARA LA INSTALACIÓN DE UNA ESTACIÓN DE SERVICIO EN EL DISTRITO DE BULO BULO</v>
      </c>
      <c r="C314" s="58">
        <f>IFERROR(__xludf.DUMMYFUNCTION("""COMPUTED_VALUE"""),1.0)</f>
        <v>1</v>
      </c>
    </row>
    <row r="315">
      <c r="A315" s="58" t="str">
        <f>IFERROR(__xludf.DUMMYFUNCTION("""COMPUTED_VALUE"""),"FACTIBILIDAD")</f>
        <v>FACTIBILIDAD</v>
      </c>
      <c r="B315" s="58" t="str">
        <f>IFERROR(__xludf.DUMMYFUNCTION("""COMPUTED_VALUE"""),"ESTUDIO DE FACTIBILIDAD TÉCNICA Y FINANCIERA PARA LA IMPLEMENTACIÓN DE UNA FÁBRICA DE ACCESORIOS PARA COLCHÓN: RESORTES, ESPIRAL Y ALGODÓN ARTIFICIAL PARA LA EMPRESA OMOFLEX")</f>
        <v>ESTUDIO DE FACTIBILIDAD TÉCNICA Y FINANCIERA PARA LA IMPLEMENTACIÓN DE UNA FÁBRICA DE ACCESORIOS PARA COLCHÓN: RESORTES, ESPIRAL Y ALGODÓN ARTIFICIAL PARA LA EMPRESA OMOFLEX</v>
      </c>
      <c r="C315" s="58">
        <f>IFERROR(__xludf.DUMMYFUNCTION("""COMPUTED_VALUE"""),2.0)</f>
        <v>2</v>
      </c>
    </row>
    <row r="316">
      <c r="A316" s="58" t="str">
        <f>IFERROR(__xludf.DUMMYFUNCTION("""COMPUTED_VALUE"""),"FACTIBILIDAD")</f>
        <v>FACTIBILIDAD</v>
      </c>
      <c r="B316" s="58" t="str">
        <f>IFERROR(__xludf.DUMMYFUNCTION("""COMPUTED_VALUE"""),"ESTUDIO DE FACTIBILIDAD TÉCNICA Y FINANCIERA PARA LA IMPLEMENTACIÓN DE UNA LÍNEA PRODUCTIVA DE MERMELADA DE FRUTAS A PARTIR DE RESIDUOS EN LACTEOSBOL VALLE SACTA-COCHABAMBA")</f>
        <v>ESTUDIO DE FACTIBILIDAD TÉCNICA Y FINANCIERA PARA LA IMPLEMENTACIÓN DE UNA LÍNEA PRODUCTIVA DE MERMELADA DE FRUTAS A PARTIR DE RESIDUOS EN LACTEOSBOL VALLE SACTA-COCHABAMBA</v>
      </c>
      <c r="C316" s="58">
        <f>IFERROR(__xludf.DUMMYFUNCTION("""COMPUTED_VALUE"""),8.0)</f>
        <v>8</v>
      </c>
    </row>
    <row r="317">
      <c r="A317" s="58" t="str">
        <f>IFERROR(__xludf.DUMMYFUNCTION("""COMPUTED_VALUE"""),"FACTIBILIDAD")</f>
        <v>FACTIBILIDAD</v>
      </c>
      <c r="B317" s="58" t="str">
        <f>IFERROR(__xludf.DUMMYFUNCTION("""COMPUTED_VALUE"""),"ESTUDIO DE FACTIBILIDAD TÉCNICA Y FINANCIERA PARA PRODUCIR ALCOHOL CARBURANTE A PARTIR DE CAÑA DE AZÚCAR")</f>
        <v>ESTUDIO DE FACTIBILIDAD TÉCNICA Y FINANCIERA PARA PRODUCIR ALCOHOL CARBURANTE A PARTIR DE CAÑA DE AZÚCAR</v>
      </c>
      <c r="C317" s="58">
        <f>IFERROR(__xludf.DUMMYFUNCTION("""COMPUTED_VALUE"""),1.0)</f>
        <v>1</v>
      </c>
    </row>
    <row r="318">
      <c r="A318" s="58" t="str">
        <f>IFERROR(__xludf.DUMMYFUNCTION("""COMPUTED_VALUE"""),"FACTIBILIDAD")</f>
        <v>FACTIBILIDAD</v>
      </c>
      <c r="B318" s="58" t="str">
        <f>IFERROR(__xludf.DUMMYFUNCTION("""COMPUTED_VALUE"""),"ESTUDIO DE FACTIBILIDAD TÉCNICO - FINANCIERO PARA LA IMPLEMENTACIÓN DE UNA PLANTA DE RECICLAJE PARA LA RECUPERACIÓN DE POLIETILENO DE BAJA DENSIDAD Y TERMOCONTRAIBLE PARA LA EMPRESA INMAPLAST SRL")</f>
        <v>ESTUDIO DE FACTIBILIDAD TÉCNICO - FINANCIERO PARA LA IMPLEMENTACIÓN DE UNA PLANTA DE RECICLAJE PARA LA RECUPERACIÓN DE POLIETILENO DE BAJA DENSIDAD Y TERMOCONTRAIBLE PARA LA EMPRESA INMAPLAST SRL</v>
      </c>
      <c r="C318" s="58">
        <f>IFERROR(__xludf.DUMMYFUNCTION("""COMPUTED_VALUE"""),2.0)</f>
        <v>2</v>
      </c>
    </row>
    <row r="319">
      <c r="A319" s="58" t="str">
        <f>IFERROR(__xludf.DUMMYFUNCTION("""COMPUTED_VALUE"""),"FACTIBILIDAD")</f>
        <v>FACTIBILIDAD</v>
      </c>
      <c r="B319" s="58" t="str">
        <f>IFERROR(__xludf.DUMMYFUNCTION("""COMPUTED_VALUE"""),"ESTUDIO DE FACTIBILIDAD TÉCNICO ECONÓMICO PARA LA IMPLEMENTACIÓN DE UNA GRANJA AVÍCOLA PRODUCTORA DE HUEVOS ENRIQUECIDOS CON OMEGA 3")</f>
        <v>ESTUDIO DE FACTIBILIDAD TÉCNICO ECONÓMICO PARA LA IMPLEMENTACIÓN DE UNA GRANJA AVÍCOLA PRODUCTORA DE HUEVOS ENRIQUECIDOS CON OMEGA 3</v>
      </c>
      <c r="C319" s="58">
        <f>IFERROR(__xludf.DUMMYFUNCTION("""COMPUTED_VALUE"""),6.0)</f>
        <v>6</v>
      </c>
    </row>
    <row r="320">
      <c r="A320" s="58" t="str">
        <f>IFERROR(__xludf.DUMMYFUNCTION("""COMPUTED_VALUE"""),"FACTIBILIDAD")</f>
        <v>FACTIBILIDAD</v>
      </c>
      <c r="B320" s="58" t="str">
        <f>IFERROR(__xludf.DUMMYFUNCTION("""COMPUTED_VALUE"""),"ESTUDIO DE FACTIBILIDAD TÉCNICO ECONÓMICO PARA LA PRODUCCIÓN DE VINO ESPUMANTE")</f>
        <v>ESTUDIO DE FACTIBILIDAD TÉCNICO ECONÓMICO PARA LA PRODUCCIÓN DE VINO ESPUMANTE</v>
      </c>
      <c r="C320" s="58">
        <f>IFERROR(__xludf.DUMMYFUNCTION("""COMPUTED_VALUE"""),1.0)</f>
        <v>1</v>
      </c>
    </row>
    <row r="321">
      <c r="A321" s="58" t="str">
        <f>IFERROR(__xludf.DUMMYFUNCTION("""COMPUTED_VALUE"""),"FACTIBILIDAD")</f>
        <v>FACTIBILIDAD</v>
      </c>
      <c r="B321" s="58" t="str">
        <f>IFERROR(__xludf.DUMMYFUNCTION("""COMPUTED_VALUE"""),"ESTUDIO DE FACTIBILIDAD TÉCNICO ECONÓMICO Y FINANCIERO PARA LA CREACIÓN DE UNA     EMPRESA PRODUCTORA DE LADRILLOS Y PLACAS PREFABRICADAS CON PLÁSTICOS RECICLADOS EN TIQUIPAYA")</f>
        <v>ESTUDIO DE FACTIBILIDAD TÉCNICO ECONÓMICO Y FINANCIERO PARA LA CREACIÓN DE UNA     EMPRESA PRODUCTORA DE LADRILLOS Y PLACAS PREFABRICADAS CON PLÁSTICOS RECICLADOS EN TIQUIPAYA</v>
      </c>
      <c r="C321" s="58">
        <f>IFERROR(__xludf.DUMMYFUNCTION("""COMPUTED_VALUE"""),2.0)</f>
        <v>2</v>
      </c>
    </row>
    <row r="322">
      <c r="A322" s="58" t="str">
        <f>IFERROR(__xludf.DUMMYFUNCTION("""COMPUTED_VALUE"""),"FACTIBILIDAD")</f>
        <v>FACTIBILIDAD</v>
      </c>
      <c r="B322" s="58" t="str">
        <f>IFERROR(__xludf.DUMMYFUNCTION("""COMPUTED_VALUE"""),"ESTUDIO DE FACTIBILIDAD TÉCNICO ECONÓMICO Y FINANCIERO PARA UNA PLANTA PROCESADORA DE MANÍ")</f>
        <v>ESTUDIO DE FACTIBILIDAD TÉCNICO ECONÓMICO Y FINANCIERO PARA UNA PLANTA PROCESADORA DE MANÍ</v>
      </c>
      <c r="C322" s="58">
        <f>IFERROR(__xludf.DUMMYFUNCTION("""COMPUTED_VALUE"""),6.0)</f>
        <v>6</v>
      </c>
    </row>
    <row r="323">
      <c r="A323" s="58" t="str">
        <f>IFERROR(__xludf.DUMMYFUNCTION("""COMPUTED_VALUE"""),"FACTIBILIDAD")</f>
        <v>FACTIBILIDAD</v>
      </c>
      <c r="B323" s="58" t="str">
        <f>IFERROR(__xludf.DUMMYFUNCTION("""COMPUTED_VALUE"""),"ESTUDIO DE FACTIBILIDAD TÉCNICO – ECONÓMICO PARA LA
FABRICACIÓN DE CEMENTO COLA")</f>
        <v>ESTUDIO DE FACTIBILIDAD TÉCNICO – ECONÓMICO PARA LA
FABRICACIÓN DE CEMENTO COLA</v>
      </c>
      <c r="C323" s="58">
        <f>IFERROR(__xludf.DUMMYFUNCTION("""COMPUTED_VALUE"""),1.0)</f>
        <v>1</v>
      </c>
    </row>
    <row r="324">
      <c r="A324" s="58" t="str">
        <f>IFERROR(__xludf.DUMMYFUNCTION("""COMPUTED_VALUE"""),"FACTIBILIDAD")</f>
        <v>FACTIBILIDAD</v>
      </c>
      <c r="B324" s="58" t="str">
        <f>IFERROR(__xludf.DUMMYFUNCTION("""COMPUTED_VALUE"""),"ESTUDIO DE FACTIBILIDAD TÉCNICO, ECONÓMICO Y FINANCIERO PARA DESARROLLAR LOS SISTEMAS DE PRODUCCIÓN HIDROPÓNICOS PARA EL CULTIVO DE FLORES EN TIQUIPAYA")</f>
        <v>ESTUDIO DE FACTIBILIDAD TÉCNICO, ECONÓMICO Y FINANCIERO PARA DESARROLLAR LOS SISTEMAS DE PRODUCCIÓN HIDROPÓNICOS PARA EL CULTIVO DE FLORES EN TIQUIPAYA</v>
      </c>
      <c r="C324" s="58">
        <f>IFERROR(__xludf.DUMMYFUNCTION("""COMPUTED_VALUE"""),4.0)</f>
        <v>4</v>
      </c>
    </row>
    <row r="325">
      <c r="A325" s="58" t="str">
        <f>IFERROR(__xludf.DUMMYFUNCTION("""COMPUTED_VALUE"""),"FACTIBILIDAD")</f>
        <v>FACTIBILIDAD</v>
      </c>
      <c r="B325" s="58" t="str">
        <f>IFERROR(__xludf.DUMMYFUNCTION("""COMPUTED_VALUE"""),"ESTUDIO DE FACTIBILIDAD TÉCNICO-ECONÓMICO PARA LA IMPLEMENTACIÓN DE UNA PLANTA PROCESADORA DE LOS DERIVADOS DE ALMENDRA (BERTHOLLETIA EXCELSA) EN COCHABAMBA.")</f>
        <v>ESTUDIO DE FACTIBILIDAD TÉCNICO-ECONÓMICO PARA LA IMPLEMENTACIÓN DE UNA PLANTA PROCESADORA DE LOS DERIVADOS DE ALMENDRA (BERTHOLLETIA EXCELSA) EN COCHABAMBA.</v>
      </c>
      <c r="C325" s="58">
        <f>IFERROR(__xludf.DUMMYFUNCTION("""COMPUTED_VALUE"""),2.0)</f>
        <v>2</v>
      </c>
    </row>
    <row r="326">
      <c r="A326" s="58" t="str">
        <f>IFERROR(__xludf.DUMMYFUNCTION("""COMPUTED_VALUE"""),"FACTIBILIDAD")</f>
        <v>FACTIBILIDAD</v>
      </c>
      <c r="B326" s="58" t="str">
        <f>IFERROR(__xludf.DUMMYFUNCTION("""COMPUTED_VALUE"""),"ESTUDIO DE PRE-FACTIBILIDAD PARA LA CREACIÓN DE UN CENTRO PARA EL ADULTO MAYOR")</f>
        <v>ESTUDIO DE PRE-FACTIBILIDAD PARA LA CREACIÓN DE UN CENTRO PARA EL ADULTO MAYOR</v>
      </c>
      <c r="C326" s="58">
        <f>IFERROR(__xludf.DUMMYFUNCTION("""COMPUTED_VALUE"""),1.0)</f>
        <v>1</v>
      </c>
    </row>
    <row r="327">
      <c r="A327" s="58" t="str">
        <f>IFERROR(__xludf.DUMMYFUNCTION("""COMPUTED_VALUE"""),"FACTIBILIDAD")</f>
        <v>FACTIBILIDAD</v>
      </c>
      <c r="B327" s="58" t="str">
        <f>IFERROR(__xludf.DUMMYFUNCTION("""COMPUTED_VALUE"""),"ESTUDIO DE PREFACTIBILIDAD PARA LA IMPLEMENTACIÓN DE UNA INCUBADORA DE EMPRESAS DE BASE TECNOLÓGICA EN LA FCYT DE LA UMSS.")</f>
        <v>ESTUDIO DE PREFACTIBILIDAD PARA LA IMPLEMENTACIÓN DE UNA INCUBADORA DE EMPRESAS DE BASE TECNOLÓGICA EN LA FCYT DE LA UMSS.</v>
      </c>
      <c r="C327" s="58">
        <f>IFERROR(__xludf.DUMMYFUNCTION("""COMPUTED_VALUE"""),1.0)</f>
        <v>1</v>
      </c>
    </row>
    <row r="328">
      <c r="A328" s="58" t="str">
        <f>IFERROR(__xludf.DUMMYFUNCTION("""COMPUTED_VALUE"""),"FACTIBILIDAD")</f>
        <v>FACTIBILIDAD</v>
      </c>
      <c r="B328" s="58" t="str">
        <f>IFERROR(__xludf.DUMMYFUNCTION("""COMPUTED_VALUE"""),"ESTUDIO DE PREFACTIBILIDAD PARA LA INSTALACIÓN DE UNA PLANTA PILOTO PROCESADORA DE ALIMENTOS EN POLVO.")</f>
        <v>ESTUDIO DE PREFACTIBILIDAD PARA LA INSTALACIÓN DE UNA PLANTA PILOTO PROCESADORA DE ALIMENTOS EN POLVO.</v>
      </c>
      <c r="C328" s="58">
        <f>IFERROR(__xludf.DUMMYFUNCTION("""COMPUTED_VALUE"""),2.0)</f>
        <v>2</v>
      </c>
    </row>
    <row r="329">
      <c r="A329" s="58" t="str">
        <f>IFERROR(__xludf.DUMMYFUNCTION("""COMPUTED_VALUE"""),"FACTIBILIDAD")</f>
        <v>FACTIBILIDAD</v>
      </c>
      <c r="B329" s="58" t="str">
        <f>IFERROR(__xludf.DUMMYFUNCTION("""COMPUTED_VALUE"""),"ESTUDIO DE PREFACTIBILIDAD PARA LA PRODUCCIÓN DE CHAMPIÑÓN")</f>
        <v>ESTUDIO DE PREFACTIBILIDAD PARA LA PRODUCCIÓN DE CHAMPIÑÓN</v>
      </c>
      <c r="C329" s="58">
        <f>IFERROR(__xludf.DUMMYFUNCTION("""COMPUTED_VALUE"""),2.0)</f>
        <v>2</v>
      </c>
    </row>
    <row r="330">
      <c r="A330" s="58" t="str">
        <f>IFERROR(__xludf.DUMMYFUNCTION("""COMPUTED_VALUE"""),"FACTIBILIDAD")</f>
        <v>FACTIBILIDAD</v>
      </c>
      <c r="B330" s="58" t="str">
        <f>IFERROR(__xludf.DUMMYFUNCTION("""COMPUTED_VALUE"""),"ESTUDIO DE VIABILIDAD PARA LA IMPLEMENTACIÓN DE UN PLAN DE NEGOCIOS EN LA PRODUCCIÓN DE HORTALIZAS EN INVIERNO PARA EL SINDICATO “VILLA ROSARIO” DE YAPACANÍ-SANTA CRUZ")</f>
        <v>ESTUDIO DE VIABILIDAD PARA LA IMPLEMENTACIÓN DE UN PLAN DE NEGOCIOS EN LA PRODUCCIÓN DE HORTALIZAS EN INVIERNO PARA EL SINDICATO “VILLA ROSARIO” DE YAPACANÍ-SANTA CRUZ</v>
      </c>
      <c r="C330" s="58">
        <f>IFERROR(__xludf.DUMMYFUNCTION("""COMPUTED_VALUE"""),2.0)</f>
        <v>2</v>
      </c>
    </row>
    <row r="331">
      <c r="A331" s="58" t="str">
        <f>IFERROR(__xludf.DUMMYFUNCTION("""COMPUTED_VALUE"""),"FACTIBILIDAD")</f>
        <v>FACTIBILIDAD</v>
      </c>
      <c r="B331" s="58" t="str">
        <f>IFERROR(__xludf.DUMMYFUNCTION("""COMPUTED_VALUE"""),"ESTUDIO DE VIABILIDAD PARA LA IMPLEMENTACIÓN DE UNA PLANTA PROCESADORA DE EMBUTIDOS A PARTIR DE LA CARNE DE LLAMA Y PAVO, DIRIGIDO AL MERCADO DE COCHABAMBA")</f>
        <v>ESTUDIO DE VIABILIDAD PARA LA IMPLEMENTACIÓN DE UNA PLANTA PROCESADORA DE EMBUTIDOS A PARTIR DE LA CARNE DE LLAMA Y PAVO, DIRIGIDO AL MERCADO DE COCHABAMBA</v>
      </c>
      <c r="C331" s="58">
        <f>IFERROR(__xludf.DUMMYFUNCTION("""COMPUTED_VALUE"""),2.0)</f>
        <v>2</v>
      </c>
    </row>
    <row r="332">
      <c r="A332" s="58" t="str">
        <f>IFERROR(__xludf.DUMMYFUNCTION("""COMPUTED_VALUE"""),"FACTIBILIDAD")</f>
        <v>FACTIBILIDAD</v>
      </c>
      <c r="B332" s="58" t="str">
        <f>IFERROR(__xludf.DUMMYFUNCTION("""COMPUTED_VALUE"""),"ESTUDIO DE VIABILIDAD PARA LA IMPLEMENTACIÓN DE UNA PLANTA PROCESADORA DE HARINA DE ARROZ INTEGRAL, DIRIGIDO AL MERCADO DE COCHABAMBA.")</f>
        <v>ESTUDIO DE VIABILIDAD PARA LA IMPLEMENTACIÓN DE UNA PLANTA PROCESADORA DE HARINA DE ARROZ INTEGRAL, DIRIGIDO AL MERCADO DE COCHABAMBA.</v>
      </c>
      <c r="C332" s="58">
        <f>IFERROR(__xludf.DUMMYFUNCTION("""COMPUTED_VALUE"""),1.0)</f>
        <v>1</v>
      </c>
    </row>
    <row r="333">
      <c r="A333" s="58" t="str">
        <f>IFERROR(__xludf.DUMMYFUNCTION("""COMPUTED_VALUE"""),"FACTIBILIDAD")</f>
        <v>FACTIBILIDAD</v>
      </c>
      <c r="B333" s="58" t="str">
        <f>IFERROR(__xludf.DUMMYFUNCTION("""COMPUTED_VALUE"""),"ESTUDIO DE VIABILIDAD PARA LA IMPLEMENTACIÓN DE UNA PLANTA PROCESADORA DE LECHE DE ALMENDRA, DIRIGIDO AL MERCADO DE COCHABAMBA")</f>
        <v>ESTUDIO DE VIABILIDAD PARA LA IMPLEMENTACIÓN DE UNA PLANTA PROCESADORA DE LECHE DE ALMENDRA, DIRIGIDO AL MERCADO DE COCHABAMBA</v>
      </c>
      <c r="C333" s="58">
        <f>IFERROR(__xludf.DUMMYFUNCTION("""COMPUTED_VALUE"""),2.0)</f>
        <v>2</v>
      </c>
    </row>
    <row r="334">
      <c r="A334" s="58" t="str">
        <f>IFERROR(__xludf.DUMMYFUNCTION("""COMPUTED_VALUE"""),"FACTIBILIDAD")</f>
        <v>FACTIBILIDAD</v>
      </c>
      <c r="B334" s="58" t="str">
        <f>IFERROR(__xludf.DUMMYFUNCTION("""COMPUTED_VALUE"""),"ESTUDIO DE VIABILIDAD TÉCNICA PARA LA IMPLEMENTACIÓN DE UNA PLANTA RECICLADORA DE RESIDUOS SÓLIDOS INORGÁNICOS (PET) EN EL RELLENO SANITARIO DE JARKA LOMA - SACABA")</f>
        <v>ESTUDIO DE VIABILIDAD TÉCNICA PARA LA IMPLEMENTACIÓN DE UNA PLANTA RECICLADORA DE RESIDUOS SÓLIDOS INORGÁNICOS (PET) EN EL RELLENO SANITARIO DE JARKA LOMA - SACABA</v>
      </c>
      <c r="C334" s="58">
        <f>IFERROR(__xludf.DUMMYFUNCTION("""COMPUTED_VALUE"""),6.0)</f>
        <v>6</v>
      </c>
    </row>
    <row r="335">
      <c r="A335" s="58" t="str">
        <f>IFERROR(__xludf.DUMMYFUNCTION("""COMPUTED_VALUE"""),"FACTIBILIDAD")</f>
        <v>FACTIBILIDAD</v>
      </c>
      <c r="B335" s="58" t="str">
        <f>IFERROR(__xludf.DUMMYFUNCTION("""COMPUTED_VALUE"""),"ESTUDIO FACTIBILIDAD PARA LA INDUSTRIALIZACIÓN Y COMERCIALIZACIÓN DEL LICOR DE GUINDA Y CEREZA EN COCHBAMBA")</f>
        <v>ESTUDIO FACTIBILIDAD PARA LA INDUSTRIALIZACIÓN Y COMERCIALIZACIÓN DEL LICOR DE GUINDA Y CEREZA EN COCHBAMBA</v>
      </c>
      <c r="C335" s="58">
        <f>IFERROR(__xludf.DUMMYFUNCTION("""COMPUTED_VALUE"""),13.0)</f>
        <v>13</v>
      </c>
    </row>
    <row r="336">
      <c r="A336" s="58" t="str">
        <f>IFERROR(__xludf.DUMMYFUNCTION("""COMPUTED_VALUE"""),"FACTIBILIDAD")</f>
        <v>FACTIBILIDAD</v>
      </c>
      <c r="B336" s="58" t="str">
        <f>IFERROR(__xludf.DUMMYFUNCTION("""COMPUTED_VALUE"""),"ESTUDIO TÉCNICO ECONÓMICO PARA LA IMPLEMENTACIÓN DE UNA PLANTA INDUSTRIAL DE POLITUBO.")</f>
        <v>ESTUDIO TÉCNICO ECONÓMICO PARA LA IMPLEMENTACIÓN DE UNA PLANTA INDUSTRIAL DE POLITUBO.</v>
      </c>
      <c r="C336" s="58">
        <f>IFERROR(__xludf.DUMMYFUNCTION("""COMPUTED_VALUE"""),1.0)</f>
        <v>1</v>
      </c>
    </row>
    <row r="337">
      <c r="A337" s="58" t="str">
        <f>IFERROR(__xludf.DUMMYFUNCTION("""COMPUTED_VALUE"""),"FACTIBILIDAD")</f>
        <v>FACTIBILIDAD</v>
      </c>
      <c r="B337" s="58" t="str">
        <f>IFERROR(__xludf.DUMMYFUNCTION("""COMPUTED_VALUE"""),"ESTUDIO TÉCNICO ECONÓMICO PARA LA PRODUCCIÓN Y EXPORTACIÓN DE PRENDAS DE VESTIR ELABORADAS CON FIBRA DE ALPACA")</f>
        <v>ESTUDIO TÉCNICO ECONÓMICO PARA LA PRODUCCIÓN Y EXPORTACIÓN DE PRENDAS DE VESTIR ELABORADAS CON FIBRA DE ALPACA</v>
      </c>
      <c r="C337" s="58">
        <f>IFERROR(__xludf.DUMMYFUNCTION("""COMPUTED_VALUE"""),2.0)</f>
        <v>2</v>
      </c>
    </row>
    <row r="338">
      <c r="A338" s="58" t="str">
        <f>IFERROR(__xludf.DUMMYFUNCTION("""COMPUTED_VALUE"""),"FACTIBILIDAD")</f>
        <v>FACTIBILIDAD</v>
      </c>
      <c r="B338" s="58" t="str">
        <f>IFERROR(__xludf.DUMMYFUNCTION("""COMPUTED_VALUE"""),"ESTUDIO TÉCNICO FINANCIERO PARA EL MANEJO DE RESIDUOS SÓLIDOS DOMICILIARIOS POR MEDIO DE LA SEGREGACIÓN EN EL MUNICIPIO DE COLCAPIRHUA")</f>
        <v>ESTUDIO TÉCNICO FINANCIERO PARA EL MANEJO DE RESIDUOS SÓLIDOS DOMICILIARIOS POR MEDIO DE LA SEGREGACIÓN EN EL MUNICIPIO DE COLCAPIRHUA</v>
      </c>
      <c r="C338" s="58">
        <f>IFERROR(__xludf.DUMMYFUNCTION("""COMPUTED_VALUE"""),3.0)</f>
        <v>3</v>
      </c>
    </row>
    <row r="339">
      <c r="A339" s="58" t="str">
        <f>IFERROR(__xludf.DUMMYFUNCTION("""COMPUTED_VALUE"""),"FACTIBILIDAD")</f>
        <v>FACTIBILIDAD</v>
      </c>
      <c r="B339" s="58" t="str">
        <f>IFERROR(__xludf.DUMMYFUNCTION("""COMPUTED_VALUE"""),"ESTUDIO TÉCNICO-ECONÓMICO PARA LA IMPLEMENTACIÓN DE UNA EMPRESA PRODUCTORA DE PAN, PRODUCTOS DE REPOSTERÍA Y COMERCIALIZADORA DE PRODUCTOS DE CONSUMO MASIVO")</f>
        <v>ESTUDIO TÉCNICO-ECONÓMICO PARA LA IMPLEMENTACIÓN DE UNA EMPRESA PRODUCTORA DE PAN, PRODUCTOS DE REPOSTERÍA Y COMERCIALIZADORA DE PRODUCTOS DE CONSUMO MASIVO</v>
      </c>
      <c r="C339" s="58">
        <f>IFERROR(__xludf.DUMMYFUNCTION("""COMPUTED_VALUE"""),2.0)</f>
        <v>2</v>
      </c>
    </row>
    <row r="340">
      <c r="A340" s="58" t="str">
        <f>IFERROR(__xludf.DUMMYFUNCTION("""COMPUTED_VALUE"""),"FACTIBILIDAD")</f>
        <v>FACTIBILIDAD</v>
      </c>
      <c r="B340" s="58" t="str">
        <f>IFERROR(__xludf.DUMMYFUNCTION("""COMPUTED_VALUE"""),"FACTIBILIDAD PARA LA INSTALACIÓN DE UNA PLANTA PILOTO DE PROCESOS INDUSTRIALES EN LA CARRERA DE ING. INDUSTRIAL DE LA UMSS")</f>
        <v>FACTIBILIDAD PARA LA INSTALACIÓN DE UNA PLANTA PILOTO DE PROCESOS INDUSTRIALES EN LA CARRERA DE ING. INDUSTRIAL DE LA UMSS</v>
      </c>
      <c r="C340" s="58">
        <f>IFERROR(__xludf.DUMMYFUNCTION("""COMPUTED_VALUE"""),1.0)</f>
        <v>1</v>
      </c>
    </row>
    <row r="341">
      <c r="A341" s="58" t="str">
        <f>IFERROR(__xludf.DUMMYFUNCTION("""COMPUTED_VALUE"""),"FACTIBILIDAD")</f>
        <v>FACTIBILIDAD</v>
      </c>
      <c r="B341" s="58" t="str">
        <f>IFERROR(__xludf.DUMMYFUNCTION("""COMPUTED_VALUE"""),"FACTIBILIDAD PARA LA INSTALACIÓN DE UNA PLANTA PILOTO PROCESOS INDUSTRIALES EN LA CARRERA DE INGENIERÍA INDUSTRIAL DE LA UMSS FACTIBILIDAD PARA LA INSTALACIÓN DE UNA PLANTA PILOTO PROCESOS INDUSTRIALES EN LA CARRERA DE INGENIERÍA INDUSTRIAL DE LA UMSS")</f>
        <v>FACTIBILIDAD PARA LA INSTALACIÓN DE UNA PLANTA PILOTO PROCESOS INDUSTRIALES EN LA CARRERA DE INGENIERÍA INDUSTRIAL DE LA UMSS FACTIBILIDAD PARA LA INSTALACIÓN DE UNA PLANTA PILOTO PROCESOS INDUSTRIALES EN LA CARRERA DE INGENIERÍA INDUSTRIAL DE LA UMSS</v>
      </c>
      <c r="C341" s="58">
        <f>IFERROR(__xludf.DUMMYFUNCTION("""COMPUTED_VALUE"""),1.0)</f>
        <v>1</v>
      </c>
    </row>
    <row r="342">
      <c r="A342" s="58" t="str">
        <f>IFERROR(__xludf.DUMMYFUNCTION("""COMPUTED_VALUE"""),"FACTIBILIDAD")</f>
        <v>FACTIBILIDAD</v>
      </c>
      <c r="B342" s="58" t="str">
        <f>IFERROR(__xludf.DUMMYFUNCTION("""COMPUTED_VALUE"""),"FACTIBILIDAD TÉCNICA-FINANCIERA PARA LA INSTALACIÓN
DE UNA PLANTA PILOTO DE COLORANTES NATURALES EN EL
CENTRO DE TECNOLOGÍA AGROINDUSTRIAL")</f>
        <v>FACTIBILIDAD TÉCNICA-FINANCIERA PARA LA INSTALACIÓN
DE UNA PLANTA PILOTO DE COLORANTES NATURALES EN EL
CENTRO DE TECNOLOGÍA AGROINDUSTRIAL</v>
      </c>
      <c r="C342" s="58">
        <f>IFERROR(__xludf.DUMMYFUNCTION("""COMPUTED_VALUE"""),1.0)</f>
        <v>1</v>
      </c>
    </row>
    <row r="343">
      <c r="A343" s="58" t="str">
        <f>IFERROR(__xludf.DUMMYFUNCTION("""COMPUTED_VALUE"""),"FACTIBILIDAD")</f>
        <v>FACTIBILIDAD</v>
      </c>
      <c r="B343" s="58" t="str">
        <f>IFERROR(__xludf.DUMMYFUNCTION("""COMPUTED_VALUE"""),"INCERPAZ LTDA")</f>
        <v>INCERPAZ LTDA</v>
      </c>
      <c r="C343" s="58">
        <f>IFERROR(__xludf.DUMMYFUNCTION("""COMPUTED_VALUE"""),1.0)</f>
        <v>1</v>
      </c>
    </row>
    <row r="344">
      <c r="A344" s="58" t="str">
        <f>IFERROR(__xludf.DUMMYFUNCTION("""COMPUTED_VALUE"""),"FACTIBILIDAD")</f>
        <v>FACTIBILIDAD</v>
      </c>
      <c r="B344" s="58" t="str">
        <f>IFERROR(__xludf.DUMMYFUNCTION("""COMPUTED_VALUE"""),"MODELO DE GESTIÓN PARA MEJORAR LA PRODUCCIÓN DE ALIMENTO BALANCEADO PARA TRUCHA EN LA UNIDAD PRODCUCTIVA CARITAS")</f>
        <v>MODELO DE GESTIÓN PARA MEJORAR LA PRODUCCIÓN DE ALIMENTO BALANCEADO PARA TRUCHA EN LA UNIDAD PRODCUCTIVA CARITAS</v>
      </c>
      <c r="C344" s="58">
        <f>IFERROR(__xludf.DUMMYFUNCTION("""COMPUTED_VALUE"""),2.0)</f>
        <v>2</v>
      </c>
    </row>
    <row r="345">
      <c r="A345" s="58" t="str">
        <f>IFERROR(__xludf.DUMMYFUNCTION("""COMPUTED_VALUE"""),"FACTIBILIDAD")</f>
        <v>FACTIBILIDAD</v>
      </c>
      <c r="B345" s="58" t="str">
        <f>IFERROR(__xludf.DUMMYFUNCTION("""COMPUTED_VALUE"""),"PLANTA PROCESADORA DE KAÑAWA (CHENOPODIUM PALLIDICAULE AELLEN), (ESTUDIO DE FACTIBILIDAD)")</f>
        <v>PLANTA PROCESADORA DE KAÑAWA (CHENOPODIUM PALLIDICAULE AELLEN), (ESTUDIO DE FACTIBILIDAD)</v>
      </c>
      <c r="C345" s="58">
        <f>IFERROR(__xludf.DUMMYFUNCTION("""COMPUTED_VALUE"""),1.0)</f>
        <v>1</v>
      </c>
    </row>
    <row r="346">
      <c r="A346" s="58" t="str">
        <f>IFERROR(__xludf.DUMMYFUNCTION("""COMPUTED_VALUE"""),"FACTIBILIDAD")</f>
        <v>FACTIBILIDAD</v>
      </c>
      <c r="B346" s="58" t="str">
        <f>IFERROR(__xludf.DUMMYFUNCTION("""COMPUTED_VALUE"""),"PROYECTO DE  FACTIBILIDAD  EN LA ELABORACIÓN DE HARINA DE TRIGO TIPO (000) EN LA SUB   CENTRAL YURAJ MOLINO POCONA (SCYM)")</f>
        <v>PROYECTO DE  FACTIBILIDAD  EN LA ELABORACIÓN DE HARINA DE TRIGO TIPO (000) EN LA SUB   CENTRAL YURAJ MOLINO POCONA (SCYM)</v>
      </c>
      <c r="C346" s="58">
        <f>IFERROR(__xludf.DUMMYFUNCTION("""COMPUTED_VALUE"""),4.0)</f>
        <v>4</v>
      </c>
    </row>
    <row r="347">
      <c r="A347" s="58" t="str">
        <f>IFERROR(__xludf.DUMMYFUNCTION("""COMPUTED_VALUE"""),"FACTIBILIDAD")</f>
        <v>FACTIBILIDAD</v>
      </c>
      <c r="B347" s="58" t="str">
        <f>IFERROR(__xludf.DUMMYFUNCTION("""COMPUTED_VALUE"""),"PROYECTO DE  FACTIBILIDAD  PARA LA FABRICACIÓN DE FIDEOS ENRIQUECIDOS  CON HARINA DE PLÁTANO")</f>
        <v>PROYECTO DE  FACTIBILIDAD  PARA LA FABRICACIÓN DE FIDEOS ENRIQUECIDOS  CON HARINA DE PLÁTANO</v>
      </c>
      <c r="C347" s="58">
        <f>IFERROR(__xludf.DUMMYFUNCTION("""COMPUTED_VALUE"""),3.0)</f>
        <v>3</v>
      </c>
    </row>
    <row r="348">
      <c r="A348" s="58" t="str">
        <f>IFERROR(__xludf.DUMMYFUNCTION("""COMPUTED_VALUE"""),"FACTIBILIDAD")</f>
        <v>FACTIBILIDAD</v>
      </c>
      <c r="B348" s="58" t="str">
        <f>IFERROR(__xludf.DUMMYFUNCTION("""COMPUTED_VALUE"""),"PROYECTO DE FACTIBILIDAD DE PRODUCCION DE CEREALES EXTRUIDOS PARA DESAYUNO EN LA REGION ANDINA DEL DEPARTAMENTO DE COCHABAMBA")</f>
        <v>PROYECTO DE FACTIBILIDAD DE PRODUCCION DE CEREALES EXTRUIDOS PARA DESAYUNO EN LA REGION ANDINA DEL DEPARTAMENTO DE COCHABAMBA</v>
      </c>
      <c r="C348" s="58">
        <f>IFERROR(__xludf.DUMMYFUNCTION("""COMPUTED_VALUE"""),1.0)</f>
        <v>1</v>
      </c>
    </row>
    <row r="349">
      <c r="A349" s="58" t="str">
        <f>IFERROR(__xludf.DUMMYFUNCTION("""COMPUTED_VALUE"""),"FACTIBILIDAD")</f>
        <v>FACTIBILIDAD</v>
      </c>
      <c r="B349" s="58" t="str">
        <f>IFERROR(__xludf.DUMMYFUNCTION("""COMPUTED_VALUE"""),"PROYECTO DE FACTIBILIDAD DE PRODUCCIÓN DE CEREALES EXTRUIDOS PARA DESAYUNO EN LA REGIÓN ANDINA DEL DEPARTAMENTO DE COCHABAMBA.")</f>
        <v>PROYECTO DE FACTIBILIDAD DE PRODUCCIÓN DE CEREALES EXTRUIDOS PARA DESAYUNO EN LA REGIÓN ANDINA DEL DEPARTAMENTO DE COCHABAMBA.</v>
      </c>
      <c r="C349" s="58">
        <f>IFERROR(__xludf.DUMMYFUNCTION("""COMPUTED_VALUE"""),1.0)</f>
        <v>1</v>
      </c>
    </row>
    <row r="350">
      <c r="A350" s="58" t="str">
        <f>IFERROR(__xludf.DUMMYFUNCTION("""COMPUTED_VALUE"""),"FACTIBILIDAD")</f>
        <v>FACTIBILIDAD</v>
      </c>
      <c r="B350" s="58" t="str">
        <f>IFERROR(__xludf.DUMMYFUNCTION("""COMPUTED_VALUE"""),"PROYECTO DE FACTIBILIDAD DE UNA PLANTA INDUSTRIALIZADORA DEL AJONJOLÍ Y SUS DERIVADOS")</f>
        <v>PROYECTO DE FACTIBILIDAD DE UNA PLANTA INDUSTRIALIZADORA DEL AJONJOLÍ Y SUS DERIVADOS</v>
      </c>
      <c r="C350" s="58">
        <f>IFERROR(__xludf.DUMMYFUNCTION("""COMPUTED_VALUE"""),2.0)</f>
        <v>2</v>
      </c>
    </row>
    <row r="351">
      <c r="A351" s="58" t="str">
        <f>IFERROR(__xludf.DUMMYFUNCTION("""COMPUTED_VALUE"""),"FACTIBILIDAD")</f>
        <v>FACTIBILIDAD</v>
      </c>
      <c r="B351" s="58" t="str">
        <f>IFERROR(__xludf.DUMMYFUNCTION("""COMPUTED_VALUE"""),"PROYECTO DE FACTIBILIDAD DE UNA PLANTA PROCESADORA DE BROMELINA EN EL TRÓPICO DE COCHABAMBA")</f>
        <v>PROYECTO DE FACTIBILIDAD DE UNA PLANTA PROCESADORA DE BROMELINA EN EL TRÓPICO DE COCHABAMBA</v>
      </c>
      <c r="C351" s="58">
        <f>IFERROR(__xludf.DUMMYFUNCTION("""COMPUTED_VALUE"""),1.0)</f>
        <v>1</v>
      </c>
    </row>
    <row r="352">
      <c r="A352" s="58" t="str">
        <f>IFERROR(__xludf.DUMMYFUNCTION("""COMPUTED_VALUE"""),"FACTIBILIDAD")</f>
        <v>FACTIBILIDAD</v>
      </c>
      <c r="B352" s="58" t="str">
        <f>IFERROR(__xludf.DUMMYFUNCTION("""COMPUTED_VALUE"""),"PROYECTO DE FACTIBILIDAD ECONÓMICA Y FINANCIERA PARA LA INSTALACIÓN DE UNA PLANTA PROCESADORA DE CAMU CAMU")</f>
        <v>PROYECTO DE FACTIBILIDAD ECONÓMICA Y FINANCIERA PARA LA INSTALACIÓN DE UNA PLANTA PROCESADORA DE CAMU CAMU</v>
      </c>
      <c r="C352" s="58">
        <f>IFERROR(__xludf.DUMMYFUNCTION("""COMPUTED_VALUE"""),8.0)</f>
        <v>8</v>
      </c>
    </row>
    <row r="353">
      <c r="A353" s="58" t="str">
        <f>IFERROR(__xludf.DUMMYFUNCTION("""COMPUTED_VALUE"""),"FACTIBILIDAD")</f>
        <v>FACTIBILIDAD</v>
      </c>
      <c r="B353" s="58" t="str">
        <f>IFERROR(__xludf.DUMMYFUNCTION("""COMPUTED_VALUE"""),"PROYECTO DE FACTIBILIDAD PARA EL DESARROLLO DE CONCENTRADO DE TOMATE Y CONCENTRADO DE AJÍ  PARA LA EMPRESA CORDILL S.A.")</f>
        <v>PROYECTO DE FACTIBILIDAD PARA EL DESARROLLO DE CONCENTRADO DE TOMATE Y CONCENTRADO DE AJÍ  PARA LA EMPRESA CORDILL S.A.</v>
      </c>
      <c r="C353" s="58">
        <f>IFERROR(__xludf.DUMMYFUNCTION("""COMPUTED_VALUE"""),3.0)</f>
        <v>3</v>
      </c>
    </row>
    <row r="354">
      <c r="A354" s="58" t="str">
        <f>IFERROR(__xludf.DUMMYFUNCTION("""COMPUTED_VALUE"""),"FACTIBILIDAD")</f>
        <v>FACTIBILIDAD</v>
      </c>
      <c r="B354" s="58" t="str">
        <f>IFERROR(__xludf.DUMMYFUNCTION("""COMPUTED_VALUE"""),"PROYECTO DE FACTIBILIDAD PARA IMPLEMENTAR UNA PANADERIA VEGANA EN LA CIUDAD DE COCHABAMBA BOLIVIA")</f>
        <v>PROYECTO DE FACTIBILIDAD PARA IMPLEMENTAR UNA PANADERIA VEGANA EN LA CIUDAD DE COCHABAMBA BOLIVIA</v>
      </c>
      <c r="C354" s="58">
        <f>IFERROR(__xludf.DUMMYFUNCTION("""COMPUTED_VALUE"""),1.0)</f>
        <v>1</v>
      </c>
    </row>
    <row r="355">
      <c r="A355" s="58" t="str">
        <f>IFERROR(__xludf.DUMMYFUNCTION("""COMPUTED_VALUE"""),"FACTIBILIDAD")</f>
        <v>FACTIBILIDAD</v>
      </c>
      <c r="B355" s="58" t="str">
        <f>IFERROR(__xludf.DUMMYFUNCTION("""COMPUTED_VALUE"""),"PROYECTO DE FACTIBILIDAD PARA IMPLEMENTAR UNA PANADERÍA VEGANA EN LA CIUDAD DE COCHABAMBA BOLIVIA")</f>
        <v>PROYECTO DE FACTIBILIDAD PARA IMPLEMENTAR UNA PANADERÍA VEGANA EN LA CIUDAD DE COCHABAMBA BOLIVIA</v>
      </c>
      <c r="C355" s="58">
        <f>IFERROR(__xludf.DUMMYFUNCTION("""COMPUTED_VALUE"""),2.0)</f>
        <v>2</v>
      </c>
    </row>
    <row r="356">
      <c r="A356" s="58" t="str">
        <f>IFERROR(__xludf.DUMMYFUNCTION("""COMPUTED_VALUE"""),"FACTIBILIDAD")</f>
        <v>FACTIBILIDAD</v>
      </c>
      <c r="B356" s="58" t="str">
        <f>IFERROR(__xludf.DUMMYFUNCTION("""COMPUTED_VALUE"""),"PROYECTO DE FACTIBILIDAD PARA IMPLEMENTAR UNA PLANTA PROCESADORA DE HARINA Y HOJUELAS DE YACÓN")</f>
        <v>PROYECTO DE FACTIBILIDAD PARA IMPLEMENTAR UNA PLANTA PROCESADORA DE HARINA Y HOJUELAS DE YACÓN</v>
      </c>
      <c r="C356" s="58">
        <f>IFERROR(__xludf.DUMMYFUNCTION("""COMPUTED_VALUE"""),2.0)</f>
        <v>2</v>
      </c>
    </row>
    <row r="357">
      <c r="A357" s="58" t="str">
        <f>IFERROR(__xludf.DUMMYFUNCTION("""COMPUTED_VALUE"""),"FACTIBILIDAD")</f>
        <v>FACTIBILIDAD</v>
      </c>
      <c r="B357" s="58" t="str">
        <f>IFERROR(__xludf.DUMMYFUNCTION("""COMPUTED_VALUE"""),"PROYECTO DE FACTIBILIDAD PARA LA
IMPLEMENTACIÓN DE UNA PLANTA PROCESADORA DE
JUGOS DE NARANJA, PIÑA Y MARACUYÁ A SER
COMERCIALIZADAS COMO DESAYUNO ESCOLAR")</f>
        <v>PROYECTO DE FACTIBILIDAD PARA LA
IMPLEMENTACIÓN DE UNA PLANTA PROCESADORA DE
JUGOS DE NARANJA, PIÑA Y MARACUYÁ A SER
COMERCIALIZADAS COMO DESAYUNO ESCOLAR</v>
      </c>
      <c r="C357" s="58">
        <f>IFERROR(__xludf.DUMMYFUNCTION("""COMPUTED_VALUE"""),3.0)</f>
        <v>3</v>
      </c>
    </row>
    <row r="358">
      <c r="A358" s="58" t="str">
        <f>IFERROR(__xludf.DUMMYFUNCTION("""COMPUTED_VALUE"""),"FACTIBILIDAD")</f>
        <v>FACTIBILIDAD</v>
      </c>
      <c r="B358" s="58" t="str">
        <f>IFERROR(__xludf.DUMMYFUNCTION("""COMPUTED_VALUE"""),"PROYECTO DE FACTIBILIDAD PARA LA CREACIÓN DE UN SUPERMERCADO EN LA LOCALIDAD DE IVIRGARZAMA, MUNICIPIO DE PUERTO VILLARROEL")</f>
        <v>PROYECTO DE FACTIBILIDAD PARA LA CREACIÓN DE UN SUPERMERCADO EN LA LOCALIDAD DE IVIRGARZAMA, MUNICIPIO DE PUERTO VILLARROEL</v>
      </c>
      <c r="C358" s="58">
        <f>IFERROR(__xludf.DUMMYFUNCTION("""COMPUTED_VALUE"""),1.0)</f>
        <v>1</v>
      </c>
    </row>
    <row r="359">
      <c r="A359" s="58" t="str">
        <f>IFERROR(__xludf.DUMMYFUNCTION("""COMPUTED_VALUE"""),"FACTIBILIDAD")</f>
        <v>FACTIBILIDAD</v>
      </c>
      <c r="B359" s="58" t="str">
        <f>IFERROR(__xludf.DUMMYFUNCTION("""COMPUTED_VALUE"""),"PROYECTO DE FACTIBILIDAD PARA LA CREACIÓN DE UNA EMPRESA COMERCIALIZADORA DE PLANTAS DE TRATAMIENTO PARA LAS AGUAS GRISES")</f>
        <v>PROYECTO DE FACTIBILIDAD PARA LA CREACIÓN DE UNA EMPRESA COMERCIALIZADORA DE PLANTAS DE TRATAMIENTO PARA LAS AGUAS GRISES</v>
      </c>
      <c r="C359" s="58">
        <f>IFERROR(__xludf.DUMMYFUNCTION("""COMPUTED_VALUE"""),2.0)</f>
        <v>2</v>
      </c>
    </row>
    <row r="360">
      <c r="A360" s="58" t="str">
        <f>IFERROR(__xludf.DUMMYFUNCTION("""COMPUTED_VALUE"""),"FACTIBILIDAD")</f>
        <v>FACTIBILIDAD</v>
      </c>
      <c r="B360" s="58" t="str">
        <f>IFERROR(__xludf.DUMMYFUNCTION("""COMPUTED_VALUE"""),"PROYECTO DE FACTIBILIDAD PARA LA CRIANZA DE TRUCHA EN LA COMUNIDAD DE VILLA VICTORIA, BOLIVAR")</f>
        <v>PROYECTO DE FACTIBILIDAD PARA LA CRIANZA DE TRUCHA EN LA COMUNIDAD DE VILLA VICTORIA, BOLIVAR</v>
      </c>
      <c r="C360" s="58">
        <f>IFERROR(__xludf.DUMMYFUNCTION("""COMPUTED_VALUE"""),2.0)</f>
        <v>2</v>
      </c>
    </row>
    <row r="361">
      <c r="A361" s="58" t="str">
        <f>IFERROR(__xludf.DUMMYFUNCTION("""COMPUTED_VALUE"""),"FACTIBILIDAD")</f>
        <v>FACTIBILIDAD</v>
      </c>
      <c r="B361" s="58" t="str">
        <f>IFERROR(__xludf.DUMMYFUNCTION("""COMPUTED_VALUE"""),"PROYECTO DE FACTIBILIDAD PARA LA ELABORACIÓN DE MERMELADA A BASE DE CARAMBOLA.")</f>
        <v>PROYECTO DE FACTIBILIDAD PARA LA ELABORACIÓN DE MERMELADA A BASE DE CARAMBOLA.</v>
      </c>
      <c r="C361" s="58">
        <f>IFERROR(__xludf.DUMMYFUNCTION("""COMPUTED_VALUE"""),1.0)</f>
        <v>1</v>
      </c>
    </row>
    <row r="362">
      <c r="A362" s="58" t="str">
        <f>IFERROR(__xludf.DUMMYFUNCTION("""COMPUTED_VALUE"""),"FACTIBILIDAD")</f>
        <v>FACTIBILIDAD</v>
      </c>
      <c r="B362" s="58" t="str">
        <f>IFERROR(__xludf.DUMMYFUNCTION("""COMPUTED_VALUE"""),"PROYECTO DE FACTIBILIDAD PARA LA ELABORACIÓN DE SAZONADOR DE CARNE A BASE DE PAPA EN EL DEPARTAMENTO DE COCHABAMBA")</f>
        <v>PROYECTO DE FACTIBILIDAD PARA LA ELABORACIÓN DE SAZONADOR DE CARNE A BASE DE PAPA EN EL DEPARTAMENTO DE COCHABAMBA</v>
      </c>
      <c r="C362" s="58">
        <f>IFERROR(__xludf.DUMMYFUNCTION("""COMPUTED_VALUE"""),8.0)</f>
        <v>8</v>
      </c>
    </row>
    <row r="363">
      <c r="A363" s="58" t="str">
        <f>IFERROR(__xludf.DUMMYFUNCTION("""COMPUTED_VALUE"""),"FACTIBILIDAD")</f>
        <v>FACTIBILIDAD</v>
      </c>
      <c r="B363" s="58" t="str">
        <f>IFERROR(__xludf.DUMMYFUNCTION("""COMPUTED_VALUE"""),"PROYECTO DE FACTIBILIDAD PARA LA EXPORTACIÓN DE PAPAYA EN CONSERVA A LA REPUBLICA ARGENTINA")</f>
        <v>PROYECTO DE FACTIBILIDAD PARA LA EXPORTACIÓN DE PAPAYA EN CONSERVA A LA REPUBLICA ARGENTINA</v>
      </c>
      <c r="C363" s="58">
        <f>IFERROR(__xludf.DUMMYFUNCTION("""COMPUTED_VALUE"""),3.0)</f>
        <v>3</v>
      </c>
    </row>
    <row r="364">
      <c r="A364" s="58" t="str">
        <f>IFERROR(__xludf.DUMMYFUNCTION("""COMPUTED_VALUE"""),"FACTIBILIDAD")</f>
        <v>FACTIBILIDAD</v>
      </c>
      <c r="B364" s="58" t="str">
        <f>IFERROR(__xludf.DUMMYFUNCTION("""COMPUTED_VALUE"""),"PROYECTO DE FACTIBILIDAD PARA LA IMPLEMENTACION DE UNA PLANTA INDUSTRIALIZADORA DE HARINA DE COPOAZÚ, DIRIGIDO AL MERCADO DE COCHABAMBA")</f>
        <v>PROYECTO DE FACTIBILIDAD PARA LA IMPLEMENTACION DE UNA PLANTA INDUSTRIALIZADORA DE HARINA DE COPOAZÚ, DIRIGIDO AL MERCADO DE COCHABAMBA</v>
      </c>
      <c r="C364" s="58">
        <f>IFERROR(__xludf.DUMMYFUNCTION("""COMPUTED_VALUE"""),18.0)</f>
        <v>18</v>
      </c>
    </row>
    <row r="365">
      <c r="A365" s="58" t="str">
        <f>IFERROR(__xludf.DUMMYFUNCTION("""COMPUTED_VALUE"""),"FACTIBILIDAD")</f>
        <v>FACTIBILIDAD</v>
      </c>
      <c r="B365" s="58" t="str">
        <f>IFERROR(__xludf.DUMMYFUNCTION("""COMPUTED_VALUE"""),"PROYECTO DE FACTIBILIDAD PARA LA IMPLEMENTACION DE UNA PLANTA PROCESADORA DE ACEITE A BASE DE SEMILLAS DE MORINGA OLEÍFERA EN EL DEPARTAMENTO DE COCHABAMBA")</f>
        <v>PROYECTO DE FACTIBILIDAD PARA LA IMPLEMENTACION DE UNA PLANTA PROCESADORA DE ACEITE A BASE DE SEMILLAS DE MORINGA OLEÍFERA EN EL DEPARTAMENTO DE COCHABAMBA</v>
      </c>
      <c r="C365" s="58">
        <f>IFERROR(__xludf.DUMMYFUNCTION("""COMPUTED_VALUE"""),36.0)</f>
        <v>36</v>
      </c>
    </row>
    <row r="366">
      <c r="A366" s="58" t="str">
        <f>IFERROR(__xludf.DUMMYFUNCTION("""COMPUTED_VALUE"""),"FACTIBILIDAD")</f>
        <v>FACTIBILIDAD</v>
      </c>
      <c r="B366" s="58" t="str">
        <f>IFERROR(__xludf.DUMMYFUNCTION("""COMPUTED_VALUE"""),"PROYECTO DE FACTIBILIDAD PARA LA IMPLEMENTACION DE UNA PLANTA PROCESADORA DE MANTEQUILLA Y LLAJWA DE MANI EN EL DEPARTAMENTO DE COCHABAMBA")</f>
        <v>PROYECTO DE FACTIBILIDAD PARA LA IMPLEMENTACION DE UNA PLANTA PROCESADORA DE MANTEQUILLA Y LLAJWA DE MANI EN EL DEPARTAMENTO DE COCHABAMBA</v>
      </c>
      <c r="C366" s="58">
        <f>IFERROR(__xludf.DUMMYFUNCTION("""COMPUTED_VALUE"""),16.0)</f>
        <v>16</v>
      </c>
    </row>
    <row r="367">
      <c r="A367" s="58" t="str">
        <f>IFERROR(__xludf.DUMMYFUNCTION("""COMPUTED_VALUE"""),"FACTIBILIDAD")</f>
        <v>FACTIBILIDAD</v>
      </c>
      <c r="B367" s="58" t="str">
        <f>IFERROR(__xludf.DUMMYFUNCTION("""COMPUTED_VALUE"""),"PROYECTO DE FACTIBILIDAD PARA LA IMPLEMENTACION DE UNA SUCURSAL DE HEMODIALISIS PARA LA EMPRESA ""HEMO D SERVICIOS DE DIALISIS S.R.L""")</f>
        <v>PROYECTO DE FACTIBILIDAD PARA LA IMPLEMENTACION DE UNA SUCURSAL DE HEMODIALISIS PARA LA EMPRESA "HEMO D SERVICIOS DE DIALISIS S.R.L"</v>
      </c>
      <c r="C367" s="58">
        <f>IFERROR(__xludf.DUMMYFUNCTION("""COMPUTED_VALUE"""),2.0)</f>
        <v>2</v>
      </c>
    </row>
    <row r="368">
      <c r="A368" s="58" t="str">
        <f>IFERROR(__xludf.DUMMYFUNCTION("""COMPUTED_VALUE"""),"FACTIBILIDAD")</f>
        <v>FACTIBILIDAD</v>
      </c>
      <c r="B368"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C368" s="58">
        <f>IFERROR(__xludf.DUMMYFUNCTION("""COMPUTED_VALUE"""),1.0)</f>
        <v>1</v>
      </c>
    </row>
    <row r="369">
      <c r="A369" s="58" t="str">
        <f>IFERROR(__xludf.DUMMYFUNCTION("""COMPUTED_VALUE"""),"FACTIBILIDAD")</f>
        <v>FACTIBILIDAD</v>
      </c>
      <c r="B369" s="58" t="str">
        <f>IFERROR(__xludf.DUMMYFUNCTION("""COMPUTED_VALUE"""),"PROYECTO DE FACTIBILIDAD PARA LA IMPLEMENTACIÓN DE
UNA PLANTA DE ELABORACIÓN DE HARINA DE VÍSCERAS DE
POLLO")</f>
        <v>PROYECTO DE FACTIBILIDAD PARA LA IMPLEMENTACIÓN DE
UNA PLANTA DE ELABORACIÓN DE HARINA DE VÍSCERAS DE
POLLO</v>
      </c>
      <c r="C369" s="58">
        <f>IFERROR(__xludf.DUMMYFUNCTION("""COMPUTED_VALUE"""),1.0)</f>
        <v>1</v>
      </c>
    </row>
    <row r="370">
      <c r="A370" s="58" t="str">
        <f>IFERROR(__xludf.DUMMYFUNCTION("""COMPUTED_VALUE"""),"FACTIBILIDAD")</f>
        <v>FACTIBILIDAD</v>
      </c>
      <c r="B370" s="58" t="str">
        <f>IFERROR(__xludf.DUMMYFUNCTION("""COMPUTED_VALUE"""),"PROYECTO DE FACTIBILIDAD PARA LA IMPLEMENTACIÓN DE
UNA PLANTA PROCESADORA DE PULPA DE ASAÍ PARA LA
ELABORACIÓN DE JUGO EN EL DEPARTAMENTO DE
COCHABAMBA")</f>
        <v>PROYECTO DE FACTIBILIDAD PARA LA IMPLEMENTACIÓN DE
UNA PLANTA PROCESADORA DE PULPA DE ASAÍ PARA LA
ELABORACIÓN DE JUGO EN EL DEPARTAMENTO DE
COCHABAMBA</v>
      </c>
      <c r="C370" s="58">
        <f>IFERROR(__xludf.DUMMYFUNCTION("""COMPUTED_VALUE"""),1.0)</f>
        <v>1</v>
      </c>
    </row>
    <row r="371">
      <c r="A371" s="58" t="str">
        <f>IFERROR(__xludf.DUMMYFUNCTION("""COMPUTED_VALUE"""),"FACTIBILIDAD")</f>
        <v>FACTIBILIDAD</v>
      </c>
      <c r="B371" s="58" t="str">
        <f>IFERROR(__xludf.DUMMYFUNCTION("""COMPUTED_VALUE"""),"PROYECTO DE FACTIBILIDAD PARA LA IMPLEMENTACIÓN DE UN CRIADERO DE PEJERREY EN EL MUNICIPIO DE VACAS, PROVINCIA DE ARANI")</f>
        <v>PROYECTO DE FACTIBILIDAD PARA LA IMPLEMENTACIÓN DE UN CRIADERO DE PEJERREY EN EL MUNICIPIO DE VACAS, PROVINCIA DE ARANI</v>
      </c>
      <c r="C371" s="58">
        <f>IFERROR(__xludf.DUMMYFUNCTION("""COMPUTED_VALUE"""),1.0)</f>
        <v>1</v>
      </c>
    </row>
    <row r="372">
      <c r="A372" s="58" t="str">
        <f>IFERROR(__xludf.DUMMYFUNCTION("""COMPUTED_VALUE"""),"FACTIBILIDAD")</f>
        <v>FACTIBILIDAD</v>
      </c>
      <c r="B372" s="58" t="str">
        <f>IFERROR(__xludf.DUMMYFUNCTION("""COMPUTED_VALUE"""),"PROYECTO DE FACTIBILIDAD PARA LA IMPLEMENTACIÓN DE UN CRIADERO DE TRUCHAS EN LA COMUNIDAD DE MONTE PUNCO, MUNICIPIO DE POCONA")</f>
        <v>PROYECTO DE FACTIBILIDAD PARA LA IMPLEMENTACIÓN DE UN CRIADERO DE TRUCHAS EN LA COMUNIDAD DE MONTE PUNCO, MUNICIPIO DE POCONA</v>
      </c>
      <c r="C372" s="58">
        <f>IFERROR(__xludf.DUMMYFUNCTION("""COMPUTED_VALUE"""),1.0)</f>
        <v>1</v>
      </c>
    </row>
    <row r="373">
      <c r="A373" s="58" t="str">
        <f>IFERROR(__xludf.DUMMYFUNCTION("""COMPUTED_VALUE"""),"FACTIBILIDAD")</f>
        <v>FACTIBILIDAD</v>
      </c>
      <c r="B373" s="58" t="str">
        <f>IFERROR(__xludf.DUMMYFUNCTION("""COMPUTED_VALUE"""),"PROYECTO DE FACTIBILIDAD PARA LA IMPLEMENTACIÓN DE UNA EMPRESA DEDICADA A LA PRODUCCIÓN DE BOLSAS DE TELA EN EL DEPARTAMENTO DE COCHABAMBA")</f>
        <v>PROYECTO DE FACTIBILIDAD PARA LA IMPLEMENTACIÓN DE UNA EMPRESA DEDICADA A LA PRODUCCIÓN DE BOLSAS DE TELA EN EL DEPARTAMENTO DE COCHABAMBA</v>
      </c>
      <c r="C373" s="58">
        <f>IFERROR(__xludf.DUMMYFUNCTION("""COMPUTED_VALUE"""),12.0)</f>
        <v>12</v>
      </c>
    </row>
    <row r="374">
      <c r="A374" s="58" t="str">
        <f>IFERROR(__xludf.DUMMYFUNCTION("""COMPUTED_VALUE"""),"FACTIBILIDAD")</f>
        <v>FACTIBILIDAD</v>
      </c>
      <c r="B374" s="58" t="str">
        <f>IFERROR(__xludf.DUMMYFUNCTION("""COMPUTED_VALUE"""),"PROYECTO DE FACTIBILIDAD PARA LA IMPLEMENTACIÓN DE UNA LÍNEA PRODUCTIVA DE YOGURT, DE UNA FRACCIÓN DE LACTOSUERO Y LECHE ENTERA EN LA PLANTA PILOTO DE TRANSFORMACIÓN DE DERIVADOS LÁCTEOS DE LA FACULTAD DE CIENCIAS AGRÍCOLAS Y PECUARIAS “DR. MARTIN CÁRDENA"&amp;"S” - UMSS")</f>
        <v>PROYECTO DE FACTIBILIDAD PARA LA IMPLEMENTACIÓN DE UNA LÍNEA PRODUCTIVA DE YOGURT, DE UNA FRACCIÓN DE LACTOSUERO Y LECHE ENTERA EN LA PLANTA PILOTO DE TRANSFORMACIÓN DE DERIVADOS LÁCTEOS DE LA FACULTAD DE CIENCIAS AGRÍCOLAS Y PECUARIAS “DR. MARTIN CÁRDENAS” - UMSS</v>
      </c>
      <c r="C374" s="58">
        <f>IFERROR(__xludf.DUMMYFUNCTION("""COMPUTED_VALUE"""),7.0)</f>
        <v>7</v>
      </c>
    </row>
    <row r="375">
      <c r="A375" s="58" t="str">
        <f>IFERROR(__xludf.DUMMYFUNCTION("""COMPUTED_VALUE"""),"FACTIBILIDAD")</f>
        <v>FACTIBILIDAD</v>
      </c>
      <c r="B375" s="58" t="str">
        <f>IFERROR(__xludf.DUMMYFUNCTION("""COMPUTED_VALUE"""),"PROYECTO DE FACTIBILIDAD PARA LA IMPLEMENTACIÓN DE UNA PLANTA
PROCESADORA DE BETÚN PARA CALZADOS A BASE DE MATERIA ORGÁNICA EN EL
DEPARTAMENTO DE COCHABAMBA")</f>
        <v>PROYECTO DE FACTIBILIDAD PARA LA IMPLEMENTACIÓN DE UNA PLANTA
PROCESADORA DE BETÚN PARA CALZADOS A BASE DE MATERIA ORGÁNICA EN EL
DEPARTAMENTO DE COCHABAMBA</v>
      </c>
      <c r="C375" s="58">
        <f>IFERROR(__xludf.DUMMYFUNCTION("""COMPUTED_VALUE"""),7.0)</f>
        <v>7</v>
      </c>
    </row>
    <row r="376">
      <c r="A376" s="58" t="str">
        <f>IFERROR(__xludf.DUMMYFUNCTION("""COMPUTED_VALUE"""),"FACTIBILIDAD")</f>
        <v>FACTIBILIDAD</v>
      </c>
      <c r="B376" s="58" t="str">
        <f>IFERROR(__xludf.DUMMYFUNCTION("""COMPUTED_VALUE"""),"PROYECTO DE FACTIBILIDAD PARA LA IMPLEMENTACIÓN DE UNA PLANTA DE ELABORACIÓN DE QUESO MADURADO")</f>
        <v>PROYECTO DE FACTIBILIDAD PARA LA IMPLEMENTACIÓN DE UNA PLANTA DE ELABORACIÓN DE QUESO MADURADO</v>
      </c>
      <c r="C376" s="58">
        <f>IFERROR(__xludf.DUMMYFUNCTION("""COMPUTED_VALUE"""),3.0)</f>
        <v>3</v>
      </c>
    </row>
    <row r="377">
      <c r="A377" s="58" t="str">
        <f>IFERROR(__xludf.DUMMYFUNCTION("""COMPUTED_VALUE"""),"FACTIBILIDAD")</f>
        <v>FACTIBILIDAD</v>
      </c>
      <c r="B377" s="58" t="str">
        <f>IFERROR(__xludf.DUMMYFUNCTION("""COMPUTED_VALUE"""),"PROYECTO DE FACTIBILIDAD PARA LA IMPLEMENTACIÓN DE UNA PLANTA DE EXTRUSIÓN, SOPLADO E INYECTADO DE PLÁSTICO EN TELECOMUNICACIONES PARA LA EMPRESA EXSMECON INGENIEROS SRL EN EL PARQUE INDUSTRIAL SANTIVAÑES")</f>
        <v>PROYECTO DE FACTIBILIDAD PARA LA IMPLEMENTACIÓN DE UNA PLANTA DE EXTRUSIÓN, SOPLADO E INYECTADO DE PLÁSTICO EN TELECOMUNICACIONES PARA LA EMPRESA EXSMECON INGENIEROS SRL EN EL PARQUE INDUSTRIAL SANTIVAÑES</v>
      </c>
      <c r="C377" s="58">
        <f>IFERROR(__xludf.DUMMYFUNCTION("""COMPUTED_VALUE"""),4.0)</f>
        <v>4</v>
      </c>
    </row>
    <row r="378">
      <c r="A378" s="58" t="str">
        <f>IFERROR(__xludf.DUMMYFUNCTION("""COMPUTED_VALUE"""),"FACTIBILIDAD")</f>
        <v>FACTIBILIDAD</v>
      </c>
      <c r="B378" s="58" t="str">
        <f>IFERROR(__xludf.DUMMYFUNCTION("""COMPUTED_VALUE"""),"PROYECTO DE FACTIBILIDAD PARA LA IMPLEMENTACIÓN DE UNA PLANTA DE MUEBLES MINIMALISTAS PARA LOS MERCADOS DE COCHABAMBA Y ORURO")</f>
        <v>PROYECTO DE FACTIBILIDAD PARA LA IMPLEMENTACIÓN DE UNA PLANTA DE MUEBLES MINIMALISTAS PARA LOS MERCADOS DE COCHABAMBA Y ORURO</v>
      </c>
      <c r="C378" s="58">
        <f>IFERROR(__xludf.DUMMYFUNCTION("""COMPUTED_VALUE"""),3.0)</f>
        <v>3</v>
      </c>
    </row>
    <row r="379">
      <c r="A379" s="58" t="str">
        <f>IFERROR(__xludf.DUMMYFUNCTION("""COMPUTED_VALUE"""),"FACTIBILIDAD")</f>
        <v>FACTIBILIDAD</v>
      </c>
      <c r="B379" s="58" t="str">
        <f>IFERROR(__xludf.DUMMYFUNCTION("""COMPUTED_VALUE"""),"PROYECTO DE FACTIBILIDAD PARA LA IMPLEMENTACIÓN DE UNA PLANTA DE PRODUCCIÓN DE BARRAS DE ACERO CORRUGADO, A PARTIR DE CHATARRA.")</f>
        <v>PROYECTO DE FACTIBILIDAD PARA LA IMPLEMENTACIÓN DE UNA PLANTA DE PRODUCCIÓN DE BARRAS DE ACERO CORRUGADO, A PARTIR DE CHATARRA.</v>
      </c>
      <c r="C379" s="58">
        <f>IFERROR(__xludf.DUMMYFUNCTION("""COMPUTED_VALUE"""),4.0)</f>
        <v>4</v>
      </c>
    </row>
    <row r="380">
      <c r="A380" s="58" t="str">
        <f>IFERROR(__xludf.DUMMYFUNCTION("""COMPUTED_VALUE"""),"FACTIBILIDAD")</f>
        <v>FACTIBILIDAD</v>
      </c>
      <c r="B380" s="58" t="str">
        <f>IFERROR(__xludf.DUMMYFUNCTION("""COMPUTED_VALUE"""),"PROYECTO DE FACTIBILIDAD PARA LA IMPLEMENTACIÓN DE UNA PLANTA DE PRODUCCIÓN DE HARINA DE PLUMAS HIDROLIZADAS DE POLLO EN COCHABAMBA")</f>
        <v>PROYECTO DE FACTIBILIDAD PARA LA IMPLEMENTACIÓN DE UNA PLANTA DE PRODUCCIÓN DE HARINA DE PLUMAS HIDROLIZADAS DE POLLO EN COCHABAMBA</v>
      </c>
      <c r="C380" s="58">
        <f>IFERROR(__xludf.DUMMYFUNCTION("""COMPUTED_VALUE"""),8.0)</f>
        <v>8</v>
      </c>
    </row>
    <row r="381">
      <c r="A381" s="58" t="str">
        <f>IFERROR(__xludf.DUMMYFUNCTION("""COMPUTED_VALUE"""),"FACTIBILIDAD")</f>
        <v>FACTIBILIDAD</v>
      </c>
      <c r="B381" s="58" t="str">
        <f>IFERROR(__xludf.DUMMYFUNCTION("""COMPUTED_VALUE"""),"PROYECTO DE FACTIBILIDAD PARA LA IMPLEMENTACIÓN DE UNA PLANTA DE PRODUCCIÓN DE HELADO CON ALOE VERA EN EL DEPARTAMENTO DE COCHABAMBA")</f>
        <v>PROYECTO DE FACTIBILIDAD PARA LA IMPLEMENTACIÓN DE UNA PLANTA DE PRODUCCIÓN DE HELADO CON ALOE VERA EN EL DEPARTAMENTO DE COCHABAMBA</v>
      </c>
      <c r="C381" s="58">
        <f>IFERROR(__xludf.DUMMYFUNCTION("""COMPUTED_VALUE"""),25.0)</f>
        <v>25</v>
      </c>
    </row>
    <row r="382">
      <c r="A382" s="58" t="str">
        <f>IFERROR(__xludf.DUMMYFUNCTION("""COMPUTED_VALUE"""),"FACTIBILIDAD")</f>
        <v>FACTIBILIDAD</v>
      </c>
      <c r="B382" s="58" t="str">
        <f>IFERROR(__xludf.DUMMYFUNCTION("""COMPUTED_VALUE"""),"PROYECTO DE FACTIBILIDAD PARA LA IMPLEMENTACIÓN DE UNA PLANTA DE PRODUCCIÓN DE JUGO DE CAMU CAMU EN EL DEPARTAMENTO DE COCHABAMBA")</f>
        <v>PROYECTO DE FACTIBILIDAD PARA LA IMPLEMENTACIÓN DE UNA PLANTA DE PRODUCCIÓN DE JUGO DE CAMU CAMU EN EL DEPARTAMENTO DE COCHABAMBA</v>
      </c>
      <c r="C382" s="58">
        <f>IFERROR(__xludf.DUMMYFUNCTION("""COMPUTED_VALUE"""),2.0)</f>
        <v>2</v>
      </c>
    </row>
    <row r="383">
      <c r="A383" s="58" t="str">
        <f>IFERROR(__xludf.DUMMYFUNCTION("""COMPUTED_VALUE"""),"FACTIBILIDAD")</f>
        <v>FACTIBILIDAD</v>
      </c>
      <c r="B383" s="58" t="str">
        <f>IFERROR(__xludf.DUMMYFUNCTION("""COMPUTED_VALUE"""),"PROYECTO DE FACTIBILIDAD PARA LA IMPLEMENTACIÓN DE UNA PLANTA DE PRODUCCIÓN DE ROCA FOSFÓRICA PARA USO AGRÍCOLA EN EL PARQUE INDUSTRIAL DE SANTIVAÑEZ")</f>
        <v>PROYECTO DE FACTIBILIDAD PARA LA IMPLEMENTACIÓN DE UNA PLANTA DE PRODUCCIÓN DE ROCA FOSFÓRICA PARA USO AGRÍCOLA EN EL PARQUE INDUSTRIAL DE SANTIVAÑEZ</v>
      </c>
      <c r="C383" s="58">
        <f>IFERROR(__xludf.DUMMYFUNCTION("""COMPUTED_VALUE"""),1.0)</f>
        <v>1</v>
      </c>
    </row>
    <row r="384">
      <c r="A384" s="58" t="str">
        <f>IFERROR(__xludf.DUMMYFUNCTION("""COMPUTED_VALUE"""),"FACTIBILIDAD")</f>
        <v>FACTIBILIDAD</v>
      </c>
      <c r="B384" s="58" t="str">
        <f>IFERROR(__xludf.DUMMYFUNCTION("""COMPUTED_VALUE"""),"PROYECTO DE FACTIBILIDAD PARA LA IMPLEMENTACIÓN DE UNA PLANTA DE PRODUCCIÓN DE ZUMO DE NARANJA EMBOTELLADA EN LA CIUDAD DE COCHABAMBA")</f>
        <v>PROYECTO DE FACTIBILIDAD PARA LA IMPLEMENTACIÓN DE UNA PLANTA DE PRODUCCIÓN DE ZUMO DE NARANJA EMBOTELLADA EN LA CIUDAD DE COCHABAMBA</v>
      </c>
      <c r="C384" s="58">
        <f>IFERROR(__xludf.DUMMYFUNCTION("""COMPUTED_VALUE"""),4.0)</f>
        <v>4</v>
      </c>
    </row>
    <row r="385">
      <c r="A385" s="58" t="str">
        <f>IFERROR(__xludf.DUMMYFUNCTION("""COMPUTED_VALUE"""),"FACTIBILIDAD")</f>
        <v>FACTIBILIDAD</v>
      </c>
      <c r="B385" s="58" t="str">
        <f>IFERROR(__xludf.DUMMYFUNCTION("""COMPUTED_VALUE"""),"PROYECTO DE FACTIBILIDAD PARA LA IMPLEMENTACIÓN DE UNA PLANTA INDUSTRIAL DE ENLATADO DE HABA EN EL MUNICIPIO DE CERCADO")</f>
        <v>PROYECTO DE FACTIBILIDAD PARA LA IMPLEMENTACIÓN DE UNA PLANTA INDUSTRIAL DE ENLATADO DE HABA EN EL MUNICIPIO DE CERCADO</v>
      </c>
      <c r="C385" s="58">
        <f>IFERROR(__xludf.DUMMYFUNCTION("""COMPUTED_VALUE"""),1.0)</f>
        <v>1</v>
      </c>
    </row>
    <row r="386">
      <c r="A386" s="58" t="str">
        <f>IFERROR(__xludf.DUMMYFUNCTION("""COMPUTED_VALUE"""),"FACTIBILIDAD")</f>
        <v>FACTIBILIDAD</v>
      </c>
      <c r="B386" s="58" t="str">
        <f>IFERROR(__xludf.DUMMYFUNCTION("""COMPUTED_VALUE"""),"PROYECTO DE FACTIBILIDAD PARA LA IMPLEMENTACIÓN DE UNA PLANTA PANIFICADORA INDUSTRIAL Y DE REPOSTERÍA EN EL MUNICIPIO DE PUERTO VILLARROEL")</f>
        <v>PROYECTO DE FACTIBILIDAD PARA LA IMPLEMENTACIÓN DE UNA PLANTA PANIFICADORA INDUSTRIAL Y DE REPOSTERÍA EN EL MUNICIPIO DE PUERTO VILLARROEL</v>
      </c>
      <c r="C386" s="58">
        <f>IFERROR(__xludf.DUMMYFUNCTION("""COMPUTED_VALUE"""),2.0)</f>
        <v>2</v>
      </c>
    </row>
    <row r="387">
      <c r="A387" s="58" t="str">
        <f>IFERROR(__xludf.DUMMYFUNCTION("""COMPUTED_VALUE"""),"FACTIBILIDAD")</f>
        <v>FACTIBILIDAD</v>
      </c>
      <c r="B387" s="58" t="str">
        <f>IFERROR(__xludf.DUMMYFUNCTION("""COMPUTED_VALUE"""),"PROYECTO DE FACTIBILIDAD PARA LA IMPLEMENTACIÓN DE UNA PLANTA PARA LA ELABORACIÒN DE QUESOS EN LA PROVINCIA DE PUNATA-COCHABAMBA")</f>
        <v>PROYECTO DE FACTIBILIDAD PARA LA IMPLEMENTACIÓN DE UNA PLANTA PARA LA ELABORACIÒN DE QUESOS EN LA PROVINCIA DE PUNATA-COCHABAMBA</v>
      </c>
      <c r="C387" s="58">
        <f>IFERROR(__xludf.DUMMYFUNCTION("""COMPUTED_VALUE"""),5.0)</f>
        <v>5</v>
      </c>
    </row>
    <row r="388">
      <c r="A388" s="58" t="str">
        <f>IFERROR(__xludf.DUMMYFUNCTION("""COMPUTED_VALUE"""),"FACTIBILIDAD")</f>
        <v>FACTIBILIDAD</v>
      </c>
      <c r="B388" s="58" t="str">
        <f>IFERROR(__xludf.DUMMYFUNCTION("""COMPUTED_VALUE"""),"PROYECTO DE FACTIBILIDAD PARA LA IMPLEMENTACIÓN DE UNA PLANTA PARA LA PRODUCCIÓN DE HARINA DE PLÁTANO Y OTROS DERIVADOS EN EL MUNICIPIO DE SACABA")</f>
        <v>PROYECTO DE FACTIBILIDAD PARA LA IMPLEMENTACIÓN DE UNA PLANTA PARA LA PRODUCCIÓN DE HARINA DE PLÁTANO Y OTROS DERIVADOS EN EL MUNICIPIO DE SACABA</v>
      </c>
      <c r="C388" s="58">
        <f>IFERROR(__xludf.DUMMYFUNCTION("""COMPUTED_VALUE"""),2.0)</f>
        <v>2</v>
      </c>
    </row>
    <row r="389">
      <c r="A389" s="58" t="str">
        <f>IFERROR(__xludf.DUMMYFUNCTION("""COMPUTED_VALUE"""),"FACTIBILIDAD")</f>
        <v>FACTIBILIDAD</v>
      </c>
      <c r="B389" s="58" t="str">
        <f>IFERROR(__xludf.DUMMYFUNCTION("""COMPUTED_VALUE"""),"PROYECTO DE FACTIBILIDAD PARA LA IMPLEMENTACIÓN DE UNA PLANTA PROCESADORA DE ACEITE DE AJONJOLÍ EN COCHABAMBA")</f>
        <v>PROYECTO DE FACTIBILIDAD PARA LA IMPLEMENTACIÓN DE UNA PLANTA PROCESADORA DE ACEITE DE AJONJOLÍ EN COCHABAMBA</v>
      </c>
      <c r="C389" s="58">
        <f>IFERROR(__xludf.DUMMYFUNCTION("""COMPUTED_VALUE"""),2.0)</f>
        <v>2</v>
      </c>
    </row>
    <row r="390">
      <c r="A390" s="58" t="str">
        <f>IFERROR(__xludf.DUMMYFUNCTION("""COMPUTED_VALUE"""),"FACTIBILIDAD")</f>
        <v>FACTIBILIDAD</v>
      </c>
      <c r="B390" s="58" t="str">
        <f>IFERROR(__xludf.DUMMYFUNCTION("""COMPUTED_VALUE"""),"PROYECTO DE FACTIBILIDAD PARA LA IMPLEMENTACIÓN DE UNA PLANTA PROCESADORA DE ACEITE EN BASE A SEMILLAS DE AJONJOLÍ PARA LA CIUDAD DE COCHABAMBA")</f>
        <v>PROYECTO DE FACTIBILIDAD PARA LA IMPLEMENTACIÓN DE UNA PLANTA PROCESADORA DE ACEITE EN BASE A SEMILLAS DE AJONJOLÍ PARA LA CIUDAD DE COCHABAMBA</v>
      </c>
      <c r="C390" s="58">
        <f>IFERROR(__xludf.DUMMYFUNCTION("""COMPUTED_VALUE"""),12.0)</f>
        <v>12</v>
      </c>
    </row>
    <row r="391">
      <c r="A391" s="58" t="str">
        <f>IFERROR(__xludf.DUMMYFUNCTION("""COMPUTED_VALUE"""),"FACTIBILIDAD")</f>
        <v>FACTIBILIDAD</v>
      </c>
      <c r="B391" s="58" t="str">
        <f>IFERROR(__xludf.DUMMYFUNCTION("""COMPUTED_VALUE"""),"PROYECTO DE FACTIBILIDAD PARA LA IMPLEMENTACIÓN DE UNA PLANTA PROCESADORA DE BIODIESEL EN INDUSTRIAS ADM-SAO S.A.")</f>
        <v>PROYECTO DE FACTIBILIDAD PARA LA IMPLEMENTACIÓN DE UNA PLANTA PROCESADORA DE BIODIESEL EN INDUSTRIAS ADM-SAO S.A.</v>
      </c>
      <c r="C391" s="58">
        <f>IFERROR(__xludf.DUMMYFUNCTION("""COMPUTED_VALUE"""),13.0)</f>
        <v>13</v>
      </c>
    </row>
    <row r="392">
      <c r="A392" s="58" t="str">
        <f>IFERROR(__xludf.DUMMYFUNCTION("""COMPUTED_VALUE"""),"FACTIBILIDAD")</f>
        <v>FACTIBILIDAD</v>
      </c>
      <c r="B392" s="58" t="str">
        <f>IFERROR(__xludf.DUMMYFUNCTION("""COMPUTED_VALUE"""),"PROYECTO DE FACTIBILIDAD PARA LA IMPLEMENTACIÓN DE UNA PLANTA PROCESADORA DE HARINA DE TEMBE DIRIGIDO AL MERCADO DE COCHABAMBA")</f>
        <v>PROYECTO DE FACTIBILIDAD PARA LA IMPLEMENTACIÓN DE UNA PLANTA PROCESADORA DE HARINA DE TEMBE DIRIGIDO AL MERCADO DE COCHABAMBA</v>
      </c>
      <c r="C392" s="58">
        <f>IFERROR(__xludf.DUMMYFUNCTION("""COMPUTED_VALUE"""),12.0)</f>
        <v>12</v>
      </c>
    </row>
    <row r="393">
      <c r="A393" s="58" t="str">
        <f>IFERROR(__xludf.DUMMYFUNCTION("""COMPUTED_VALUE"""),"FACTIBILIDAD")</f>
        <v>FACTIBILIDAD</v>
      </c>
      <c r="B393" s="58" t="str">
        <f>IFERROR(__xludf.DUMMYFUNCTION("""COMPUTED_VALUE"""),"PROYECTO DE FACTIBILIDAD PARA LA IMPLEMENTACIÓN DE UNA PLANTA PROCESADORA DE HOJUELAS DE CEREAL A BASE DE MAÍZ Y ALGARROBA PARA EL DEPARTAMENTO DE COCHABAMBA")</f>
        <v>PROYECTO DE FACTIBILIDAD PARA LA IMPLEMENTACIÓN DE UNA PLANTA PROCESADORA DE HOJUELAS DE CEREAL A BASE DE MAÍZ Y ALGARROBA PARA EL DEPARTAMENTO DE COCHABAMBA</v>
      </c>
      <c r="C393" s="58">
        <f>IFERROR(__xludf.DUMMYFUNCTION("""COMPUTED_VALUE"""),3.0)</f>
        <v>3</v>
      </c>
    </row>
    <row r="394">
      <c r="A394" s="58" t="str">
        <f>IFERROR(__xludf.DUMMYFUNCTION("""COMPUTED_VALUE"""),"FACTIBILIDAD")</f>
        <v>FACTIBILIDAD</v>
      </c>
      <c r="B394" s="58" t="str">
        <f>IFERROR(__xludf.DUMMYFUNCTION("""COMPUTED_VALUE"""),"PROYECTO DE FACTIBILIDAD PARA LA IMPLEMENTACIÓN DE UNA PLANTA PROCESADORA DE HONGOS FRESCOS AGARICUS BISPORUS (CHAMPIÑÓN), UBICADO EN EL DEPARTAMENTO DE COCHABAMBA")</f>
        <v>PROYECTO DE FACTIBILIDAD PARA LA IMPLEMENTACIÓN DE UNA PLANTA PROCESADORA DE HONGOS FRESCOS AGARICUS BISPORUS (CHAMPIÑÓN), UBICADO EN EL DEPARTAMENTO DE COCHABAMBA</v>
      </c>
      <c r="C394" s="58">
        <f>IFERROR(__xludf.DUMMYFUNCTION("""COMPUTED_VALUE"""),1.0)</f>
        <v>1</v>
      </c>
    </row>
    <row r="395">
      <c r="A395" s="58" t="str">
        <f>IFERROR(__xludf.DUMMYFUNCTION("""COMPUTED_VALUE"""),"FACTIBILIDAD")</f>
        <v>FACTIBILIDAD</v>
      </c>
      <c r="B395" s="58" t="str">
        <f>IFERROR(__xludf.DUMMYFUNCTION("""COMPUTED_VALUE"""),"PROYECTO DE FACTIBILIDAD PARA LA IMPLEMENTACIÓN DE UNA PLANTA PROCESADORA DE JUGOS DE FRUTA DE NARANJA, PIÑA Y MARACUYA PARA SER COMERCIALIZADOS COMO DESAYUNO ESCOLAR")</f>
        <v>PROYECTO DE FACTIBILIDAD PARA LA IMPLEMENTACIÓN DE UNA PLANTA PROCESADORA DE JUGOS DE FRUTA DE NARANJA, PIÑA Y MARACUYA PARA SER COMERCIALIZADOS COMO DESAYUNO ESCOLAR</v>
      </c>
      <c r="C395" s="58">
        <f>IFERROR(__xludf.DUMMYFUNCTION("""COMPUTED_VALUE"""),9.0)</f>
        <v>9</v>
      </c>
    </row>
    <row r="396">
      <c r="A396" s="58" t="str">
        <f>IFERROR(__xludf.DUMMYFUNCTION("""COMPUTED_VALUE"""),"FACTIBILIDAD")</f>
        <v>FACTIBILIDAD</v>
      </c>
      <c r="B396" s="58" t="str">
        <f>IFERROR(__xludf.DUMMYFUNCTION("""COMPUTED_VALUE"""),"PROYECTO DE FACTIBILIDAD PARA LA IMPLEMENTACIÓN DE UNA PLANTA PROCESADORA DE JUGOS DE NARANJA, PIÑA Y MARACUYÁ A SER COMERCIALIZADAS COMO DESAYUNO ESCOLAR")</f>
        <v>PROYECTO DE FACTIBILIDAD PARA LA IMPLEMENTACIÓN DE UNA PLANTA PROCESADORA DE JUGOS DE NARANJA, PIÑA Y MARACUYÁ A SER COMERCIALIZADAS COMO DESAYUNO ESCOLAR</v>
      </c>
      <c r="C396" s="58">
        <f>IFERROR(__xludf.DUMMYFUNCTION("""COMPUTED_VALUE"""),1.0)</f>
        <v>1</v>
      </c>
    </row>
    <row r="397">
      <c r="A397" s="58" t="str">
        <f>IFERROR(__xludf.DUMMYFUNCTION("""COMPUTED_VALUE"""),"FACTIBILIDAD")</f>
        <v>FACTIBILIDAD</v>
      </c>
      <c r="B397" s="58" t="str">
        <f>IFERROR(__xludf.DUMMYFUNCTION("""COMPUTED_VALUE"""),"PROYECTO DE FACTIBILIDAD PARA LA IMPLEMENTACIÓN DE UNA PLANTA PROCESADORA DE LOS DERIVADOS DE LA GUANÁBANA EN EL DEPARTAMENTO DE COCHABAMBA")</f>
        <v>PROYECTO DE FACTIBILIDAD PARA LA IMPLEMENTACIÓN DE UNA PLANTA PROCESADORA DE LOS DERIVADOS DE LA GUANÁBANA EN EL DEPARTAMENTO DE COCHABAMBA</v>
      </c>
      <c r="C397" s="58">
        <f>IFERROR(__xludf.DUMMYFUNCTION("""COMPUTED_VALUE"""),5.0)</f>
        <v>5</v>
      </c>
    </row>
    <row r="398">
      <c r="A398" s="58" t="str">
        <f>IFERROR(__xludf.DUMMYFUNCTION("""COMPUTED_VALUE"""),"FACTIBILIDAD")</f>
        <v>FACTIBILIDAD</v>
      </c>
      <c r="B398" s="58" t="str">
        <f>IFERROR(__xludf.DUMMYFUNCTION("""COMPUTED_VALUE"""),"PROYECTO DE FACTIBILIDAD PARA LA IMPLEMENTACIÓN DE UNA PLANTA PROCESADORA DE LÁCTEOS PARA LA ASOCIACIÓN DE PRODUCTORES LECHEROS A.P.L. PERTENECIENTES AL CLUSTER DE ALIMENTOS COCHABAMBA.")</f>
        <v>PROYECTO DE FACTIBILIDAD PARA LA IMPLEMENTACIÓN DE UNA PLANTA PROCESADORA DE LÁCTEOS PARA LA ASOCIACIÓN DE PRODUCTORES LECHEROS A.P.L. PERTENECIENTES AL CLUSTER DE ALIMENTOS COCHABAMBA.</v>
      </c>
      <c r="C398" s="58">
        <f>IFERROR(__xludf.DUMMYFUNCTION("""COMPUTED_VALUE"""),1.0)</f>
        <v>1</v>
      </c>
    </row>
    <row r="399">
      <c r="A399" s="58" t="str">
        <f>IFERROR(__xludf.DUMMYFUNCTION("""COMPUTED_VALUE"""),"FACTIBILIDAD")</f>
        <v>FACTIBILIDAD</v>
      </c>
      <c r="B399" s="58" t="str">
        <f>IFERROR(__xludf.DUMMYFUNCTION("""COMPUTED_VALUE"""),"PROYECTO DE FACTIBILIDAD PARA LA IMPLEMENTACIÓN DE UNA PLANTA PROCESADORA DE MERMELADA  DE CAMOTE CON PIÑA EN EL EJE METROPOLITANO DE COCHABAMBA")</f>
        <v>PROYECTO DE FACTIBILIDAD PARA LA IMPLEMENTACIÓN DE UNA PLANTA PROCESADORA DE MERMELADA  DE CAMOTE CON PIÑA EN EL EJE METROPOLITANO DE COCHABAMBA</v>
      </c>
      <c r="C399" s="58">
        <f>IFERROR(__xludf.DUMMYFUNCTION("""COMPUTED_VALUE"""),1.0)</f>
        <v>1</v>
      </c>
    </row>
    <row r="400">
      <c r="A400" s="58" t="str">
        <f>IFERROR(__xludf.DUMMYFUNCTION("""COMPUTED_VALUE"""),"FACTIBILIDAD")</f>
        <v>FACTIBILIDAD</v>
      </c>
      <c r="B400"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C400" s="58">
        <f>IFERROR(__xludf.DUMMYFUNCTION("""COMPUTED_VALUE"""),3.0)</f>
        <v>3</v>
      </c>
    </row>
    <row r="401">
      <c r="A401" s="58" t="str">
        <f>IFERROR(__xludf.DUMMYFUNCTION("""COMPUTED_VALUE"""),"FACTIBILIDAD")</f>
        <v>FACTIBILIDAD</v>
      </c>
      <c r="B401"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C401" s="58">
        <f>IFERROR(__xludf.DUMMYFUNCTION("""COMPUTED_VALUE"""),1.0)</f>
        <v>1</v>
      </c>
    </row>
    <row r="402">
      <c r="A402" s="58" t="str">
        <f>IFERROR(__xludf.DUMMYFUNCTION("""COMPUTED_VALUE"""),"FACTIBILIDAD")</f>
        <v>FACTIBILIDAD</v>
      </c>
      <c r="B402" s="58" t="str">
        <f>IFERROR(__xludf.DUMMYFUNCTION("""COMPUTED_VALUE"""),"PROYECTO DE FACTIBILIDAD PARA LA IMPLEMENTACIÓN DE UNA PLANTA PROCESADORA DE MERMELADA DE CAMOTE CON PIÑA EN EL EJE METROPOLITANO DE COCHABAMBA")</f>
        <v>PROYECTO DE FACTIBILIDAD PARA LA IMPLEMENTACIÓN DE UNA PLANTA PROCESADORA DE MERMELADA DE CAMOTE CON PIÑA EN EL EJE METROPOLITANO DE COCHABAMBA</v>
      </c>
      <c r="C402" s="58">
        <f>IFERROR(__xludf.DUMMYFUNCTION("""COMPUTED_VALUE"""),1.0)</f>
        <v>1</v>
      </c>
    </row>
    <row r="403">
      <c r="A403" s="58" t="str">
        <f>IFERROR(__xludf.DUMMYFUNCTION("""COMPUTED_VALUE"""),"FACTIBILIDAD")</f>
        <v>FACTIBILIDAD</v>
      </c>
      <c r="B403" s="58" t="str">
        <f>IFERROR(__xludf.DUMMYFUNCTION("""COMPUTED_VALUE"""),"PROYECTO DE FACTIBILIDAD PARA LA IMPLEMENTACIÓN DE UNA PLANTA PROCESADORA DE PROTEÍNA DE QUINUA PARA LA EXPORTACIÓN A LA UNIÓN EUROPEA")</f>
        <v>PROYECTO DE FACTIBILIDAD PARA LA IMPLEMENTACIÓN DE UNA PLANTA PROCESADORA DE PROTEÍNA DE QUINUA PARA LA EXPORTACIÓN A LA UNIÓN EUROPEA</v>
      </c>
      <c r="C403" s="58">
        <f>IFERROR(__xludf.DUMMYFUNCTION("""COMPUTED_VALUE"""),6.0)</f>
        <v>6</v>
      </c>
    </row>
    <row r="404">
      <c r="A404" s="58" t="str">
        <f>IFERROR(__xludf.DUMMYFUNCTION("""COMPUTED_VALUE"""),"FACTIBILIDAD")</f>
        <v>FACTIBILIDAD</v>
      </c>
      <c r="B404" s="58" t="str">
        <f>IFERROR(__xludf.DUMMYFUNCTION("""COMPUTED_VALUE"""),"PROYECTO DE FACTIBILIDAD PARA LA IMPLEMENTACIÓN DE UNA PLANTA PROCESADORA DE PULPA ASAÍ PARA LA ELABORACIÓN DE JUGO EN EL DEPARTAMENTO DE COCHABAMBA")</f>
        <v>PROYECTO DE FACTIBILIDAD PARA LA IMPLEMENTACIÓN DE UNA PLANTA PROCESADORA DE PULPA ASAÍ PARA LA ELABORACIÓN DE JUGO EN EL DEPARTAMENTO DE COCHABAMBA</v>
      </c>
      <c r="C404" s="58">
        <f>IFERROR(__xludf.DUMMYFUNCTION("""COMPUTED_VALUE"""),3.0)</f>
        <v>3</v>
      </c>
    </row>
    <row r="405">
      <c r="A405" s="58" t="str">
        <f>IFERROR(__xludf.DUMMYFUNCTION("""COMPUTED_VALUE"""),"FACTIBILIDAD")</f>
        <v>FACTIBILIDAD</v>
      </c>
      <c r="B405" s="58" t="str">
        <f>IFERROR(__xludf.DUMMYFUNCTION("""COMPUTED_VALUE"""),"PROYECTO DE FACTIBILIDAD PARA LA IMPLEMENTACIÓN DE UNA PLANTA PROCESADORA DE PURÉ DE FRUTAS TROPICALES PARA LA EXPORTACIÓN A LA UNIÓN EUROPEA.")</f>
        <v>PROYECTO DE FACTIBILIDAD PARA LA IMPLEMENTACIÓN DE UNA PLANTA PROCESADORA DE PURÉ DE FRUTAS TROPICALES PARA LA EXPORTACIÓN A LA UNIÓN EUROPEA.</v>
      </c>
      <c r="C405" s="58">
        <f>IFERROR(__xludf.DUMMYFUNCTION("""COMPUTED_VALUE"""),4.0)</f>
        <v>4</v>
      </c>
    </row>
    <row r="406">
      <c r="A406" s="58" t="str">
        <f>IFERROR(__xludf.DUMMYFUNCTION("""COMPUTED_VALUE"""),"FACTIBILIDAD")</f>
        <v>FACTIBILIDAD</v>
      </c>
      <c r="B406" s="58" t="str">
        <f>IFERROR(__xludf.DUMMYFUNCTION("""COMPUTED_VALUE"""),"PROYECTO DE FACTIBILIDAD PARA LA IMPLEMENTACIÓN DE UNA PLANTA PROCESADORA DE YOGURT A BASE DE PULPA DE ALOE VERA EN LA CIUDAD DE COCHABAMBA")</f>
        <v>PROYECTO DE FACTIBILIDAD PARA LA IMPLEMENTACIÓN DE UNA PLANTA PROCESADORA DE YOGURT A BASE DE PULPA DE ALOE VERA EN LA CIUDAD DE COCHABAMBA</v>
      </c>
      <c r="C406" s="58">
        <f>IFERROR(__xludf.DUMMYFUNCTION("""COMPUTED_VALUE"""),7.0)</f>
        <v>7</v>
      </c>
    </row>
    <row r="407">
      <c r="A407" s="58" t="str">
        <f>IFERROR(__xludf.DUMMYFUNCTION("""COMPUTED_VALUE"""),"FACTIBILIDAD")</f>
        <v>FACTIBILIDAD</v>
      </c>
      <c r="B407" s="58" t="str">
        <f>IFERROR(__xludf.DUMMYFUNCTION("""COMPUTED_VALUE"""),"PROYECTO DE FACTIBILIDAD PARA LA IMPLEMENTACIÓN DE UNA PLANTA PROCESADORA DE YOGURT PARA LA EMPRESA “K-PRICHO INDUSTRIAS LÁCTEAS”")</f>
        <v>PROYECTO DE FACTIBILIDAD PARA LA IMPLEMENTACIÓN DE UNA PLANTA PROCESADORA DE YOGURT PARA LA EMPRESA “K-PRICHO INDUSTRIAS LÁCTEAS”</v>
      </c>
      <c r="C407" s="58">
        <f>IFERROR(__xludf.DUMMYFUNCTION("""COMPUTED_VALUE"""),1.0)</f>
        <v>1</v>
      </c>
    </row>
    <row r="408">
      <c r="A408" s="58" t="str">
        <f>IFERROR(__xludf.DUMMYFUNCTION("""COMPUTED_VALUE"""),"FACTIBILIDAD")</f>
        <v>FACTIBILIDAD</v>
      </c>
      <c r="B408" s="58" t="str">
        <f>IFERROR(__xludf.DUMMYFUNCTION("""COMPUTED_VALUE"""),"PROYECTO DE FACTIBILIDAD PARA LA IMPLEMENTACIÓN DE UNA PLANTA PRODUCTORA DE BOLSAS PLÁSTICAS BIODEGRADABLES A BASE DE ALMIDÓN DE MANDIOCA EN EL DEPARTAMENTO DE COCHABAMBA.")</f>
        <v>PROYECTO DE FACTIBILIDAD PARA LA IMPLEMENTACIÓN DE UNA PLANTA PRODUCTORA DE BOLSAS PLÁSTICAS BIODEGRADABLES A BASE DE ALMIDÓN DE MANDIOCA EN EL DEPARTAMENTO DE COCHABAMBA.</v>
      </c>
      <c r="C408" s="58">
        <f>IFERROR(__xludf.DUMMYFUNCTION("""COMPUTED_VALUE"""),6.0)</f>
        <v>6</v>
      </c>
    </row>
    <row r="409">
      <c r="A409" s="58" t="str">
        <f>IFERROR(__xludf.DUMMYFUNCTION("""COMPUTED_VALUE"""),"FACTIBILIDAD")</f>
        <v>FACTIBILIDAD</v>
      </c>
      <c r="B409" s="58" t="str">
        <f>IFERROR(__xludf.DUMMYFUNCTION("""COMPUTED_VALUE"""),"PROYECTO DE FACTIBILIDAD PARA LA IMPLEMENTACIÓN DE UNA PLANTA PRODUCTORA DE HAMBURGUESAS DE QUINUA
EN COCHABAMBA")</f>
        <v>PROYECTO DE FACTIBILIDAD PARA LA IMPLEMENTACIÓN DE UNA PLANTA PRODUCTORA DE HAMBURGUESAS DE QUINUA
EN COCHABAMBA</v>
      </c>
      <c r="C409" s="58">
        <f>IFERROR(__xludf.DUMMYFUNCTION("""COMPUTED_VALUE"""),1.0)</f>
        <v>1</v>
      </c>
    </row>
    <row r="410">
      <c r="A410" s="58" t="str">
        <f>IFERROR(__xludf.DUMMYFUNCTION("""COMPUTED_VALUE"""),"FACTIBILIDAD")</f>
        <v>FACTIBILIDAD</v>
      </c>
      <c r="B410" s="58" t="str">
        <f>IFERROR(__xludf.DUMMYFUNCTION("""COMPUTED_VALUE"""),"PROYECTO DE FACTIBILIDAD PARA LA IMPLEMENTACIÓN DE UNA PLANTA PRODUCTORA DE HAMBURGUESAS DE QUINUA EN COCHABAMBA")</f>
        <v>PROYECTO DE FACTIBILIDAD PARA LA IMPLEMENTACIÓN DE UNA PLANTA PRODUCTORA DE HAMBURGUESAS DE QUINUA EN COCHABAMBA</v>
      </c>
      <c r="C410" s="58">
        <f>IFERROR(__xludf.DUMMYFUNCTION("""COMPUTED_VALUE"""),8.0)</f>
        <v>8</v>
      </c>
    </row>
    <row r="411">
      <c r="A411" s="58" t="str">
        <f>IFERROR(__xludf.DUMMYFUNCTION("""COMPUTED_VALUE"""),"FACTIBILIDAD")</f>
        <v>FACTIBILIDAD</v>
      </c>
      <c r="B411" s="58" t="str">
        <f>IFERROR(__xludf.DUMMYFUNCTION("""COMPUTED_VALUE"""),"PROYECTO DE FACTIBILIDAD PARA LA IMPLEMENTACIÓN DE UNA PLANTA PRODUCTORA DE LADRILLOS A PARTIR DE RESIDUOS DE CONSTRUCCIÓN Y DEMOLICIÓN (RCD) EN COCHABAMBA")</f>
        <v>PROYECTO DE FACTIBILIDAD PARA LA IMPLEMENTACIÓN DE UNA PLANTA PRODUCTORA DE LADRILLOS A PARTIR DE RESIDUOS DE CONSTRUCCIÓN Y DEMOLICIÓN (RCD) EN COCHABAMBA</v>
      </c>
      <c r="C411" s="58">
        <f>IFERROR(__xludf.DUMMYFUNCTION("""COMPUTED_VALUE"""),1.0)</f>
        <v>1</v>
      </c>
    </row>
    <row r="412">
      <c r="A412" s="58" t="str">
        <f>IFERROR(__xludf.DUMMYFUNCTION("""COMPUTED_VALUE"""),"FACTIBILIDAD")</f>
        <v>FACTIBILIDAD</v>
      </c>
      <c r="B412" s="58" t="str">
        <f>IFERROR(__xludf.DUMMYFUNCTION("""COMPUTED_VALUE"""),"PROYECTO DE FACTIBILIDAD PARA LA IMPLEMENTACIÓN DE UNA PLANTA PRODUCTORA DE LECHE DE SOYA")</f>
        <v>PROYECTO DE FACTIBILIDAD PARA LA IMPLEMENTACIÓN DE UNA PLANTA PRODUCTORA DE LECHE DE SOYA</v>
      </c>
      <c r="C412" s="58">
        <f>IFERROR(__xludf.DUMMYFUNCTION("""COMPUTED_VALUE"""),5.0)</f>
        <v>5</v>
      </c>
    </row>
    <row r="413">
      <c r="A413" s="58" t="str">
        <f>IFERROR(__xludf.DUMMYFUNCTION("""COMPUTED_VALUE"""),"FACTIBILIDAD")</f>
        <v>FACTIBILIDAD</v>
      </c>
      <c r="B413" s="58" t="str">
        <f>IFERROR(__xludf.DUMMYFUNCTION("""COMPUTED_VALUE"""),"PROYECTO DE FACTIBILIDAD PARA LA IMPLEMENTACIÓN DE UNA PLANTA PRODUCTORA DE SALSA DE PALTA PARA EL MERCADO COCHABAMBINO")</f>
        <v>PROYECTO DE FACTIBILIDAD PARA LA IMPLEMENTACIÓN DE UNA PLANTA PRODUCTORA DE SALSA DE PALTA PARA EL MERCADO COCHABAMBINO</v>
      </c>
      <c r="C413" s="58">
        <f>IFERROR(__xludf.DUMMYFUNCTION("""COMPUTED_VALUE"""),2.0)</f>
        <v>2</v>
      </c>
    </row>
    <row r="414">
      <c r="A414" s="58" t="str">
        <f>IFERROR(__xludf.DUMMYFUNCTION("""COMPUTED_VALUE"""),"FACTIBILIDAD")</f>
        <v>FACTIBILIDAD</v>
      </c>
      <c r="B414" s="58" t="str">
        <f>IFERROR(__xludf.DUMMYFUNCTION("""COMPUTED_VALUE"""),"PROYECTO DE FACTIBILIDAD PARA LA IMPLEMENTACIÓN DE UNA PLANTA PRODUCTORA DE SALSA DE PALTA PARA EL MERCADO COCHABAMBINO.")</f>
        <v>PROYECTO DE FACTIBILIDAD PARA LA IMPLEMENTACIÓN DE UNA PLANTA PRODUCTORA DE SALSA DE PALTA PARA EL MERCADO COCHABAMBINO.</v>
      </c>
      <c r="C414" s="58">
        <f>IFERROR(__xludf.DUMMYFUNCTION("""COMPUTED_VALUE"""),1.0)</f>
        <v>1</v>
      </c>
    </row>
    <row r="415">
      <c r="A415" s="58" t="str">
        <f>IFERROR(__xludf.DUMMYFUNCTION("""COMPUTED_VALUE"""),"FACTIBILIDAD")</f>
        <v>FACTIBILIDAD</v>
      </c>
      <c r="B415" s="58" t="str">
        <f>IFERROR(__xludf.DUMMYFUNCTION("""COMPUTED_VALUE"""),"PROYECTO DE FACTIBILIDAD PARA LA IMPLEMENTACIÓN DE UNA PLANTA PRODUCTORA DE YOGUR BIOLÓGICO ENRIQUECIDO CON QUINUA, PARA CERCADO-COCHABAMBA.")</f>
        <v>PROYECTO DE FACTIBILIDAD PARA LA IMPLEMENTACIÓN DE UNA PLANTA PRODUCTORA DE YOGUR BIOLÓGICO ENRIQUECIDO CON QUINUA, PARA CERCADO-COCHABAMBA.</v>
      </c>
      <c r="C415" s="58">
        <f>IFERROR(__xludf.DUMMYFUNCTION("""COMPUTED_VALUE"""),10.0)</f>
        <v>10</v>
      </c>
    </row>
    <row r="416">
      <c r="A416" s="58" t="str">
        <f>IFERROR(__xludf.DUMMYFUNCTION("""COMPUTED_VALUE"""),"FACTIBILIDAD")</f>
        <v>FACTIBILIDAD</v>
      </c>
      <c r="B416" s="58" t="str">
        <f>IFERROR(__xludf.DUMMYFUNCTION("""COMPUTED_VALUE"""),"PROYECTO DE FACTIBILIDAD PARA LA IMPLEMENTACIÓN DE UNA PLANTA RECAUCHUTADORA DE LLANTAS PARA LA EMPRESA IMPORTADORA BADRA S.R.L. EN EL DEPARTAMENTO DE COCHABAMBA")</f>
        <v>PROYECTO DE FACTIBILIDAD PARA LA IMPLEMENTACIÓN DE UNA PLANTA RECAUCHUTADORA DE LLANTAS PARA LA EMPRESA IMPORTADORA BADRA S.R.L. EN EL DEPARTAMENTO DE COCHABAMBA</v>
      </c>
      <c r="C416" s="58">
        <f>IFERROR(__xludf.DUMMYFUNCTION("""COMPUTED_VALUE"""),2.0)</f>
        <v>2</v>
      </c>
    </row>
    <row r="417">
      <c r="A417" s="58" t="str">
        <f>IFERROR(__xludf.DUMMYFUNCTION("""COMPUTED_VALUE"""),"FACTIBILIDAD")</f>
        <v>FACTIBILIDAD</v>
      </c>
      <c r="B417" s="58" t="str">
        <f>IFERROR(__xludf.DUMMYFUNCTION("""COMPUTED_VALUE"""),"PROYECTO DE FACTIBILIDAD PARA LA IMPLEMENTACIÓN DEBUN CRIADERO DE TRUCHAS EN LA COMUNIDAD DE MONTE PUNCO, MUNICIPIO DE POCONA")</f>
        <v>PROYECTO DE FACTIBILIDAD PARA LA IMPLEMENTACIÓN DEBUN CRIADERO DE TRUCHAS EN LA COMUNIDAD DE MONTE PUNCO, MUNICIPIO DE POCONA</v>
      </c>
      <c r="C417" s="58">
        <f>IFERROR(__xludf.DUMMYFUNCTION("""COMPUTED_VALUE"""),1.0)</f>
        <v>1</v>
      </c>
    </row>
    <row r="418">
      <c r="A418" s="58" t="str">
        <f>IFERROR(__xludf.DUMMYFUNCTION("""COMPUTED_VALUE"""),"FACTIBILIDAD")</f>
        <v>FACTIBILIDAD</v>
      </c>
      <c r="B418" s="58" t="str">
        <f>IFERROR(__xludf.DUMMYFUNCTION("""COMPUTED_VALUE"""),"PROYECTO DE FACTIBILIDAD PARA LA IMPLEMENTACIÓN DEL SUPERMERCADO SUPERGAR EN LA CIUDAD DE TARIJA.")</f>
        <v>PROYECTO DE FACTIBILIDAD PARA LA IMPLEMENTACIÓN DEL SUPERMERCADO SUPERGAR EN LA CIUDAD DE TARIJA.</v>
      </c>
      <c r="C418" s="58">
        <f>IFERROR(__xludf.DUMMYFUNCTION("""COMPUTED_VALUE"""),1.0)</f>
        <v>1</v>
      </c>
    </row>
    <row r="419">
      <c r="A419" s="58" t="str">
        <f>IFERROR(__xludf.DUMMYFUNCTION("""COMPUTED_VALUE"""),"FACTIBILIDAD")</f>
        <v>FACTIBILIDAD</v>
      </c>
      <c r="B419" s="58" t="str">
        <f>IFERROR(__xludf.DUMMYFUNCTION("""COMPUTED_VALUE"""),"PROYECTO DE FACTIBILIDAD PARA LA IMPLEMENTAR Y DIVERSIFICAR LA PRODUCCIÓN DE BOTELLONES PARA AGUA DE MESA A BASE DE POLIPROPILENO EN LA EMPRESA INPROMAT")</f>
        <v>PROYECTO DE FACTIBILIDAD PARA LA IMPLEMENTAR Y DIVERSIFICAR LA PRODUCCIÓN DE BOTELLONES PARA AGUA DE MESA A BASE DE POLIPROPILENO EN LA EMPRESA INPROMAT</v>
      </c>
      <c r="C419" s="58">
        <f>IFERROR(__xludf.DUMMYFUNCTION("""COMPUTED_VALUE"""),4.0)</f>
        <v>4</v>
      </c>
    </row>
    <row r="420">
      <c r="A420" s="58" t="str">
        <f>IFERROR(__xludf.DUMMYFUNCTION("""COMPUTED_VALUE"""),"FACTIBILIDAD")</f>
        <v>FACTIBILIDAD</v>
      </c>
      <c r="B420" s="58" t="str">
        <f>IFERROR(__xludf.DUMMYFUNCTION("""COMPUTED_VALUE"""),"PROYECTO DE FACTIBILIDAD PARA LA INSTALACION DE
UNA PLANTA PRODUCTORA DE “CEREALES A BASE DE
QUINUA” DIRIGIDO AL MERCADO DE COCHABAMBA")</f>
        <v>PROYECTO DE FACTIBILIDAD PARA LA INSTALACION DE
UNA PLANTA PRODUCTORA DE “CEREALES A BASE DE
QUINUA” DIRIGIDO AL MERCADO DE COCHABAMBA</v>
      </c>
      <c r="C420" s="58">
        <f>IFERROR(__xludf.DUMMYFUNCTION("""COMPUTED_VALUE"""),1.0)</f>
        <v>1</v>
      </c>
    </row>
    <row r="421">
      <c r="A421" s="58" t="str">
        <f>IFERROR(__xludf.DUMMYFUNCTION("""COMPUTED_VALUE"""),"FACTIBILIDAD")</f>
        <v>FACTIBILIDAD</v>
      </c>
      <c r="B421" s="58" t="str">
        <f>IFERROR(__xludf.DUMMYFUNCTION("""COMPUTED_VALUE"""),"PROYECTO DE FACTIBILIDAD PARA LA INSTALACIÓN DE UNA LAVANDERÍA INDUSTRIAL DE JEANS PARA LA EMPRESA BREY JEANS")</f>
        <v>PROYECTO DE FACTIBILIDAD PARA LA INSTALACIÓN DE UNA LAVANDERÍA INDUSTRIAL DE JEANS PARA LA EMPRESA BREY JEANS</v>
      </c>
      <c r="C421" s="58">
        <f>IFERROR(__xludf.DUMMYFUNCTION("""COMPUTED_VALUE"""),1.0)</f>
        <v>1</v>
      </c>
    </row>
    <row r="422">
      <c r="A422" s="58" t="str">
        <f>IFERROR(__xludf.DUMMYFUNCTION("""COMPUTED_VALUE"""),"FACTIBILIDAD")</f>
        <v>FACTIBILIDAD</v>
      </c>
      <c r="B422" s="58" t="str">
        <f>IFERROR(__xludf.DUMMYFUNCTION("""COMPUTED_VALUE"""),"PROYECTO DE FACTIBILIDAD PARA LA INSTALACIÓN DE UNA PLANTA DE EMBUTIDOS TIPO VIENA EN BASE A LA CARNE DE LLAMA (LAMA GLAMA")</f>
        <v>PROYECTO DE FACTIBILIDAD PARA LA INSTALACIÓN DE UNA PLANTA DE EMBUTIDOS TIPO VIENA EN BASE A LA CARNE DE LLAMA (LAMA GLAMA</v>
      </c>
      <c r="C422" s="58">
        <f>IFERROR(__xludf.DUMMYFUNCTION("""COMPUTED_VALUE"""),5.0)</f>
        <v>5</v>
      </c>
    </row>
    <row r="423">
      <c r="A423" s="58" t="str">
        <f>IFERROR(__xludf.DUMMYFUNCTION("""COMPUTED_VALUE"""),"FACTIBILIDAD")</f>
        <v>FACTIBILIDAD</v>
      </c>
      <c r="B423" s="58" t="str">
        <f>IFERROR(__xludf.DUMMYFUNCTION("""COMPUTED_VALUE"""),"PROYECTO DE FACTIBILIDAD PARA LA INSTALACIÓN DE UNA PLANTA DE PRODUCCIÓN DE PLATOS BIODEGRADABLES A BASE DE DESECHOS DE CAÑA DE AZÚCAR PARA EL MUNICIPIO DE COCHABAMBA")</f>
        <v>PROYECTO DE FACTIBILIDAD PARA LA INSTALACIÓN DE UNA PLANTA DE PRODUCCIÓN DE PLATOS BIODEGRADABLES A BASE DE DESECHOS DE CAÑA DE AZÚCAR PARA EL MUNICIPIO DE COCHABAMBA</v>
      </c>
      <c r="C423" s="58">
        <f>IFERROR(__xludf.DUMMYFUNCTION("""COMPUTED_VALUE"""),2.0)</f>
        <v>2</v>
      </c>
    </row>
    <row r="424">
      <c r="A424" s="58" t="str">
        <f>IFERROR(__xludf.DUMMYFUNCTION("""COMPUTED_VALUE"""),"FACTIBILIDAD")</f>
        <v>FACTIBILIDAD</v>
      </c>
      <c r="B424" s="58" t="str">
        <f>IFERROR(__xludf.DUMMYFUNCTION("""COMPUTED_VALUE"""),"PROYECTO DE FACTIBILIDAD PARA LA INSTALACIÓN DE UNA PLANTA DESHIDRATADORA DE DURAZNO, CIRUELA Y UVA EN EL VALLE ALTO")</f>
        <v>PROYECTO DE FACTIBILIDAD PARA LA INSTALACIÓN DE UNA PLANTA DESHIDRATADORA DE DURAZNO, CIRUELA Y UVA EN EL VALLE ALTO</v>
      </c>
      <c r="C424" s="58">
        <f>IFERROR(__xludf.DUMMYFUNCTION("""COMPUTED_VALUE"""),10.0)</f>
        <v>10</v>
      </c>
    </row>
    <row r="425">
      <c r="A425" s="58" t="str">
        <f>IFERROR(__xludf.DUMMYFUNCTION("""COMPUTED_VALUE"""),"FACTIBILIDAD")</f>
        <v>FACTIBILIDAD</v>
      </c>
      <c r="B425" s="58" t="str">
        <f>IFERROR(__xludf.DUMMYFUNCTION("""COMPUTED_VALUE"""),"PROYECTO DE FACTIBILIDAD PARA LA INSTALACIÓN DE UNA PLANTA ELABORADORA DE SHAMPOO A BASE DE JENGIBRE EN LA CIUDAD DE COCHABAMBA")</f>
        <v>PROYECTO DE FACTIBILIDAD PARA LA INSTALACIÓN DE UNA PLANTA ELABORADORA DE SHAMPOO A BASE DE JENGIBRE EN LA CIUDAD DE COCHABAMBA</v>
      </c>
      <c r="C425" s="58">
        <f>IFERROR(__xludf.DUMMYFUNCTION("""COMPUTED_VALUE"""),10.0)</f>
        <v>10</v>
      </c>
    </row>
    <row r="426">
      <c r="A426" s="58" t="str">
        <f>IFERROR(__xludf.DUMMYFUNCTION("""COMPUTED_VALUE"""),"FACTIBILIDAD")</f>
        <v>FACTIBILIDAD</v>
      </c>
      <c r="B426" s="58" t="str">
        <f>IFERROR(__xludf.DUMMYFUNCTION("""COMPUTED_VALUE"""),"PROYECTO DE FACTIBILIDAD PARA LA INSTALACIÓN DE UNA PLANTA ELABORADORA DE SHAMPOO A BASE DE ROMERO EN EL ÁREA METROPOLITANA DE COCHABAMBA")</f>
        <v>PROYECTO DE FACTIBILIDAD PARA LA INSTALACIÓN DE UNA PLANTA ELABORADORA DE SHAMPOO A BASE DE ROMERO EN EL ÁREA METROPOLITANA DE COCHABAMBA</v>
      </c>
      <c r="C426" s="58">
        <f>IFERROR(__xludf.DUMMYFUNCTION("""COMPUTED_VALUE"""),28.0)</f>
        <v>28</v>
      </c>
    </row>
    <row r="427">
      <c r="A427" s="58" t="str">
        <f>IFERROR(__xludf.DUMMYFUNCTION("""COMPUTED_VALUE"""),"FACTIBILIDAD")</f>
        <v>FACTIBILIDAD</v>
      </c>
      <c r="B427" s="58" t="str">
        <f>IFERROR(__xludf.DUMMYFUNCTION("""COMPUTED_VALUE"""),"PROYECTO DE FACTIBILIDAD PARA LA INSTALACIÓN DE UNA PLANTA INDUSTRIALIZADORA DE ARVEJA EN LA CIUDAD DE COCHABAMBA")</f>
        <v>PROYECTO DE FACTIBILIDAD PARA LA INSTALACIÓN DE UNA PLANTA INDUSTRIALIZADORA DE ARVEJA EN LA CIUDAD DE COCHABAMBA</v>
      </c>
      <c r="C427" s="58">
        <f>IFERROR(__xludf.DUMMYFUNCTION("""COMPUTED_VALUE"""),3.0)</f>
        <v>3</v>
      </c>
    </row>
    <row r="428">
      <c r="A428" s="58" t="str">
        <f>IFERROR(__xludf.DUMMYFUNCTION("""COMPUTED_VALUE"""),"FACTIBILIDAD")</f>
        <v>FACTIBILIDAD</v>
      </c>
      <c r="B428" s="58" t="str">
        <f>IFERROR(__xludf.DUMMYFUNCTION("""COMPUTED_VALUE"""),"PROYECTO DE FACTIBILIDAD PARA LA INSTALACIÓN DE UNA PLANTA PROCESADORA DE GALLETAS DE SORGO PARA EL EJE METROPOLITANO DEL DEPARTAMENTO DE COCHABAMBA.")</f>
        <v>PROYECTO DE FACTIBILIDAD PARA LA INSTALACIÓN DE UNA PLANTA PROCESADORA DE GALLETAS DE SORGO PARA EL EJE METROPOLITANO DEL DEPARTAMENTO DE COCHABAMBA.</v>
      </c>
      <c r="C428" s="58">
        <f>IFERROR(__xludf.DUMMYFUNCTION("""COMPUTED_VALUE"""),5.0)</f>
        <v>5</v>
      </c>
    </row>
    <row r="429">
      <c r="A429" s="58" t="str">
        <f>IFERROR(__xludf.DUMMYFUNCTION("""COMPUTED_VALUE"""),"FACTIBILIDAD")</f>
        <v>FACTIBILIDAD</v>
      </c>
      <c r="B429" s="58" t="str">
        <f>IFERROR(__xludf.DUMMYFUNCTION("""COMPUTED_VALUE"""),"PROYECTO DE FACTIBILIDAD PARA LA INSTALACIÓN DE UNA PLANTA PROCESADORA DE PULPA DE CUPUAZU")</f>
        <v>PROYECTO DE FACTIBILIDAD PARA LA INSTALACIÓN DE UNA PLANTA PROCESADORA DE PULPA DE CUPUAZU</v>
      </c>
      <c r="C429" s="58">
        <f>IFERROR(__xludf.DUMMYFUNCTION("""COMPUTED_VALUE"""),3.0)</f>
        <v>3</v>
      </c>
    </row>
    <row r="430">
      <c r="A430" s="58" t="str">
        <f>IFERROR(__xludf.DUMMYFUNCTION("""COMPUTED_VALUE"""),"FACTIBILIDAD")</f>
        <v>FACTIBILIDAD</v>
      </c>
      <c r="B430" s="58" t="str">
        <f>IFERROR(__xludf.DUMMYFUNCTION("""COMPUTED_VALUE"""),"PROYECTO DE FACTIBILIDAD PARA LA INSTALACIÓN DE UNA PLANTA PRODUCTORA DE SUPLEMENTO ALIMENTARIO PARA ANIMALES DE GRANJA A PARTIR DE MORINGA (OLEÍFERA)")</f>
        <v>PROYECTO DE FACTIBILIDAD PARA LA INSTALACIÓN DE UNA PLANTA PRODUCTORA DE SUPLEMENTO ALIMENTARIO PARA ANIMALES DE GRANJA A PARTIR DE MORINGA (OLEÍFERA)</v>
      </c>
      <c r="C430" s="58">
        <f>IFERROR(__xludf.DUMMYFUNCTION("""COMPUTED_VALUE"""),1.0)</f>
        <v>1</v>
      </c>
    </row>
    <row r="431">
      <c r="A431" s="58" t="str">
        <f>IFERROR(__xludf.DUMMYFUNCTION("""COMPUTED_VALUE"""),"FACTIBILIDAD")</f>
        <v>FACTIBILIDAD</v>
      </c>
      <c r="B431" s="58" t="str">
        <f>IFERROR(__xludf.DUMMYFUNCTION("""COMPUTED_VALUE"""),"PROYECTO DE FACTIBILIDAD PARA LA INSTALACIÓN DE UNA PLANTA PRODUCTORA DE “CEREALES A BASE DE QUINUA” DIRIGIDO AL MERCADO DE COCHABAMBA")</f>
        <v>PROYECTO DE FACTIBILIDAD PARA LA INSTALACIÓN DE UNA PLANTA PRODUCTORA DE “CEREALES A BASE DE QUINUA” DIRIGIDO AL MERCADO DE COCHABAMBA</v>
      </c>
      <c r="C431" s="58">
        <f>IFERROR(__xludf.DUMMYFUNCTION("""COMPUTED_VALUE"""),8.0)</f>
        <v>8</v>
      </c>
    </row>
    <row r="432">
      <c r="A432" s="58" t="str">
        <f>IFERROR(__xludf.DUMMYFUNCTION("""COMPUTED_VALUE"""),"FACTIBILIDAD")</f>
        <v>FACTIBILIDAD</v>
      </c>
      <c r="B432" s="58" t="str">
        <f>IFERROR(__xludf.DUMMYFUNCTION("""COMPUTED_VALUE"""),"PROYECTO DE FACTIBILIDAD PARA LA INSTALACIÓN INDUSTRIAL DE UNA PLANTA DE RECICLADO MECÁNICO PARA LA OBTENCIÓN DE FIBRA DE POLIÉSTER A PARTIR DE BOTELLAS PLÁSTICAS DE PET EN COCHABAMBA Y SANTA CRUZ")</f>
        <v>PROYECTO DE FACTIBILIDAD PARA LA INSTALACIÓN INDUSTRIAL DE UNA PLANTA DE RECICLADO MECÁNICO PARA LA OBTENCIÓN DE FIBRA DE POLIÉSTER A PARTIR DE BOTELLAS PLÁSTICAS DE PET EN COCHABAMBA Y SANTA CRUZ</v>
      </c>
      <c r="C432" s="58">
        <f>IFERROR(__xludf.DUMMYFUNCTION("""COMPUTED_VALUE"""),1.0)</f>
        <v>1</v>
      </c>
    </row>
    <row r="433">
      <c r="A433" s="58" t="str">
        <f>IFERROR(__xludf.DUMMYFUNCTION("""COMPUTED_VALUE"""),"FACTIBILIDAD")</f>
        <v>FACTIBILIDAD</v>
      </c>
      <c r="B433" s="58" t="str">
        <f>IFERROR(__xludf.DUMMYFUNCTION("""COMPUTED_VALUE"""),"PROYECTO DE FACTIBILIDAD PARA LA PRODUCCION Y COMERCIALIZACION DEL ACEITE DE CHIA")</f>
        <v>PROYECTO DE FACTIBILIDAD PARA LA PRODUCCION Y COMERCIALIZACION DEL ACEITE DE CHIA</v>
      </c>
      <c r="C433" s="58">
        <f>IFERROR(__xludf.DUMMYFUNCTION("""COMPUTED_VALUE"""),4.0)</f>
        <v>4</v>
      </c>
    </row>
    <row r="434">
      <c r="A434" s="58" t="str">
        <f>IFERROR(__xludf.DUMMYFUNCTION("""COMPUTED_VALUE"""),"FACTIBILIDAD")</f>
        <v>FACTIBILIDAD</v>
      </c>
      <c r="B434" s="58" t="str">
        <f>IFERROR(__xludf.DUMMYFUNCTION("""COMPUTED_VALUE"""),"PROYECTO DE FACTIBILIDAD PARA LA PRODUCCIÓN DE BARRAS ENERGÉTICAS LIBRES DE GLUTEN PARA LAS ASOCIACIONES DE PRODUCTORES DE MANÍ DE MIZQUE Y VILLA SERRANO (APROMAM)")</f>
        <v>PROYECTO DE FACTIBILIDAD PARA LA PRODUCCIÓN DE BARRAS ENERGÉTICAS LIBRES DE GLUTEN PARA LAS ASOCIACIONES DE PRODUCTORES DE MANÍ DE MIZQUE Y VILLA SERRANO (APROMAM)</v>
      </c>
      <c r="C434" s="58">
        <f>IFERROR(__xludf.DUMMYFUNCTION("""COMPUTED_VALUE"""),2.0)</f>
        <v>2</v>
      </c>
    </row>
    <row r="435">
      <c r="A435" s="58" t="str">
        <f>IFERROR(__xludf.DUMMYFUNCTION("""COMPUTED_VALUE"""),"FACTIBILIDAD")</f>
        <v>FACTIBILIDAD</v>
      </c>
      <c r="B435" s="58" t="str">
        <f>IFERROR(__xludf.DUMMYFUNCTION("""COMPUTED_VALUE"""),"PROYECTO DE FACTIBILIDAD PARA LA PRODUCCIÓN DE TEJAS A PARTIR DE
LLANTAS RECICLADAS EN COCHABAMBA")</f>
        <v>PROYECTO DE FACTIBILIDAD PARA LA PRODUCCIÓN DE TEJAS A PARTIR DE
LLANTAS RECICLADAS EN COCHABAMBA</v>
      </c>
      <c r="C435" s="58">
        <f>IFERROR(__xludf.DUMMYFUNCTION("""COMPUTED_VALUE"""),1.0)</f>
        <v>1</v>
      </c>
    </row>
    <row r="436">
      <c r="A436" s="58" t="str">
        <f>IFERROR(__xludf.DUMMYFUNCTION("""COMPUTED_VALUE"""),"FACTIBILIDAD")</f>
        <v>FACTIBILIDAD</v>
      </c>
      <c r="B436" s="58" t="str">
        <f>IFERROR(__xludf.DUMMYFUNCTION("""COMPUTED_VALUE"""),"PROYECTO DE FACTIBILIDAD PARA LAIMPLEMENTACIÓN DE UNA PLANTA PROCESADORA DE JUGOS DE NARANJA, PIÑA Y MARACUYÁ A SER COMERCIALIZADAS COMO DESAYUNO ESCOLAR")</f>
        <v>PROYECTO DE FACTIBILIDAD PARA LAIMPLEMENTACIÓN DE UNA PLANTA PROCESADORA DE JUGOS DE NARANJA, PIÑA Y MARACUYÁ A SER COMERCIALIZADAS COMO DESAYUNO ESCOLAR</v>
      </c>
      <c r="C436" s="58">
        <f>IFERROR(__xludf.DUMMYFUNCTION("""COMPUTED_VALUE"""),1.0)</f>
        <v>1</v>
      </c>
    </row>
    <row r="437">
      <c r="A437" s="58" t="str">
        <f>IFERROR(__xludf.DUMMYFUNCTION("""COMPUTED_VALUE"""),"FACTIBILIDAD")</f>
        <v>FACTIBILIDAD</v>
      </c>
      <c r="B437" s="58" t="str">
        <f>IFERROR(__xludf.DUMMYFUNCTION("""COMPUTED_VALUE"""),"PROYECTO DE FACTIBILIDAD PARA UNA PLANTA DE BIOETANOL A PARTIR DEL APROVECHAMIENTO DE CAÑA DE AZÚCAR EN EL DEPARTAMENTO DE COCHABAMBA")</f>
        <v>PROYECTO DE FACTIBILIDAD PARA UNA PLANTA DE BIOETANOL A PARTIR DEL APROVECHAMIENTO DE CAÑA DE AZÚCAR EN EL DEPARTAMENTO DE COCHABAMBA</v>
      </c>
      <c r="C437" s="58">
        <f>IFERROR(__xludf.DUMMYFUNCTION("""COMPUTED_VALUE"""),10.0)</f>
        <v>10</v>
      </c>
    </row>
    <row r="438">
      <c r="A438" s="58" t="str">
        <f>IFERROR(__xludf.DUMMYFUNCTION("""COMPUTED_VALUE"""),"FACTIBILIDAD")</f>
        <v>FACTIBILIDAD</v>
      </c>
      <c r="B438" s="58" t="str">
        <f>IFERROR(__xludf.DUMMYFUNCTION("""COMPUTED_VALUE"""),"PROYECTO DE FACTIBILIDAD PRODUCTIVA Y COMERCIAL PARA LA IMPLEMENTACIÓN DE UNA PLANTA PELADORA DE MAÍZ EN LA PROVINCIA GERMAN JORDÁN – CLIZA")</f>
        <v>PROYECTO DE FACTIBILIDAD PRODUCTIVA Y COMERCIAL PARA LA IMPLEMENTACIÓN DE UNA PLANTA PELADORA DE MAÍZ EN LA PROVINCIA GERMAN JORDÁN – CLIZA</v>
      </c>
      <c r="C438" s="58">
        <f>IFERROR(__xludf.DUMMYFUNCTION("""COMPUTED_VALUE"""),4.0)</f>
        <v>4</v>
      </c>
    </row>
    <row r="439">
      <c r="A439" s="58" t="str">
        <f>IFERROR(__xludf.DUMMYFUNCTION("""COMPUTED_VALUE"""),"FACTIBILIDAD")</f>
        <v>FACTIBILIDAD</v>
      </c>
      <c r="B439" s="58" t="str">
        <f>IFERROR(__xludf.DUMMYFUNCTION("""COMPUTED_VALUE"""),"PROYECTO DE FACTIBILIDAD TECNICA Y FINANCIERA PARA LA IMPLEMENTACION DE UNA NUEVA LINEA DE PRODUCCION DE CARNE (HAMBURGUESA) VEGANA A BASE DE OKARA PARA LA EMPRESA NORDLAND LTDA. EN LA CIUDAD DE COCHABAMBA")</f>
        <v>PROYECTO DE FACTIBILIDAD TECNICA Y FINANCIERA PARA LA IMPLEMENTACION DE UNA NUEVA LINEA DE PRODUCCION DE CARNE (HAMBURGUESA) VEGANA A BASE DE OKARA PARA LA EMPRESA NORDLAND LTDA. EN LA CIUDAD DE COCHABAMBA</v>
      </c>
      <c r="C439" s="58">
        <f>IFERROR(__xludf.DUMMYFUNCTION("""COMPUTED_VALUE"""),5.0)</f>
        <v>5</v>
      </c>
    </row>
    <row r="440">
      <c r="A440" s="58" t="str">
        <f>IFERROR(__xludf.DUMMYFUNCTION("""COMPUTED_VALUE"""),"FACTIBILIDAD")</f>
        <v>FACTIBILIDAD</v>
      </c>
      <c r="B440" s="58" t="str">
        <f>IFERROR(__xludf.DUMMYFUNCTION("""COMPUTED_VALUE"""),"PROYECTO DE FACTIBILIDAD TECNICA Y FINANCIERA PARA LA INSTALACION DE UNA PLANTA PROCESADORA DE HARINA DE OCA EN COCHABAMBA")</f>
        <v>PROYECTO DE FACTIBILIDAD TECNICA Y FINANCIERA PARA LA INSTALACION DE UNA PLANTA PROCESADORA DE HARINA DE OCA EN COCHABAMBA</v>
      </c>
      <c r="C440" s="58">
        <f>IFERROR(__xludf.DUMMYFUNCTION("""COMPUTED_VALUE"""),3.0)</f>
        <v>3</v>
      </c>
    </row>
    <row r="441">
      <c r="A441" s="58" t="str">
        <f>IFERROR(__xludf.DUMMYFUNCTION("""COMPUTED_VALUE"""),"FACTIBILIDAD")</f>
        <v>FACTIBILIDAD</v>
      </c>
      <c r="B441" s="58" t="str">
        <f>IFERROR(__xludf.DUMMYFUNCTION("""COMPUTED_VALUE"""),"PROYECTO DE FACTIBILIDAD TÉCNICA ECONÓMICA PARA LA INSTALACIÓN DE UNA PLANTA PROCESADORA DE MERMELADA DE TOMATE EN LA LOCALIDAD DE TIPA TIPA.")</f>
        <v>PROYECTO DE FACTIBILIDAD TÉCNICA ECONÓMICA PARA LA INSTALACIÓN DE UNA PLANTA PROCESADORA DE MERMELADA DE TOMATE EN LA LOCALIDAD DE TIPA TIPA.</v>
      </c>
      <c r="C441" s="58">
        <f>IFERROR(__xludf.DUMMYFUNCTION("""COMPUTED_VALUE"""),2.0)</f>
        <v>2</v>
      </c>
    </row>
    <row r="442">
      <c r="A442" s="58" t="str">
        <f>IFERROR(__xludf.DUMMYFUNCTION("""COMPUTED_VALUE"""),"FACTIBILIDAD")</f>
        <v>FACTIBILIDAD</v>
      </c>
      <c r="B442" s="58" t="str">
        <f>IFERROR(__xludf.DUMMYFUNCTION("""COMPUTED_VALUE"""),"PROYECTO DE FACTIBILIDAD TÉCNICA Y FINANCIERA PARA LA IMPLEMENTACIÓN DE UNA PLANTA PROCESADORA DE HARINA DE PAPA EN LA COMUNIDAD DE CHAPISIRCA-TIQUIPAYA")</f>
        <v>PROYECTO DE FACTIBILIDAD TÉCNICA Y FINANCIERA PARA LA IMPLEMENTACIÓN DE UNA PLANTA PROCESADORA DE HARINA DE PAPA EN LA COMUNIDAD DE CHAPISIRCA-TIQUIPAYA</v>
      </c>
      <c r="C442" s="58">
        <f>IFERROR(__xludf.DUMMYFUNCTION("""COMPUTED_VALUE"""),7.0)</f>
        <v>7</v>
      </c>
    </row>
    <row r="443">
      <c r="A443" s="58" t="str">
        <f>IFERROR(__xludf.DUMMYFUNCTION("""COMPUTED_VALUE"""),"FACTIBILIDAD")</f>
        <v>FACTIBILIDAD</v>
      </c>
      <c r="B443" s="58" t="str">
        <f>IFERROR(__xludf.DUMMYFUNCTION("""COMPUTED_VALUE"""),"PROYECTO DE FACTIBILIDAD TÉCNICA Y FINANCIERA PARA LA IMPLEMENTACIÓN DE UNA PLANTA PROCESADORA DE JARABE DE FRUCTUOSA DE YACÓN (POLYMNIA SONCHIFOLIA) EN EL EJE METROPOLITANO DEL DEPARTAMENTO DE COCHABAMBA")</f>
        <v>PROYECTO DE FACTIBILIDAD TÉCNICA Y FINANCIERA PARA LA IMPLEMENTACIÓN DE UNA PLANTA PROCESADORA DE JARABE DE FRUCTUOSA DE YACÓN (POLYMNIA SONCHIFOLIA) EN EL EJE METROPOLITANO DEL DEPARTAMENTO DE COCHABAMBA</v>
      </c>
      <c r="C443" s="58">
        <f>IFERROR(__xludf.DUMMYFUNCTION("""COMPUTED_VALUE"""),4.0)</f>
        <v>4</v>
      </c>
    </row>
    <row r="444">
      <c r="A444" s="58" t="str">
        <f>IFERROR(__xludf.DUMMYFUNCTION("""COMPUTED_VALUE"""),"FACTIBILIDAD")</f>
        <v>FACTIBILIDAD</v>
      </c>
      <c r="B444" s="58" t="str">
        <f>IFERROR(__xludf.DUMMYFUNCTION("""COMPUTED_VALUE"""),"PROYECTO DE FACTIBILIDAD TÉCNICO Y COMERCIAL PARA UNA NUEVA LÍNEA INDUSTRIAL DE MERMELADA PARA TUFRU S.R.L")</f>
        <v>PROYECTO DE FACTIBILIDAD TÉCNICO Y COMERCIAL PARA UNA NUEVA LÍNEA INDUSTRIAL DE MERMELADA PARA TUFRU S.R.L</v>
      </c>
      <c r="C444" s="58">
        <f>IFERROR(__xludf.DUMMYFUNCTION("""COMPUTED_VALUE"""),3.0)</f>
        <v>3</v>
      </c>
    </row>
    <row r="445">
      <c r="A445" s="58" t="str">
        <f>IFERROR(__xludf.DUMMYFUNCTION("""COMPUTED_VALUE"""),"FACTIBILIDAD")</f>
        <v>FACTIBILIDAD</v>
      </c>
      <c r="B445" s="58" t="str">
        <f>IFERROR(__xludf.DUMMYFUNCTION("""COMPUTED_VALUE"""),"PROYECTO DE PRE-FACTIBILIDAD PARA LA INSTALACIÓN DE UNA PLANTA DE PRODUCCIÓN  DE “LECHUGA Y TOMATE HIDROPÓNICA” EN EL EJE METROPOLITANO DE COCHABAMBA.")</f>
        <v>PROYECTO DE PRE-FACTIBILIDAD PARA LA INSTALACIÓN DE UNA PLANTA DE PRODUCCIÓN  DE “LECHUGA Y TOMATE HIDROPÓNICA” EN EL EJE METROPOLITANO DE COCHABAMBA.</v>
      </c>
      <c r="C445" s="58">
        <f>IFERROR(__xludf.DUMMYFUNCTION("""COMPUTED_VALUE"""),4.0)</f>
        <v>4</v>
      </c>
    </row>
    <row r="446">
      <c r="A446" s="58" t="str">
        <f>IFERROR(__xludf.DUMMYFUNCTION("""COMPUTED_VALUE"""),"FACTIBILIDAD")</f>
        <v>FACTIBILIDAD</v>
      </c>
      <c r="B446" s="58" t="str">
        <f>IFERROR(__xludf.DUMMYFUNCTION("""COMPUTED_VALUE"""),"PROYECTO DE PRE-FACTIBILIDAD PARA LA INSTALACIÓN DE UNA PLANTA DE PRODUCCIÓN DE “LECHUGA Y TOMATE HIDROPÓNICA” EN EL EJE METROPOLITANO DE COCHABAMBA.")</f>
        <v>PROYECTO DE PRE-FACTIBILIDAD PARA LA INSTALACIÓN DE UNA PLANTA DE PRODUCCIÓN DE “LECHUGA Y TOMATE HIDROPÓNICA” EN EL EJE METROPOLITANO DE COCHABAMBA.</v>
      </c>
      <c r="C446" s="58">
        <f>IFERROR(__xludf.DUMMYFUNCTION("""COMPUTED_VALUE"""),1.0)</f>
        <v>1</v>
      </c>
    </row>
    <row r="447">
      <c r="A447" s="58" t="str">
        <f>IFERROR(__xludf.DUMMYFUNCTION("""COMPUTED_VALUE"""),"FACTIBILIDAD")</f>
        <v>FACTIBILIDAD</v>
      </c>
      <c r="B447" s="58" t="str">
        <f>IFERROR(__xludf.DUMMYFUNCTION("""COMPUTED_VALUE"""),"PROYECTO DE VIABILIDAD PARA LA IMPLEMENTACION DE UNA PLANTA PROCESADORA DE VINO DE UVA EN LA LOCALIDAD DE MIZQUE - COCHABAMBA")</f>
        <v>PROYECTO DE VIABILIDAD PARA LA IMPLEMENTACION DE UNA PLANTA PROCESADORA DE VINO DE UVA EN LA LOCALIDAD DE MIZQUE - COCHABAMBA</v>
      </c>
      <c r="C447" s="58">
        <f>IFERROR(__xludf.DUMMYFUNCTION("""COMPUTED_VALUE"""),1.0)</f>
        <v>1</v>
      </c>
    </row>
    <row r="448">
      <c r="A448" s="58" t="str">
        <f>IFERROR(__xludf.DUMMYFUNCTION("""COMPUTED_VALUE"""),"FACTIBILIDAD")</f>
        <v>FACTIBILIDAD</v>
      </c>
      <c r="B448" s="58" t="str">
        <f>IFERROR(__xludf.DUMMYFUNCTION("""COMPUTED_VALUE"""),"PROYECTO DE VIABILIDAD PARA LA IMPLEMENTACIÓN DE UNA PLANTA PROCESADORA DE VINO DE UVA EN LA LOCALIDAD DE MIZQUE - COCHABAMBA")</f>
        <v>PROYECTO DE VIABILIDAD PARA LA IMPLEMENTACIÓN DE UNA PLANTA PROCESADORA DE VINO DE UVA EN LA LOCALIDAD DE MIZQUE - COCHABAMBA</v>
      </c>
      <c r="C448" s="58">
        <f>IFERROR(__xludf.DUMMYFUNCTION("""COMPUTED_VALUE"""),2.0)</f>
        <v>2</v>
      </c>
    </row>
    <row r="449">
      <c r="A449" s="58" t="str">
        <f>IFERROR(__xludf.DUMMYFUNCTION("""COMPUTED_VALUE"""),"FACTIBILIDAD")</f>
        <v>FACTIBILIDAD</v>
      </c>
      <c r="B449" s="58" t="str">
        <f>IFERROR(__xludf.DUMMYFUNCTION("""COMPUTED_VALUE"""),"“FACTIBILIDAD TÉCNICA- ECONÓMICA PARA LA INSTALACIÓN  DE UNA PLANTA DE RECICLAJE DE AGUAS RESIDUALES DENTRO DE UN S.G.A. (I.S.O. 14000)”")</f>
        <v>“FACTIBILIDAD TÉCNICA- ECONÓMICA PARA LA INSTALACIÓN  DE UNA PLANTA DE RECICLAJE DE AGUAS RESIDUALES DENTRO DE UN S.G.A. (I.S.O. 14000)”</v>
      </c>
      <c r="C449" s="58">
        <f>IFERROR(__xludf.DUMMYFUNCTION("""COMPUTED_VALUE"""),1.0)</f>
        <v>1</v>
      </c>
    </row>
    <row r="450">
      <c r="A450" s="58" t="str">
        <f>IFERROR(__xludf.DUMMYFUNCTION("""COMPUTED_VALUE"""),"GESTION DE CALIDAD")</f>
        <v>GESTION DE CALIDAD</v>
      </c>
      <c r="B450" s="58" t="str">
        <f>IFERROR(__xludf.DUMMYFUNCTION("""COMPUTED_VALUE"""),"DESARROLLO DE ESTRATEGIAS DE COMPETITIVIDAD BASADOS EN LA GESTIÓN DEL CONOCIMIENTO PARA MYPES TEXTILERAS")</f>
        <v>DESARROLLO DE ESTRATEGIAS DE COMPETITIVIDAD BASADOS EN LA GESTIÓN DEL CONOCIMIENTO PARA MYPES TEXTILERAS</v>
      </c>
      <c r="C450" s="58">
        <f>IFERROR(__xludf.DUMMYFUNCTION("""COMPUTED_VALUE"""),3.0)</f>
        <v>3</v>
      </c>
    </row>
    <row r="451">
      <c r="A451" s="58" t="str">
        <f>IFERROR(__xludf.DUMMYFUNCTION("""COMPUTED_VALUE"""),"GESTION DE CALIDAD")</f>
        <v>GESTION DE CALIDAD</v>
      </c>
      <c r="B451" s="58" t="str">
        <f>IFERROR(__xludf.DUMMYFUNCTION("""COMPUTED_VALUE"""),"DESARROLLO DE UN SISTEMA DE GESTION DE CALIDAD BASADO EN LA NORMA ISO 9001:2000 PARA LA LINEA DE PAN MOLDE DE LA EMPRESA “LA FRANCESA”")</f>
        <v>DESARROLLO DE UN SISTEMA DE GESTION DE CALIDAD BASADO EN LA NORMA ISO 9001:2000 PARA LA LINEA DE PAN MOLDE DE LA EMPRESA “LA FRANCESA”</v>
      </c>
      <c r="C451" s="58">
        <f>IFERROR(__xludf.DUMMYFUNCTION("""COMPUTED_VALUE"""),3.0)</f>
        <v>3</v>
      </c>
    </row>
    <row r="452">
      <c r="A452" s="58" t="str">
        <f>IFERROR(__xludf.DUMMYFUNCTION("""COMPUTED_VALUE"""),"GESTION DE CALIDAD")</f>
        <v>GESTION DE CALIDAD</v>
      </c>
      <c r="B452"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C452" s="58">
        <f>IFERROR(__xludf.DUMMYFUNCTION("""COMPUTED_VALUE"""),1.0)</f>
        <v>1</v>
      </c>
    </row>
    <row r="453">
      <c r="A453" s="58" t="str">
        <f>IFERROR(__xludf.DUMMYFUNCTION("""COMPUTED_VALUE"""),"GESTION DE CALIDAD")</f>
        <v>GESTION DE CALIDAD</v>
      </c>
      <c r="B453"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C453" s="58">
        <f>IFERROR(__xludf.DUMMYFUNCTION("""COMPUTED_VALUE"""),1.0)</f>
        <v>1</v>
      </c>
    </row>
    <row r="454">
      <c r="A454" s="58" t="str">
        <f>IFERROR(__xludf.DUMMYFUNCTION("""COMPUTED_VALUE"""),"GESTION DE CALIDAD")</f>
        <v>GESTION DE CALIDAD</v>
      </c>
      <c r="B454" s="58" t="str">
        <f>IFERROR(__xludf.DUMMYFUNCTION("""COMPUTED_VALUE"""),"DISEÑO DE UN SISTEMA DE GESTIÓN DE CALIDAD PARA LA EMPRESA DELMONTE S.R.L. EN BASE A LA NORMA ISO 9001:2015")</f>
        <v>DISEÑO DE UN SISTEMA DE GESTIÓN DE CALIDAD PARA LA EMPRESA DELMONTE S.R.L. EN BASE A LA NORMA ISO 9001:2015</v>
      </c>
      <c r="C454" s="58">
        <f>IFERROR(__xludf.DUMMYFUNCTION("""COMPUTED_VALUE"""),1.0)</f>
        <v>1</v>
      </c>
    </row>
    <row r="455">
      <c r="A455" s="58" t="str">
        <f>IFERROR(__xludf.DUMMYFUNCTION("""COMPUTED_VALUE"""),"GESTION DE CALIDAD")</f>
        <v>GESTION DE CALIDAD</v>
      </c>
      <c r="B455" s="58" t="str">
        <f>IFERROR(__xludf.DUMMYFUNCTION("""COMPUTED_VALUE"""),"DISEÑO DE UN SISTEMA DE GESTIÓN DE CALIDAD PARA LA EMPRESA DELMONTE S.R.L. EN BASE A LA NORMA ISO 9001:2016")</f>
        <v>DISEÑO DE UN SISTEMA DE GESTIÓN DE CALIDAD PARA LA EMPRESA DELMONTE S.R.L. EN BASE A LA NORMA ISO 9001:2016</v>
      </c>
      <c r="C455" s="58">
        <f>IFERROR(__xludf.DUMMYFUNCTION("""COMPUTED_VALUE"""),1.0)</f>
        <v>1</v>
      </c>
    </row>
    <row r="456">
      <c r="A456" s="58" t="str">
        <f>IFERROR(__xludf.DUMMYFUNCTION("""COMPUTED_VALUE"""),"GESTION DE CALIDAD")</f>
        <v>GESTION DE CALIDAD</v>
      </c>
      <c r="B456"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C456" s="58">
        <f>IFERROR(__xludf.DUMMYFUNCTION("""COMPUTED_VALUE"""),1.0)</f>
        <v>1</v>
      </c>
    </row>
    <row r="457">
      <c r="A457" s="58" t="str">
        <f>IFERROR(__xludf.DUMMYFUNCTION("""COMPUTED_VALUE"""),"GESTION DE CALIDAD")</f>
        <v>GESTION DE CALIDAD</v>
      </c>
      <c r="B457" s="58" t="str">
        <f>IFERROR(__xludf.DUMMYFUNCTION("""COMPUTED_VALUE"""),"PROPUESTA DE UN MODELO DE MEJORA CONTINUA BASADO EN UN SISTEMA DE GESTIÓN DE CALIDAD SEGÚN NORMA NB-ISO-IEC 17025:2005 PARA LA UNIDAD DE LABORATORIO DE MEDIDAS - LABMED DE ELFEC S.A.”")</f>
        <v>PROPUESTA DE UN MODELO DE MEJORA CONTINUA BASADO EN UN SISTEMA DE GESTIÓN DE CALIDAD SEGÚN NORMA NB-ISO-IEC 17025:2005 PARA LA UNIDAD DE LABORATORIO DE MEDIDAS - LABMED DE ELFEC S.A.”</v>
      </c>
      <c r="C457" s="58">
        <f>IFERROR(__xludf.DUMMYFUNCTION("""COMPUTED_VALUE"""),1.0)</f>
        <v>1</v>
      </c>
    </row>
    <row r="458">
      <c r="A458" s="58" t="str">
        <f>IFERROR(__xludf.DUMMYFUNCTION("""COMPUTED_VALUE"""),"GESTIÓN ESTRATÉGICA")</f>
        <v>GESTIÓN ESTRATÉGICA</v>
      </c>
      <c r="B458" s="58" t="str">
        <f>IFERROR(__xludf.DUMMYFUNCTION("""COMPUTED_VALUE"""),"DESARROLLO DE ESTRATEGIAS DE COMPETITIVIDAD BASADAS EN LA GESTIÓN DEL CONOCIMIENTO PARA MYPES TEXTILERAS")</f>
        <v>DESARROLLO DE ESTRATEGIAS DE COMPETITIVIDAD BASADAS EN LA GESTIÓN DEL CONOCIMIENTO PARA MYPES TEXTILERAS</v>
      </c>
      <c r="C458" s="58">
        <f>IFERROR(__xludf.DUMMYFUNCTION("""COMPUTED_VALUE"""),2.0)</f>
        <v>2</v>
      </c>
    </row>
    <row r="459">
      <c r="A459" s="58" t="str">
        <f>IFERROR(__xludf.DUMMYFUNCTION("""COMPUTED_VALUE"""),"GESTIÓN ESTRATÉGICA")</f>
        <v>GESTIÓN ESTRATÉGICA</v>
      </c>
      <c r="B459" s="58" t="str">
        <f>IFERROR(__xludf.DUMMYFUNCTION("""COMPUTED_VALUE"""),"DESARROLLO DE UN PLAN ESTRATÉGICO DE COMERCIALIZACIÓN PARA LA EMPRESA FLORÍCOLA EROS.")</f>
        <v>DESARROLLO DE UN PLAN ESTRATÉGICO DE COMERCIALIZACIÓN PARA LA EMPRESA FLORÍCOLA EROS.</v>
      </c>
      <c r="C459" s="58">
        <f>IFERROR(__xludf.DUMMYFUNCTION("""COMPUTED_VALUE"""),3.0)</f>
        <v>3</v>
      </c>
    </row>
    <row r="460">
      <c r="A460" s="58" t="str">
        <f>IFERROR(__xludf.DUMMYFUNCTION("""COMPUTED_VALUE"""),"GESTIÓN ESTRATÉGICA")</f>
        <v>GESTIÓN ESTRATÉGICA</v>
      </c>
      <c r="B460" s="58" t="str">
        <f>IFERROR(__xludf.DUMMYFUNCTION("""COMPUTED_VALUE"""),"DESARROLLO DE UN PLAN ESTRATÉGICO DE COMERCIALIZACIÓN PARA LA NUEVA LÍNEA DE MATERIALES ELÉCTRICOS EN INDUSTRIAS SANKYO S.R.L.")</f>
        <v>DESARROLLO DE UN PLAN ESTRATÉGICO DE COMERCIALIZACIÓN PARA LA NUEVA LÍNEA DE MATERIALES ELÉCTRICOS EN INDUSTRIAS SANKYO S.R.L.</v>
      </c>
      <c r="C460" s="58">
        <f>IFERROR(__xludf.DUMMYFUNCTION("""COMPUTED_VALUE"""),1.0)</f>
        <v>1</v>
      </c>
    </row>
    <row r="461">
      <c r="A461" s="58" t="str">
        <f>IFERROR(__xludf.DUMMYFUNCTION("""COMPUTED_VALUE"""),"GESTIÓN ESTRATÉGICA")</f>
        <v>GESTIÓN ESTRATÉGICA</v>
      </c>
      <c r="B461" s="58" t="str">
        <f>IFERROR(__xludf.DUMMYFUNCTION("""COMPUTED_VALUE"""),"DESARROLLO DE UN PLAN ESTRATÉGICO DE MARKETING PARA LA EMPRESA MUEBLES SEÑOR DE SANTIAGO.")</f>
        <v>DESARROLLO DE UN PLAN ESTRATÉGICO DE MARKETING PARA LA EMPRESA MUEBLES SEÑOR DE SANTIAGO.</v>
      </c>
      <c r="C461" s="58">
        <f>IFERROR(__xludf.DUMMYFUNCTION("""COMPUTED_VALUE"""),3.0)</f>
        <v>3</v>
      </c>
    </row>
    <row r="462">
      <c r="A462" s="58" t="str">
        <f>IFERROR(__xludf.DUMMYFUNCTION("""COMPUTED_VALUE"""),"GESTIÓN ESTRATÉGICA")</f>
        <v>GESTIÓN ESTRATÉGICA</v>
      </c>
      <c r="B462" s="58" t="str">
        <f>IFERROR(__xludf.DUMMYFUNCTION("""COMPUTED_VALUE"""),"DESARROLLO DE UN PLAN INTEGRAL DE SEGURIDAD INDUSTRIAL, SALUD E HIGIENE OCUPACIONAL Y MEDIO AMBIENTAL PARA LA PAPELERA S.A. REGIONAL COCHABAMBA.")</f>
        <v>DESARROLLO DE UN PLAN INTEGRAL DE SEGURIDAD INDUSTRIAL, SALUD E HIGIENE OCUPACIONAL Y MEDIO AMBIENTAL PARA LA PAPELERA S.A. REGIONAL COCHABAMBA.</v>
      </c>
      <c r="C462" s="58">
        <f>IFERROR(__xludf.DUMMYFUNCTION("""COMPUTED_VALUE"""),1.0)</f>
        <v>1</v>
      </c>
    </row>
    <row r="463">
      <c r="A463" s="58" t="str">
        <f>IFERROR(__xludf.DUMMYFUNCTION("""COMPUTED_VALUE"""),"GESTIÓN ESTRATÉGICA")</f>
        <v>GESTIÓN ESTRATÉGICA</v>
      </c>
      <c r="B463" s="58" t="str">
        <f>IFERROR(__xludf.DUMMYFUNCTION("""COMPUTED_VALUE"""),"DISENO DE UN PLAN ESTRATEGICO DE COMERCIALIZACION PARA LA NUEVA LÍNEA DE PRODUCCION DE LA EMPRESA INPASA")</f>
        <v>DISENO DE UN PLAN ESTRATEGICO DE COMERCIALIZACION PARA LA NUEVA LÍNEA DE PRODUCCION DE LA EMPRESA INPASA</v>
      </c>
      <c r="C463" s="58">
        <f>IFERROR(__xludf.DUMMYFUNCTION("""COMPUTED_VALUE"""),4.0)</f>
        <v>4</v>
      </c>
    </row>
    <row r="464">
      <c r="A464" s="58" t="str">
        <f>IFERROR(__xludf.DUMMYFUNCTION("""COMPUTED_VALUE"""),"GESTIÓN ESTRATÉGICA")</f>
        <v>GESTIÓN ESTRATÉGICA</v>
      </c>
      <c r="B464" s="58" t="str">
        <f>IFERROR(__xludf.DUMMYFUNCTION("""COMPUTED_VALUE"""),"DISEÑO DE PLANIFICACIÓN ESTRATÉGICA Y CUADRO DE MANDO INTEGRAL PARA CURTIEMBRE AMÉRICA S.A.")</f>
        <v>DISEÑO DE PLANIFICACIÓN ESTRATÉGICA Y CUADRO DE MANDO INTEGRAL PARA CURTIEMBRE AMÉRICA S.A.</v>
      </c>
      <c r="C464" s="58">
        <f>IFERROR(__xludf.DUMMYFUNCTION("""COMPUTED_VALUE"""),2.0)</f>
        <v>2</v>
      </c>
    </row>
    <row r="465">
      <c r="A465" s="58" t="str">
        <f>IFERROR(__xludf.DUMMYFUNCTION("""COMPUTED_VALUE"""),"GESTIÓN ESTRATÉGICA")</f>
        <v>GESTIÓN ESTRATÉGICA</v>
      </c>
      <c r="B465" s="58" t="str">
        <f>IFERROR(__xludf.DUMMYFUNCTION("""COMPUTED_VALUE"""),"DISEÑO DE PLANIFICACIÓN ESTRATÉGICA Y CUADRO DE MANDO INTEGRAL PARA EL LABORATORIO INDUSTRIAL FARMACÉUTICO ECHEVERRÍA “LIFE”")</f>
        <v>DISEÑO DE PLANIFICACIÓN ESTRATÉGICA Y CUADRO DE MANDO INTEGRAL PARA EL LABORATORIO INDUSTRIAL FARMACÉUTICO ECHEVERRÍA “LIFE”</v>
      </c>
      <c r="C465" s="58">
        <f>IFERROR(__xludf.DUMMYFUNCTION("""COMPUTED_VALUE"""),1.0)</f>
        <v>1</v>
      </c>
    </row>
    <row r="466">
      <c r="A466" s="58" t="str">
        <f>IFERROR(__xludf.DUMMYFUNCTION("""COMPUTED_VALUE"""),"GESTIÓN ESTRATÉGICA")</f>
        <v>GESTIÓN ESTRATÉGICA</v>
      </c>
      <c r="B466" s="58" t="str">
        <f>IFERROR(__xludf.DUMMYFUNCTION("""COMPUTED_VALUE"""),"DISEÑO DE UN  PLAN ESTRATÉGICO DE MARKETING PARA LA EMPRESA DE ALTA COSTURA DE DAMAS  FABELLA MODA")</f>
        <v>DISEÑO DE UN  PLAN ESTRATÉGICO DE MARKETING PARA LA EMPRESA DE ALTA COSTURA DE DAMAS  FABELLA MODA</v>
      </c>
      <c r="C466" s="58">
        <f>IFERROR(__xludf.DUMMYFUNCTION("""COMPUTED_VALUE"""),5.0)</f>
        <v>5</v>
      </c>
    </row>
    <row r="467">
      <c r="A467" s="58" t="str">
        <f>IFERROR(__xludf.DUMMYFUNCTION("""COMPUTED_VALUE"""),"GESTIÓN ESTRATÉGICA")</f>
        <v>GESTIÓN ESTRATÉGICA</v>
      </c>
      <c r="B467" s="58" t="str">
        <f>IFERROR(__xludf.DUMMYFUNCTION("""COMPUTED_VALUE"""),"DISEÑO DE UN MODELO DE GESTIÓN EMPRESARIAL PARA LA IMPRENTA GRÁFICA VOCAL SRL.")</f>
        <v>DISEÑO DE UN MODELO DE GESTIÓN EMPRESARIAL PARA LA IMPRENTA GRÁFICA VOCAL SRL.</v>
      </c>
      <c r="C467" s="58">
        <f>IFERROR(__xludf.DUMMYFUNCTION("""COMPUTED_VALUE"""),1.0)</f>
        <v>1</v>
      </c>
    </row>
    <row r="468">
      <c r="A468" s="58" t="str">
        <f>IFERROR(__xludf.DUMMYFUNCTION("""COMPUTED_VALUE"""),"GESTIÓN ESTRATÉGICA")</f>
        <v>GESTIÓN ESTRATÉGICA</v>
      </c>
      <c r="B468" s="58" t="str">
        <f>IFERROR(__xludf.DUMMYFUNCTION("""COMPUTED_VALUE"""),"DISEÑO DE UN MODELO DE PLANIFICACIÓN ESTRATÉGICA PARA EL INTERNADO GERIÁTRICO HOGAR LUZ")</f>
        <v>DISEÑO DE UN MODELO DE PLANIFICACIÓN ESTRATÉGICA PARA EL INTERNADO GERIÁTRICO HOGAR LUZ</v>
      </c>
      <c r="C468" s="58">
        <f>IFERROR(__xludf.DUMMYFUNCTION("""COMPUTED_VALUE"""),1.0)</f>
        <v>1</v>
      </c>
    </row>
    <row r="469">
      <c r="A469" s="58" t="str">
        <f>IFERROR(__xludf.DUMMYFUNCTION("""COMPUTED_VALUE"""),"GESTIÓN ESTRATÉGICA")</f>
        <v>GESTIÓN ESTRATÉGICA</v>
      </c>
      <c r="B469" s="58" t="str">
        <f>IFERROR(__xludf.DUMMYFUNCTION("""COMPUTED_VALUE"""),"DISEÑO DE UN PLAN ESTRATÉGICO DE DESARROLLO PARA LA CARRERA DE LICENCIATURA EN INFORMÁTICA")</f>
        <v>DISEÑO DE UN PLAN ESTRATÉGICO DE DESARROLLO PARA LA CARRERA DE LICENCIATURA EN INFORMÁTICA</v>
      </c>
      <c r="C469" s="58">
        <f>IFERROR(__xludf.DUMMYFUNCTION("""COMPUTED_VALUE"""),5.0)</f>
        <v>5</v>
      </c>
    </row>
    <row r="470">
      <c r="A470" s="58" t="str">
        <f>IFERROR(__xludf.DUMMYFUNCTION("""COMPUTED_VALUE"""),"GESTIÓN ESTRATÉGICA")</f>
        <v>GESTIÓN ESTRATÉGICA</v>
      </c>
      <c r="B470" s="58" t="str">
        <f>IFERROR(__xludf.DUMMYFUNCTION("""COMPUTED_VALUE"""),"DISEÑO DE UN PLAN ESTRATÉGICO DE PRODUCCIÓN PARA LA MICROEMPRESA ZAMBRANA")</f>
        <v>DISEÑO DE UN PLAN ESTRATÉGICO DE PRODUCCIÓN PARA LA MICROEMPRESA ZAMBRANA</v>
      </c>
      <c r="C470" s="58">
        <f>IFERROR(__xludf.DUMMYFUNCTION("""COMPUTED_VALUE"""),1.0)</f>
        <v>1</v>
      </c>
    </row>
    <row r="471">
      <c r="A471" s="58" t="str">
        <f>IFERROR(__xludf.DUMMYFUNCTION("""COMPUTED_VALUE"""),"GESTIÓN ESTRATÉGICA")</f>
        <v>GESTIÓN ESTRATÉGICA</v>
      </c>
      <c r="B471" s="58" t="str">
        <f>IFERROR(__xludf.DUMMYFUNCTION("""COMPUTED_VALUE"""),"DISEÑO DE UN PLAN ESTRATÉGICO PARA EL CLÚSTER DE ALIMENTOS COCHABAMBA DEL PROYECTO INNOVA-UMSS 2019-2023")</f>
        <v>DISEÑO DE UN PLAN ESTRATÉGICO PARA EL CLÚSTER DE ALIMENTOS COCHABAMBA DEL PROYECTO INNOVA-UMSS 2019-2023</v>
      </c>
      <c r="C471" s="58">
        <f>IFERROR(__xludf.DUMMYFUNCTION("""COMPUTED_VALUE"""),7.0)</f>
        <v>7</v>
      </c>
    </row>
    <row r="472">
      <c r="A472" s="58" t="str">
        <f>IFERROR(__xludf.DUMMYFUNCTION("""COMPUTED_VALUE"""),"GESTIÓN ESTRATÉGICA")</f>
        <v>GESTIÓN ESTRATÉGICA</v>
      </c>
      <c r="B472" s="58" t="str">
        <f>IFERROR(__xludf.DUMMYFUNCTION("""COMPUTED_VALUE"""),"DISEÑO DE UN PLAN ESTRATÉGICO PARA LA EMPRESA DE CALZADOS PARA NIÑOS “JEMOS-PIPER”")</f>
        <v>DISEÑO DE UN PLAN ESTRATÉGICO PARA LA EMPRESA DE CALZADOS PARA NIÑOS “JEMOS-PIPER”</v>
      </c>
      <c r="C472" s="58">
        <f>IFERROR(__xludf.DUMMYFUNCTION("""COMPUTED_VALUE"""),1.0)</f>
        <v>1</v>
      </c>
    </row>
    <row r="473">
      <c r="A473" s="58" t="str">
        <f>IFERROR(__xludf.DUMMYFUNCTION("""COMPUTED_VALUE"""),"GESTIÓN ESTRATÉGICA")</f>
        <v>GESTIÓN ESTRATÉGICA</v>
      </c>
      <c r="B473" s="58" t="str">
        <f>IFERROR(__xludf.DUMMYFUNCTION("""COMPUTED_VALUE"""),"DISEÑO DE UN PLAN ESTRATÉGICO PARA LA EMPRESA PRODUCTORA DE      CEMENTO COLA ADHE – REMIX EN EL DEPARTAMENTO DE COCHABAMBA")</f>
        <v>DISEÑO DE UN PLAN ESTRATÉGICO PARA LA EMPRESA PRODUCTORA DE      CEMENTO COLA ADHE – REMIX EN EL DEPARTAMENTO DE COCHABAMBA</v>
      </c>
      <c r="C473" s="58">
        <f>IFERROR(__xludf.DUMMYFUNCTION("""COMPUTED_VALUE"""),5.0)</f>
        <v>5</v>
      </c>
    </row>
    <row r="474">
      <c r="A474" s="58" t="str">
        <f>IFERROR(__xludf.DUMMYFUNCTION("""COMPUTED_VALUE"""),"GESTIÓN ESTRATÉGICA")</f>
        <v>GESTIÓN ESTRATÉGICA</v>
      </c>
      <c r="B474" s="58" t="str">
        <f>IFERROR(__xludf.DUMMYFUNCTION("""COMPUTED_VALUE"""),"ELABORACIÓN DE UN PLAN ESTRATÉGICO DE MARKETING PARA INDUSTRIAS ALIMENTICIAS LA MODERNA S.R.L")</f>
        <v>ELABORACIÓN DE UN PLAN ESTRATÉGICO DE MARKETING PARA INDUSTRIAS ALIMENTICIAS LA MODERNA S.R.L</v>
      </c>
      <c r="C474" s="58">
        <f>IFERROR(__xludf.DUMMYFUNCTION("""COMPUTED_VALUE"""),1.0)</f>
        <v>1</v>
      </c>
    </row>
    <row r="475">
      <c r="A475" s="58" t="str">
        <f>IFERROR(__xludf.DUMMYFUNCTION("""COMPUTED_VALUE"""),"GESTIÓN ESTRATÉGICA")</f>
        <v>GESTIÓN ESTRATÉGICA</v>
      </c>
      <c r="B475" s="58" t="str">
        <f>IFERROR(__xludf.DUMMYFUNCTION("""COMPUTED_VALUE"""),"ELABORACIÓN DE UN PLAN ESTRATÉGICO PARA LA EMPRESA CONSTRUCTORA FERMONT S.R.L. EN EL DEPARTAMENTO DE COCHABAMBA")</f>
        <v>ELABORACIÓN DE UN PLAN ESTRATÉGICO PARA LA EMPRESA CONSTRUCTORA FERMONT S.R.L. EN EL DEPARTAMENTO DE COCHABAMBA</v>
      </c>
      <c r="C475" s="58">
        <f>IFERROR(__xludf.DUMMYFUNCTION("""COMPUTED_VALUE"""),1.0)</f>
        <v>1</v>
      </c>
    </row>
    <row r="476">
      <c r="A476" s="58" t="str">
        <f>IFERROR(__xludf.DUMMYFUNCTION("""COMPUTED_VALUE"""),"GESTIÓN ESTRATÉGICA")</f>
        <v>GESTIÓN ESTRATÉGICA</v>
      </c>
      <c r="B476" s="58" t="str">
        <f>IFERROR(__xludf.DUMMYFUNCTION("""COMPUTED_VALUE"""),"GESTION ESTRATEGICA BAJO EL ENFOQUE SISTEMICO PARA LA EMPRESA CEAB S.R.L. CENTRO DE ELABORACION DE ALIMENTOS BOLIVIA")</f>
        <v>GESTION ESTRATEGICA BAJO EL ENFOQUE SISTEMICO PARA LA EMPRESA CEAB S.R.L. CENTRO DE ELABORACION DE ALIMENTOS BOLIVIA</v>
      </c>
      <c r="C476" s="58">
        <f>IFERROR(__xludf.DUMMYFUNCTION("""COMPUTED_VALUE"""),1.0)</f>
        <v>1</v>
      </c>
    </row>
    <row r="477">
      <c r="A477" s="58" t="str">
        <f>IFERROR(__xludf.DUMMYFUNCTION("""COMPUTED_VALUE"""),"GESTIÓN ESTRATÉGICA")</f>
        <v>GESTIÓN ESTRATÉGICA</v>
      </c>
      <c r="B477" s="58" t="str">
        <f>IFERROR(__xludf.DUMMYFUNCTION("""COMPUTED_VALUE"""),"GESTIÓN EMPRESARIAL PARA MEJORAR LA COMPETITIVIDAD DE LA FÁBRICA HIELO “CRISTAL”")</f>
        <v>GESTIÓN EMPRESARIAL PARA MEJORAR LA COMPETITIVIDAD DE LA FÁBRICA HIELO “CRISTAL”</v>
      </c>
      <c r="C477" s="58">
        <f>IFERROR(__xludf.DUMMYFUNCTION("""COMPUTED_VALUE"""),1.0)</f>
        <v>1</v>
      </c>
    </row>
    <row r="478">
      <c r="A478" s="58" t="str">
        <f>IFERROR(__xludf.DUMMYFUNCTION("""COMPUTED_VALUE"""),"GESTIÓN ESTRATÉGICA")</f>
        <v>GESTIÓN ESTRATÉGICA</v>
      </c>
      <c r="B478" s="58" t="str">
        <f>IFERROR(__xludf.DUMMYFUNCTION("""COMPUTED_VALUE"""),"GESTIÓN ESTRATÉGICA BAJO EL ENFOQUE SISTÉMICO PARA LA EMPRESA CEAB SRL. CENTRO DE ELABORACIÓN DE ALIMENTOS BOLIVIA")</f>
        <v>GESTIÓN ESTRATÉGICA BAJO EL ENFOQUE SISTÉMICO PARA LA EMPRESA CEAB SRL. CENTRO DE ELABORACIÓN DE ALIMENTOS BOLIVIA</v>
      </c>
      <c r="C478" s="58">
        <f>IFERROR(__xludf.DUMMYFUNCTION("""COMPUTED_VALUE"""),7.0)</f>
        <v>7</v>
      </c>
    </row>
    <row r="479">
      <c r="A479" s="58" t="str">
        <f>IFERROR(__xludf.DUMMYFUNCTION("""COMPUTED_VALUE"""),"GESTIÓN ESTRATÉGICA")</f>
        <v>GESTIÓN ESTRATÉGICA</v>
      </c>
      <c r="B479" s="58" t="str">
        <f>IFERROR(__xludf.DUMMYFUNCTION("""COMPUTED_VALUE"""),"GESTIÓN ESTRATÉGICA PARA LA EMPRESA FRIGAL")</f>
        <v>GESTIÓN ESTRATÉGICA PARA LA EMPRESA FRIGAL</v>
      </c>
      <c r="C479" s="58">
        <f>IFERROR(__xludf.DUMMYFUNCTION("""COMPUTED_VALUE"""),3.0)</f>
        <v>3</v>
      </c>
    </row>
    <row r="480">
      <c r="A480" s="58" t="str">
        <f>IFERROR(__xludf.DUMMYFUNCTION("""COMPUTED_VALUE"""),"GESTIÓN ESTRATÉGICA")</f>
        <v>GESTIÓN ESTRATÉGICA</v>
      </c>
      <c r="B480" s="58" t="str">
        <f>IFERROR(__xludf.DUMMYFUNCTION("""COMPUTED_VALUE"""),"GESTIÓN ESTRATÉGICA PARA LA EMPRESA RECICLADORA DE CARTÓN CERPA S.R.L.")</f>
        <v>GESTIÓN ESTRATÉGICA PARA LA EMPRESA RECICLADORA DE CARTÓN CERPA S.R.L.</v>
      </c>
      <c r="C480" s="58">
        <f>IFERROR(__xludf.DUMMYFUNCTION("""COMPUTED_VALUE"""),3.0)</f>
        <v>3</v>
      </c>
    </row>
    <row r="481">
      <c r="A481" s="58" t="str">
        <f>IFERROR(__xludf.DUMMYFUNCTION("""COMPUTED_VALUE"""),"GESTIÓN ESTRATÉGICA")</f>
        <v>GESTIÓN ESTRATÉGICA</v>
      </c>
      <c r="B481" s="58" t="str">
        <f>IFERROR(__xludf.DUMMYFUNCTION("""COMPUTED_VALUE"""),"GESTIÓN Y PLANIFICACIÓN ESTRATÉGICA APLICADA A LA EMPRESA ¨STUDIO PÉREZ CONSTRUCCIONES")</f>
        <v>GESTIÓN Y PLANIFICACIÓN ESTRATÉGICA APLICADA A LA EMPRESA ¨STUDIO PÉREZ CONSTRUCCIONES</v>
      </c>
      <c r="C481" s="58">
        <f>IFERROR(__xludf.DUMMYFUNCTION("""COMPUTED_VALUE"""),2.0)</f>
        <v>2</v>
      </c>
    </row>
    <row r="482">
      <c r="A482" s="58" t="str">
        <f>IFERROR(__xludf.DUMMYFUNCTION("""COMPUTED_VALUE"""),"GESTIÓN ESTRATÉGICA")</f>
        <v>GESTIÓN ESTRATÉGICA</v>
      </c>
      <c r="B482" s="58" t="str">
        <f>IFERROR(__xludf.DUMMYFUNCTION("""COMPUTED_VALUE"""),"LA GESTIÓN ESTRATÉGICA EN MUNICIPIOS INTERMEDIOS: PROPUESTA DE TÉCNICAS Y HERRAMIENTAS DE GESTIÓN ESTRATÉGICA PARA UNO DE LOS COMPONENTES DEL MODELO DE GESTIÓN MUNICIPAL PARTICIPATIVA")</f>
        <v>LA GESTIÓN ESTRATÉGICA EN MUNICIPIOS INTERMEDIOS: PROPUESTA DE TÉCNICAS Y HERRAMIENTAS DE GESTIÓN ESTRATÉGICA PARA UNO DE LOS COMPONENTES DEL MODELO DE GESTIÓN MUNICIPAL PARTICIPATIVA</v>
      </c>
      <c r="C482" s="58">
        <f>IFERROR(__xludf.DUMMYFUNCTION("""COMPUTED_VALUE"""),1.0)</f>
        <v>1</v>
      </c>
    </row>
    <row r="483">
      <c r="A483" s="58" t="str">
        <f>IFERROR(__xludf.DUMMYFUNCTION("""COMPUTED_VALUE"""),"GESTIÓN ESTRATÉGICA")</f>
        <v>GESTIÓN ESTRATÉGICA</v>
      </c>
      <c r="B483" s="58" t="str">
        <f>IFERROR(__xludf.DUMMYFUNCTION("""COMPUTED_VALUE"""),"PLAN DE DESARROLLO ACADÉMICO DE LA CARRERA DE INGENIERÍA ELECTROMECÁNICA 2019 – 2023")</f>
        <v>PLAN DE DESARROLLO ACADÉMICO DE LA CARRERA DE INGENIERÍA ELECTROMECÁNICA 2019 – 2023</v>
      </c>
      <c r="C483" s="58">
        <f>IFERROR(__xludf.DUMMYFUNCTION("""COMPUTED_VALUE"""),10.0)</f>
        <v>10</v>
      </c>
    </row>
    <row r="484">
      <c r="A484" s="58" t="str">
        <f>IFERROR(__xludf.DUMMYFUNCTION("""COMPUTED_VALUE"""),"GESTIÓN ESTRATÉGICA")</f>
        <v>GESTIÓN ESTRATÉGICA</v>
      </c>
      <c r="B484" s="58" t="str">
        <f>IFERROR(__xludf.DUMMYFUNCTION("""COMPUTED_VALUE"""),"PLAN ESTRATEGICO Y OPERATIVO PARA LA INICIATIVA DE INNOVACION EN LA INDUSTRIA DE PSEUDOCEREALES ANDINOS DESARROLLADA EN EL CAPN-UMSS")</f>
        <v>PLAN ESTRATEGICO Y OPERATIVO PARA LA INICIATIVA DE INNOVACION EN LA INDUSTRIA DE PSEUDOCEREALES ANDINOS DESARROLLADA EN EL CAPN-UMSS</v>
      </c>
      <c r="C484" s="58">
        <f>IFERROR(__xludf.DUMMYFUNCTION("""COMPUTED_VALUE"""),1.0)</f>
        <v>1</v>
      </c>
    </row>
    <row r="485">
      <c r="A485" s="58" t="str">
        <f>IFERROR(__xludf.DUMMYFUNCTION("""COMPUTED_VALUE"""),"GESTIÓN ESTRATÉGICA")</f>
        <v>GESTIÓN ESTRATÉGICA</v>
      </c>
      <c r="B485" s="58" t="str">
        <f>IFERROR(__xludf.DUMMYFUNCTION("""COMPUTED_VALUE"""),"PLAN ESTRATÉGICO DE DESARROLLO PARA LA CARRERA DE INGENIERÍA CIVIL DE LA UNIVERSIDAD MAYOR DE SAN SIMÓN")</f>
        <v>PLAN ESTRATÉGICO DE DESARROLLO PARA LA CARRERA DE INGENIERÍA CIVIL DE LA UNIVERSIDAD MAYOR DE SAN SIMÓN</v>
      </c>
      <c r="C485" s="58">
        <f>IFERROR(__xludf.DUMMYFUNCTION("""COMPUTED_VALUE"""),5.0)</f>
        <v>5</v>
      </c>
    </row>
    <row r="486">
      <c r="A486" s="58" t="str">
        <f>IFERROR(__xludf.DUMMYFUNCTION("""COMPUTED_VALUE"""),"GESTIÓN ESTRATÉGICA")</f>
        <v>GESTIÓN ESTRATÉGICA</v>
      </c>
      <c r="B486" s="58" t="str">
        <f>IFERROR(__xludf.DUMMYFUNCTION("""COMPUTED_VALUE"""),"PLAN ESTRATÉGICO DE DESARROLLO PARA LA CARRERA DE INGENIERÍA DE SISTEMAS DE LA FACULTAD DE CIENCIAS Y TECNOLOGÍA DE LA UNIVERSIDAD MAYOR DE SAN SIMÓN   2019-2023")</f>
        <v>PLAN ESTRATÉGICO DE DESARROLLO PARA LA CARRERA DE INGENIERÍA DE SISTEMAS DE LA FACULTAD DE CIENCIAS Y TECNOLOGÍA DE LA UNIVERSIDAD MAYOR DE SAN SIMÓN   2019-2023</v>
      </c>
      <c r="C486" s="58">
        <f>IFERROR(__xludf.DUMMYFUNCTION("""COMPUTED_VALUE"""),7.0)</f>
        <v>7</v>
      </c>
    </row>
    <row r="487">
      <c r="A487" s="58" t="str">
        <f>IFERROR(__xludf.DUMMYFUNCTION("""COMPUTED_VALUE"""),"GESTIÓN ESTRATÉGICA")</f>
        <v>GESTIÓN ESTRATÉGICA</v>
      </c>
      <c r="B487" s="58" t="str">
        <f>IFERROR(__xludf.DUMMYFUNCTION("""COMPUTED_VALUE"""),"PLAN ESTRATÉGICO DE LA EMPRESA EBANOR S.R.L.")</f>
        <v>PLAN ESTRATÉGICO DE LA EMPRESA EBANOR S.R.L.</v>
      </c>
      <c r="C487" s="58">
        <f>IFERROR(__xludf.DUMMYFUNCTION("""COMPUTED_VALUE"""),1.0)</f>
        <v>1</v>
      </c>
    </row>
    <row r="488">
      <c r="A488" s="58" t="str">
        <f>IFERROR(__xludf.DUMMYFUNCTION("""COMPUTED_VALUE"""),"GESTIÓN ESTRATÉGICA")</f>
        <v>GESTIÓN ESTRATÉGICA</v>
      </c>
      <c r="B488" s="58" t="str">
        <f>IFERROR(__xludf.DUMMYFUNCTION("""COMPUTED_VALUE"""),"PLAN ESTRATÉGICO DE MARKETING  PARA LA TIENDA DEL CLUSTER DE  ALIMENTOS COCHABAMBA DE LA UNIVERSIDAD MAYOR DE SAN SIMÓN")</f>
        <v>PLAN ESTRATÉGICO DE MARKETING  PARA LA TIENDA DEL CLUSTER DE  ALIMENTOS COCHABAMBA DE LA UNIVERSIDAD MAYOR DE SAN SIMÓN</v>
      </c>
      <c r="C488" s="58">
        <f>IFERROR(__xludf.DUMMYFUNCTION("""COMPUTED_VALUE"""),1.0)</f>
        <v>1</v>
      </c>
    </row>
    <row r="489">
      <c r="A489" s="58" t="str">
        <f>IFERROR(__xludf.DUMMYFUNCTION("""COMPUTED_VALUE"""),"GESTIÓN ESTRATÉGICA")</f>
        <v>GESTIÓN ESTRATÉGICA</v>
      </c>
      <c r="B489" s="58" t="str">
        <f>IFERROR(__xludf.DUMMYFUNCTION("""COMPUTED_VALUE"""),"PLAN ESTRATÉGICO DE MARKETING PARA EL CENTRO DE CAPACITACIÓN INTEGRAL PRONOIA S.R.L")</f>
        <v>PLAN ESTRATÉGICO DE MARKETING PARA EL CENTRO DE CAPACITACIÓN INTEGRAL PRONOIA S.R.L</v>
      </c>
      <c r="C489" s="58">
        <f>IFERROR(__xludf.DUMMYFUNCTION("""COMPUTED_VALUE"""),2.0)</f>
        <v>2</v>
      </c>
    </row>
    <row r="490">
      <c r="A490" s="58" t="str">
        <f>IFERROR(__xludf.DUMMYFUNCTION("""COMPUTED_VALUE"""),"GESTIÓN ESTRATÉGICA")</f>
        <v>GESTIÓN ESTRATÉGICA</v>
      </c>
      <c r="B490" s="58" t="str">
        <f>IFERROR(__xludf.DUMMYFUNCTION("""COMPUTED_VALUE"""),"PLAN ESTRATÉGICO DE MARKETING PARA EL POSICIONAMIENTO EN EL MERCADO Y APERTURA DE SUCURSALES EN SACABA Y QUILLACOLLO PARA LA EMPRESA TRANSFER ANDINA S.R.L.")</f>
        <v>PLAN ESTRATÉGICO DE MARKETING PARA EL POSICIONAMIENTO EN EL MERCADO Y APERTURA DE SUCURSALES EN SACABA Y QUILLACOLLO PARA LA EMPRESA TRANSFER ANDINA S.R.L.</v>
      </c>
      <c r="C490" s="58">
        <f>IFERROR(__xludf.DUMMYFUNCTION("""COMPUTED_VALUE"""),3.0)</f>
        <v>3</v>
      </c>
    </row>
    <row r="491">
      <c r="A491" s="58" t="str">
        <f>IFERROR(__xludf.DUMMYFUNCTION("""COMPUTED_VALUE"""),"GESTIÓN ESTRATÉGICA")</f>
        <v>GESTIÓN ESTRATÉGICA</v>
      </c>
      <c r="B491" s="58" t="str">
        <f>IFERROR(__xludf.DUMMYFUNCTION("""COMPUTED_VALUE"""),"PLAN ESTRATÉGICO DE MARKETING PARA INCREMENTAR LA VENTA DE POLERAS DE VESTIR CASUALES DE LA EMPRESA ROSS – CONFECCIONES")</f>
        <v>PLAN ESTRATÉGICO DE MARKETING PARA INCREMENTAR LA VENTA DE POLERAS DE VESTIR CASUALES DE LA EMPRESA ROSS – CONFECCIONES</v>
      </c>
      <c r="C491" s="58">
        <f>IFERROR(__xludf.DUMMYFUNCTION("""COMPUTED_VALUE"""),1.0)</f>
        <v>1</v>
      </c>
    </row>
    <row r="492">
      <c r="A492" s="58" t="str">
        <f>IFERROR(__xludf.DUMMYFUNCTION("""COMPUTED_VALUE"""),"GESTIÓN ESTRATÉGICA")</f>
        <v>GESTIÓN ESTRATÉGICA</v>
      </c>
      <c r="B492" s="58" t="str">
        <f>IFERROR(__xludf.DUMMYFUNCTION("""COMPUTED_VALUE"""),"PLAN ESTRATÉGICO DE MARKETING PARA LA COMERCIALIZACIÓN DE HELADOS DE LA FÁBRICA DE HIELOS “CRISTAL")</f>
        <v>PLAN ESTRATÉGICO DE MARKETING PARA LA COMERCIALIZACIÓN DE HELADOS DE LA FÁBRICA DE HIELOS “CRISTAL</v>
      </c>
      <c r="C492" s="58">
        <f>IFERROR(__xludf.DUMMYFUNCTION("""COMPUTED_VALUE"""),2.0)</f>
        <v>2</v>
      </c>
    </row>
    <row r="493">
      <c r="A493" s="58" t="str">
        <f>IFERROR(__xludf.DUMMYFUNCTION("""COMPUTED_VALUE"""),"GESTIÓN ESTRATÉGICA")</f>
        <v>GESTIÓN ESTRATÉGICA</v>
      </c>
      <c r="B493" s="58" t="str">
        <f>IFERROR(__xludf.DUMMYFUNCTION("""COMPUTED_VALUE"""),"PLAN ESTRATÉGICO DE MARKETING PARA LA COMERCIALIZACIÓN DE QUESOS PARA INDUSTRIAS LÁCTEAS DEL VALLE ALTO ILVA")</f>
        <v>PLAN ESTRATÉGICO DE MARKETING PARA LA COMERCIALIZACIÓN DE QUESOS PARA INDUSTRIAS LÁCTEAS DEL VALLE ALTO ILVA</v>
      </c>
      <c r="C493" s="58">
        <f>IFERROR(__xludf.DUMMYFUNCTION("""COMPUTED_VALUE"""),1.0)</f>
        <v>1</v>
      </c>
    </row>
    <row r="494">
      <c r="A494" s="58" t="str">
        <f>IFERROR(__xludf.DUMMYFUNCTION("""COMPUTED_VALUE"""),"GESTIÓN ESTRATÉGICA")</f>
        <v>GESTIÓN ESTRATÉGICA</v>
      </c>
      <c r="B494" s="58" t="str">
        <f>IFERROR(__xludf.DUMMYFUNCTION("""COMPUTED_VALUE"""),"PLAN ESTRATÉGICO DE MARKETING PARA LA EMPRESA IMPORTADORA DE GRIFERÍA Y EQUIPOS SANITARIOS “IMEXTRAN SRL")</f>
        <v>PLAN ESTRATÉGICO DE MARKETING PARA LA EMPRESA IMPORTADORA DE GRIFERÍA Y EQUIPOS SANITARIOS “IMEXTRAN SRL</v>
      </c>
      <c r="C494" s="58">
        <f>IFERROR(__xludf.DUMMYFUNCTION("""COMPUTED_VALUE"""),1.0)</f>
        <v>1</v>
      </c>
    </row>
    <row r="495">
      <c r="A495" s="58" t="str">
        <f>IFERROR(__xludf.DUMMYFUNCTION("""COMPUTED_VALUE"""),"GESTIÓN ESTRATÉGICA")</f>
        <v>GESTIÓN ESTRATÉGICA</v>
      </c>
      <c r="B495" s="58" t="str">
        <f>IFERROR(__xludf.DUMMYFUNCTION("""COMPUTED_VALUE"""),"PLAN ESTRATÉGICO DE MARKETING PARA LA INTRODUCCIÓN DEL PRODUCTO ROPA JUVENIL PARA CONFECCIONES ALCON FREE PARA EL MERCADO DE COCHABAMBA CERCADO")</f>
        <v>PLAN ESTRATÉGICO DE MARKETING PARA LA INTRODUCCIÓN DEL PRODUCTO ROPA JUVENIL PARA CONFECCIONES ALCON FREE PARA EL MERCADO DE COCHABAMBA CERCADO</v>
      </c>
      <c r="C495" s="58">
        <f>IFERROR(__xludf.DUMMYFUNCTION("""COMPUTED_VALUE"""),4.0)</f>
        <v>4</v>
      </c>
    </row>
    <row r="496">
      <c r="A496" s="58" t="str">
        <f>IFERROR(__xludf.DUMMYFUNCTION("""COMPUTED_VALUE"""),"GESTIÓN ESTRATÉGICA")</f>
        <v>GESTIÓN ESTRATÉGICA</v>
      </c>
      <c r="B496" s="58" t="str">
        <f>IFERROR(__xludf.DUMMYFUNCTION("""COMPUTED_VALUE"""),"PLAN ESTRATÉGICO DE MARKETING PARA LA LÍNEA DE TANQUES CON FILTRO PARA LA EMPRESA METINSERINOX EN LA CIUDAD DE COCHABAMBA")</f>
        <v>PLAN ESTRATÉGICO DE MARKETING PARA LA LÍNEA DE TANQUES CON FILTRO PARA LA EMPRESA METINSERINOX EN LA CIUDAD DE COCHABAMBA</v>
      </c>
      <c r="C496" s="58">
        <f>IFERROR(__xludf.DUMMYFUNCTION("""COMPUTED_VALUE"""),1.0)</f>
        <v>1</v>
      </c>
    </row>
    <row r="497">
      <c r="A497" s="58" t="str">
        <f>IFERROR(__xludf.DUMMYFUNCTION("""COMPUTED_VALUE"""),"GESTIÓN ESTRATÉGICA")</f>
        <v>GESTIÓN ESTRATÉGICA</v>
      </c>
      <c r="B497" s="58" t="str">
        <f>IFERROR(__xludf.DUMMYFUNCTION("""COMPUTED_VALUE"""),"PLAN ESTRATÉGICO DE MARKETING PARA LA MUEBLERÍA SANABRIA")</f>
        <v>PLAN ESTRATÉGICO DE MARKETING PARA LA MUEBLERÍA SANABRIA</v>
      </c>
      <c r="C497" s="58">
        <f>IFERROR(__xludf.DUMMYFUNCTION("""COMPUTED_VALUE"""),1.0)</f>
        <v>1</v>
      </c>
    </row>
    <row r="498">
      <c r="A498" s="58" t="str">
        <f>IFERROR(__xludf.DUMMYFUNCTION("""COMPUTED_VALUE"""),"GESTIÓN ESTRATÉGICA")</f>
        <v>GESTIÓN ESTRATÉGICA</v>
      </c>
      <c r="B498" s="58" t="str">
        <f>IFERROR(__xludf.DUMMYFUNCTION("""COMPUTED_VALUE"""),"PLAN ESTRATÉGICO DE MARKETING PARA LA NUEVA LÍNEA DE LUBRICANTES INDUSTRIALES YPFB.")</f>
        <v>PLAN ESTRATÉGICO DE MARKETING PARA LA NUEVA LÍNEA DE LUBRICANTES INDUSTRIALES YPFB.</v>
      </c>
      <c r="C498" s="58">
        <f>IFERROR(__xludf.DUMMYFUNCTION("""COMPUTED_VALUE"""),2.0)</f>
        <v>2</v>
      </c>
    </row>
    <row r="499">
      <c r="A499" s="58" t="str">
        <f>IFERROR(__xludf.DUMMYFUNCTION("""COMPUTED_VALUE"""),"GESTIÓN ESTRATÉGICA")</f>
        <v>GESTIÓN ESTRATÉGICA</v>
      </c>
      <c r="B499" s="58" t="str">
        <f>IFERROR(__xludf.DUMMYFUNCTION("""COMPUTED_VALUE"""),"PLAN ESTRATÉGICO ORIENTADO A LA SATISFACCIÓN DEL CLIENTE PARA LA ELFEC S.A")</f>
        <v>PLAN ESTRATÉGICO ORIENTADO A LA SATISFACCIÓN DEL CLIENTE PARA LA ELFEC S.A</v>
      </c>
      <c r="C499" s="58">
        <f>IFERROR(__xludf.DUMMYFUNCTION("""COMPUTED_VALUE"""),1.0)</f>
        <v>1</v>
      </c>
    </row>
    <row r="500">
      <c r="A500" s="58" t="str">
        <f>IFERROR(__xludf.DUMMYFUNCTION("""COMPUTED_VALUE"""),"GESTIÓN ESTRATÉGICA")</f>
        <v>GESTIÓN ESTRATÉGICA</v>
      </c>
      <c r="B500" s="58" t="str">
        <f>IFERROR(__xludf.DUMMYFUNCTION("""COMPUTED_VALUE"""),"PLAN ESTRATÉGICO PARA EL CENTRO DE LEVANTAMIENTOS AEROESPACIALES Y APLICACIONES SIG PARA EL DESARROLLO SOSTENIBLE DE LOS RECURSOS NATURALES DE LA UMSS 2019 – 2023")</f>
        <v>PLAN ESTRATÉGICO PARA EL CENTRO DE LEVANTAMIENTOS AEROESPACIALES Y APLICACIONES SIG PARA EL DESARROLLO SOSTENIBLE DE LOS RECURSOS NATURALES DE LA UMSS 2019 – 2023</v>
      </c>
      <c r="C500" s="58">
        <f>IFERROR(__xludf.DUMMYFUNCTION("""COMPUTED_VALUE"""),4.0)</f>
        <v>4</v>
      </c>
    </row>
    <row r="501">
      <c r="A501" s="58" t="str">
        <f>IFERROR(__xludf.DUMMYFUNCTION("""COMPUTED_VALUE"""),"GESTIÓN ESTRATÉGICA")</f>
        <v>GESTIÓN ESTRATÉGICA</v>
      </c>
      <c r="B501" s="58" t="str">
        <f>IFERROR(__xludf.DUMMYFUNCTION("""COMPUTED_VALUE"""),"PLAN ESTRATÉGICO PARA EL PROGRAMA DE DESARROLLO DE TECNOLOGÍAS DE FABRICACIÓN DE LA FACULTAD DE CIENCIAS Y TECNOLOGÍA DE LA UMSS")</f>
        <v>PLAN ESTRATÉGICO PARA EL PROGRAMA DE DESARROLLO DE TECNOLOGÍAS DE FABRICACIÓN DE LA FACULTAD DE CIENCIAS Y TECNOLOGÍA DE LA UMSS</v>
      </c>
      <c r="C501" s="58">
        <f>IFERROR(__xludf.DUMMYFUNCTION("""COMPUTED_VALUE"""),4.0)</f>
        <v>4</v>
      </c>
    </row>
    <row r="502">
      <c r="A502" s="58" t="str">
        <f>IFERROR(__xludf.DUMMYFUNCTION("""COMPUTED_VALUE"""),"GESTIÓN ESTRATÉGICA")</f>
        <v>GESTIÓN ESTRATÉGICA</v>
      </c>
      <c r="B502" s="58" t="str">
        <f>IFERROR(__xludf.DUMMYFUNCTION("""COMPUTED_VALUE"""),"PLAN ESTRATÉGICO PARA EMPRESA CREACIONES BOLIVIANITA")</f>
        <v>PLAN ESTRATÉGICO PARA EMPRESA CREACIONES BOLIVIANITA</v>
      </c>
      <c r="C502" s="58">
        <f>IFERROR(__xludf.DUMMYFUNCTION("""COMPUTED_VALUE"""),1.0)</f>
        <v>1</v>
      </c>
    </row>
    <row r="503">
      <c r="A503" s="58" t="str">
        <f>IFERROR(__xludf.DUMMYFUNCTION("""COMPUTED_VALUE"""),"GESTIÓN ESTRATÉGICA")</f>
        <v>GESTIÓN ESTRATÉGICA</v>
      </c>
      <c r="B503" s="58" t="str">
        <f>IFERROR(__xludf.DUMMYFUNCTION("""COMPUTED_VALUE"""),"PLAN ESTRATÉGICO PARA LA FEDERACIÓN DE LA MICRO Y PEQUEÑA EMPRESA (FEDEMYPE) DEL RUBRO TEXTIL Y CONFECCIONES DEL DEPARTAMENTO DE COCHABAMBA PARA LAS GESTIONES 2019- 2023")</f>
        <v>PLAN ESTRATÉGICO PARA LA FEDERACIÓN DE LA MICRO Y PEQUEÑA EMPRESA (FEDEMYPE) DEL RUBRO TEXTIL Y CONFECCIONES DEL DEPARTAMENTO DE COCHABAMBA PARA LAS GESTIONES 2019- 2023</v>
      </c>
      <c r="C503" s="58">
        <f>IFERROR(__xludf.DUMMYFUNCTION("""COMPUTED_VALUE"""),9.0)</f>
        <v>9</v>
      </c>
    </row>
    <row r="504">
      <c r="A504" s="58" t="str">
        <f>IFERROR(__xludf.DUMMYFUNCTION("""COMPUTED_VALUE"""),"GESTIÓN ESTRATÉGICA")</f>
        <v>GESTIÓN ESTRATÉGICA</v>
      </c>
      <c r="B504" s="58" t="str">
        <f>IFERROR(__xludf.DUMMYFUNCTION("""COMPUTED_VALUE"""),"PLAN ESTRATÉGICO PARA LAS ÁREAS DE PRODUCCIÓN Y COMERCIALIZACIÓN PARA LA EMPRESA DE LA CORDILLERA")</f>
        <v>PLAN ESTRATÉGICO PARA LAS ÁREAS DE PRODUCCIÓN Y COMERCIALIZACIÓN PARA LA EMPRESA DE LA CORDILLERA</v>
      </c>
      <c r="C504" s="58">
        <f>IFERROR(__xludf.DUMMYFUNCTION("""COMPUTED_VALUE"""),6.0)</f>
        <v>6</v>
      </c>
    </row>
    <row r="505">
      <c r="A505" s="58" t="str">
        <f>IFERROR(__xludf.DUMMYFUNCTION("""COMPUTED_VALUE"""),"GESTIÓN ESTRATÉGICA")</f>
        <v>GESTIÓN ESTRATÉGICA</v>
      </c>
      <c r="B505" s="58" t="str">
        <f>IFERROR(__xludf.DUMMYFUNCTION("""COMPUTED_VALUE"""),"PLAN ESTRATÉGICO Y OPERATIVO DE MARKETING PARA LA EMPRESA DE CALZADOS MALUCI")</f>
        <v>PLAN ESTRATÉGICO Y OPERATIVO DE MARKETING PARA LA EMPRESA DE CALZADOS MALUCI</v>
      </c>
      <c r="C505" s="58">
        <f>IFERROR(__xludf.DUMMYFUNCTION("""COMPUTED_VALUE"""),2.0)</f>
        <v>2</v>
      </c>
    </row>
    <row r="506">
      <c r="A506" s="58" t="str">
        <f>IFERROR(__xludf.DUMMYFUNCTION("""COMPUTED_VALUE"""),"GESTIÓN ESTRATÉGICA")</f>
        <v>GESTIÓN ESTRATÉGICA</v>
      </c>
      <c r="B506" s="58" t="str">
        <f>IFERROR(__xludf.DUMMYFUNCTION("""COMPUTED_VALUE"""),"PLANIFICACIÓN ESTRATÉGICA EN LA EMPRESA D' KAFFE")</f>
        <v>PLANIFICACIÓN ESTRATÉGICA EN LA EMPRESA D' KAFFE</v>
      </c>
      <c r="C506" s="58">
        <f>IFERROR(__xludf.DUMMYFUNCTION("""COMPUTED_VALUE"""),9.0)</f>
        <v>9</v>
      </c>
    </row>
    <row r="507">
      <c r="A507" s="58" t="str">
        <f>IFERROR(__xludf.DUMMYFUNCTION("""COMPUTED_VALUE"""),"GESTIÓN ESTRATÉGICA")</f>
        <v>GESTIÓN ESTRATÉGICA</v>
      </c>
      <c r="B507" s="58" t="str">
        <f>IFERROR(__xludf.DUMMYFUNCTION("""COMPUTED_VALUE"""),"PLANIFICACIÓN ESTRATÉGICA PARA LA CURTIEMBRE TAURO LTDA")</f>
        <v>PLANIFICACIÓN ESTRATÉGICA PARA LA CURTIEMBRE TAURO LTDA</v>
      </c>
      <c r="C507" s="58">
        <f>IFERROR(__xludf.DUMMYFUNCTION("""COMPUTED_VALUE"""),1.0)</f>
        <v>1</v>
      </c>
    </row>
    <row r="508">
      <c r="A508" s="58" t="str">
        <f>IFERROR(__xludf.DUMMYFUNCTION("""COMPUTED_VALUE"""),"GESTIÓN ESTRATÉGICA")</f>
        <v>GESTIÓN ESTRATÉGICA</v>
      </c>
      <c r="B508" s="58" t="str">
        <f>IFERROR(__xludf.DUMMYFUNCTION("""COMPUTED_VALUE"""),"PLANIFICACIÓN ESTRATÉGICA PARA LA EMPRESA CONSTRUCTORA SOHINCO S.R.L.")</f>
        <v>PLANIFICACIÓN ESTRATÉGICA PARA LA EMPRESA CONSTRUCTORA SOHINCO S.R.L.</v>
      </c>
      <c r="C508" s="58">
        <f>IFERROR(__xludf.DUMMYFUNCTION("""COMPUTED_VALUE"""),1.0)</f>
        <v>1</v>
      </c>
    </row>
    <row r="509">
      <c r="A509" s="58" t="str">
        <f>IFERROR(__xludf.DUMMYFUNCTION("""COMPUTED_VALUE"""),"GESTIÓN ESTRATÉGICA")</f>
        <v>GESTIÓN ESTRATÉGICA</v>
      </c>
      <c r="B509" s="58" t="str">
        <f>IFERROR(__xludf.DUMMYFUNCTION("""COMPUTED_VALUE"""),"PLANIFICACIÓN ESTRATÉGICA PARA LA EMPRESA DE EXTINTORES 3F CYLINDERS")</f>
        <v>PLANIFICACIÓN ESTRATÉGICA PARA LA EMPRESA DE EXTINTORES 3F CYLINDERS</v>
      </c>
      <c r="C509" s="58">
        <f>IFERROR(__xludf.DUMMYFUNCTION("""COMPUTED_VALUE"""),6.0)</f>
        <v>6</v>
      </c>
    </row>
    <row r="510">
      <c r="A510" s="58" t="str">
        <f>IFERROR(__xludf.DUMMYFUNCTION("""COMPUTED_VALUE"""),"GESTIÓN ESTRATÉGICA")</f>
        <v>GESTIÓN ESTRATÉGICA</v>
      </c>
      <c r="B510" s="58" t="str">
        <f>IFERROR(__xludf.DUMMYFUNCTION("""COMPUTED_VALUE"""),"PLANIFICACIÓN ESTRATÉGICA PARA LA EMPRESA DE PRODUCTOS ALIMENTICIOS ""LA GLORIETA""")</f>
        <v>PLANIFICACIÓN ESTRATÉGICA PARA LA EMPRESA DE PRODUCTOS ALIMENTICIOS "LA GLORIETA"</v>
      </c>
      <c r="C510" s="58">
        <f>IFERROR(__xludf.DUMMYFUNCTION("""COMPUTED_VALUE"""),1.0)</f>
        <v>1</v>
      </c>
    </row>
    <row r="511">
      <c r="A511" s="58" t="str">
        <f>IFERROR(__xludf.DUMMYFUNCTION("""COMPUTED_VALUE"""),"GESTIÓN ESTRATÉGICA")</f>
        <v>GESTIÓN ESTRATÉGICA</v>
      </c>
      <c r="B511" s="58" t="str">
        <f>IFERROR(__xludf.DUMMYFUNCTION("""COMPUTED_VALUE"""),"PLANIFICACIÓN ESTRATÉGICA PARA LA EMPRESA INDUSTRIAL EN MADERA RAMOS")</f>
        <v>PLANIFICACIÓN ESTRATÉGICA PARA LA EMPRESA INDUSTRIAL EN MADERA RAMOS</v>
      </c>
      <c r="C511" s="58">
        <f>IFERROR(__xludf.DUMMYFUNCTION("""COMPUTED_VALUE"""),4.0)</f>
        <v>4</v>
      </c>
    </row>
    <row r="512">
      <c r="A512" s="58" t="str">
        <f>IFERROR(__xludf.DUMMYFUNCTION("""COMPUTED_VALUE"""),"GESTIÓN ESTRATÉGICA")</f>
        <v>GESTIÓN ESTRATÉGICA</v>
      </c>
      <c r="B512" s="58" t="str">
        <f>IFERROR(__xludf.DUMMYFUNCTION("""COMPUTED_VALUE"""),"PLANIFICACIÓN ESTRATÉGICA PARA LA EMPRESA INQUIBOL")</f>
        <v>PLANIFICACIÓN ESTRATÉGICA PARA LA EMPRESA INQUIBOL</v>
      </c>
      <c r="C512" s="58">
        <f>IFERROR(__xludf.DUMMYFUNCTION("""COMPUTED_VALUE"""),1.0)</f>
        <v>1</v>
      </c>
    </row>
    <row r="513">
      <c r="A513" s="58" t="str">
        <f>IFERROR(__xludf.DUMMYFUNCTION("""COMPUTED_VALUE"""),"GESTIÓN ESTRATÉGICA")</f>
        <v>GESTIÓN ESTRATÉGICA</v>
      </c>
      <c r="B513" s="58" t="str">
        <f>IFERROR(__xludf.DUMMYFUNCTION("""COMPUTED_VALUE"""),"PLANIFICACIÓN ESTRATÉGICA PARA LA EMPRESA PROMAQ I+D LTDA.")</f>
        <v>PLANIFICACIÓN ESTRATÉGICA PARA LA EMPRESA PROMAQ I+D LTDA.</v>
      </c>
      <c r="C513" s="58">
        <f>IFERROR(__xludf.DUMMYFUNCTION("""COMPUTED_VALUE"""),12.0)</f>
        <v>12</v>
      </c>
    </row>
    <row r="514">
      <c r="A514" s="58" t="str">
        <f>IFERROR(__xludf.DUMMYFUNCTION("""COMPUTED_VALUE"""),"GESTIÓN ESTRATÉGICA")</f>
        <v>GESTIÓN ESTRATÉGICA</v>
      </c>
      <c r="B514" s="58" t="str">
        <f>IFERROR(__xludf.DUMMYFUNCTION("""COMPUTED_VALUE"""),"PLANIFICACIÓN ESTRATÉGICA PARA LA EMPRESA PURIFICADORA DE AGUA BAMBU COCHABAMBA")</f>
        <v>PLANIFICACIÓN ESTRATÉGICA PARA LA EMPRESA PURIFICADORA DE AGUA BAMBU COCHABAMBA</v>
      </c>
      <c r="C514" s="58">
        <f>IFERROR(__xludf.DUMMYFUNCTION("""COMPUTED_VALUE"""),9.0)</f>
        <v>9</v>
      </c>
    </row>
    <row r="515">
      <c r="A515" s="58" t="str">
        <f>IFERROR(__xludf.DUMMYFUNCTION("""COMPUTED_VALUE"""),"GESTIÓN ESTRATÉGICA")</f>
        <v>GESTIÓN ESTRATÉGICA</v>
      </c>
      <c r="B515" s="58" t="str">
        <f>IFERROR(__xludf.DUMMYFUNCTION("""COMPUTED_VALUE"""),"PLANIFICACIÓN ESTRATÉGICA PARA LA EMPRESA “BOMBORI”")</f>
        <v>PLANIFICACIÓN ESTRATÉGICA PARA LA EMPRESA “BOMBORI”</v>
      </c>
      <c r="C515" s="58">
        <f>IFERROR(__xludf.DUMMYFUNCTION("""COMPUTED_VALUE"""),1.0)</f>
        <v>1</v>
      </c>
    </row>
    <row r="516">
      <c r="A516" s="58" t="str">
        <f>IFERROR(__xludf.DUMMYFUNCTION("""COMPUTED_VALUE"""),"GESTIÓN ESTRATÉGICA")</f>
        <v>GESTIÓN ESTRATÉGICA</v>
      </c>
      <c r="B516" s="58" t="str">
        <f>IFERROR(__xludf.DUMMYFUNCTION("""COMPUTED_VALUE"""),"PLANIFICACIÓN ESTRATÉGICA PARA LA EMPRESA “SEASA S.A.” EN LA LÍNEA FRUT-ALL  TETRA BRIK")</f>
        <v>PLANIFICACIÓN ESTRATÉGICA PARA LA EMPRESA “SEASA S.A.” EN LA LÍNEA FRUT-ALL  TETRA BRIK</v>
      </c>
      <c r="C516" s="58">
        <f>IFERROR(__xludf.DUMMYFUNCTION("""COMPUTED_VALUE"""),7.0)</f>
        <v>7</v>
      </c>
    </row>
    <row r="517">
      <c r="A517" s="58" t="str">
        <f>IFERROR(__xludf.DUMMYFUNCTION("""COMPUTED_VALUE"""),"GESTIÓN ESTRATÉGICA")</f>
        <v>GESTIÓN ESTRATÉGICA</v>
      </c>
      <c r="B517" s="58" t="str">
        <f>IFERROR(__xludf.DUMMYFUNCTION("""COMPUTED_VALUE"""),"PLANIFICACIÓN ESTRATÉGICA PARA LA IMPRENTA “GRÁFICA CENTER”")</f>
        <v>PLANIFICACIÓN ESTRATÉGICA PARA LA IMPRENTA “GRÁFICA CENTER”</v>
      </c>
      <c r="C517" s="58">
        <f>IFERROR(__xludf.DUMMYFUNCTION("""COMPUTED_VALUE"""),1.0)</f>
        <v>1</v>
      </c>
    </row>
    <row r="518">
      <c r="A518" s="58" t="str">
        <f>IFERROR(__xludf.DUMMYFUNCTION("""COMPUTED_VALUE"""),"GESTIÓN ESTRATÉGICA")</f>
        <v>GESTIÓN ESTRATÉGICA</v>
      </c>
      <c r="B518" s="58" t="str">
        <f>IFERROR(__xludf.DUMMYFUNCTION("""COMPUTED_VALUE"""),"PLANIFICACIÓN ESTRATÉGICA PARA “MUEBLERÍA NOBLEZA”.")</f>
        <v>PLANIFICACIÓN ESTRATÉGICA PARA “MUEBLERÍA NOBLEZA”.</v>
      </c>
      <c r="C518" s="58">
        <f>IFERROR(__xludf.DUMMYFUNCTION("""COMPUTED_VALUE"""),4.0)</f>
        <v>4</v>
      </c>
    </row>
    <row r="519">
      <c r="A519" s="58" t="str">
        <f>IFERROR(__xludf.DUMMYFUNCTION("""COMPUTED_VALUE"""),"GESTIÓN ESTRATÉGICA")</f>
        <v>GESTIÓN ESTRATÉGICA</v>
      </c>
      <c r="B519" s="58" t="str">
        <f>IFERROR(__xludf.DUMMYFUNCTION("""COMPUTED_VALUE"""),"PLANIFICACIÓN ESTRATÉGICA Y OPERATIVA PARA LA EMPRESA BEFRUT S.R.L")</f>
        <v>PLANIFICACIÓN ESTRATÉGICA Y OPERATIVA PARA LA EMPRESA BEFRUT S.R.L</v>
      </c>
      <c r="C519" s="58">
        <f>IFERROR(__xludf.DUMMYFUNCTION("""COMPUTED_VALUE"""),2.0)</f>
        <v>2</v>
      </c>
    </row>
    <row r="520">
      <c r="A520" s="58" t="str">
        <f>IFERROR(__xludf.DUMMYFUNCTION("""COMPUTED_VALUE"""),"GESTIÓN ESTRATÉGICA")</f>
        <v>GESTIÓN ESTRATÉGICA</v>
      </c>
      <c r="B520" s="58" t="str">
        <f>IFERROR(__xludf.DUMMYFUNCTION("""COMPUTED_VALUE"""),"PLANIFICACIÓN ESTRATÉGICA Y OPERATIVA PARA LA EMPRESA CONFECCIONES ROSTLER.")</f>
        <v>PLANIFICACIÓN ESTRATÉGICA Y OPERATIVA PARA LA EMPRESA CONFECCIONES ROSTLER.</v>
      </c>
      <c r="C520" s="58">
        <f>IFERROR(__xludf.DUMMYFUNCTION("""COMPUTED_VALUE"""),4.0)</f>
        <v>4</v>
      </c>
    </row>
    <row r="521">
      <c r="A521" s="58" t="str">
        <f>IFERROR(__xludf.DUMMYFUNCTION("""COMPUTED_VALUE"""),"GESTIÓN ESTRATÉGICA")</f>
        <v>GESTIÓN ESTRATÉGICA</v>
      </c>
      <c r="B521" s="58" t="str">
        <f>IFERROR(__xludf.DUMMYFUNCTION("""COMPUTED_VALUE"""),"PROPUESTA PARA EL MEJORAMIENTO DE LA PLANIFICACIÓN EMPRESARIAL Y OPERATIVA EN EL CENTRO INTEGRAL ARTESANÍAS SIME")</f>
        <v>PROPUESTA PARA EL MEJORAMIENTO DE LA PLANIFICACIÓN EMPRESARIAL Y OPERATIVA EN EL CENTRO INTEGRAL ARTESANÍAS SIME</v>
      </c>
      <c r="C521" s="58">
        <f>IFERROR(__xludf.DUMMYFUNCTION("""COMPUTED_VALUE"""),1.0)</f>
        <v>1</v>
      </c>
    </row>
    <row r="522">
      <c r="A522" s="58" t="str">
        <f>IFERROR(__xludf.DUMMYFUNCTION("""COMPUTED_VALUE"""),"GESTIÓN ESTRATÉGICA")</f>
        <v>GESTIÓN ESTRATÉGICA</v>
      </c>
      <c r="B522" s="58" t="str">
        <f>IFERROR(__xludf.DUMMYFUNCTION("""COMPUTED_VALUE"""),"“DESARROLLO DE UN MODELO DE ADMINISTRACIÓN ESTRATÉGICA PARA LA EMPRESA DE SERVICIOS LAREDO”.")</f>
        <v>“DESARROLLO DE UN MODELO DE ADMINISTRACIÓN ESTRATÉGICA PARA LA EMPRESA DE SERVICIOS LAREDO”.</v>
      </c>
      <c r="C522" s="58">
        <f>IFERROR(__xludf.DUMMYFUNCTION("""COMPUTED_VALUE"""),5.0)</f>
        <v>5</v>
      </c>
    </row>
    <row r="523">
      <c r="A523" s="58" t="str">
        <f>IFERROR(__xludf.DUMMYFUNCTION("""COMPUTED_VALUE"""),"GESTIÓN ESTRATÉGICA
")</f>
        <v>GESTIÓN ESTRATÉGICA
</v>
      </c>
      <c r="B523" s="58" t="str">
        <f>IFERROR(__xludf.DUMMYFUNCTION("""COMPUTED_VALUE"""),"PLAN ESTRATEGICO PARA LA FEDERACION DE LA MICRO Y PEQUEÑA EMPRESA (FEDEMYPE) DEL RUBRO TEXTIL Y CONFECCIONES DEL DEPARTAMENTO DE COCHABAMBA PARA LAS GESTIONES 2019- 2023.")</f>
        <v>PLAN ESTRATEGICO PARA LA FEDERACION DE LA MICRO Y PEQUEÑA EMPRESA (FEDEMYPE) DEL RUBRO TEXTIL Y CONFECCIONES DEL DEPARTAMENTO DE COCHABAMBA PARA LAS GESTIONES 2019- 2023.</v>
      </c>
      <c r="C523" s="58">
        <f>IFERROR(__xludf.DUMMYFUNCTION("""COMPUTED_VALUE"""),1.0)</f>
        <v>1</v>
      </c>
    </row>
    <row r="524">
      <c r="A524" s="58" t="str">
        <f>IFERROR(__xludf.DUMMYFUNCTION("""COMPUTED_VALUE"""),"INGENIERIA DE METODOS")</f>
        <v>INGENIERIA DE METODOS</v>
      </c>
      <c r="B524" s="58" t="str">
        <f>IFERROR(__xludf.DUMMYFUNCTION("""COMPUTED_VALUE"""),"INGENIERÍA DE MÉTODOS APLICADA A LA INDUSTRIA DE LA CERÁMICA ROJA")</f>
        <v>INGENIERÍA DE MÉTODOS APLICADA A LA INDUSTRIA DE LA CERÁMICA ROJA</v>
      </c>
      <c r="C524" s="58">
        <f>IFERROR(__xludf.DUMMYFUNCTION("""COMPUTED_VALUE"""),2.0)</f>
        <v>2</v>
      </c>
    </row>
    <row r="525">
      <c r="A525" s="58" t="str">
        <f>IFERROR(__xludf.DUMMYFUNCTION("""COMPUTED_VALUE"""),"INGENIERÍA DE MÉTODOS")</f>
        <v>INGENIERÍA DE MÉTODOS</v>
      </c>
      <c r="B525" s="58" t="str">
        <f>IFERROR(__xludf.DUMMYFUNCTION("""COMPUTED_VALUE"""),"ANÁLISIS Y MEJORAMIENTO DEL ÁREA DE PRODUCCIÓN, EN LA INDUSTRIA MADERERA FAMALIT LTDA.; UNIDAD PRODUCTIVA ASERRADERO.")</f>
        <v>ANÁLISIS Y MEJORAMIENTO DEL ÁREA DE PRODUCCIÓN, EN LA INDUSTRIA MADERERA FAMALIT LTDA.; UNIDAD PRODUCTIVA ASERRADERO.</v>
      </c>
      <c r="C525" s="58">
        <f>IFERROR(__xludf.DUMMYFUNCTION("""COMPUTED_VALUE"""),1.0)</f>
        <v>1</v>
      </c>
    </row>
    <row r="526">
      <c r="A526" s="58" t="str">
        <f>IFERROR(__xludf.DUMMYFUNCTION("""COMPUTED_VALUE"""),"INGENIERÍA DE MÉTODOS")</f>
        <v>INGENIERÍA DE MÉTODOS</v>
      </c>
      <c r="B526" s="58" t="str">
        <f>IFERROR(__xludf.DUMMYFUNCTION("""COMPUTED_VALUE"""),"ANÁLISIS, OPTIMIZACIÓN Y CONTROL DEL SISTEMA DE PREPARACIÓN DE CARGAS PARA EMBOL S.A.")</f>
        <v>ANÁLISIS, OPTIMIZACIÓN Y CONTROL DEL SISTEMA DE PREPARACIÓN DE CARGAS PARA EMBOL S.A.</v>
      </c>
      <c r="C526" s="58">
        <f>IFERROR(__xludf.DUMMYFUNCTION("""COMPUTED_VALUE"""),1.0)</f>
        <v>1</v>
      </c>
    </row>
    <row r="527">
      <c r="A527" s="58" t="str">
        <f>IFERROR(__xludf.DUMMYFUNCTION("""COMPUTED_VALUE"""),"INGENIERÍA DE MÉTODOS")</f>
        <v>INGENIERÍA DE MÉTODOS</v>
      </c>
      <c r="B527" s="58" t="str">
        <f>IFERROR(__xludf.DUMMYFUNCTION("""COMPUTED_VALUE"""),"APLICACIÓN DE LA METODOLOGÍA SMED AL CAMBIO DE FORMATO EN LA LÍNEA DE ENVASADO JABONERÍA DE UNILEVER ANDINA BOLIVIA S.A.")</f>
        <v>APLICACIÓN DE LA METODOLOGÍA SMED AL CAMBIO DE FORMATO EN LA LÍNEA DE ENVASADO JABONERÍA DE UNILEVER ANDINA BOLIVIA S.A.</v>
      </c>
      <c r="C527" s="58">
        <f>IFERROR(__xludf.DUMMYFUNCTION("""COMPUTED_VALUE"""),11.0)</f>
        <v>11</v>
      </c>
    </row>
    <row r="528">
      <c r="A528" s="58" t="str">
        <f>IFERROR(__xludf.DUMMYFUNCTION("""COMPUTED_VALUE"""),"INGENIERÍA DE MÉTODOS")</f>
        <v>INGENIERÍA DE MÉTODOS</v>
      </c>
      <c r="B528" s="58" t="str">
        <f>IFERROR(__xludf.DUMMYFUNCTION("""COMPUTED_VALUE"""),"APLICACIÓN DE UN MÉTODO DE REDUCCIÓN DE TIEMPOS PARA OPTIMIZAR LAS OPERACIONES DE CAMBIOS DE CALIBRE EN EL SECTOR DE ENVASADO DE LA CERVECERÍA BOLIVIANA NACIONAL S.A. - PLANTA TAQUIÑA.")</f>
        <v>APLICACIÓN DE UN MÉTODO DE REDUCCIÓN DE TIEMPOS PARA OPTIMIZAR LAS OPERACIONES DE CAMBIOS DE CALIBRE EN EL SECTOR DE ENVASADO DE LA CERVECERÍA BOLIVIANA NACIONAL S.A. - PLANTA TAQUIÑA.</v>
      </c>
      <c r="C528" s="58">
        <f>IFERROR(__xludf.DUMMYFUNCTION("""COMPUTED_VALUE"""),1.0)</f>
        <v>1</v>
      </c>
    </row>
    <row r="529">
      <c r="A529" s="58" t="str">
        <f>IFERROR(__xludf.DUMMYFUNCTION("""COMPUTED_VALUE"""),"INGENIERÍA DE MÉTODOS")</f>
        <v>INGENIERÍA DE MÉTODOS</v>
      </c>
      <c r="B529" s="58" t="str">
        <f>IFERROR(__xludf.DUMMYFUNCTION("""COMPUTED_VALUE"""),"DESARROLLO E IMPLEMENTACIÓN DE UNA METODOLOGÍA DE  MEJORA DE EFICIENCIA EN PLANTA DE EMBOL S.A. - COCHABAMBA")</f>
        <v>DESARROLLO E IMPLEMENTACIÓN DE UNA METODOLOGÍA DE  MEJORA DE EFICIENCIA EN PLANTA DE EMBOL S.A. - COCHABAMBA</v>
      </c>
      <c r="C529" s="58">
        <f>IFERROR(__xludf.DUMMYFUNCTION("""COMPUTED_VALUE"""),4.0)</f>
        <v>4</v>
      </c>
    </row>
    <row r="530">
      <c r="A530" s="58" t="str">
        <f>IFERROR(__xludf.DUMMYFUNCTION("""COMPUTED_VALUE"""),"INGENIERÍA DE MÉTODOS")</f>
        <v>INGENIERÍA DE MÉTODOS</v>
      </c>
      <c r="B530" s="58" t="str">
        <f>IFERROR(__xludf.DUMMYFUNCTION("""COMPUTED_VALUE"""),"DISEÑO DE UN PLAN DE REINGENIERÍA DEL PROCESO PRODUCTIVO PARA LA EMPRESA CALRO EN LA CIUDAD DE COCHABAMBA")</f>
        <v>DISEÑO DE UN PLAN DE REINGENIERÍA DEL PROCESO PRODUCTIVO PARA LA EMPRESA CALRO EN LA CIUDAD DE COCHABAMBA</v>
      </c>
      <c r="C530" s="58">
        <f>IFERROR(__xludf.DUMMYFUNCTION("""COMPUTED_VALUE"""),1.0)</f>
        <v>1</v>
      </c>
    </row>
    <row r="531">
      <c r="A531" s="58" t="str">
        <f>IFERROR(__xludf.DUMMYFUNCTION("""COMPUTED_VALUE"""),"INGENIERÍA DE MÉTODOS")</f>
        <v>INGENIERÍA DE MÉTODOS</v>
      </c>
      <c r="B531" s="58" t="str">
        <f>IFERROR(__xludf.DUMMYFUNCTION("""COMPUTED_VALUE"""),"ESTANDARIZACIÓN DE TIEMPOS - OPERACIONES Y SEGURIDAD INDUSTRIAL EN LA EMPRESA CÓRDOVA")</f>
        <v>ESTANDARIZACIÓN DE TIEMPOS - OPERACIONES Y SEGURIDAD INDUSTRIAL EN LA EMPRESA CÓRDOVA</v>
      </c>
      <c r="C531" s="58">
        <f>IFERROR(__xludf.DUMMYFUNCTION("""COMPUTED_VALUE"""),7.0)</f>
        <v>7</v>
      </c>
    </row>
    <row r="532">
      <c r="A532" s="58" t="str">
        <f>IFERROR(__xludf.DUMMYFUNCTION("""COMPUTED_VALUE"""),"INGENIERÍA DE MÉTODOS")</f>
        <v>INGENIERÍA DE MÉTODOS</v>
      </c>
      <c r="B532" s="58" t="str">
        <f>IFERROR(__xludf.DUMMYFUNCTION("""COMPUTED_VALUE"""),"ESTUDIO DE INGENIERÍA DE MÉTODOS EN LOS PROCESOS DE IMPRESIÓN, CORTE Y EMPAQUETADO DE LA EMPRESA FLEXO PRINT S.R.L.")</f>
        <v>ESTUDIO DE INGENIERÍA DE MÉTODOS EN LOS PROCESOS DE IMPRESIÓN, CORTE Y EMPAQUETADO DE LA EMPRESA FLEXO PRINT S.R.L.</v>
      </c>
      <c r="C532" s="58">
        <f>IFERROR(__xludf.DUMMYFUNCTION("""COMPUTED_VALUE"""),13.0)</f>
        <v>13</v>
      </c>
    </row>
    <row r="533">
      <c r="A533" s="58" t="str">
        <f>IFERROR(__xludf.DUMMYFUNCTION("""COMPUTED_VALUE"""),"INGENIERÍA DE MÉTODOS")</f>
        <v>INGENIERÍA DE MÉTODOS</v>
      </c>
      <c r="B533" s="58" t="str">
        <f>IFERROR(__xludf.DUMMYFUNCTION("""COMPUTED_VALUE"""),"ESTUDIO DE INGENIERÍA DE MÉTODOS PARA EL ANÁLISIS DE LA EFICIENCIA Y ECONOMÍA DE LOS PROCESOS PRODUCTIVOS DE LA LÍNEA DE PRODUCCIÓN DE PANADERÍA EN LA INDUSTRIA PANIFICADORA ZELADA.")</f>
        <v>ESTUDIO DE INGENIERÍA DE MÉTODOS PARA EL ANÁLISIS DE LA EFICIENCIA Y ECONOMÍA DE LOS PROCESOS PRODUCTIVOS DE LA LÍNEA DE PRODUCCIÓN DE PANADERÍA EN LA INDUSTRIA PANIFICADORA ZELADA.</v>
      </c>
      <c r="C533" s="58">
        <f>IFERROR(__xludf.DUMMYFUNCTION("""COMPUTED_VALUE"""),10.0)</f>
        <v>10</v>
      </c>
    </row>
    <row r="534">
      <c r="A534" s="58" t="str">
        <f>IFERROR(__xludf.DUMMYFUNCTION("""COMPUTED_VALUE"""),"INGENIERÍA DE MÉTODOS")</f>
        <v>INGENIERÍA DE MÉTODOS</v>
      </c>
      <c r="B534" s="58" t="str">
        <f>IFERROR(__xludf.DUMMYFUNCTION("""COMPUTED_VALUE"""),"ESTUDIO DE INGENIERÍA DE MÉTODOS PARA LA OPTIMIZACIÓN DEL PROCESO PRODUCTIVO EN EL ÁREA DE RECUPERADO DE MATERIA PRIMA DE LA FÁBRICA ECOLÓGICA DE PLÁSTICOS “ECOPLASTIC S.R.L.")</f>
        <v>ESTUDIO DE INGENIERÍA DE MÉTODOS PARA LA OPTIMIZACIÓN DEL PROCESO PRODUCTIVO EN EL ÁREA DE RECUPERADO DE MATERIA PRIMA DE LA FÁBRICA ECOLÓGICA DE PLÁSTICOS “ECOPLASTIC S.R.L.</v>
      </c>
      <c r="C534" s="58">
        <f>IFERROR(__xludf.DUMMYFUNCTION("""COMPUTED_VALUE"""),6.0)</f>
        <v>6</v>
      </c>
    </row>
    <row r="535">
      <c r="A535" s="58" t="str">
        <f>IFERROR(__xludf.DUMMYFUNCTION("""COMPUTED_VALUE"""),"INGENIERÍA DE MÉTODOS")</f>
        <v>INGENIERÍA DE MÉTODOS</v>
      </c>
      <c r="B535" s="58" t="str">
        <f>IFERROR(__xludf.DUMMYFUNCTION("""COMPUTED_VALUE"""),"ESTUDIO DE INGENIERÍA DE MÉTODOS PARA LA OPTIMIZACIÓN DEL ÁREA DE CARGA EN LA INDUSTRIA CERÁMICA INBOLTECO S.A")</f>
        <v>ESTUDIO DE INGENIERÍA DE MÉTODOS PARA LA OPTIMIZACIÓN DEL ÁREA DE CARGA EN LA INDUSTRIA CERÁMICA INBOLTECO S.A</v>
      </c>
      <c r="C535" s="58">
        <f>IFERROR(__xludf.DUMMYFUNCTION("""COMPUTED_VALUE"""),6.0)</f>
        <v>6</v>
      </c>
    </row>
    <row r="536">
      <c r="A536" s="58" t="str">
        <f>IFERROR(__xludf.DUMMYFUNCTION("""COMPUTED_VALUE"""),"INGENIERÍA DE MÉTODOS")</f>
        <v>INGENIERÍA DE MÉTODOS</v>
      </c>
      <c r="B536" s="58" t="str">
        <f>IFERROR(__xludf.DUMMYFUNCTION("""COMPUTED_VALUE"""),"ESTUDIO DE INGENIERÍA DE MÉTODOS PARA LA PRODUCCIÓN DE MADEJAS DE HILADO DE LANA DE ALPACA EN LA EMPRESA FOTRAMA LTDA.")</f>
        <v>ESTUDIO DE INGENIERÍA DE MÉTODOS PARA LA PRODUCCIÓN DE MADEJAS DE HILADO DE LANA DE ALPACA EN LA EMPRESA FOTRAMA LTDA.</v>
      </c>
      <c r="C536" s="58">
        <f>IFERROR(__xludf.DUMMYFUNCTION("""COMPUTED_VALUE"""),3.0)</f>
        <v>3</v>
      </c>
    </row>
    <row r="537">
      <c r="A537" s="58" t="str">
        <f>IFERROR(__xludf.DUMMYFUNCTION("""COMPUTED_VALUE"""),"INGENIERÍA DE MÉTODOS")</f>
        <v>INGENIERÍA DE MÉTODOS</v>
      </c>
      <c r="B537" s="58" t="str">
        <f>IFERROR(__xludf.DUMMYFUNCTION("""COMPUTED_VALUE"""),"ESTUDIO DE INGENIERÍA DE MÉTODOS PARA MEJORAR LA PRODUCTIVIDAD EN LA EMPRESA FRUTIJUGO DE COCHABAMBA.")</f>
        <v>ESTUDIO DE INGENIERÍA DE MÉTODOS PARA MEJORAR LA PRODUCTIVIDAD EN LA EMPRESA FRUTIJUGO DE COCHABAMBA.</v>
      </c>
      <c r="C537" s="58">
        <f>IFERROR(__xludf.DUMMYFUNCTION("""COMPUTED_VALUE"""),22.0)</f>
        <v>22</v>
      </c>
    </row>
    <row r="538">
      <c r="A538" s="58" t="str">
        <f>IFERROR(__xludf.DUMMYFUNCTION("""COMPUTED_VALUE"""),"INGENIERÍA DE MÉTODOS")</f>
        <v>INGENIERÍA DE MÉTODOS</v>
      </c>
      <c r="B538" s="58" t="str">
        <f>IFERROR(__xludf.DUMMYFUNCTION("""COMPUTED_VALUE"""),"ESTUDIO DE INGENIERÍA DE MÉTODOS PARA MEJORARLA PRODUCTIVIDAD EN LA PRODUCCIÓN DE CALCITA DE LA EMPRESA CALMUS – TRAS COCHABAMBA")</f>
        <v>ESTUDIO DE INGENIERÍA DE MÉTODOS PARA MEJORARLA PRODUCTIVIDAD EN LA PRODUCCIÓN DE CALCITA DE LA EMPRESA CALMUS – TRAS COCHABAMBA</v>
      </c>
      <c r="C538" s="58">
        <f>IFERROR(__xludf.DUMMYFUNCTION("""COMPUTED_VALUE"""),12.0)</f>
        <v>12</v>
      </c>
    </row>
    <row r="539">
      <c r="A539" s="58" t="str">
        <f>IFERROR(__xludf.DUMMYFUNCTION("""COMPUTED_VALUE"""),"INGENIERÍA DE MÉTODOS")</f>
        <v>INGENIERÍA DE MÉTODOS</v>
      </c>
      <c r="B539" s="58" t="str">
        <f>IFERROR(__xludf.DUMMYFUNCTION("""COMPUTED_VALUE"""),"ESTUDIO DE METODOS PARA LA MEJORA DE LA PRODUCTIVIDAD DE LA SECCION DE MONTACARGAS DE LAS LINEAS DE PRODUCCION DE LA EMPRESA EMBOL S.A")</f>
        <v>ESTUDIO DE METODOS PARA LA MEJORA DE LA PRODUCTIVIDAD DE LA SECCION DE MONTACARGAS DE LAS LINEAS DE PRODUCCION DE LA EMPRESA EMBOL S.A</v>
      </c>
      <c r="C539" s="58">
        <f>IFERROR(__xludf.DUMMYFUNCTION("""COMPUTED_VALUE"""),5.0)</f>
        <v>5</v>
      </c>
    </row>
    <row r="540">
      <c r="A540" s="58" t="str">
        <f>IFERROR(__xludf.DUMMYFUNCTION("""COMPUTED_VALUE"""),"INGENIERÍA DE MÉTODOS")</f>
        <v>INGENIERÍA DE MÉTODOS</v>
      </c>
      <c r="B540" s="58" t="str">
        <f>IFERROR(__xludf.DUMMYFUNCTION("""COMPUTED_VALUE"""),"ESTUDIO DE METODOS PARA LA OPTIMIZACIÓN DE LA PRODUCCION EN EL ÁREA DE RECICLADO DE PLASTICO EN INMAPLAST S.R.L.")</f>
        <v>ESTUDIO DE METODOS PARA LA OPTIMIZACIÓN DE LA PRODUCCION EN EL ÁREA DE RECICLADO DE PLASTICO EN INMAPLAST S.R.L.</v>
      </c>
      <c r="C540" s="58">
        <f>IFERROR(__xludf.DUMMYFUNCTION("""COMPUTED_VALUE"""),26.0)</f>
        <v>26</v>
      </c>
    </row>
    <row r="541">
      <c r="A541" s="58" t="str">
        <f>IFERROR(__xludf.DUMMYFUNCTION("""COMPUTED_VALUE"""),"INGENIERÍA DE MÉTODOS")</f>
        <v>INGENIERÍA DE MÉTODOS</v>
      </c>
      <c r="B541" s="58" t="str">
        <f>IFERROR(__xludf.DUMMYFUNCTION("""COMPUTED_VALUE"""),"ESTUDIO DE MÉTODOS PARA EL MEJORAMIENTO DEL SISTEMA PRODUCTIVO DE LA EMPRESA DE MOBILIARIO MOBISTAR BOLIVIA")</f>
        <v>ESTUDIO DE MÉTODOS PARA EL MEJORAMIENTO DEL SISTEMA PRODUCTIVO DE LA EMPRESA DE MOBILIARIO MOBISTAR BOLIVIA</v>
      </c>
      <c r="C541" s="58">
        <f>IFERROR(__xludf.DUMMYFUNCTION("""COMPUTED_VALUE"""),4.0)</f>
        <v>4</v>
      </c>
    </row>
    <row r="542">
      <c r="A542" s="58" t="str">
        <f>IFERROR(__xludf.DUMMYFUNCTION("""COMPUTED_VALUE"""),"INGENIERÍA DE MÉTODOS")</f>
        <v>INGENIERÍA DE MÉTODOS</v>
      </c>
      <c r="B542" s="58" t="str">
        <f>IFERROR(__xludf.DUMMYFUNCTION("""COMPUTED_VALUE"""),"ESTUDIO DE MÉTODOS Y TIEMPOS DE LA CURTIEMBRE Y MANUFACTURA CURMA S.R.L.")</f>
        <v>ESTUDIO DE MÉTODOS Y TIEMPOS DE LA CURTIEMBRE Y MANUFACTURA CURMA S.R.L.</v>
      </c>
      <c r="C542" s="58">
        <f>IFERROR(__xludf.DUMMYFUNCTION("""COMPUTED_VALUE"""),7.0)</f>
        <v>7</v>
      </c>
    </row>
    <row r="543">
      <c r="A543" s="58" t="str">
        <f>IFERROR(__xludf.DUMMYFUNCTION("""COMPUTED_VALUE"""),"INGENIERÍA DE MÉTODOS")</f>
        <v>INGENIERÍA DE MÉTODOS</v>
      </c>
      <c r="B543" s="58" t="str">
        <f>IFERROR(__xludf.DUMMYFUNCTION("""COMPUTED_VALUE"""),"ESTUDIO DE MÉTODOS Y TIEMPOS PARA EL INCREMENTO DE LA PRODUCCIÓN DE LA PLANTA DE EPS DE LA EMPRESA TECNOPOR")</f>
        <v>ESTUDIO DE MÉTODOS Y TIEMPOS PARA EL INCREMENTO DE LA PRODUCCIÓN DE LA PLANTA DE EPS DE LA EMPRESA TECNOPOR</v>
      </c>
      <c r="C543" s="58">
        <f>IFERROR(__xludf.DUMMYFUNCTION("""COMPUTED_VALUE"""),1.0)</f>
        <v>1</v>
      </c>
    </row>
    <row r="544">
      <c r="A544" s="58" t="str">
        <f>IFERROR(__xludf.DUMMYFUNCTION("""COMPUTED_VALUE"""),"INGENIERÍA DE MÉTODOS")</f>
        <v>INGENIERÍA DE MÉTODOS</v>
      </c>
      <c r="B544" s="58" t="str">
        <f>IFERROR(__xludf.DUMMYFUNCTION("""COMPUTED_VALUE"""),"ESTUDIO DE MÉTODOS Y TIEMPOS PARA EL INCREMENTO DE LA PRODUCCIÓN EN LA PLANTA DE EXTRUSIÓN DE PEAD Y PVC PARA LA FABRICACIÓN DE SOGAS Y MANGUERAS DE LA EMPRESA BLEICHNER INDUSTRIA Y COMERCIO S.A.")</f>
        <v>ESTUDIO DE MÉTODOS Y TIEMPOS PARA EL INCREMENTO DE LA PRODUCCIÓN EN LA PLANTA DE EXTRUSIÓN DE PEAD Y PVC PARA LA FABRICACIÓN DE SOGAS Y MANGUERAS DE LA EMPRESA BLEICHNER INDUSTRIA Y COMERCIO S.A.</v>
      </c>
      <c r="C544" s="58">
        <f>IFERROR(__xludf.DUMMYFUNCTION("""COMPUTED_VALUE"""),11.0)</f>
        <v>11</v>
      </c>
    </row>
    <row r="545">
      <c r="A545" s="58" t="str">
        <f>IFERROR(__xludf.DUMMYFUNCTION("""COMPUTED_VALUE"""),"INGENIERÍA DE MÉTODOS")</f>
        <v>INGENIERÍA DE MÉTODOS</v>
      </c>
      <c r="B545" s="58" t="str">
        <f>IFERROR(__xludf.DUMMYFUNCTION("""COMPUTED_VALUE"""),"ESTUDIO DE REINGENIERÍA APLICADA A LA REORGANIZACIÓN DE ALMACÉN DE MATERIALES DE FABE S.A.")</f>
        <v>ESTUDIO DE REINGENIERÍA APLICADA A LA REORGANIZACIÓN DE ALMACÉN DE MATERIALES DE FABE S.A.</v>
      </c>
      <c r="C545" s="58">
        <f>IFERROR(__xludf.DUMMYFUNCTION("""COMPUTED_VALUE"""),8.0)</f>
        <v>8</v>
      </c>
    </row>
    <row r="546">
      <c r="A546" s="58" t="str">
        <f>IFERROR(__xludf.DUMMYFUNCTION("""COMPUTED_VALUE"""),"INGENIERÍA DE MÉTODOS")</f>
        <v>INGENIERÍA DE MÉTODOS</v>
      </c>
      <c r="B546" s="58" t="str">
        <f>IFERROR(__xludf.DUMMYFUNCTION("""COMPUTED_VALUE"""),"ESTUDIO DE REINGENIERÍA PARA EL MEJORAMIENTO DE LA EFICIENCIA ADMINISTRATIVA DE COMTECO LTDA.")</f>
        <v>ESTUDIO DE REINGENIERÍA PARA EL MEJORAMIENTO DE LA EFICIENCIA ADMINISTRATIVA DE COMTECO LTDA.</v>
      </c>
      <c r="C546" s="58">
        <f>IFERROR(__xludf.DUMMYFUNCTION("""COMPUTED_VALUE"""),7.0)</f>
        <v>7</v>
      </c>
    </row>
    <row r="547">
      <c r="A547" s="58" t="str">
        <f>IFERROR(__xludf.DUMMYFUNCTION("""COMPUTED_VALUE"""),"INGENIERÍA DE MÉTODOS")</f>
        <v>INGENIERÍA DE MÉTODOS</v>
      </c>
      <c r="B547" s="58" t="str">
        <f>IFERROR(__xludf.DUMMYFUNCTION("""COMPUTED_VALUE"""),"ESTUDIO DEL TRABAJO DEL CICLO PRODUCTIVO DE LA CBB S.A")</f>
        <v>ESTUDIO DEL TRABAJO DEL CICLO PRODUCTIVO DE LA CBB S.A</v>
      </c>
      <c r="C547" s="58">
        <f>IFERROR(__xludf.DUMMYFUNCTION("""COMPUTED_VALUE"""),5.0)</f>
        <v>5</v>
      </c>
    </row>
    <row r="548">
      <c r="A548" s="58" t="str">
        <f>IFERROR(__xludf.DUMMYFUNCTION("""COMPUTED_VALUE"""),"INGENIERÍA DE MÉTODOS")</f>
        <v>INGENIERÍA DE MÉTODOS</v>
      </c>
      <c r="B548" s="58" t="str">
        <f>IFERROR(__xludf.DUMMYFUNCTION("""COMPUTED_VALUE"""),"ESTUDIO DEL TRABAJO PARA LA MEJORA DE LA PRODUCCIÓN EN LA FÁBRICA DE JEANS COTEXCO")</f>
        <v>ESTUDIO DEL TRABAJO PARA LA MEJORA DE LA PRODUCCIÓN EN LA FÁBRICA DE JEANS COTEXCO</v>
      </c>
      <c r="C548" s="58">
        <f>IFERROR(__xludf.DUMMYFUNCTION("""COMPUTED_VALUE"""),2.0)</f>
        <v>2</v>
      </c>
    </row>
    <row r="549">
      <c r="A549" s="58" t="str">
        <f>IFERROR(__xludf.DUMMYFUNCTION("""COMPUTED_VALUE"""),"INGENIERÍA DE MÉTODOS")</f>
        <v>INGENIERÍA DE MÉTODOS</v>
      </c>
      <c r="B549" s="58" t="str">
        <f>IFERROR(__xludf.DUMMYFUNCTION("""COMPUTED_VALUE"""),"ESTUDIO DEL TRABAJO PARA LA MEJORA DE LA PRODUCCIÓNDE LA FABRICA DE JEANS COTEXCO")</f>
        <v>ESTUDIO DEL TRABAJO PARA LA MEJORA DE LA PRODUCCIÓNDE LA FABRICA DE JEANS COTEXCO</v>
      </c>
      <c r="C549" s="58">
        <f>IFERROR(__xludf.DUMMYFUNCTION("""COMPUTED_VALUE"""),1.0)</f>
        <v>1</v>
      </c>
    </row>
    <row r="550">
      <c r="A550" s="58" t="str">
        <f>IFERROR(__xludf.DUMMYFUNCTION("""COMPUTED_VALUE"""),"INGENIERÍA DE MÉTODOS")</f>
        <v>INGENIERÍA DE MÉTODOS</v>
      </c>
      <c r="B550" s="58" t="str">
        <f>IFERROR(__xludf.DUMMYFUNCTION("""COMPUTED_VALUE"""),"ESTUDIO PARA EL MEJORAMIENTO DE MÉTODOS Y DETERMINACIÓN DE LOS TIEMPOS ESTÁNDAR DEL  PROCESO DE PRODUCCIÓN DE LA EMPRESA “NATU CASAS” S.R.L.")</f>
        <v>ESTUDIO PARA EL MEJORAMIENTO DE MÉTODOS Y DETERMINACIÓN DE LOS TIEMPOS ESTÁNDAR DEL  PROCESO DE PRODUCCIÓN DE LA EMPRESA “NATU CASAS” S.R.L.</v>
      </c>
      <c r="C550" s="58">
        <f>IFERROR(__xludf.DUMMYFUNCTION("""COMPUTED_VALUE"""),2.0)</f>
        <v>2</v>
      </c>
    </row>
    <row r="551">
      <c r="A551" s="58" t="str">
        <f>IFERROR(__xludf.DUMMYFUNCTION("""COMPUTED_VALUE"""),"INGENIERÍA DE MÉTODOS")</f>
        <v>INGENIERÍA DE MÉTODOS</v>
      </c>
      <c r="B551" s="58" t="str">
        <f>IFERROR(__xludf.DUMMYFUNCTION("""COMPUTED_VALUE"""),"IMPLEMENTACION Y DISEÑO DEL PROGRAMA DE LAS 5´S, DENTRO EL CENTRO DE DISTRIBUCION LOGISTICO DE INDUSTRIAS DE ACEITE FINO S.A.")</f>
        <v>IMPLEMENTACION Y DISEÑO DEL PROGRAMA DE LAS 5´S, DENTRO EL CENTRO DE DISTRIBUCION LOGISTICO DE INDUSTRIAS DE ACEITE FINO S.A.</v>
      </c>
      <c r="C551" s="58">
        <f>IFERROR(__xludf.DUMMYFUNCTION("""COMPUTED_VALUE"""),14.0)</f>
        <v>14</v>
      </c>
    </row>
    <row r="552">
      <c r="A552" s="58" t="str">
        <f>IFERROR(__xludf.DUMMYFUNCTION("""COMPUTED_VALUE"""),"INGENIERÍA DE MÉTODOS")</f>
        <v>INGENIERÍA DE MÉTODOS</v>
      </c>
      <c r="B552" s="58" t="str">
        <f>IFERROR(__xludf.DUMMYFUNCTION("""COMPUTED_VALUE"""),"INGENIERÍA DE MÉTODOS APLICADA A LA INDUSTRIA DE LA CERÁMICA ROJA (COBOCE - CERAMIL)")</f>
        <v>INGENIERÍA DE MÉTODOS APLICADA A LA INDUSTRIA DE LA CERÁMICA ROJA (COBOCE - CERAMIL)</v>
      </c>
      <c r="C552" s="58">
        <f>IFERROR(__xludf.DUMMYFUNCTION("""COMPUTED_VALUE"""),4.0)</f>
        <v>4</v>
      </c>
    </row>
    <row r="553">
      <c r="A553" s="58" t="str">
        <f>IFERROR(__xludf.DUMMYFUNCTION("""COMPUTED_VALUE"""),"INGENIERÍA DE MÉTODOS")</f>
        <v>INGENIERÍA DE MÉTODOS</v>
      </c>
      <c r="B553" s="58" t="str">
        <f>IFERROR(__xludf.DUMMYFUNCTION("""COMPUTED_VALUE"""),"INGENIERÍA DE MÉTODOS EN EL PROCESO DE PRODUCCIÓN DE LA LÍNEA PET-SFRU DE LA EMPRESA DE BEBIDAS SEASA S.A.")</f>
        <v>INGENIERÍA DE MÉTODOS EN EL PROCESO DE PRODUCCIÓN DE LA LÍNEA PET-SFRU DE LA EMPRESA DE BEBIDAS SEASA S.A.</v>
      </c>
      <c r="C553" s="58">
        <f>IFERROR(__xludf.DUMMYFUNCTION("""COMPUTED_VALUE"""),7.0)</f>
        <v>7</v>
      </c>
    </row>
    <row r="554">
      <c r="A554" s="58" t="str">
        <f>IFERROR(__xludf.DUMMYFUNCTION("""COMPUTED_VALUE"""),"INGENIERÍA DE MÉTODOS")</f>
        <v>INGENIERÍA DE MÉTODOS</v>
      </c>
      <c r="B554" s="58" t="str">
        <f>IFERROR(__xludf.DUMMYFUNCTION("""COMPUTED_VALUE"""),"MEDICIÓN DEL TRABAJO PARA MEJORAR LA PRODUCTIVIDAD EN LA LÍNEA DE SOPLADO DE LA FÁBRICA PLASTOFORM LTDA. DIVISIÓN ROTAPLAST")</f>
        <v>MEDICIÓN DEL TRABAJO PARA MEJORAR LA PRODUCTIVIDAD EN LA LÍNEA DE SOPLADO DE LA FÁBRICA PLASTOFORM LTDA. DIVISIÓN ROTAPLAST</v>
      </c>
      <c r="C554" s="58">
        <f>IFERROR(__xludf.DUMMYFUNCTION("""COMPUTED_VALUE"""),1.0)</f>
        <v>1</v>
      </c>
    </row>
    <row r="555">
      <c r="A555" s="58" t="str">
        <f>IFERROR(__xludf.DUMMYFUNCTION("""COMPUTED_VALUE"""),"INGENIERÍA DE MÉTODOS")</f>
        <v>INGENIERÍA DE MÉTODOS</v>
      </c>
      <c r="B555" s="58" t="str">
        <f>IFERROR(__xludf.DUMMYFUNCTION("""COMPUTED_VALUE"""),"MEJORA DE LA PRODUCCIÓN MEDIANTE INGENIERÍA DE MÉTODOS Y PROPUESTA PARA LA TRAZABILIDAD EN LA LÍNEA DE HIDROGELES (RIOMAX), DE LA EMPRESA MAXAM FANEXA S.A.M.")</f>
        <v>MEJORA DE LA PRODUCCIÓN MEDIANTE INGENIERÍA DE MÉTODOS Y PROPUESTA PARA LA TRAZABILIDAD EN LA LÍNEA DE HIDROGELES (RIOMAX), DE LA EMPRESA MAXAM FANEXA S.A.M.</v>
      </c>
      <c r="C555" s="58">
        <f>IFERROR(__xludf.DUMMYFUNCTION("""COMPUTED_VALUE"""),2.0)</f>
        <v>2</v>
      </c>
    </row>
    <row r="556">
      <c r="A556" s="58" t="str">
        <f>IFERROR(__xludf.DUMMYFUNCTION("""COMPUTED_VALUE"""),"INGENIERÍA DE MÉTODOS")</f>
        <v>INGENIERÍA DE MÉTODOS</v>
      </c>
      <c r="B556" s="58" t="str">
        <f>IFERROR(__xludf.DUMMYFUNCTION("""COMPUTED_VALUE"""),"MEJORAMIENTO DE LA GESTIÓN POR PROCESOS EN UNA EMPRESA DE TRANSMISIÓN ELÉCTRICA")</f>
        <v>MEJORAMIENTO DE LA GESTIÓN POR PROCESOS EN UNA EMPRESA DE TRANSMISIÓN ELÉCTRICA</v>
      </c>
      <c r="C556" s="58">
        <f>IFERROR(__xludf.DUMMYFUNCTION("""COMPUTED_VALUE"""),1.0)</f>
        <v>1</v>
      </c>
    </row>
    <row r="557">
      <c r="A557" s="58" t="str">
        <f>IFERROR(__xludf.DUMMYFUNCTION("""COMPUTED_VALUE"""),"INGENIERÍA DE MÉTODOS")</f>
        <v>INGENIERÍA DE MÉTODOS</v>
      </c>
      <c r="B557" s="58" t="str">
        <f>IFERROR(__xludf.DUMMYFUNCTION("""COMPUTED_VALUE"""),"MODELO DE GESTIÓN PARA MEJORAR LA SECCIÓN 424 TALLER DE LA LÍNEA DE PRODUCCIÓN DE CALZADOS INDUSTRIALES “MANACO”")</f>
        <v>MODELO DE GESTIÓN PARA MEJORAR LA SECCIÓN 424 TALLER DE LA LÍNEA DE PRODUCCIÓN DE CALZADOS INDUSTRIALES “MANACO”</v>
      </c>
      <c r="C557" s="58">
        <f>IFERROR(__xludf.DUMMYFUNCTION("""COMPUTED_VALUE"""),2.0)</f>
        <v>2</v>
      </c>
    </row>
    <row r="558">
      <c r="A558" s="58" t="str">
        <f>IFERROR(__xludf.DUMMYFUNCTION("""COMPUTED_VALUE"""),"INGENIERÍA DE MÉTODOS")</f>
        <v>INGENIERÍA DE MÉTODOS</v>
      </c>
      <c r="B558" s="58" t="str">
        <f>IFERROR(__xludf.DUMMYFUNCTION("""COMPUTED_VALUE"""),"OPTIMIZACIÓN DE LA PRODUCCIÓN EN EL ÁREA DE CONVERSIÓN DE LA EMPRESA COPELME S.A. MEDIANTE LA INGENIERÍA DE MÉTODOS")</f>
        <v>OPTIMIZACIÓN DE LA PRODUCCIÓN EN EL ÁREA DE CONVERSIÓN DE LA EMPRESA COPELME S.A. MEDIANTE LA INGENIERÍA DE MÉTODOS</v>
      </c>
      <c r="C558" s="58">
        <f>IFERROR(__xludf.DUMMYFUNCTION("""COMPUTED_VALUE"""),9.0)</f>
        <v>9</v>
      </c>
    </row>
    <row r="559">
      <c r="A559" s="58" t="str">
        <f>IFERROR(__xludf.DUMMYFUNCTION("""COMPUTED_VALUE"""),"INGENIERÍA DE MÉTODOS")</f>
        <v>INGENIERÍA DE MÉTODOS</v>
      </c>
      <c r="B559" s="58" t="str">
        <f>IFERROR(__xludf.DUMMYFUNCTION("""COMPUTED_VALUE"""),"OPTIMIZACIÓN DE MÉTODOS DE PRODUCCIÓN DE ENVASADO DE GLP PARA LA EMPRESA PECA GAS CON UN ENFOQUE DE REINGENIERÍA")</f>
        <v>OPTIMIZACIÓN DE MÉTODOS DE PRODUCCIÓN DE ENVASADO DE GLP PARA LA EMPRESA PECA GAS CON UN ENFOQUE DE REINGENIERÍA</v>
      </c>
      <c r="C559" s="58">
        <f>IFERROR(__xludf.DUMMYFUNCTION("""COMPUTED_VALUE"""),1.0)</f>
        <v>1</v>
      </c>
    </row>
    <row r="560">
      <c r="A560" s="58" t="str">
        <f>IFERROR(__xludf.DUMMYFUNCTION("""COMPUTED_VALUE"""),"INGENIERÍA DE MÉTODOS")</f>
        <v>INGENIERÍA DE MÉTODOS</v>
      </c>
      <c r="B560" s="58" t="str">
        <f>IFERROR(__xludf.DUMMYFUNCTION("""COMPUTED_VALUE"""),"OPTIMIZACIÓN DEL MATADERO MUNICIPAL DE COLCAPIRHUA ORIENTADO HACIA UN MEJOR DESEMPEÑO AMBIENTAL")</f>
        <v>OPTIMIZACIÓN DEL MATADERO MUNICIPAL DE COLCAPIRHUA ORIENTADO HACIA UN MEJOR DESEMPEÑO AMBIENTAL</v>
      </c>
      <c r="C560" s="58">
        <f>IFERROR(__xludf.DUMMYFUNCTION("""COMPUTED_VALUE"""),1.0)</f>
        <v>1</v>
      </c>
    </row>
    <row r="561">
      <c r="A561" s="58" t="str">
        <f>IFERROR(__xludf.DUMMYFUNCTION("""COMPUTED_VALUE"""),"INGENIERÍA DE MÉTODOS")</f>
        <v>INGENIERÍA DE MÉTODOS</v>
      </c>
      <c r="B561" s="58" t="str">
        <f>IFERROR(__xludf.DUMMYFUNCTION("""COMPUTED_VALUE"""),"PLAN PARA LA IMPLEMENTACIÓN DE LAS HERRAMIENTAS DE LA METODOLOGÍA WCM (WORLD CLASS  MANUFACTURING) DEL PILAR DE CALIDAD EN LA PLANTA DE DETERGENTES EN POLVO DE UNILEVER ANDINA BOLIVIA S.A.")</f>
        <v>PLAN PARA LA IMPLEMENTACIÓN DE LAS HERRAMIENTAS DE LA METODOLOGÍA WCM (WORLD CLASS  MANUFACTURING) DEL PILAR DE CALIDAD EN LA PLANTA DE DETERGENTES EN POLVO DE UNILEVER ANDINA BOLIVIA S.A.</v>
      </c>
      <c r="C561" s="58">
        <f>IFERROR(__xludf.DUMMYFUNCTION("""COMPUTED_VALUE"""),2.0)</f>
        <v>2</v>
      </c>
    </row>
    <row r="562">
      <c r="A562" s="58" t="str">
        <f>IFERROR(__xludf.DUMMYFUNCTION("""COMPUTED_VALUE"""),"INGENIERÍA DE MÉTODOS")</f>
        <v>INGENIERÍA DE MÉTODOS</v>
      </c>
      <c r="B562" s="58" t="str">
        <f>IFERROR(__xludf.DUMMYFUNCTION("""COMPUTED_VALUE"""),"REDISEÑO DEL PROCESO PRODUCTIVO EN LA SECCIÓN CARPINTERÍA, DEPENDIENTE DE SERVICIOS GENERALES DE LA UNIVERSIDAD MAYOR DE SAN SIMÓN")</f>
        <v>REDISEÑO DEL PROCESO PRODUCTIVO EN LA SECCIÓN CARPINTERÍA, DEPENDIENTE DE SERVICIOS GENERALES DE LA UNIVERSIDAD MAYOR DE SAN SIMÓN</v>
      </c>
      <c r="C562" s="58">
        <f>IFERROR(__xludf.DUMMYFUNCTION("""COMPUTED_VALUE"""),2.0)</f>
        <v>2</v>
      </c>
    </row>
    <row r="563">
      <c r="A563" s="58" t="str">
        <f>IFERROR(__xludf.DUMMYFUNCTION("""COMPUTED_VALUE"""),"INGENIERÍA DE MÉTODOS")</f>
        <v>INGENIERÍA DE MÉTODOS</v>
      </c>
      <c r="B563" s="58" t="str">
        <f>IFERROR(__xludf.DUMMYFUNCTION("""COMPUTED_VALUE"""),"REDUCCION DEL TIEMPO EN LOS CAMBIOS DE CALIBRE DE LA LINEA DE PRODUCCION DE PLANTA “SACABA SD, PEPSI” APLICANDO HERRAMIENTAS DE LA METODOLOGIA SMED")</f>
        <v>REDUCCION DEL TIEMPO EN LOS CAMBIOS DE CALIBRE DE LA LINEA DE PRODUCCION DE PLANTA “SACABA SD, PEPSI” APLICANDO HERRAMIENTAS DE LA METODOLOGIA SMED</v>
      </c>
      <c r="C563" s="58">
        <f>IFERROR(__xludf.DUMMYFUNCTION("""COMPUTED_VALUE"""),10.0)</f>
        <v>10</v>
      </c>
    </row>
    <row r="564">
      <c r="A564" s="58" t="str">
        <f>IFERROR(__xludf.DUMMYFUNCTION("""COMPUTED_VALUE"""),"INGENIERÍA DE MÉTODOS")</f>
        <v>INGENIERÍA DE MÉTODOS</v>
      </c>
      <c r="B564" s="58" t="str">
        <f>IFERROR(__xludf.DUMMYFUNCTION("""COMPUTED_VALUE"""),"REDUCCIÓN DEL TIEMPO DE CAMBIO DE FORMATO EN LAS MÁQUINAS ENVASADORAS DE DETERGENTES B3 Y T1 DE LA EMPRESA UNILEVER ANDINA BOLIVIA S.A. APLICANDO LA HERRAMIENTA SMED")</f>
        <v>REDUCCIÓN DEL TIEMPO DE CAMBIO DE FORMATO EN LAS MÁQUINAS ENVASADORAS DE DETERGENTES B3 Y T1 DE LA EMPRESA UNILEVER ANDINA BOLIVIA S.A. APLICANDO LA HERRAMIENTA SMED</v>
      </c>
      <c r="C564" s="58">
        <f>IFERROR(__xludf.DUMMYFUNCTION("""COMPUTED_VALUE"""),2.0)</f>
        <v>2</v>
      </c>
    </row>
    <row r="565">
      <c r="A565" s="58" t="str">
        <f>IFERROR(__xludf.DUMMYFUNCTION("""COMPUTED_VALUE"""),"INGENIERÍA DE MÉTODOS")</f>
        <v>INGENIERÍA DE MÉTODOS</v>
      </c>
      <c r="B565" s="58" t="str">
        <f>IFERROR(__xludf.DUMMYFUNCTION("""COMPUTED_VALUE"""),"REESTRUCTURACIÓN DEL ÁREA PRODUCTIVA Y ADMINISTRATIVA DE LA EMPRESA DE CONFECCIONES ""GARELI JEANS"" BAJO UN ENFOQUE DE REINGENIERÍA")</f>
        <v>REESTRUCTURACIÓN DEL ÁREA PRODUCTIVA Y ADMINISTRATIVA DE LA EMPRESA DE CONFECCIONES "GARELI JEANS" BAJO UN ENFOQUE DE REINGENIERÍA</v>
      </c>
      <c r="C565" s="58">
        <f>IFERROR(__xludf.DUMMYFUNCTION("""COMPUTED_VALUE"""),1.0)</f>
        <v>1</v>
      </c>
    </row>
    <row r="566">
      <c r="A566" s="58" t="str">
        <f>IFERROR(__xludf.DUMMYFUNCTION("""COMPUTED_VALUE"""),"INGENIERÍA DE MÉTODOS")</f>
        <v>INGENIERÍA DE MÉTODOS</v>
      </c>
      <c r="B566" s="58" t="str">
        <f>IFERROR(__xludf.DUMMYFUNCTION("""COMPUTED_VALUE"""),"REESTRUCTURACIÓN DEL ÁREA PRODUCTIVA Y ADMINISTRATIVA DE LA EMPRESA DE CONFECCIONES GARELI JEANS” BAJO UN ENFOQUE DE REINGENIERÍA")</f>
        <v>REESTRUCTURACIÓN DEL ÁREA PRODUCTIVA Y ADMINISTRATIVA DE LA EMPRESA DE CONFECCIONES GARELI JEANS” BAJO UN ENFOQUE DE REINGENIERÍA</v>
      </c>
      <c r="C566" s="58">
        <f>IFERROR(__xludf.DUMMYFUNCTION("""COMPUTED_VALUE"""),1.0)</f>
        <v>1</v>
      </c>
    </row>
    <row r="567">
      <c r="A567" s="58" t="str">
        <f>IFERROR(__xludf.DUMMYFUNCTION("""COMPUTED_VALUE"""),"INGENIERÍA DE MÉTODOS")</f>
        <v>INGENIERÍA DE MÉTODOS</v>
      </c>
      <c r="B567" s="58" t="str">
        <f>IFERROR(__xludf.DUMMYFUNCTION("""COMPUTED_VALUE"""),"REORGANIZACIÓN DE LAS INSTALACIONES LECHERAS DE LA EMPRESA VERTIENTE BAJO UN ENFOQUE DE REINGENIERÍA")</f>
        <v>REORGANIZACIÓN DE LAS INSTALACIONES LECHERAS DE LA EMPRESA VERTIENTE BAJO UN ENFOQUE DE REINGENIERÍA</v>
      </c>
      <c r="C567" s="58">
        <f>IFERROR(__xludf.DUMMYFUNCTION("""COMPUTED_VALUE"""),2.0)</f>
        <v>2</v>
      </c>
    </row>
    <row r="568">
      <c r="A568" s="58" t="str">
        <f>IFERROR(__xludf.DUMMYFUNCTION("""COMPUTED_VALUE"""),"INGENIERÍA DE MÉTODOS
")</f>
        <v>INGENIERÍA DE MÉTODOS
</v>
      </c>
      <c r="B568" s="58" t="str">
        <f>IFERROR(__xludf.DUMMYFUNCTION("""COMPUTED_VALUE"""),"ESTUDIO PARA LA MEJORA DEL INDICADOR DE MERMA MEDIANTE LA RECUPERACIÓN DE LEVADURA CBN-TAQUIÑA")</f>
        <v>ESTUDIO PARA LA MEJORA DEL INDICADOR DE MERMA MEDIANTE LA RECUPERACIÓN DE LEVADURA CBN-TAQUIÑA</v>
      </c>
      <c r="C568" s="58">
        <f>IFERROR(__xludf.DUMMYFUNCTION("""COMPUTED_VALUE"""),1.0)</f>
        <v>1</v>
      </c>
    </row>
    <row r="569">
      <c r="A569" s="58" t="str">
        <f>IFERROR(__xludf.DUMMYFUNCTION("""COMPUTED_VALUE"""),"INVESTIGACIÓN OPERATIVA")</f>
        <v>INVESTIGACIÓN OPERATIVA</v>
      </c>
      <c r="B569" s="58" t="str">
        <f>IFERROR(__xludf.DUMMYFUNCTION("""COMPUTED_VALUE"""),"CADENAS DE MARKOV PARA LA CONSTRUCCIÓN DE UN GRAFO SOCIAL COMERCIAL")</f>
        <v>CADENAS DE MARKOV PARA LA CONSTRUCCIÓN DE UN GRAFO SOCIAL COMERCIAL</v>
      </c>
      <c r="C569" s="58">
        <f>IFERROR(__xludf.DUMMYFUNCTION("""COMPUTED_VALUE"""),2.0)</f>
        <v>2</v>
      </c>
    </row>
    <row r="570">
      <c r="A570" s="58" t="str">
        <f>IFERROR(__xludf.DUMMYFUNCTION("""COMPUTED_VALUE"""),"INVESTIGACIÓN OPERATIVA")</f>
        <v>INVESTIGACIÓN OPERATIVA</v>
      </c>
      <c r="B570" s="58" t="str">
        <f>IFERROR(__xludf.DUMMYFUNCTION("""COMPUTED_VALUE"""),"MODELACIÓN MATEMÁTICA DEL PROCESO DE TRANSPORTE DEL PLAGUICIDA ATRAZINA EN SUELO AGRÍCOLA")</f>
        <v>MODELACIÓN MATEMÁTICA DEL PROCESO DE TRANSPORTE DEL PLAGUICIDA ATRAZINA EN SUELO AGRÍCOLA</v>
      </c>
      <c r="C570" s="58">
        <f>IFERROR(__xludf.DUMMYFUNCTION("""COMPUTED_VALUE"""),1.0)</f>
        <v>1</v>
      </c>
    </row>
    <row r="571">
      <c r="A571" s="58" t="str">
        <f>IFERROR(__xludf.DUMMYFUNCTION("""COMPUTED_VALUE"""),"INVESTIGACIÓN OPERATIVA")</f>
        <v>INVESTIGACIÓN OPERATIVA</v>
      </c>
      <c r="B571" s="58" t="str">
        <f>IFERROR(__xludf.DUMMYFUNCTION("""COMPUTED_VALUE"""),"MODELO MARKOVIANO  PARA EL ESTUDIO DE LA EVOLUCIÓN DE COHORTES  DE ESTUDIANTES DE LA CARRERA DE INGENIERÍA INDUSTRIAL DE LA  FACULTAD DE CIENCIAS Y TECNOLOGÍA  DE LA UNIVERSIDAD MAYOR DE SAN SIMÓN")</f>
        <v>MODELO MARKOVIANO  PARA EL ESTUDIO DE LA EVOLUCIÓN DE COHORTES  DE ESTUDIANTES DE LA CARRERA DE INGENIERÍA INDUSTRIAL DE LA  FACULTAD DE CIENCIAS Y TECNOLOGÍA  DE LA UNIVERSIDAD MAYOR DE SAN SIMÓN</v>
      </c>
      <c r="C571" s="58">
        <f>IFERROR(__xludf.DUMMYFUNCTION("""COMPUTED_VALUE"""),8.0)</f>
        <v>8</v>
      </c>
    </row>
    <row r="572">
      <c r="A572" s="58" t="str">
        <f>IFERROR(__xludf.DUMMYFUNCTION("""COMPUTED_VALUE"""),"MANTENIMIENTO")</f>
        <v>MANTENIMIENTO</v>
      </c>
      <c r="B572" s="58" t="str">
        <f>IFERROR(__xludf.DUMMYFUNCTION("""COMPUTED_VALUE"""),"DISEÑO DE UN MODELO DE GESTIÓN DE MANTENIMIENTO CORRECTIVO DE EQUIPO PESADO PARA EL SERVICIO PREFECTURAL DE CAMINOS (SPCAM) COCHABAMBA")</f>
        <v>DISEÑO DE UN MODELO DE GESTIÓN DE MANTENIMIENTO CORRECTIVO DE EQUIPO PESADO PARA EL SERVICIO PREFECTURAL DE CAMINOS (SPCAM) COCHABAMBA</v>
      </c>
      <c r="C572" s="58">
        <f>IFERROR(__xludf.DUMMYFUNCTION("""COMPUTED_VALUE"""),1.0)</f>
        <v>1</v>
      </c>
    </row>
    <row r="573">
      <c r="A573" s="58" t="str">
        <f>IFERROR(__xludf.DUMMYFUNCTION("""COMPUTED_VALUE"""),"MANTENIMIENTO")</f>
        <v>MANTENIMIENTO</v>
      </c>
      <c r="B573" s="58" t="str">
        <f>IFERROR(__xludf.DUMMYFUNCTION("""COMPUTED_VALUE"""),"DISEÑO DE UN PLAN DE MANTENIMIENTO AUTÓNOMO SEGÚN TPM (TOTAL PRODUCTIVE MAINTENANCE) PARA LA FÁBRICA DE MUEBLES CIMAL")</f>
        <v>DISEÑO DE UN PLAN DE MANTENIMIENTO AUTÓNOMO SEGÚN TPM (TOTAL PRODUCTIVE MAINTENANCE) PARA LA FÁBRICA DE MUEBLES CIMAL</v>
      </c>
      <c r="C573" s="58">
        <f>IFERROR(__xludf.DUMMYFUNCTION("""COMPUTED_VALUE"""),2.0)</f>
        <v>2</v>
      </c>
    </row>
    <row r="574">
      <c r="A574" s="58" t="str">
        <f>IFERROR(__xludf.DUMMYFUNCTION("""COMPUTED_VALUE"""),"MANTENIMIENTO")</f>
        <v>MANTENIMIENTO</v>
      </c>
      <c r="B574" s="58" t="str">
        <f>IFERROR(__xludf.DUMMYFUNCTION("""COMPUTED_VALUE"""),"DISEÑO DE UN SISTEMA DE GESTIÓN DE MANTENIMIENTO DE EQUIPOS PARA LA OBTENCIÓN DE LA MÁXIMA EFICIENCIA EN TELEFONÍA PÚBLICA DE COMTECO")</f>
        <v>DISEÑO DE UN SISTEMA DE GESTIÓN DE MANTENIMIENTO DE EQUIPOS PARA LA OBTENCIÓN DE LA MÁXIMA EFICIENCIA EN TELEFONÍA PÚBLICA DE COMTECO</v>
      </c>
      <c r="C574" s="58">
        <f>IFERROR(__xludf.DUMMYFUNCTION("""COMPUTED_VALUE"""),1.0)</f>
        <v>1</v>
      </c>
    </row>
    <row r="575">
      <c r="A575" s="58" t="str">
        <f>IFERROR(__xludf.DUMMYFUNCTION("""COMPUTED_VALUE"""),"MANTENIMIENTO")</f>
        <v>MANTENIMIENTO</v>
      </c>
      <c r="B575" s="58" t="str">
        <f>IFERROR(__xludf.DUMMYFUNCTION("""COMPUTED_VALUE"""),"DISEÑO DE UN SISTEMA DE GESTIÓN DE MANTENIMIENTO PARA LA FLOTA DE MIXERS Y LA DOSIFICADORA DE LA PLANTA READY MIX COCHABAMBA DE SOBOCE S.A.")</f>
        <v>DISEÑO DE UN SISTEMA DE GESTIÓN DE MANTENIMIENTO PARA LA FLOTA DE MIXERS Y LA DOSIFICADORA DE LA PLANTA READY MIX COCHABAMBA DE SOBOCE S.A.</v>
      </c>
      <c r="C575" s="58">
        <f>IFERROR(__xludf.DUMMYFUNCTION("""COMPUTED_VALUE"""),2.0)</f>
        <v>2</v>
      </c>
    </row>
    <row r="576">
      <c r="A576" s="58" t="str">
        <f>IFERROR(__xludf.DUMMYFUNCTION("""COMPUTED_VALUE"""),"MANTENIMIENTO")</f>
        <v>MANTENIMIENTO</v>
      </c>
      <c r="B576" s="58" t="str">
        <f>IFERROR(__xludf.DUMMYFUNCTION("""COMPUTED_VALUE"""),"DISEÑO E IMPLEMENTACIÓN DE UN PROGRAMA DE MANTENIMIENTO PREVENTIVO EN MAQUINARIAS Y EQUIPOS PARA CURTIEMBRE ""TAURO""")</f>
        <v>DISEÑO E IMPLEMENTACIÓN DE UN PROGRAMA DE MANTENIMIENTO PREVENTIVO EN MAQUINARIAS Y EQUIPOS PARA CURTIEMBRE "TAURO"</v>
      </c>
      <c r="C576" s="58">
        <f>IFERROR(__xludf.DUMMYFUNCTION("""COMPUTED_VALUE"""),2.0)</f>
        <v>2</v>
      </c>
    </row>
    <row r="577">
      <c r="A577" s="58" t="str">
        <f>IFERROR(__xludf.DUMMYFUNCTION("""COMPUTED_VALUE"""),"MANTENIMIENTO")</f>
        <v>MANTENIMIENTO</v>
      </c>
      <c r="B577" s="58" t="str">
        <f>IFERROR(__xludf.DUMMYFUNCTION("""COMPUTED_VALUE"""),"DISEÑO E IMPLEMENTACIÓN DEL PROYECTO AIRLIFT CON LA APLICACIÓN DE EEM (EARLY EQUIPMENT MANAGEMENT) DENTRO LA METODOLOGÍA DE TPM PARA LA PLANTA DE DETERGENTES DE UNILEVER ANDINA BOLIVIA S.A.")</f>
        <v>DISEÑO E IMPLEMENTACIÓN DEL PROYECTO AIRLIFT CON LA APLICACIÓN DE EEM (EARLY EQUIPMENT MANAGEMENT) DENTRO LA METODOLOGÍA DE TPM PARA LA PLANTA DE DETERGENTES DE UNILEVER ANDINA BOLIVIA S.A.</v>
      </c>
      <c r="C577" s="58">
        <f>IFERROR(__xludf.DUMMYFUNCTION("""COMPUTED_VALUE"""),2.0)</f>
        <v>2</v>
      </c>
    </row>
    <row r="578">
      <c r="A578" s="58" t="str">
        <f>IFERROR(__xludf.DUMMYFUNCTION("""COMPUTED_VALUE"""),"MANTENIMIENTO")</f>
        <v>MANTENIMIENTO</v>
      </c>
      <c r="B578" s="58" t="str">
        <f>IFERROR(__xludf.DUMMYFUNCTION("""COMPUTED_VALUE"""),"ELABORACIÓN DE UN DISEÑO DE MANTENIMIENTO PRODUCTIVO TOTAL (TPM) PARA LA EMPRESA PAPELERA VINTO SRL")</f>
        <v>ELABORACIÓN DE UN DISEÑO DE MANTENIMIENTO PRODUCTIVO TOTAL (TPM) PARA LA EMPRESA PAPELERA VINTO SRL</v>
      </c>
      <c r="C578" s="58">
        <f>IFERROR(__xludf.DUMMYFUNCTION("""COMPUTED_VALUE"""),2.0)</f>
        <v>2</v>
      </c>
    </row>
    <row r="579">
      <c r="A579" s="58" t="str">
        <f>IFERROR(__xludf.DUMMYFUNCTION("""COMPUTED_VALUE"""),"MANTENIMIENTO")</f>
        <v>MANTENIMIENTO</v>
      </c>
      <c r="B579" s="58" t="str">
        <f>IFERROR(__xludf.DUMMYFUNCTION("""COMPUTED_VALUE"""),"IMPLEMENTACIÓN DE UNA SALA DE VÁLVULAS PARA EL MANTENIMIENTO AUTÓNOMO (TPM) DE LAS VÁLVULAS DE LLENADO PARA LA MEJORA DE LA EFICIENCIA Y REDUCCIÓN DE MERMA DE BEBIDA EN LA LÍNEA DE PRODUCCIÓN EN PLANTA SOFT - DRINKS SACABA - PEPSI")</f>
        <v>IMPLEMENTACIÓN DE UNA SALA DE VÁLVULAS PARA EL MANTENIMIENTO AUTÓNOMO (TPM) DE LAS VÁLVULAS DE LLENADO PARA LA MEJORA DE LA EFICIENCIA Y REDUCCIÓN DE MERMA DE BEBIDA EN LA LÍNEA DE PRODUCCIÓN EN PLANTA SOFT - DRINKS SACABA - PEPSI</v>
      </c>
      <c r="C579" s="58">
        <f>IFERROR(__xludf.DUMMYFUNCTION("""COMPUTED_VALUE"""),7.0)</f>
        <v>7</v>
      </c>
    </row>
    <row r="580">
      <c r="A580" s="58" t="str">
        <f>IFERROR(__xludf.DUMMYFUNCTION("""COMPUTED_VALUE"""),"MANTENIMIENTO")</f>
        <v>MANTENIMIENTO</v>
      </c>
      <c r="B580" s="58" t="str">
        <f>IFERROR(__xludf.DUMMYFUNCTION("""COMPUTED_VALUE"""),"IMPLEMENTACIÓN DEL PILAR DE MANTENIMIENTO AUTÓNOMO DE LA METODOLOGÍA TPM EN EL SECTOR DE ENVASADO DE LA PLANTA DE DETERGENTES DE UNILEVER ANDINA BOLIVIA S.A.")</f>
        <v>IMPLEMENTACIÓN DEL PILAR DE MANTENIMIENTO AUTÓNOMO DE LA METODOLOGÍA TPM EN EL SECTOR DE ENVASADO DE LA PLANTA DE DETERGENTES DE UNILEVER ANDINA BOLIVIA S.A.</v>
      </c>
      <c r="C580" s="58">
        <f>IFERROR(__xludf.DUMMYFUNCTION("""COMPUTED_VALUE"""),1.0)</f>
        <v>1</v>
      </c>
    </row>
    <row r="581">
      <c r="A581" s="58" t="str">
        <f>IFERROR(__xludf.DUMMYFUNCTION("""COMPUTED_VALUE"""),"MANTENIMIENTO")</f>
        <v>MANTENIMIENTO</v>
      </c>
      <c r="B581" s="58" t="str">
        <f>IFERROR(__xludf.DUMMYFUNCTION("""COMPUTED_VALUE"""),"IMPLEMENTACIÓN DEL SISTEMA FOS Y 5’S PARA LOS PILARES DE MEJORA ENFOCADA Y MANTENIMIENTO AUTÓNOMO DE LA FILOSOFÍA TPM EN LA EMPRESA UNILEVER ANDINA BOLIVIA S.A.")</f>
        <v>IMPLEMENTACIÓN DEL SISTEMA FOS Y 5’S PARA LOS PILARES DE MEJORA ENFOCADA Y MANTENIMIENTO AUTÓNOMO DE LA FILOSOFÍA TPM EN LA EMPRESA UNILEVER ANDINA BOLIVIA S.A.</v>
      </c>
      <c r="C581" s="58">
        <f>IFERROR(__xludf.DUMMYFUNCTION("""COMPUTED_VALUE"""),4.0)</f>
        <v>4</v>
      </c>
    </row>
    <row r="582">
      <c r="A582" s="58" t="str">
        <f>IFERROR(__xludf.DUMMYFUNCTION("""COMPUTED_VALUE"""),"MANTENIMIENTO")</f>
        <v>MANTENIMIENTO</v>
      </c>
      <c r="B582" s="58" t="str">
        <f>IFERROR(__xludf.DUMMYFUNCTION("""COMPUTED_VALUE"""),"PLAN MAESTRO DE MANTENIMIENTO PARA LA CORPORACIÓN BOLIVIANA DE BEBIDAS S.A. EN SU DEPARTAMENTO DE PRODUCCIÓN")</f>
        <v>PLAN MAESTRO DE MANTENIMIENTO PARA LA CORPORACIÓN BOLIVIANA DE BEBIDAS S.A. EN SU DEPARTAMENTO DE PRODUCCIÓN</v>
      </c>
      <c r="C582" s="58">
        <f>IFERROR(__xludf.DUMMYFUNCTION("""COMPUTED_VALUE"""),2.0)</f>
        <v>2</v>
      </c>
    </row>
    <row r="583">
      <c r="A583" s="58" t="str">
        <f>IFERROR(__xludf.DUMMYFUNCTION("""COMPUTED_VALUE"""),"MARKETING/MERCADOTECNIA")</f>
        <v>MARKETING/MERCADOTECNIA</v>
      </c>
      <c r="B583" s="58" t="str">
        <f>IFERROR(__xludf.DUMMYFUNCTION("""COMPUTED_VALUE"""),"AUTOMATIZACIÓN DE CARGA DE LADRILLOS EN EL MÓDULO DE LA EMPRESA")</f>
        <v>AUTOMATIZACIÓN DE CARGA DE LADRILLOS EN EL MÓDULO DE LA EMPRESA</v>
      </c>
      <c r="C583" s="58">
        <f>IFERROR(__xludf.DUMMYFUNCTION("""COMPUTED_VALUE"""),2.0)</f>
        <v>2</v>
      </c>
    </row>
    <row r="584">
      <c r="A584" s="58" t="str">
        <f>IFERROR(__xludf.DUMMYFUNCTION("""COMPUTED_VALUE"""),"MARKETING/MERCADOTECNIA")</f>
        <v>MARKETING/MERCADOTECNIA</v>
      </c>
      <c r="B584" s="58" t="str">
        <f>IFERROR(__xludf.DUMMYFUNCTION("""COMPUTED_VALUE"""),"DESARROLLO DE UN PLAN ESTRATÉGICO DE MARKETING PARA LA NUEVA LÍNEA DE ACEITE SAE 10W30 API SN DE LA MARCA YPFB LUBRICANTES")</f>
        <v>DESARROLLO DE UN PLAN ESTRATÉGICO DE MARKETING PARA LA NUEVA LÍNEA DE ACEITE SAE 10W30 API SN DE LA MARCA YPFB LUBRICANTES</v>
      </c>
      <c r="C584" s="58">
        <f>IFERROR(__xludf.DUMMYFUNCTION("""COMPUTED_VALUE"""),1.0)</f>
        <v>1</v>
      </c>
    </row>
    <row r="585">
      <c r="A585" s="58" t="str">
        <f>IFERROR(__xludf.DUMMYFUNCTION("""COMPUTED_VALUE"""),"MARKETING/MERCADOTECNIA")</f>
        <v>MARKETING/MERCADOTECNIA</v>
      </c>
      <c r="B585" s="58" t="str">
        <f>IFERROR(__xludf.DUMMYFUNCTION("""COMPUTED_VALUE"""),"DESARROLLO DE UN PLAN ESTRATÉGICO DE MARKETING PARA SU IMPLEMENTACIÓN EN C &amp; A CONSULTORES ASOCIADOS")</f>
        <v>DESARROLLO DE UN PLAN ESTRATÉGICO DE MARKETING PARA SU IMPLEMENTACIÓN EN C &amp; A CONSULTORES ASOCIADOS</v>
      </c>
      <c r="C585" s="58">
        <f>IFERROR(__xludf.DUMMYFUNCTION("""COMPUTED_VALUE"""),1.0)</f>
        <v>1</v>
      </c>
    </row>
    <row r="586">
      <c r="A586" s="58" t="str">
        <f>IFERROR(__xludf.DUMMYFUNCTION("""COMPUTED_VALUE"""),"MARKETING/MERCADOTECNIA")</f>
        <v>MARKETING/MERCADOTECNIA</v>
      </c>
      <c r="B586" s="58" t="str">
        <f>IFERROR(__xludf.DUMMYFUNCTION("""COMPUTED_VALUE"""),"DESARROLLO DE UNA PLANIFICACIÓN ESTRATÉGICA DE MARKETING Y UNA PLANIFICACIÓN DE LA PRODUCCIÓN PARA LA EMPRESA DE MUEBLES METÁLICOS “RACAO”")</f>
        <v>DESARROLLO DE UNA PLANIFICACIÓN ESTRATÉGICA DE MARKETING Y UNA PLANIFICACIÓN DE LA PRODUCCIÓN PARA LA EMPRESA DE MUEBLES METÁLICOS “RACAO”</v>
      </c>
      <c r="C586" s="58">
        <f>IFERROR(__xludf.DUMMYFUNCTION("""COMPUTED_VALUE"""),2.0)</f>
        <v>2</v>
      </c>
    </row>
    <row r="587">
      <c r="A587" s="58" t="str">
        <f>IFERROR(__xludf.DUMMYFUNCTION("""COMPUTED_VALUE"""),"MARKETING/MERCADOTECNIA")</f>
        <v>MARKETING/MERCADOTECNIA</v>
      </c>
      <c r="B587" s="58" t="str">
        <f>IFERROR(__xludf.DUMMYFUNCTION("""COMPUTED_VALUE"""),"DESARROLLO DEL PORTAFOLIO Y PLAN DE MARKETING DE LOS SERVICIOS DE AGRONEGOCIOS PARA EL PROGRAMA SDA DE FUNDACIÓN VALLES")</f>
        <v>DESARROLLO DEL PORTAFOLIO Y PLAN DE MARKETING DE LOS SERVICIOS DE AGRONEGOCIOS PARA EL PROGRAMA SDA DE FUNDACIÓN VALLES</v>
      </c>
      <c r="C587" s="58">
        <f>IFERROR(__xludf.DUMMYFUNCTION("""COMPUTED_VALUE"""),1.0)</f>
        <v>1</v>
      </c>
    </row>
    <row r="588">
      <c r="A588" s="58" t="str">
        <f>IFERROR(__xludf.DUMMYFUNCTION("""COMPUTED_VALUE"""),"MARKETING/MERCADOTECNIA")</f>
        <v>MARKETING/MERCADOTECNIA</v>
      </c>
      <c r="B588" s="58" t="str">
        <f>IFERROR(__xludf.DUMMYFUNCTION("""COMPUTED_VALUE"""),"DISENO DE UN PLAN ESTRATEGICO DE MARKETING PARA LA LINEA DE PRODUCCION YOGURT EN LA PLANTA DE PROCESOS INDUSTRIALES")</f>
        <v>DISENO DE UN PLAN ESTRATEGICO DE MARKETING PARA LA LINEA DE PRODUCCION YOGURT EN LA PLANTA DE PROCESOS INDUSTRIALES</v>
      </c>
      <c r="C588" s="58">
        <f>IFERROR(__xludf.DUMMYFUNCTION("""COMPUTED_VALUE"""),3.0)</f>
        <v>3</v>
      </c>
    </row>
    <row r="589">
      <c r="A589" s="58" t="str">
        <f>IFERROR(__xludf.DUMMYFUNCTION("""COMPUTED_VALUE"""),"MARKETING/MERCADOTECNIA")</f>
        <v>MARKETING/MERCADOTECNIA</v>
      </c>
      <c r="B589" s="58" t="str">
        <f>IFERROR(__xludf.DUMMYFUNCTION("""COMPUTED_VALUE"""),"DISEÑO DE UN MODELO DE MARKETING ESTRATÉGICO PARA LA EMPRESA MÁQUINAS Y MATRICES ALCÓCER")</f>
        <v>DISEÑO DE UN MODELO DE MARKETING ESTRATÉGICO PARA LA EMPRESA MÁQUINAS Y MATRICES ALCÓCER</v>
      </c>
      <c r="C589" s="58">
        <f>IFERROR(__xludf.DUMMYFUNCTION("""COMPUTED_VALUE"""),1.0)</f>
        <v>1</v>
      </c>
    </row>
    <row r="590">
      <c r="A590" s="58" t="str">
        <f>IFERROR(__xludf.DUMMYFUNCTION("""COMPUTED_VALUE"""),"MARKETING/MERCADOTECNIA")</f>
        <v>MARKETING/MERCADOTECNIA</v>
      </c>
      <c r="B590" s="58" t="str">
        <f>IFERROR(__xludf.DUMMYFUNCTION("""COMPUTED_VALUE"""),"DISEÑO DE UN PLAN ESTRATÉGICO DE MARKETING PARA LA EMPRESA DE HAMBURGUESAS L A E X Q U I S I T A")</f>
        <v>DISEÑO DE UN PLAN ESTRATÉGICO DE MARKETING PARA LA EMPRESA DE HAMBURGUESAS L A E X Q U I S I T A</v>
      </c>
      <c r="C590" s="58">
        <f>IFERROR(__xludf.DUMMYFUNCTION("""COMPUTED_VALUE"""),1.0)</f>
        <v>1</v>
      </c>
    </row>
    <row r="591">
      <c r="A591" s="58" t="str">
        <f>IFERROR(__xludf.DUMMYFUNCTION("""COMPUTED_VALUE"""),"MARKETING/MERCADOTECNIA")</f>
        <v>MARKETING/MERCADOTECNIA</v>
      </c>
      <c r="B591" s="58" t="str">
        <f>IFERROR(__xludf.DUMMYFUNCTION("""COMPUTED_VALUE"""),"DISEÑO DE UN PLAN ESTRATÉGICO DE MARKETING PARA LA EMPRESA DE PANIFICACIÓN NOVA PAN")</f>
        <v>DISEÑO DE UN PLAN ESTRATÉGICO DE MARKETING PARA LA EMPRESA DE PANIFICACIÓN NOVA PAN</v>
      </c>
      <c r="C591" s="58">
        <f>IFERROR(__xludf.DUMMYFUNCTION("""COMPUTED_VALUE"""),1.0)</f>
        <v>1</v>
      </c>
    </row>
    <row r="592">
      <c r="A592" s="58" t="str">
        <f>IFERROR(__xludf.DUMMYFUNCTION("""COMPUTED_VALUE"""),"MARKETING/MERCADOTECNIA")</f>
        <v>MARKETING/MERCADOTECNIA</v>
      </c>
      <c r="B592" s="58" t="str">
        <f>IFERROR(__xludf.DUMMYFUNCTION("""COMPUTED_VALUE"""),"DISEÑO DE UN PLAN ESTRATÉGICO DE MARKETING PARA LA GRANJA MODELO PAIRUMANI")</f>
        <v>DISEÑO DE UN PLAN ESTRATÉGICO DE MARKETING PARA LA GRANJA MODELO PAIRUMANI</v>
      </c>
      <c r="C592" s="58">
        <f>IFERROR(__xludf.DUMMYFUNCTION("""COMPUTED_VALUE"""),1.0)</f>
        <v>1</v>
      </c>
    </row>
    <row r="593">
      <c r="A593" s="58" t="str">
        <f>IFERROR(__xludf.DUMMYFUNCTION("""COMPUTED_VALUE"""),"MARKETING/MERCADOTECNIA")</f>
        <v>MARKETING/MERCADOTECNIA</v>
      </c>
      <c r="B593" s="58" t="str">
        <f>IFERROR(__xludf.DUMMYFUNCTION("""COMPUTED_VALUE"""),"ESTRATEGIA DE COMERCIALIZACIÓN PARA LA PLANTA DISTRIBUIDORA DE GAS LICUADO DE PETRÓLEO FERRO GAS EN EL DEPARTAMENTO DE COCHABAMBA")</f>
        <v>ESTRATEGIA DE COMERCIALIZACIÓN PARA LA PLANTA DISTRIBUIDORA DE GAS LICUADO DE PETRÓLEO FERRO GAS EN EL DEPARTAMENTO DE COCHABAMBA</v>
      </c>
      <c r="C593" s="58">
        <f>IFERROR(__xludf.DUMMYFUNCTION("""COMPUTED_VALUE"""),1.0)</f>
        <v>1</v>
      </c>
    </row>
    <row r="594">
      <c r="A594" s="58" t="str">
        <f>IFERROR(__xludf.DUMMYFUNCTION("""COMPUTED_VALUE"""),"MARKETING/MERCADOTECNIA")</f>
        <v>MARKETING/MERCADOTECNIA</v>
      </c>
      <c r="B594" s="58" t="str">
        <f>IFERROR(__xludf.DUMMYFUNCTION("""COMPUTED_VALUE"""),"ESTUDIO DE MERCADO PARA CONOCER LA DEMANDA DE FORMACIÓN POS-GRADUAL EN EL ÁREA DE LA SALUD PARA LA UNIDAD DE POSGRADO DE LA FACULTAD DE CS. FARMACÉUTICAS Y BIOQUÍMICAS DE LA UMSS")</f>
        <v>ESTUDIO DE MERCADO PARA CONOCER LA DEMANDA DE FORMACIÓN POS-GRADUAL EN EL ÁREA DE LA SALUD PARA LA UNIDAD DE POSGRADO DE LA FACULTAD DE CS. FARMACÉUTICAS Y BIOQUÍMICAS DE LA UMSS</v>
      </c>
      <c r="C594" s="58">
        <f>IFERROR(__xludf.DUMMYFUNCTION("""COMPUTED_VALUE"""),2.0)</f>
        <v>2</v>
      </c>
    </row>
    <row r="595">
      <c r="A595" s="58" t="str">
        <f>IFERROR(__xludf.DUMMYFUNCTION("""COMPUTED_VALUE"""),"MARKETING/MERCADOTECNIA")</f>
        <v>MARKETING/MERCADOTECNIA</v>
      </c>
      <c r="B595" s="58" t="str">
        <f>IFERROR(__xludf.DUMMYFUNCTION("""COMPUTED_VALUE"""),"ESTUDIO DE MERCADO PARA LA COMERCIALIZACIÓN DE VITAMINAS Y SUPLEMENTOS NUTRICIONALES DE LA LÍNEA TERBONOVA DE LABORATORIOS TERBOL S.A. EN LA DISTRIBUIDORA L &amp; S")</f>
        <v>ESTUDIO DE MERCADO PARA LA COMERCIALIZACIÓN DE VITAMINAS Y SUPLEMENTOS NUTRICIONALES DE LA LÍNEA TERBONOVA DE LABORATORIOS TERBOL S.A. EN LA DISTRIBUIDORA L &amp; S</v>
      </c>
      <c r="C595" s="58">
        <f>IFERROR(__xludf.DUMMYFUNCTION("""COMPUTED_VALUE"""),3.0)</f>
        <v>3</v>
      </c>
    </row>
    <row r="596">
      <c r="A596" s="58" t="str">
        <f>IFERROR(__xludf.DUMMYFUNCTION("""COMPUTED_VALUE"""),"MARKETING/MERCADOTECNIA")</f>
        <v>MARKETING/MERCADOTECNIA</v>
      </c>
      <c r="B596" s="58" t="str">
        <f>IFERROR(__xludf.DUMMYFUNCTION("""COMPUTED_VALUE"""),"ESTUDIO DE MERCADO PARA LA IMPLEMENTACIÓN DEL SERVICIO DE TELEVISIÓN SATELITAL EN EL DEPARTAMENTO DE COCHABAMBA")</f>
        <v>ESTUDIO DE MERCADO PARA LA IMPLEMENTACIÓN DEL SERVICIO DE TELEVISIÓN SATELITAL EN EL DEPARTAMENTO DE COCHABAMBA</v>
      </c>
      <c r="C596" s="58">
        <f>IFERROR(__xludf.DUMMYFUNCTION("""COMPUTED_VALUE"""),1.0)</f>
        <v>1</v>
      </c>
    </row>
    <row r="597">
      <c r="A597" s="58" t="str">
        <f>IFERROR(__xludf.DUMMYFUNCTION("""COMPUTED_VALUE"""),"MARKETING/MERCADOTECNIA")</f>
        <v>MARKETING/MERCADOTECNIA</v>
      </c>
      <c r="B597" s="58" t="str">
        <f>IFERROR(__xludf.DUMMYFUNCTION("""COMPUTED_VALUE"""),"ESTUDIO DE MERCADO Y DISEÑO DE UN PLAN ESTRATÉGICO DE MARKETING PARA LA COMERCIALIZACIÓN DE SAPONINAS OBTENIDAS DEL ESCARIFICADO DE QUÍNUA")</f>
        <v>ESTUDIO DE MERCADO Y DISEÑO DE UN PLAN ESTRATÉGICO DE MARKETING PARA LA COMERCIALIZACIÓN DE SAPONINAS OBTENIDAS DEL ESCARIFICADO DE QUÍNUA</v>
      </c>
      <c r="C597" s="58">
        <f>IFERROR(__xludf.DUMMYFUNCTION("""COMPUTED_VALUE"""),1.0)</f>
        <v>1</v>
      </c>
    </row>
    <row r="598">
      <c r="A598" s="58" t="str">
        <f>IFERROR(__xludf.DUMMYFUNCTION("""COMPUTED_VALUE"""),"MARKETING/MERCADOTECNIA")</f>
        <v>MARKETING/MERCADOTECNIA</v>
      </c>
      <c r="B598" s="58" t="str">
        <f>IFERROR(__xludf.DUMMYFUNCTION("""COMPUTED_VALUE"""),"ESTUDIO E INVESTIGACIÓN DE MERCADO PARA COMERCIALIZAR EL PAN DE ARANI EN LA CIUDAD DE COCHABAMBA, ESTUDIO PARA LAS PANIFICADORAS DE LA PROVINCIA DE ARANI")</f>
        <v>ESTUDIO E INVESTIGACIÓN DE MERCADO PARA COMERCIALIZAR EL PAN DE ARANI EN LA CIUDAD DE COCHABAMBA, ESTUDIO PARA LAS PANIFICADORAS DE LA PROVINCIA DE ARANI</v>
      </c>
      <c r="C598" s="58">
        <f>IFERROR(__xludf.DUMMYFUNCTION("""COMPUTED_VALUE"""),4.0)</f>
        <v>4</v>
      </c>
    </row>
    <row r="599">
      <c r="A599" s="58" t="str">
        <f>IFERROR(__xludf.DUMMYFUNCTION("""COMPUTED_VALUE"""),"MARKETING/MERCADOTECNIA")</f>
        <v>MARKETING/MERCADOTECNIA</v>
      </c>
      <c r="B599" s="58" t="str">
        <f>IFERROR(__xludf.DUMMYFUNCTION("""COMPUTED_VALUE"""),"PLAN DE MARKETING PARA LA COMERCIALIZACIÓN DE PASTA DE PALMITO CASO: AGROINDUSTRIAS DE LA SELVA S.R.L.")</f>
        <v>PLAN DE MARKETING PARA LA COMERCIALIZACIÓN DE PASTA DE PALMITO CASO: AGROINDUSTRIAS DE LA SELVA S.R.L.</v>
      </c>
      <c r="C599" s="58">
        <f>IFERROR(__xludf.DUMMYFUNCTION("""COMPUTED_VALUE"""),5.0)</f>
        <v>5</v>
      </c>
    </row>
    <row r="600">
      <c r="A600" s="58" t="str">
        <f>IFERROR(__xludf.DUMMYFUNCTION("""COMPUTED_VALUE"""),"MARKETING/MERCADOTECNIA")</f>
        <v>MARKETING/MERCADOTECNIA</v>
      </c>
      <c r="B600" s="58" t="str">
        <f>IFERROR(__xludf.DUMMYFUNCTION("""COMPUTED_VALUE"""),"PLAN DE MARKETING PARA LA DISTRIBUCIÓN DE PRODUCTOS POR EL CANAL TIENDAS DE BARRIO (T.A.T). CASO: EMPRESA HANSA LTDA.")</f>
        <v>PLAN DE MARKETING PARA LA DISTRIBUCIÓN DE PRODUCTOS POR EL CANAL TIENDAS DE BARRIO (T.A.T). CASO: EMPRESA HANSA LTDA.</v>
      </c>
      <c r="C600" s="58">
        <f>IFERROR(__xludf.DUMMYFUNCTION("""COMPUTED_VALUE"""),1.0)</f>
        <v>1</v>
      </c>
    </row>
    <row r="601">
      <c r="A601" s="58" t="str">
        <f>IFERROR(__xludf.DUMMYFUNCTION("""COMPUTED_VALUE"""),"MARKETING/MERCADOTECNIA")</f>
        <v>MARKETING/MERCADOTECNIA</v>
      </c>
      <c r="B601" s="58" t="str">
        <f>IFERROR(__xludf.DUMMYFUNCTION("""COMPUTED_VALUE"""),"PLAN DE MARKETING PARA LA EMPRESA EL ELYON")</f>
        <v>PLAN DE MARKETING PARA LA EMPRESA EL ELYON</v>
      </c>
      <c r="C601" s="58">
        <f>IFERROR(__xludf.DUMMYFUNCTION("""COMPUTED_VALUE"""),2.0)</f>
        <v>2</v>
      </c>
    </row>
    <row r="602">
      <c r="A602" s="58" t="str">
        <f>IFERROR(__xludf.DUMMYFUNCTION("""COMPUTED_VALUE"""),"MARKETING/MERCADOTECNIA")</f>
        <v>MARKETING/MERCADOTECNIA</v>
      </c>
      <c r="B602" s="58" t="str">
        <f>IFERROR(__xludf.DUMMYFUNCTION("""COMPUTED_VALUE"""),"PLAN ESTRATÉGICO DE MARKETING PARA EL LANZAMIENTO DE CARNE DE MEMBRILLO PARA LA EMPRESA CORDILL S.A.")</f>
        <v>PLAN ESTRATÉGICO DE MARKETING PARA EL LANZAMIENTO DE CARNE DE MEMBRILLO PARA LA EMPRESA CORDILL S.A.</v>
      </c>
      <c r="C602" s="58">
        <f>IFERROR(__xludf.DUMMYFUNCTION("""COMPUTED_VALUE"""),1.0)</f>
        <v>1</v>
      </c>
    </row>
    <row r="603">
      <c r="A603" s="58" t="str">
        <f>IFERROR(__xludf.DUMMYFUNCTION("""COMPUTED_VALUE"""),"MARKETING/MERCADOTECNIA")</f>
        <v>MARKETING/MERCADOTECNIA</v>
      </c>
      <c r="B603" s="58" t="str">
        <f>IFERROR(__xludf.DUMMYFUNCTION("""COMPUTED_VALUE"""),"PLAN ESTRATÉGICO DE MARKETING PARA LA EMPRESA VANGUARDIA")</f>
        <v>PLAN ESTRATÉGICO DE MARKETING PARA LA EMPRESA VANGUARDIA</v>
      </c>
      <c r="C603" s="58">
        <f>IFERROR(__xludf.DUMMYFUNCTION("""COMPUTED_VALUE"""),2.0)</f>
        <v>2</v>
      </c>
    </row>
    <row r="604">
      <c r="A604" s="58" t="str">
        <f>IFERROR(__xludf.DUMMYFUNCTION("""COMPUTED_VALUE"""),"OPTIMIZACION")</f>
        <v>OPTIMIZACION</v>
      </c>
      <c r="B604" s="58" t="str">
        <f>IFERROR(__xludf.DUMMYFUNCTION("""COMPUTED_VALUE"""),"OPTIMIZACION DEL PROCESO DE MOLIENDA DE ENGOBES Y ESMALTES PARA “CERAMICAS COBOCE.”")</f>
        <v>OPTIMIZACION DEL PROCESO DE MOLIENDA DE ENGOBES Y ESMALTES PARA “CERAMICAS COBOCE.”</v>
      </c>
      <c r="C604" s="58">
        <f>IFERROR(__xludf.DUMMYFUNCTION("""COMPUTED_VALUE"""),1.0)</f>
        <v>1</v>
      </c>
    </row>
    <row r="605">
      <c r="A605" s="58" t="str">
        <f>IFERROR(__xludf.DUMMYFUNCTION("""COMPUTED_VALUE"""),"OPTIMIZACIÓN")</f>
        <v>OPTIMIZACIÓN</v>
      </c>
      <c r="B605" s="58" t="str">
        <f>IFERROR(__xludf.DUMMYFUNCTION("""COMPUTED_VALUE"""),"ANÁLISIS TÉCNICO E IMPLEMENTACIÓN PARA LA OPTIMIZACIÓN Y MEJORA EN LE RECUPERACIÓN DE DIÓXIDO DE CARBONO EN PLANTA TAQUIÑA S.A.")</f>
        <v>ANÁLISIS TÉCNICO E IMPLEMENTACIÓN PARA LA OPTIMIZACIÓN Y MEJORA EN LE RECUPERACIÓN DE DIÓXIDO DE CARBONO EN PLANTA TAQUIÑA S.A.</v>
      </c>
      <c r="C605" s="58">
        <f>IFERROR(__xludf.DUMMYFUNCTION("""COMPUTED_VALUE"""),1.0)</f>
        <v>1</v>
      </c>
    </row>
    <row r="606">
      <c r="A606" s="58" t="str">
        <f>IFERROR(__xludf.DUMMYFUNCTION("""COMPUTED_VALUE"""),"OPTIMIZACIÓN")</f>
        <v>OPTIMIZACIÓN</v>
      </c>
      <c r="B606" s="58" t="str">
        <f>IFERROR(__xludf.DUMMYFUNCTION("""COMPUTED_VALUE"""),"APLICACIÓN DE LA TÉCNICA OVERALL EQUIPMENT EFFECTIVENESS AL ÁREA DE METAL EN LA EMPRESA INDUSTRIAS RAVI S.A.")</f>
        <v>APLICACIÓN DE LA TÉCNICA OVERALL EQUIPMENT EFFECTIVENESS AL ÁREA DE METAL EN LA EMPRESA INDUSTRIAS RAVI S.A.</v>
      </c>
      <c r="C606" s="58">
        <f>IFERROR(__xludf.DUMMYFUNCTION("""COMPUTED_VALUE"""),1.0)</f>
        <v>1</v>
      </c>
    </row>
    <row r="607">
      <c r="A607" s="58" t="str">
        <f>IFERROR(__xludf.DUMMYFUNCTION("""COMPUTED_VALUE"""),"OPTIMIZACIÓN")</f>
        <v>OPTIMIZACIÓN</v>
      </c>
      <c r="B607" s="58" t="str">
        <f>IFERROR(__xludf.DUMMYFUNCTION("""COMPUTED_VALUE"""),"DISEÑO DE UN PLAN DE ACCIÓN DE MEJORA DE LA CONFIABILIDAD DEL FLUJO DE INVENTARIOS FÍSICO VS LÓGICO PARA EL WAREHOUSE DEL CENTRO NACIONAL DE DISTRIBUCIÓN UNILEVER ANDINA S.A")</f>
        <v>DISEÑO DE UN PLAN DE ACCIÓN DE MEJORA DE LA CONFIABILIDAD DEL FLUJO DE INVENTARIOS FÍSICO VS LÓGICO PARA EL WAREHOUSE DEL CENTRO NACIONAL DE DISTRIBUCIÓN UNILEVER ANDINA S.A</v>
      </c>
      <c r="C607" s="58">
        <f>IFERROR(__xludf.DUMMYFUNCTION("""COMPUTED_VALUE"""),4.0)</f>
        <v>4</v>
      </c>
    </row>
    <row r="608">
      <c r="A608" s="58" t="str">
        <f>IFERROR(__xludf.DUMMYFUNCTION("""COMPUTED_VALUE"""),"OPTIMIZACIÓN")</f>
        <v>OPTIMIZACIÓN</v>
      </c>
      <c r="B608" s="58" t="str">
        <f>IFERROR(__xludf.DUMMYFUNCTION("""COMPUTED_VALUE"""),"DISEÑO DE UN PLAN DE MEJORA CONTINUA PARA EL WAREHOUSE DEL CENTRO NACIONAL DE DISTRIBUCIÓN DE UNILEVER ANDINA BOLIVIA S.A.")</f>
        <v>DISEÑO DE UN PLAN DE MEJORA CONTINUA PARA EL WAREHOUSE DEL CENTRO NACIONAL DE DISTRIBUCIÓN DE UNILEVER ANDINA BOLIVIA S.A.</v>
      </c>
      <c r="C608" s="58">
        <f>IFERROR(__xludf.DUMMYFUNCTION("""COMPUTED_VALUE"""),2.0)</f>
        <v>2</v>
      </c>
    </row>
    <row r="609">
      <c r="A609" s="58" t="str">
        <f>IFERROR(__xludf.DUMMYFUNCTION("""COMPUTED_VALUE"""),"OPTIMIZACIÓN")</f>
        <v>OPTIMIZACIÓN</v>
      </c>
      <c r="B609" s="58" t="str">
        <f>IFERROR(__xludf.DUMMYFUNCTION("""COMPUTED_VALUE"""),"DISEÑO DE UN PLAN DE OPTIMIZACIÓN DEL CONSUMO DE AGUA EN LA MINIPLANTA DE ENVASADO-TAQUIÑA")</f>
        <v>DISEÑO DE UN PLAN DE OPTIMIZACIÓN DEL CONSUMO DE AGUA EN LA MINIPLANTA DE ENVASADO-TAQUIÑA</v>
      </c>
      <c r="C609" s="58">
        <f>IFERROR(__xludf.DUMMYFUNCTION("""COMPUTED_VALUE"""),2.0)</f>
        <v>2</v>
      </c>
    </row>
    <row r="610">
      <c r="A610" s="58" t="str">
        <f>IFERROR(__xludf.DUMMYFUNCTION("""COMPUTED_VALUE"""),"OPTIMIZACIÓN")</f>
        <v>OPTIMIZACIÓN</v>
      </c>
      <c r="B610" s="58" t="str">
        <f>IFERROR(__xludf.DUMMYFUNCTION("""COMPUTED_VALUE"""),"ESTUDIO PARA LA MEJORA DEL INDICADOR DE MERMA MEDIANTE LA RECUPERACIÓN DE LEVADURA CBN - TAQUIÑA")</f>
        <v>ESTUDIO PARA LA MEJORA DEL INDICADOR DE MERMA MEDIANTE LA RECUPERACIÓN DE LEVADURA CBN - TAQUIÑA</v>
      </c>
      <c r="C610" s="58">
        <f>IFERROR(__xludf.DUMMYFUNCTION("""COMPUTED_VALUE"""),6.0)</f>
        <v>6</v>
      </c>
    </row>
    <row r="611">
      <c r="A611" s="58" t="str">
        <f>IFERROR(__xludf.DUMMYFUNCTION("""COMPUTED_VALUE"""),"OPTIMIZACIÓN")</f>
        <v>OPTIMIZACIÓN</v>
      </c>
      <c r="B611" s="58" t="str">
        <f>IFERROR(__xludf.DUMMYFUNCTION("""COMPUTED_VALUE"""),"ESTUDIO PARA LA OPTIMIZACIÓN DEL PROCESO PRODUCTIVO EN LA EMPRESA CARPINTERA TELLEZ")</f>
        <v>ESTUDIO PARA LA OPTIMIZACIÓN DEL PROCESO PRODUCTIVO EN LA EMPRESA CARPINTERA TELLEZ</v>
      </c>
      <c r="C611" s="58">
        <f>IFERROR(__xludf.DUMMYFUNCTION("""COMPUTED_VALUE"""),2.0)</f>
        <v>2</v>
      </c>
    </row>
    <row r="612">
      <c r="A612" s="58" t="str">
        <f>IFERROR(__xludf.DUMMYFUNCTION("""COMPUTED_VALUE"""),"OPTIMIZACIÓN")</f>
        <v>OPTIMIZACIÓN</v>
      </c>
      <c r="B612" s="58" t="str">
        <f>IFERROR(__xludf.DUMMYFUNCTION("""COMPUTED_VALUE"""),"ESTUDIO TÉCNICO Y ECONÓMICO PARA LA AMPLIACIÓN Y OPTIMIZACIÓN DE LA PRODUCCIÓN CON NUEVOS DISEÑOS EN MUEBLES COMEDORES DE HOGAR PARA LA MUEBLERÍA FABEUG.")</f>
        <v>ESTUDIO TÉCNICO Y ECONÓMICO PARA LA AMPLIACIÓN Y OPTIMIZACIÓN DE LA PRODUCCIÓN CON NUEVOS DISEÑOS EN MUEBLES COMEDORES DE HOGAR PARA LA MUEBLERÍA FABEUG.</v>
      </c>
      <c r="C612" s="58">
        <f>IFERROR(__xludf.DUMMYFUNCTION("""COMPUTED_VALUE"""),3.0)</f>
        <v>3</v>
      </c>
    </row>
    <row r="613">
      <c r="A613" s="58" t="str">
        <f>IFERROR(__xludf.DUMMYFUNCTION("""COMPUTED_VALUE"""),"OPTIMIZACIÓN")</f>
        <v>OPTIMIZACIÓN</v>
      </c>
      <c r="B613" s="58" t="str">
        <f>IFERROR(__xludf.DUMMYFUNCTION("""COMPUTED_VALUE"""),"IMPLEMENTACIÓN DE UN PROGRAMA DE OPTIMIZACIÓN DE PLANTA “V.P.O.” EN EL PILAR DE LOGÍSTICA BAJO REQUERIMIENTO DE LA TRANSNACIONAL AB INBEV EN LA EMPRESA C.B.N. S.A. - SD SACABA – PEPSI.")</f>
        <v>IMPLEMENTACIÓN DE UN PROGRAMA DE OPTIMIZACIÓN DE PLANTA “V.P.O.” EN EL PILAR DE LOGÍSTICA BAJO REQUERIMIENTO DE LA TRANSNACIONAL AB INBEV EN LA EMPRESA C.B.N. S.A. - SD SACABA – PEPSI.</v>
      </c>
      <c r="C613" s="58">
        <f>IFERROR(__xludf.DUMMYFUNCTION("""COMPUTED_VALUE"""),1.0)</f>
        <v>1</v>
      </c>
    </row>
    <row r="614">
      <c r="A614" s="58" t="str">
        <f>IFERROR(__xludf.DUMMYFUNCTION("""COMPUTED_VALUE"""),"OPTIMIZACIÓN")</f>
        <v>OPTIMIZACIÓN</v>
      </c>
      <c r="B614" s="58" t="str">
        <f>IFERROR(__xludf.DUMMYFUNCTION("""COMPUTED_VALUE"""),"MEJORA DE LA PRODUCTIVIDAD PARA EL CAMBIO DE PRODUCTO A DETERGENTE BLANCO DE EXPORTACIÓN AL PARAGUAY EN LA PLANTA DE ELABORACIÓN DE DETERGENTES DE UNILEVER ANDINA BOLIVIA S.A.-COCHABAMBA.")</f>
        <v>MEJORA DE LA PRODUCTIVIDAD PARA EL CAMBIO DE PRODUCTO A DETERGENTE BLANCO DE EXPORTACIÓN AL PARAGUAY EN LA PLANTA DE ELABORACIÓN DE DETERGENTES DE UNILEVER ANDINA BOLIVIA S.A.-COCHABAMBA.</v>
      </c>
      <c r="C614" s="58">
        <f>IFERROR(__xludf.DUMMYFUNCTION("""COMPUTED_VALUE"""),5.0)</f>
        <v>5</v>
      </c>
    </row>
    <row r="615">
      <c r="A615" s="58" t="str">
        <f>IFERROR(__xludf.DUMMYFUNCTION("""COMPUTED_VALUE"""),"OPTIMIZACIÓN")</f>
        <v>OPTIMIZACIÓN</v>
      </c>
      <c r="B615" s="58" t="str">
        <f>IFERROR(__xludf.DUMMYFUNCTION("""COMPUTED_VALUE"""),"MEJORAMIENTO DE LAS OPERACIONES SEGÚN HERRAMIENTAS JIT PARA LA EMPRESA RECTIFICADORA DE MOTORES “ACTROS”")</f>
        <v>MEJORAMIENTO DE LAS OPERACIONES SEGÚN HERRAMIENTAS JIT PARA LA EMPRESA RECTIFICADORA DE MOTORES “ACTROS”</v>
      </c>
      <c r="C615" s="58">
        <f>IFERROR(__xludf.DUMMYFUNCTION("""COMPUTED_VALUE"""),1.0)</f>
        <v>1</v>
      </c>
    </row>
    <row r="616">
      <c r="A616" s="58" t="str">
        <f>IFERROR(__xludf.DUMMYFUNCTION("""COMPUTED_VALUE"""),"OPTIMIZACIÓN")</f>
        <v>OPTIMIZACIÓN</v>
      </c>
      <c r="B616" s="58" t="str">
        <f>IFERROR(__xludf.DUMMYFUNCTION("""COMPUTED_VALUE"""),"MEJORAMIENTO DE LOS PROCESOS DE INSTALACIÓN Y ATENCIÓN DE RECLAMOS REFERIDO AL SERVICIO DE TELEFONÍA BÁSICA DE LA EMPRESA COMTECO")</f>
        <v>MEJORAMIENTO DE LOS PROCESOS DE INSTALACIÓN Y ATENCIÓN DE RECLAMOS REFERIDO AL SERVICIO DE TELEFONÍA BÁSICA DE LA EMPRESA COMTECO</v>
      </c>
      <c r="C616" s="58">
        <f>IFERROR(__xludf.DUMMYFUNCTION("""COMPUTED_VALUE"""),1.0)</f>
        <v>1</v>
      </c>
    </row>
    <row r="617">
      <c r="A617" s="58" t="str">
        <f>IFERROR(__xludf.DUMMYFUNCTION("""COMPUTED_VALUE"""),"OPTIMIZACIÓN")</f>
        <v>OPTIMIZACIÓN</v>
      </c>
      <c r="B617" s="58" t="str">
        <f>IFERROR(__xludf.DUMMYFUNCTION("""COMPUTED_VALUE"""),"OPTIMIZACION DEL PROCESO DE MOLIENDA DE ENGOBES Y ESMALTES PARA CERAMICAS COBOCE")</f>
        <v>OPTIMIZACION DEL PROCESO DE MOLIENDA DE ENGOBES Y ESMALTES PARA CERAMICAS COBOCE</v>
      </c>
      <c r="C617" s="58">
        <f>IFERROR(__xludf.DUMMYFUNCTION("""COMPUTED_VALUE"""),4.0)</f>
        <v>4</v>
      </c>
    </row>
    <row r="618">
      <c r="A618" s="58" t="str">
        <f>IFERROR(__xludf.DUMMYFUNCTION("""COMPUTED_VALUE"""),"OPTIMIZACIÓN")</f>
        <v>OPTIMIZACIÓN</v>
      </c>
      <c r="B618" s="58" t="str">
        <f>IFERROR(__xludf.DUMMYFUNCTION("""COMPUTED_VALUE"""),"OPTIMIZACIÓN DE LA PRODUCCIÓN MEDIANTE LA INGENIERÍA DE MÉTODOS PARA LA LÍNEA DE PLÁSTICOS EN INDUSTRIAS LUJAN S.R.L.")</f>
        <v>OPTIMIZACIÓN DE LA PRODUCCIÓN MEDIANTE LA INGENIERÍA DE MÉTODOS PARA LA LÍNEA DE PLÁSTICOS EN INDUSTRIAS LUJAN S.R.L.</v>
      </c>
      <c r="C618" s="58">
        <f>IFERROR(__xludf.DUMMYFUNCTION("""COMPUTED_VALUE"""),18.0)</f>
        <v>18</v>
      </c>
    </row>
    <row r="619">
      <c r="A619" s="58" t="str">
        <f>IFERROR(__xludf.DUMMYFUNCTION("""COMPUTED_VALUE"""),"OPTIMIZACIÓN")</f>
        <v>OPTIMIZACIÓN</v>
      </c>
      <c r="B619" s="58" t="str">
        <f>IFERROR(__xludf.DUMMYFUNCTION("""COMPUTED_VALUE"""),"OPTIMIZACIÓN DE LOS PROCESOS DE INSTALACIÓN Y ATENCIÓN DE RECLAMOS DEL SERVICIO DE INTERNET BANDA ANCHA PARA LA COOPERATIVA DE TELECOMUNICACIONES CBBA. COMTECO LTDA.")</f>
        <v>OPTIMIZACIÓN DE LOS PROCESOS DE INSTALACIÓN Y ATENCIÓN DE RECLAMOS DEL SERVICIO DE INTERNET BANDA ANCHA PARA LA COOPERATIVA DE TELECOMUNICACIONES CBBA. COMTECO LTDA.</v>
      </c>
      <c r="C619" s="58">
        <f>IFERROR(__xludf.DUMMYFUNCTION("""COMPUTED_VALUE"""),2.0)</f>
        <v>2</v>
      </c>
    </row>
    <row r="620">
      <c r="A620" s="58" t="str">
        <f>IFERROR(__xludf.DUMMYFUNCTION("""COMPUTED_VALUE"""),"OPTIMIZACIÓN")</f>
        <v>OPTIMIZACIÓN</v>
      </c>
      <c r="B620" s="58" t="str">
        <f>IFERROR(__xludf.DUMMYFUNCTION("""COMPUTED_VALUE"""),"OPTIMIZACIÓN DEL CONTROL DE CALIDAD DEL PROCESO DE FORMADO DE PRODUCTOS EN LA FÁBRICA CIMCO LTDA.")</f>
        <v>OPTIMIZACIÓN DEL CONTROL DE CALIDAD DEL PROCESO DE FORMADO DE PRODUCTOS EN LA FÁBRICA CIMCO LTDA.</v>
      </c>
      <c r="C620" s="58">
        <f>IFERROR(__xludf.DUMMYFUNCTION("""COMPUTED_VALUE"""),1.0)</f>
        <v>1</v>
      </c>
    </row>
    <row r="621">
      <c r="A621" s="58" t="str">
        <f>IFERROR(__xludf.DUMMYFUNCTION("""COMPUTED_VALUE"""),"OPTIMIZACIÓN")</f>
        <v>OPTIMIZACIÓN</v>
      </c>
      <c r="B621" s="58" t="str">
        <f>IFERROR(__xludf.DUMMYFUNCTION("""COMPUTED_VALUE"""),"OPTIMIZACIÓN DEL ESTÁNDAR DE LOTO BLOQUEO-ETIQUETADO PARA EL CONTROL DE ENERGÍAS DURANTE EL MANTENIMIENTO INDUSTRIAL EN LA PLANTA DE MANUFACTURA UNILEVER ANDINA BOLIVIA S.A.")</f>
        <v>OPTIMIZACIÓN DEL ESTÁNDAR DE LOTO BLOQUEO-ETIQUETADO PARA EL CONTROL DE ENERGÍAS DURANTE EL MANTENIMIENTO INDUSTRIAL EN LA PLANTA DE MANUFACTURA UNILEVER ANDINA BOLIVIA S.A.</v>
      </c>
      <c r="C621" s="58">
        <f>IFERROR(__xludf.DUMMYFUNCTION("""COMPUTED_VALUE"""),1.0)</f>
        <v>1</v>
      </c>
    </row>
    <row r="622">
      <c r="A622" s="58" t="str">
        <f>IFERROR(__xludf.DUMMYFUNCTION("""COMPUTED_VALUE"""),"OPTIMIZACIÓN")</f>
        <v>OPTIMIZACIÓN</v>
      </c>
      <c r="B622" s="58" t="str">
        <f>IFERROR(__xludf.DUMMYFUNCTION("""COMPUTED_VALUE"""),"OPTIMIZACIÓN DEL MANEJO DE AGUAS UTILIZADAS EN EL PROCESO PRODUCTIVO DEL INGENIO AZUCARERO GUABIRÁ S.A.")</f>
        <v>OPTIMIZACIÓN DEL MANEJO DE AGUAS UTILIZADAS EN EL PROCESO PRODUCTIVO DEL INGENIO AZUCARERO GUABIRÁ S.A.</v>
      </c>
      <c r="C622" s="58">
        <f>IFERROR(__xludf.DUMMYFUNCTION("""COMPUTED_VALUE"""),2.0)</f>
        <v>2</v>
      </c>
    </row>
    <row r="623">
      <c r="A623" s="58" t="str">
        <f>IFERROR(__xludf.DUMMYFUNCTION("""COMPUTED_VALUE"""),"OPTIMIZACIÓN")</f>
        <v>OPTIMIZACIÓN</v>
      </c>
      <c r="B623" s="58" t="str">
        <f>IFERROR(__xludf.DUMMYFUNCTION("""COMPUTED_VALUE"""),"OPTIMIZACIÓN DEL MANEJO DE MÁQUINAS HERRAMIENTAS MEDIANTE EL ESTUDIO DE MÉTODOS Y REINGENIERÍA PARA LA “RECTIFICADORA ACTROS”.")</f>
        <v>OPTIMIZACIÓN DEL MANEJO DE MÁQUINAS HERRAMIENTAS MEDIANTE EL ESTUDIO DE MÉTODOS Y REINGENIERÍA PARA LA “RECTIFICADORA ACTROS”.</v>
      </c>
      <c r="C623" s="58">
        <f>IFERROR(__xludf.DUMMYFUNCTION("""COMPUTED_VALUE"""),2.0)</f>
        <v>2</v>
      </c>
    </row>
    <row r="624">
      <c r="A624" s="58" t="str">
        <f>IFERROR(__xludf.DUMMYFUNCTION("""COMPUTED_VALUE"""),"OPTIMIZACIÓN")</f>
        <v>OPTIMIZACIÓN</v>
      </c>
      <c r="B624" s="58" t="str">
        <f>IFERROR(__xludf.DUMMYFUNCTION("""COMPUTED_VALUE"""),"OPTIMIZACIÓN DEL PROCESO DE FABRICACIÓN DE FRAZADAS EN POLAR TEXTIL S.A. A TRAVÉS DEL USO DE ALGUNAS HERRAMIENTAS DEL LEAN MANUFACTURING Y LA ADMINISTRACIÓN POR OBJETIVOS")</f>
        <v>OPTIMIZACIÓN DEL PROCESO DE FABRICACIÓN DE FRAZADAS EN POLAR TEXTIL S.A. A TRAVÉS DEL USO DE ALGUNAS HERRAMIENTAS DEL LEAN MANUFACTURING Y LA ADMINISTRACIÓN POR OBJETIVOS</v>
      </c>
      <c r="C624" s="58">
        <f>IFERROR(__xludf.DUMMYFUNCTION("""COMPUTED_VALUE"""),49.0)</f>
        <v>49</v>
      </c>
    </row>
    <row r="625">
      <c r="A625" s="58" t="str">
        <f>IFERROR(__xludf.DUMMYFUNCTION("""COMPUTED_VALUE"""),"OPTIMIZACIÓN")</f>
        <v>OPTIMIZACIÓN</v>
      </c>
      <c r="B625" s="58" t="str">
        <f>IFERROR(__xludf.DUMMYFUNCTION("""COMPUTED_VALUE"""),"OPTIMIZACIÓN DEL PROCESO DE PRODUCCIÓN DE LA EMPRESA PAPELERA VINTO S.R.L")</f>
        <v>OPTIMIZACIÓN DEL PROCESO DE PRODUCCIÓN DE LA EMPRESA PAPELERA VINTO S.R.L</v>
      </c>
      <c r="C625" s="58">
        <f>IFERROR(__xludf.DUMMYFUNCTION("""COMPUTED_VALUE"""),4.0)</f>
        <v>4</v>
      </c>
    </row>
    <row r="626">
      <c r="A626" s="58" t="str">
        <f>IFERROR(__xludf.DUMMYFUNCTION("""COMPUTED_VALUE"""),"OPTIMIZACIÓN")</f>
        <v>OPTIMIZACIÓN</v>
      </c>
      <c r="B626" s="58" t="str">
        <f>IFERROR(__xludf.DUMMYFUNCTION("""COMPUTED_VALUE"""),"OPTIMIZACIÓN DEL PROCESO PRODUCTIVO DE FABRICACIÓN DE MUEBLES MODULARES DE LA EMPRESA NAHI INDUSTRIAS S.R.L.")</f>
        <v>OPTIMIZACIÓN DEL PROCESO PRODUCTIVO DE FABRICACIÓN DE MUEBLES MODULARES DE LA EMPRESA NAHI INDUSTRIAS S.R.L.</v>
      </c>
      <c r="C626" s="58">
        <f>IFERROR(__xludf.DUMMYFUNCTION("""COMPUTED_VALUE"""),1.0)</f>
        <v>1</v>
      </c>
    </row>
    <row r="627">
      <c r="A627" s="58" t="str">
        <f>IFERROR(__xludf.DUMMYFUNCTION("""COMPUTED_VALUE"""),"OPTIMIZACIÓN")</f>
        <v>OPTIMIZACIÓN</v>
      </c>
      <c r="B627" s="58" t="str">
        <f>IFERROR(__xludf.DUMMYFUNCTION("""COMPUTED_VALUE"""),"OPTIMIZACIÓN DEL PROCESO PRODUCTIVO DE LADRILLO GAMBOTE MEDIANTE LA ADMINISTRACIÓN DE OPERACIONES PARA LOS PRODUCTORES DE LA ZONA SUD")</f>
        <v>OPTIMIZACIÓN DEL PROCESO PRODUCTIVO DE LADRILLO GAMBOTE MEDIANTE LA ADMINISTRACIÓN DE OPERACIONES PARA LOS PRODUCTORES DE LA ZONA SUD</v>
      </c>
      <c r="C627" s="58">
        <f>IFERROR(__xludf.DUMMYFUNCTION("""COMPUTED_VALUE"""),2.0)</f>
        <v>2</v>
      </c>
    </row>
    <row r="628">
      <c r="A628" s="58" t="str">
        <f>IFERROR(__xludf.DUMMYFUNCTION("""COMPUTED_VALUE"""),"OPTIMIZACIÓN")</f>
        <v>OPTIMIZACIÓN</v>
      </c>
      <c r="B628" s="58" t="str">
        <f>IFERROR(__xludf.DUMMYFUNCTION("""COMPUTED_VALUE"""),"OPTIMIZACIÓN DEL PROCESO PRODUCTIVO EN MODULARES DE LIVING ""MUEBLES A. MURIEL C.""")</f>
        <v>OPTIMIZACIÓN DEL PROCESO PRODUCTIVO EN MODULARES DE LIVING "MUEBLES A. MURIEL C."</v>
      </c>
      <c r="C628" s="58">
        <f>IFERROR(__xludf.DUMMYFUNCTION("""COMPUTED_VALUE"""),3.0)</f>
        <v>3</v>
      </c>
    </row>
    <row r="629">
      <c r="A629" s="58" t="str">
        <f>IFERROR(__xludf.DUMMYFUNCTION("""COMPUTED_VALUE"""),"OPTIMIZACIÓN")</f>
        <v>OPTIMIZACIÓN</v>
      </c>
      <c r="B629" s="58" t="str">
        <f>IFERROR(__xludf.DUMMYFUNCTION("""COMPUTED_VALUE"""),"OPTIMIZACIÓN DEL PROCESO PRODUCTIVO Y ADMINISTRATIVO DE LA EMPRESA PURIFICADORA DE AGUA  AQUA NUESTRA")</f>
        <v>OPTIMIZACIÓN DEL PROCESO PRODUCTIVO Y ADMINISTRATIVO DE LA EMPRESA PURIFICADORA DE AGUA  AQUA NUESTRA</v>
      </c>
      <c r="C629" s="58">
        <f>IFERROR(__xludf.DUMMYFUNCTION("""COMPUTED_VALUE"""),2.0)</f>
        <v>2</v>
      </c>
    </row>
    <row r="630">
      <c r="A630" s="58" t="str">
        <f>IFERROR(__xludf.DUMMYFUNCTION("""COMPUTED_VALUE"""),"OPTIMIZACIÓN")</f>
        <v>OPTIMIZACIÓN</v>
      </c>
      <c r="B630" s="58" t="str">
        <f>IFERROR(__xludf.DUMMYFUNCTION("""COMPUTED_VALUE"""),"OPTIMIZACIÓN DEL PROCESO PRODUCTIVO Y MEJORA DE LAS CONDICIONES OCUPACIONALES EN LA LÍNEA DE PRODUCCIÓN DE GARRAFAS DE GLP EN LA FÁBRICA FANACIM SRL.")</f>
        <v>OPTIMIZACIÓN DEL PROCESO PRODUCTIVO Y MEJORA DE LAS CONDICIONES OCUPACIONALES EN LA LÍNEA DE PRODUCCIÓN DE GARRAFAS DE GLP EN LA FÁBRICA FANACIM SRL.</v>
      </c>
      <c r="C630" s="58">
        <f>IFERROR(__xludf.DUMMYFUNCTION("""COMPUTED_VALUE"""),1.0)</f>
        <v>1</v>
      </c>
    </row>
    <row r="631">
      <c r="A631" s="58" t="str">
        <f>IFERROR(__xludf.DUMMYFUNCTION("""COMPUTED_VALUE"""),"OPTIMIZACIÓN")</f>
        <v>OPTIMIZACIÓN</v>
      </c>
      <c r="B631" s="58" t="str">
        <f>IFERROR(__xludf.DUMMYFUNCTION("""COMPUTED_VALUE"""),"OPTIMIZACIÓN EN EL ÁREA DE METALMECÁNICA DE LOS PROCESOS DE FABRICACIÓN DE LA LÍNEA CRAZY EN LA EMPRESA MOPAR S.A.")</f>
        <v>OPTIMIZACIÓN EN EL ÁREA DE METALMECÁNICA DE LOS PROCESOS DE FABRICACIÓN DE LA LÍNEA CRAZY EN LA EMPRESA MOPAR S.A.</v>
      </c>
      <c r="C631" s="58">
        <f>IFERROR(__xludf.DUMMYFUNCTION("""COMPUTED_VALUE"""),1.0)</f>
        <v>1</v>
      </c>
    </row>
    <row r="632">
      <c r="A632" s="58" t="str">
        <f>IFERROR(__xludf.DUMMYFUNCTION("""COMPUTED_VALUE"""),"OPTIMIZACIÓN")</f>
        <v>OPTIMIZACIÓN</v>
      </c>
      <c r="B632" s="58" t="str">
        <f>IFERROR(__xludf.DUMMYFUNCTION("""COMPUTED_VALUE"""),"PLAN DE MEJORAMIENTO DE LA PRODUCTIVIDAD APLICANDO LAS HERRAMIENTAS DEL JUSTO A TIEMPO EN LA PRODUCCIÓN DE BALONES DE FÚTBOL PARA LA FÁBRICA DE BALONES LITORAL")</f>
        <v>PLAN DE MEJORAMIENTO DE LA PRODUCTIVIDAD APLICANDO LAS HERRAMIENTAS DEL JUSTO A TIEMPO EN LA PRODUCCIÓN DE BALONES DE FÚTBOL PARA LA FÁBRICA DE BALONES LITORAL</v>
      </c>
      <c r="C632" s="58">
        <f>IFERROR(__xludf.DUMMYFUNCTION("""COMPUTED_VALUE"""),5.0)</f>
        <v>5</v>
      </c>
    </row>
    <row r="633">
      <c r="A633" s="58" t="str">
        <f>IFERROR(__xludf.DUMMYFUNCTION("""COMPUTED_VALUE"""),"OPTIMIZACIÓN")</f>
        <v>OPTIMIZACIÓN</v>
      </c>
      <c r="B633" s="58" t="str">
        <f>IFERROR(__xludf.DUMMYFUNCTION("""COMPUTED_VALUE"""),"PLAN DE MEJORAMIENTO DE LOS PROCESOS DE CARGA Y ENCOMIENDA, VENTA DE PASAJES Y MANTENIMIENTO DE LOS BUSES DE LA EMPRESA “TRANS COPACABANA S.A.")</f>
        <v>PLAN DE MEJORAMIENTO DE LOS PROCESOS DE CARGA Y ENCOMIENDA, VENTA DE PASAJES Y MANTENIMIENTO DE LOS BUSES DE LA EMPRESA “TRANS COPACABANA S.A.</v>
      </c>
      <c r="C633" s="58">
        <f>IFERROR(__xludf.DUMMYFUNCTION("""COMPUTED_VALUE"""),2.0)</f>
        <v>2</v>
      </c>
    </row>
    <row r="634">
      <c r="A634" s="58" t="str">
        <f>IFERROR(__xludf.DUMMYFUNCTION("""COMPUTED_VALUE"""),"OPTIMIZACIÓN")</f>
        <v>OPTIMIZACIÓN</v>
      </c>
      <c r="B634" s="58" t="str">
        <f>IFERROR(__xludf.DUMMYFUNCTION("""COMPUTED_VALUE"""),"PLAN DE MEJORAMIENTO EN LAS ÁREAS DE PRODUCCIÓN Y COMERCIALIZACIÓN CON UN ENFOQUE ESTRATÉGICO PARA LA EMPRESA QUALITECH SRL.")</f>
        <v>PLAN DE MEJORAMIENTO EN LAS ÁREAS DE PRODUCCIÓN Y COMERCIALIZACIÓN CON UN ENFOQUE ESTRATÉGICO PARA LA EMPRESA QUALITECH SRL.</v>
      </c>
      <c r="C634" s="58">
        <f>IFERROR(__xludf.DUMMYFUNCTION("""COMPUTED_VALUE"""),3.0)</f>
        <v>3</v>
      </c>
    </row>
    <row r="635">
      <c r="A635" s="58" t="str">
        <f>IFERROR(__xludf.DUMMYFUNCTION("""COMPUTED_VALUE"""),"OPTIMIZACIÓN")</f>
        <v>OPTIMIZACIÓN</v>
      </c>
      <c r="B635" s="58" t="str">
        <f>IFERROR(__xludf.DUMMYFUNCTION("""COMPUTED_VALUE"""),"PROGRAMA DE MEJORAMIENTO DE LA OPERATIVA LOGÍSTICA EN EL ÁREA DE ALMACENES COMO UN COMPONENTE ESTRATÉGICO PARA LA COMERCIALIZADORA “AGRO IMPORT COLUMBIA S.R.L""")</f>
        <v>PROGRAMA DE MEJORAMIENTO DE LA OPERATIVA LOGÍSTICA EN EL ÁREA DE ALMACENES COMO UN COMPONENTE ESTRATÉGICO PARA LA COMERCIALIZADORA “AGRO IMPORT COLUMBIA S.R.L"</v>
      </c>
      <c r="C635" s="58">
        <f>IFERROR(__xludf.DUMMYFUNCTION("""COMPUTED_VALUE"""),4.0)</f>
        <v>4</v>
      </c>
    </row>
    <row r="636">
      <c r="A636" s="58" t="str">
        <f>IFERROR(__xludf.DUMMYFUNCTION("""COMPUTED_VALUE"""),"OPTIMIZACIÓN")</f>
        <v>OPTIMIZACIÓN</v>
      </c>
      <c r="B636" s="58" t="str">
        <f>IFERROR(__xludf.DUMMYFUNCTION("""COMPUTED_VALUE"""),"PROPUESTA DE MEJORA INTEGRADA")</f>
        <v>PROPUESTA DE MEJORA INTEGRADA</v>
      </c>
      <c r="C636" s="58">
        <f>IFERROR(__xludf.DUMMYFUNCTION("""COMPUTED_VALUE"""),4.0)</f>
        <v>4</v>
      </c>
    </row>
    <row r="637">
      <c r="A637" s="58" t="str">
        <f>IFERROR(__xludf.DUMMYFUNCTION("""COMPUTED_VALUE"""),"OPTIMIZACIÓN")</f>
        <v>OPTIMIZACIÓN</v>
      </c>
      <c r="B637" s="58" t="str">
        <f>IFERROR(__xludf.DUMMYFUNCTION("""COMPUTED_VALUE"""),"PROPUESTA PARA LA OPTIMIZACIÓN DE LA CADENA DE SUMINISTRO PARA LA EMPRESA HAMMER JEANS BAJO LA METODOLOGÍA DEL MODELO SUPPLY CHAIN OPERATIONS REFERENCE (SCOR), ASISTIDA POR TECNOLOGÍAS DE LA INFORMACIÓN Y COMUNICACIÓN (TIC)")</f>
        <v>PROPUESTA PARA LA OPTIMIZACIÓN DE LA CADENA DE SUMINISTRO PARA LA EMPRESA HAMMER JEANS BAJO LA METODOLOGÍA DEL MODELO SUPPLY CHAIN OPERATIONS REFERENCE (SCOR), ASISTIDA POR TECNOLOGÍAS DE LA INFORMACIÓN Y COMUNICACIÓN (TIC)</v>
      </c>
      <c r="C637" s="58">
        <f>IFERROR(__xludf.DUMMYFUNCTION("""COMPUTED_VALUE"""),4.0)</f>
        <v>4</v>
      </c>
    </row>
    <row r="638">
      <c r="A638" s="58" t="str">
        <f>IFERROR(__xludf.DUMMYFUNCTION("""COMPUTED_VALUE"""),"OPTIMIZACIÓN")</f>
        <v>OPTIMIZACIÓN</v>
      </c>
      <c r="B638" s="58" t="str">
        <f>IFERROR(__xludf.DUMMYFUNCTION("""COMPUTED_VALUE"""),"PROPUESTA TÉCNICA Y FINANCIERA PARA MEJORAR LA PRODUCTIVIDAD DE EUCALIPTOL EN EL CENTRO DE TECNOLOGÍA AGROINDUSTRIAL DE LA FCYT - UMSS")</f>
        <v>PROPUESTA TÉCNICA Y FINANCIERA PARA MEJORAR LA PRODUCTIVIDAD DE EUCALIPTOL EN EL CENTRO DE TECNOLOGÍA AGROINDUSTRIAL DE LA FCYT - UMSS</v>
      </c>
      <c r="C638" s="58">
        <f>IFERROR(__xludf.DUMMYFUNCTION("""COMPUTED_VALUE"""),5.0)</f>
        <v>5</v>
      </c>
    </row>
    <row r="639">
      <c r="A639" s="58" t="str">
        <f>IFERROR(__xludf.DUMMYFUNCTION("""COMPUTED_VALUE"""),"OPTIMIZACIÓN")</f>
        <v>OPTIMIZACIÓN</v>
      </c>
      <c r="B639" s="58" t="str">
        <f>IFERROR(__xludf.DUMMYFUNCTION("""COMPUTED_VALUE"""),"PROPUESTAS DE MEJORAS DE ADECUACIÓN AMBIENTAL PARA LAS UNIDADES PRODUCTIVAS DEL PARQUE INDUSTRIAL DE SANTIVAÑEZ")</f>
        <v>PROPUESTAS DE MEJORAS DE ADECUACIÓN AMBIENTAL PARA LAS UNIDADES PRODUCTIVAS DEL PARQUE INDUSTRIAL DE SANTIVAÑEZ</v>
      </c>
      <c r="C639" s="58">
        <f>IFERROR(__xludf.DUMMYFUNCTION("""COMPUTED_VALUE"""),1.0)</f>
        <v>1</v>
      </c>
    </row>
    <row r="640">
      <c r="A640" s="58" t="str">
        <f>IFERROR(__xludf.DUMMYFUNCTION("""COMPUTED_VALUE"""),"OPTIMIZACIÓN")</f>
        <v>OPTIMIZACIÓN</v>
      </c>
      <c r="B640" s="58" t="str">
        <f>IFERROR(__xludf.DUMMYFUNCTION("""COMPUTED_VALUE"""),"REDISEÑOS DE PROCESOS OPERATIVOS PARA LA ADAPTACIÓN DE UN SISTEMA ERP DE INDUSTRIAS NAHÍ CORPORACIÓN S.R.L.")</f>
        <v>REDISEÑOS DE PROCESOS OPERATIVOS PARA LA ADAPTACIÓN DE UN SISTEMA ERP DE INDUSTRIAS NAHÍ CORPORACIÓN S.R.L.</v>
      </c>
      <c r="C640" s="58">
        <f>IFERROR(__xludf.DUMMYFUNCTION("""COMPUTED_VALUE"""),2.0)</f>
        <v>2</v>
      </c>
    </row>
    <row r="641">
      <c r="A641" s="58" t="str">
        <f>IFERROR(__xludf.DUMMYFUNCTION("""COMPUTED_VALUE"""),"OPTIMIZACIÓN")</f>
        <v>OPTIMIZACIÓN</v>
      </c>
      <c r="B641" s="58" t="str">
        <f>IFERROR(__xludf.DUMMYFUNCTION("""COMPUTED_VALUE"""),"“DISEÑO DE UN MODELO INTEGRADO PARA LA OPTIMIZACIÓN DEL SISTEMA DE DISTRIBUCIÓN DE LOS PRODUCTOS DE PIL ANDINA S.A.”")</f>
        <v>“DISEÑO DE UN MODELO INTEGRADO PARA LA OPTIMIZACIÓN DEL SISTEMA DE DISTRIBUCIÓN DE LOS PRODUCTOS DE PIL ANDINA S.A.”</v>
      </c>
      <c r="C641" s="58">
        <f>IFERROR(__xludf.DUMMYFUNCTION("""COMPUTED_VALUE"""),6.0)</f>
        <v>6</v>
      </c>
    </row>
    <row r="642">
      <c r="A642" s="58" t="str">
        <f>IFERROR(__xludf.DUMMYFUNCTION("""COMPUTED_VALUE"""),"ORGANIZACION INDUTRIAL")</f>
        <v>ORGANIZACION INDUTRIAL</v>
      </c>
      <c r="B642" s="58" t="str">
        <f>IFERROR(__xludf.DUMMYFUNCTION("""COMPUTED_VALUE"""),"PLAN DE EMERGENCIAS Y CONTINGENCIAS EN LA COMPAÑÍA PAPELERA MENDOZA “COPELME S.A.")</f>
        <v>PLAN DE EMERGENCIAS Y CONTINGENCIAS EN LA COMPAÑÍA PAPELERA MENDOZA “COPELME S.A.</v>
      </c>
      <c r="C642" s="58">
        <f>IFERROR(__xludf.DUMMYFUNCTION("""COMPUTED_VALUE"""),2.0)</f>
        <v>2</v>
      </c>
    </row>
    <row r="643">
      <c r="A643" s="58" t="str">
        <f>IFERROR(__xludf.DUMMYFUNCTION("""COMPUTED_VALUE"""),"ORGANIZACIÓN INDUSTRIAL")</f>
        <v>ORGANIZACIÓN INDUSTRIAL</v>
      </c>
      <c r="B643" s="58" t="str">
        <f>IFERROR(__xludf.DUMMYFUNCTION("""COMPUTED_VALUE"""),"ANÁLISIS DE LA CULTURA Y EL CLIMA ORGANIZACIONAL EN EL CENTRO DE TECNOLOGÍA AGROINDUSTRIAL")</f>
        <v>ANÁLISIS DE LA CULTURA Y EL CLIMA ORGANIZACIONAL EN EL CENTRO DE TECNOLOGÍA AGROINDUSTRIAL</v>
      </c>
      <c r="C643" s="58">
        <f>IFERROR(__xludf.DUMMYFUNCTION("""COMPUTED_VALUE"""),1.0)</f>
        <v>1</v>
      </c>
    </row>
    <row r="644">
      <c r="A644" s="58" t="str">
        <f>IFERROR(__xludf.DUMMYFUNCTION("""COMPUTED_VALUE"""),"ORGANIZACIÓN INDUSTRIAL")</f>
        <v>ORGANIZACIÓN INDUSTRIAL</v>
      </c>
      <c r="B644" s="58" t="str">
        <f>IFERROR(__xludf.DUMMYFUNCTION("""COMPUTED_VALUE"""),"DISEÑO DE LA ESTRUCTURA ORGANIZATIVA BAJO EL ENFOQUE BASADO EN PROCESOS PARA LA INCUBADORA DE EMPRESAS DE BASE TECNOLÓGICA”EMBATE” DE LA FACULTAD DE CIENCIAS Y TECNOLOGÍA.")</f>
        <v>DISEÑO DE LA ESTRUCTURA ORGANIZATIVA BAJO EL ENFOQUE BASADO EN PROCESOS PARA LA INCUBADORA DE EMPRESAS DE BASE TECNOLÓGICA”EMBATE” DE LA FACULTAD DE CIENCIAS Y TECNOLOGÍA.</v>
      </c>
      <c r="C644" s="58">
        <f>IFERROR(__xludf.DUMMYFUNCTION("""COMPUTED_VALUE"""),2.0)</f>
        <v>2</v>
      </c>
    </row>
    <row r="645">
      <c r="A645" s="58" t="str">
        <f>IFERROR(__xludf.DUMMYFUNCTION("""COMPUTED_VALUE"""),"ORGANIZACIÓN INDUSTRIAL")</f>
        <v>ORGANIZACIÓN INDUSTRIAL</v>
      </c>
      <c r="B645" s="58" t="str">
        <f>IFERROR(__xludf.DUMMYFUNCTION("""COMPUTED_VALUE"""),"DISEÑO DE UN MODELO ADMINISTRATIVO PARA LA MEJORA DEL FUNCIONAMIENTO DE LA EMPRESA DE SERVICIOS ELÉCTRICOS DEL TRÓPICO")</f>
        <v>DISEÑO DE UN MODELO ADMINISTRATIVO PARA LA MEJORA DEL FUNCIONAMIENTO DE LA EMPRESA DE SERVICIOS ELÉCTRICOS DEL TRÓPICO</v>
      </c>
      <c r="C645" s="58">
        <f>IFERROR(__xludf.DUMMYFUNCTION("""COMPUTED_VALUE"""),2.0)</f>
        <v>2</v>
      </c>
    </row>
    <row r="646">
      <c r="A646" s="58" t="str">
        <f>IFERROR(__xludf.DUMMYFUNCTION("""COMPUTED_VALUE"""),"ORGANIZACIÓN INDUSTRIAL")</f>
        <v>ORGANIZACIÓN INDUSTRIAL</v>
      </c>
      <c r="B646" s="58" t="str">
        <f>IFERROR(__xludf.DUMMYFUNCTION("""COMPUTED_VALUE"""),"DISEÑO DE UN MODELO DE CULTURA ORGANIZACIONAL PARA MEJORAR LAS RELACIONES HUMANAS EN LA UNIDAD DE COBOCE CONSTRUCCIONES")</f>
        <v>DISEÑO DE UN MODELO DE CULTURA ORGANIZACIONAL PARA MEJORAR LAS RELACIONES HUMANAS EN LA UNIDAD DE COBOCE CONSTRUCCIONES</v>
      </c>
      <c r="C646" s="58">
        <f>IFERROR(__xludf.DUMMYFUNCTION("""COMPUTED_VALUE"""),1.0)</f>
        <v>1</v>
      </c>
    </row>
    <row r="647">
      <c r="A647" s="58" t="str">
        <f>IFERROR(__xludf.DUMMYFUNCTION("""COMPUTED_VALUE"""),"ORGANIZACIÓN INDUSTRIAL")</f>
        <v>ORGANIZACIÓN INDUSTRIAL</v>
      </c>
      <c r="B647" s="58" t="str">
        <f>IFERROR(__xludf.DUMMYFUNCTION("""COMPUTED_VALUE"""),"DISEÑO E IMPLEMENTACIÓN DE UN MANUAL DE PROCEDIMIENTOS PARA LA EMPRESA SERING S.R.L.")</f>
        <v>DISEÑO E IMPLEMENTACIÓN DE UN MANUAL DE PROCEDIMIENTOS PARA LA EMPRESA SERING S.R.L.</v>
      </c>
      <c r="C647" s="58">
        <f>IFERROR(__xludf.DUMMYFUNCTION("""COMPUTED_VALUE"""),3.0)</f>
        <v>3</v>
      </c>
    </row>
    <row r="648">
      <c r="A648" s="58" t="str">
        <f>IFERROR(__xludf.DUMMYFUNCTION("""COMPUTED_VALUE"""),"ORGANIZACIÓN INDUSTRIAL")</f>
        <v>ORGANIZACIÓN INDUSTRIAL</v>
      </c>
      <c r="B648" s="58" t="str">
        <f>IFERROR(__xludf.DUMMYFUNCTION("""COMPUTED_VALUE"""),"ELABORACION DE UN MANUAL DE PROCEDIMIENTOS BASADO EN EL MODELO DE GESTION POR PROCESOS PARA LA PLANTA ENGARRAFADORA DE YPFB VALLEHERMOSO COCHABAMBA")</f>
        <v>ELABORACION DE UN MANUAL DE PROCEDIMIENTOS BASADO EN EL MODELO DE GESTION POR PROCESOS PARA LA PLANTA ENGARRAFADORA DE YPFB VALLEHERMOSO COCHABAMBA</v>
      </c>
      <c r="C648" s="58">
        <f>IFERROR(__xludf.DUMMYFUNCTION("""COMPUTED_VALUE"""),4.0)</f>
        <v>4</v>
      </c>
    </row>
    <row r="649">
      <c r="A649" s="58" t="str">
        <f>IFERROR(__xludf.DUMMYFUNCTION("""COMPUTED_VALUE"""),"ORGANIZACIÓN INDUSTRIAL")</f>
        <v>ORGANIZACIÓN INDUSTRIAL</v>
      </c>
      <c r="B649" s="58" t="str">
        <f>IFERROR(__xludf.DUMMYFUNCTION("""COMPUTED_VALUE"""),"ELABORACIÓN DE UN MANUAL DE PROCEDIMIENTOS PARA EL CENTRO DE OPERACIONES DE REDES (NOC) DE COMTECO.")</f>
        <v>ELABORACIÓN DE UN MANUAL DE PROCEDIMIENTOS PARA EL CENTRO DE OPERACIONES DE REDES (NOC) DE COMTECO.</v>
      </c>
      <c r="C649" s="58">
        <f>IFERROR(__xludf.DUMMYFUNCTION("""COMPUTED_VALUE"""),1.0)</f>
        <v>1</v>
      </c>
    </row>
    <row r="650">
      <c r="A650" s="58" t="str">
        <f>IFERROR(__xludf.DUMMYFUNCTION("""COMPUTED_VALUE"""),"ORGANIZACIÓN INDUSTRIAL")</f>
        <v>ORGANIZACIÓN INDUSTRIAL</v>
      </c>
      <c r="B650" s="58" t="str">
        <f>IFERROR(__xludf.DUMMYFUNCTION("""COMPUTED_VALUE"""),"ELABORACIÓN DEL MANUAL DE PRODUCCIÓN DE CURTIEMBRE TAURO LTDA.")</f>
        <v>ELABORACIÓN DEL MANUAL DE PRODUCCIÓN DE CURTIEMBRE TAURO LTDA.</v>
      </c>
      <c r="C650" s="58">
        <f>IFERROR(__xludf.DUMMYFUNCTION("""COMPUTED_VALUE"""),1.0)</f>
        <v>1</v>
      </c>
    </row>
    <row r="651">
      <c r="A651" s="58" t="str">
        <f>IFERROR(__xludf.DUMMYFUNCTION("""COMPUTED_VALUE"""),"ORGANIZACIÓN INDUSTRIAL")</f>
        <v>ORGANIZACIÓN INDUSTRIAL</v>
      </c>
      <c r="B651" s="58" t="str">
        <f>IFERROR(__xludf.DUMMYFUNCTION("""COMPUTED_VALUE"""),"ESTRUCTURACIÓN ORGANIZACIONAL DE LA EMPRESA SMART LINK TELECOM")</f>
        <v>ESTRUCTURACIÓN ORGANIZACIONAL DE LA EMPRESA SMART LINK TELECOM</v>
      </c>
      <c r="C651" s="58">
        <f>IFERROR(__xludf.DUMMYFUNCTION("""COMPUTED_VALUE"""),1.0)</f>
        <v>1</v>
      </c>
    </row>
    <row r="652">
      <c r="A652" s="58" t="str">
        <f>IFERROR(__xludf.DUMMYFUNCTION("""COMPUTED_VALUE"""),"ORGANIZACIÓN INDUSTRIAL")</f>
        <v>ORGANIZACIÓN INDUSTRIAL</v>
      </c>
      <c r="B652" s="58" t="str">
        <f>IFERROR(__xludf.DUMMYFUNCTION("""COMPUTED_VALUE"""),"ESTUDIO DE REUBICACIÓN Y REORGANIZACIÓN DE INDUSTRIAS NOBLEZA")</f>
        <v>ESTUDIO DE REUBICACIÓN Y REORGANIZACIÓN DE INDUSTRIAS NOBLEZA</v>
      </c>
      <c r="C652" s="58">
        <f>IFERROR(__xludf.DUMMYFUNCTION("""COMPUTED_VALUE"""),1.0)</f>
        <v>1</v>
      </c>
    </row>
    <row r="653">
      <c r="A653" s="58" t="str">
        <f>IFERROR(__xludf.DUMMYFUNCTION("""COMPUTED_VALUE"""),"ORGANIZACIÓN INDUSTRIAL")</f>
        <v>ORGANIZACIÓN INDUSTRIAL</v>
      </c>
      <c r="B653" s="58" t="str">
        <f>IFERROR(__xludf.DUMMYFUNCTION("""COMPUTED_VALUE"""),"EVALUACIÓN Y DESARROLLO DE MEJORAS DE LOS PROCESOS OPERACIONALES EN ”YPFB LOGÍSTICA-PLANTA COCHABAMBA”")</f>
        <v>EVALUACIÓN Y DESARROLLO DE MEJORAS DE LOS PROCESOS OPERACIONALES EN ”YPFB LOGÍSTICA-PLANTA COCHABAMBA”</v>
      </c>
      <c r="C653" s="58">
        <f>IFERROR(__xludf.DUMMYFUNCTION("""COMPUTED_VALUE"""),2.0)</f>
        <v>2</v>
      </c>
    </row>
    <row r="654">
      <c r="A654" s="58" t="str">
        <f>IFERROR(__xludf.DUMMYFUNCTION("""COMPUTED_VALUE"""),"ORGANIZACIÓN INDUSTRIAL")</f>
        <v>ORGANIZACIÓN INDUSTRIAL</v>
      </c>
      <c r="B654" s="58" t="str">
        <f>IFERROR(__xludf.DUMMYFUNCTION("""COMPUTED_VALUE"""),"MODELO DE GESTIÓN ORGANIZACIONAL PARA LA EMPRESA COINMAR")</f>
        <v>MODELO DE GESTIÓN ORGANIZACIONAL PARA LA EMPRESA COINMAR</v>
      </c>
      <c r="C654" s="58">
        <f>IFERROR(__xludf.DUMMYFUNCTION("""COMPUTED_VALUE"""),2.0)</f>
        <v>2</v>
      </c>
    </row>
    <row r="655">
      <c r="A655" s="58" t="str">
        <f>IFERROR(__xludf.DUMMYFUNCTION("""COMPUTED_VALUE"""),"ORGANIZACIÓN INDUSTRIAL")</f>
        <v>ORGANIZACIÓN INDUSTRIAL</v>
      </c>
      <c r="B655" s="58" t="str">
        <f>IFERROR(__xludf.DUMMYFUNCTION("""COMPUTED_VALUE"""),"PLAN DE CAPACITACIÓN EN LA PRODUCCIÓN DE MARROQUINERÍA PARA MUJERES AUSPICIADO POR LA CURTIEMBRE TAURO LTDA.")</f>
        <v>PLAN DE CAPACITACIÓN EN LA PRODUCCIÓN DE MARROQUINERÍA PARA MUJERES AUSPICIADO POR LA CURTIEMBRE TAURO LTDA.</v>
      </c>
      <c r="C655" s="58">
        <f>IFERROR(__xludf.DUMMYFUNCTION("""COMPUTED_VALUE"""),1.0)</f>
        <v>1</v>
      </c>
    </row>
    <row r="656">
      <c r="A656" s="58" t="str">
        <f>IFERROR(__xludf.DUMMYFUNCTION("""COMPUTED_VALUE"""),"ORGANIZACIÓN INDUSTRIAL")</f>
        <v>ORGANIZACIÓN INDUSTRIAL</v>
      </c>
      <c r="B656" s="58" t="str">
        <f>IFERROR(__xludf.DUMMYFUNCTION("""COMPUTED_VALUE"""),"PROPUESTA DE UN MODELO ORGANIZACIONAL PARA LA UNIVERSIDAD MAYOR DE SAN SIMÓN")</f>
        <v>PROPUESTA DE UN MODELO ORGANIZACIONAL PARA LA UNIVERSIDAD MAYOR DE SAN SIMÓN</v>
      </c>
      <c r="C656" s="58">
        <f>IFERROR(__xludf.DUMMYFUNCTION("""COMPUTED_VALUE"""),1.0)</f>
        <v>1</v>
      </c>
    </row>
    <row r="657">
      <c r="A657" s="58" t="str">
        <f>IFERROR(__xludf.DUMMYFUNCTION("""COMPUTED_VALUE"""),"ORGANIZACIÓN INDUSTRIAL")</f>
        <v>ORGANIZACIÓN INDUSTRIAL</v>
      </c>
      <c r="B657" s="58" t="str">
        <f>IFERROR(__xludf.DUMMYFUNCTION("""COMPUTED_VALUE"""),"REORGANIZACIÓN DEL PROCESO PRODUCTIVO EN LA EMPRESA INDUSTRIA DE CONDUCTORES (IDECON)")</f>
        <v>REORGANIZACIÓN DEL PROCESO PRODUCTIVO EN LA EMPRESA INDUSTRIA DE CONDUCTORES (IDECON)</v>
      </c>
      <c r="C657" s="58">
        <f>IFERROR(__xludf.DUMMYFUNCTION("""COMPUTED_VALUE"""),3.0)</f>
        <v>3</v>
      </c>
    </row>
    <row r="658">
      <c r="A658" s="58" t="str">
        <f>IFERROR(__xludf.DUMMYFUNCTION("""COMPUTED_VALUE"""),"OTROS")</f>
        <v>OTROS</v>
      </c>
      <c r="B658" s="58" t="str">
        <f>IFERROR(__xludf.DUMMYFUNCTION("""COMPUTED_VALUE"""),"DESARROLLO DE BUENAS PRÁCTICA DE MANUFACTURA Y PLAN DE SANEAMIENTO BÁSICO PARA LA FÁBRICA DE  CRISTAL.")</f>
        <v>DESARROLLO DE BUENAS PRÁCTICA DE MANUFACTURA Y PLAN DE SANEAMIENTO BÁSICO PARA LA FÁBRICA DE  CRISTAL.</v>
      </c>
      <c r="C658" s="58">
        <f>IFERROR(__xludf.DUMMYFUNCTION("""COMPUTED_VALUE"""),2.0)</f>
        <v>2</v>
      </c>
    </row>
    <row r="659">
      <c r="A659" s="58" t="str">
        <f>IFERROR(__xludf.DUMMYFUNCTION("""COMPUTED_VALUE"""),"OTROS")</f>
        <v>OTROS</v>
      </c>
      <c r="B659" s="58" t="str">
        <f>IFERROR(__xludf.DUMMYFUNCTION("""COMPUTED_VALUE"""),"DISEÑO DE UN SISTEMA DE GESTIÓN AMBIENTAL DE ACUERDO A LA NORMA ISO 14001:2015 PARA LA EMPRESA COBOCE HORMIGÓN EN EL DEPARTAMENTO DE COCHABAMBA, PROVINCIA CERCADO")</f>
        <v>DISEÑO DE UN SISTEMA DE GESTIÓN AMBIENTAL DE ACUERDO A LA NORMA ISO 14001:2015 PARA LA EMPRESA COBOCE HORMIGÓN EN EL DEPARTAMENTO DE COCHABAMBA, PROVINCIA CERCADO</v>
      </c>
      <c r="C659" s="58">
        <f>IFERROR(__xludf.DUMMYFUNCTION("""COMPUTED_VALUE"""),13.0)</f>
        <v>13</v>
      </c>
    </row>
    <row r="660">
      <c r="A660" s="58" t="str">
        <f>IFERROR(__xludf.DUMMYFUNCTION("""COMPUTED_VALUE"""),"OTROS")</f>
        <v>OTROS</v>
      </c>
      <c r="B660" s="58" t="str">
        <f>IFERROR(__xludf.DUMMYFUNCTION("""COMPUTED_VALUE"""),"ESTUDIO PARA LA REFORMULACIÓN DE LA NORMA BOLIVIANA PARA CEMENTO")</f>
        <v>ESTUDIO PARA LA REFORMULACIÓN DE LA NORMA BOLIVIANA PARA CEMENTO</v>
      </c>
      <c r="C660" s="58">
        <f>IFERROR(__xludf.DUMMYFUNCTION("""COMPUTED_VALUE"""),1.0)</f>
        <v>1</v>
      </c>
    </row>
    <row r="661">
      <c r="A661" s="58" t="str">
        <f>IFERROR(__xludf.DUMMYFUNCTION("""COMPUTED_VALUE"""),"OTROS")</f>
        <v>OTROS</v>
      </c>
      <c r="B661" s="58" t="str">
        <f>IFERROR(__xludf.DUMMYFUNCTION("""COMPUTED_VALUE"""),"ESTUDIO SOBRE LAS CONDICIONES EXISTENTES EN BOLIVIA PARA LA CONSTITUCIÓN DE CENTROS DE INVESTIGACIÓN CIENTÍFICA (CIC)")</f>
        <v>ESTUDIO SOBRE LAS CONDICIONES EXISTENTES EN BOLIVIA PARA LA CONSTITUCIÓN DE CENTROS DE INVESTIGACIÓN CIENTÍFICA (CIC)</v>
      </c>
      <c r="C661" s="58">
        <f>IFERROR(__xludf.DUMMYFUNCTION("""COMPUTED_VALUE"""),1.0)</f>
        <v>1</v>
      </c>
    </row>
    <row r="662">
      <c r="A662" s="58" t="str">
        <f>IFERROR(__xludf.DUMMYFUNCTION("""COMPUTED_VALUE"""),"OTROS")</f>
        <v>OTROS</v>
      </c>
      <c r="B662" s="58" t="str">
        <f>IFERROR(__xludf.DUMMYFUNCTION("""COMPUTED_VALUE"""),"INVESTIGACIÓN PARA LA PRODUCCIÓN DE HARINA DE HOJA DE COCA")</f>
        <v>INVESTIGACIÓN PARA LA PRODUCCIÓN DE HARINA DE HOJA DE COCA</v>
      </c>
      <c r="C662" s="58">
        <f>IFERROR(__xludf.DUMMYFUNCTION("""COMPUTED_VALUE"""),1.0)</f>
        <v>1</v>
      </c>
    </row>
    <row r="663">
      <c r="A663" s="58" t="str">
        <f>IFERROR(__xludf.DUMMYFUNCTION("""COMPUTED_VALUE"""),"OTROS")</f>
        <v>OTROS</v>
      </c>
      <c r="B663" s="58" t="str">
        <f>IFERROR(__xludf.DUMMYFUNCTION("""COMPUTED_VALUE"""),"MEJORAS TECNOLÓGICAS PARA LA PLANTA DE FABRICACIÓN DE LA CERÁMICA ROJA DIPAFEX.")</f>
        <v>MEJORAS TECNOLÓGICAS PARA LA PLANTA DE FABRICACIÓN DE LA CERÁMICA ROJA DIPAFEX.</v>
      </c>
      <c r="C663" s="58">
        <f>IFERROR(__xludf.DUMMYFUNCTION("""COMPUTED_VALUE"""),2.0)</f>
        <v>2</v>
      </c>
    </row>
    <row r="664">
      <c r="A664" s="58" t="str">
        <f>IFERROR(__xludf.DUMMYFUNCTION("""COMPUTED_VALUE"""),"OTROS")</f>
        <v>OTROS</v>
      </c>
      <c r="B664" s="58" t="str">
        <f>IFERROR(__xludf.DUMMYFUNCTION("""COMPUTED_VALUE"""),"MODELO HABITACIONAL FABRIL")</f>
        <v>MODELO HABITACIONAL FABRIL</v>
      </c>
      <c r="C664" s="58">
        <f>IFERROR(__xludf.DUMMYFUNCTION("""COMPUTED_VALUE"""),1.0)</f>
        <v>1</v>
      </c>
    </row>
    <row r="665">
      <c r="A665" s="58" t="str">
        <f>IFERROR(__xludf.DUMMYFUNCTION("""COMPUTED_VALUE"""),"OTROS")</f>
        <v>OTROS</v>
      </c>
      <c r="B665" s="58" t="str">
        <f>IFERROR(__xludf.DUMMYFUNCTION("""COMPUTED_VALUE"""),"PLAN DE GESTIÓN DE PROCESOS PARA EL DISEÑO DE UN SISTEMA ENFOCADO A LA TRIPLE HÉLICE DEL CLÚSTER DE ALIMENTOS COCHABAMBA")</f>
        <v>PLAN DE GESTIÓN DE PROCESOS PARA EL DISEÑO DE UN SISTEMA ENFOCADO A LA TRIPLE HÉLICE DEL CLÚSTER DE ALIMENTOS COCHABAMBA</v>
      </c>
      <c r="C665" s="58">
        <f>IFERROR(__xludf.DUMMYFUNCTION("""COMPUTED_VALUE"""),6.0)</f>
        <v>6</v>
      </c>
    </row>
    <row r="666">
      <c r="A666" s="58" t="str">
        <f>IFERROR(__xludf.DUMMYFUNCTION("""COMPUTED_VALUE"""),"OTROS")</f>
        <v>OTROS</v>
      </c>
      <c r="B666" s="58" t="str">
        <f>IFERROR(__xludf.DUMMYFUNCTION("""COMPUTED_VALUE"""),"PLAN DE MODERNIZACIÓN DE LA PANADERÍA QUIROZ")</f>
        <v>PLAN DE MODERNIZACIÓN DE LA PANADERÍA QUIROZ</v>
      </c>
      <c r="C666" s="58">
        <f>IFERROR(__xludf.DUMMYFUNCTION("""COMPUTED_VALUE"""),5.0)</f>
        <v>5</v>
      </c>
    </row>
    <row r="667">
      <c r="A667" s="58" t="str">
        <f>IFERROR(__xludf.DUMMYFUNCTION("""COMPUTED_VALUE"""),"OTROS")</f>
        <v>OTROS</v>
      </c>
      <c r="B667" s="58" t="str">
        <f>IFERROR(__xludf.DUMMYFUNCTION("""COMPUTED_VALUE"""),"PLAN DE SANEAMIENTO BÁSICO Y DISEÑO DE UN SISTEMA DE BUENAS PRÁCTICAS DE MANUFACTURA PARA LA EMPRESA INPROFE (INDUSTRIA PROCESADORA DE FRUTA EXÓTICA)")</f>
        <v>PLAN DE SANEAMIENTO BÁSICO Y DISEÑO DE UN SISTEMA DE BUENAS PRÁCTICAS DE MANUFACTURA PARA LA EMPRESA INPROFE (INDUSTRIA PROCESADORA DE FRUTA EXÓTICA)</v>
      </c>
      <c r="C667" s="58">
        <f>IFERROR(__xludf.DUMMYFUNCTION("""COMPUTED_VALUE"""),1.0)</f>
        <v>1</v>
      </c>
    </row>
    <row r="668">
      <c r="A668" s="58" t="str">
        <f>IFERROR(__xludf.DUMMYFUNCTION("""COMPUTED_VALUE"""),"OTROS")</f>
        <v>OTROS</v>
      </c>
      <c r="B668" s="58" t="str">
        <f>IFERROR(__xludf.DUMMYFUNCTION("""COMPUTED_VALUE"""),"PLAN DE SEGURIDAD INDUSTRIAL E HIGIENE OCUPACIONAL PARA LA CURTIEMBRE F.M.")</f>
        <v>PLAN DE SEGURIDAD INDUSTRIAL E HIGIENE OCUPACIONAL PARA LA CURTIEMBRE F.M.</v>
      </c>
      <c r="C668" s="58">
        <f>IFERROR(__xludf.DUMMYFUNCTION("""COMPUTED_VALUE"""),2.0)</f>
        <v>2</v>
      </c>
    </row>
    <row r="669">
      <c r="A669" s="58" t="str">
        <f>IFERROR(__xludf.DUMMYFUNCTION("""COMPUTED_VALUE"""),"PLAN DE NEGOCIOS")</f>
        <v>PLAN DE NEGOCIOS</v>
      </c>
      <c r="B669" s="58" t="str">
        <f>IFERROR(__xludf.DUMMYFUNCTION("""COMPUTED_VALUE"""),"DISEÑO DE UN PLAN DE NEGOCIOS DE FORTALECIMIENTO PARA LA ASOCIACIÓN DE PRODUCCIÓN TEXTIL K’ANCHAY")</f>
        <v>DISEÑO DE UN PLAN DE NEGOCIOS DE FORTALECIMIENTO PARA LA ASOCIACIÓN DE PRODUCCIÓN TEXTIL K’ANCHAY</v>
      </c>
      <c r="C669" s="58">
        <f>IFERROR(__xludf.DUMMYFUNCTION("""COMPUTED_VALUE"""),3.0)</f>
        <v>3</v>
      </c>
    </row>
    <row r="670">
      <c r="A670" s="58" t="str">
        <f>IFERROR(__xludf.DUMMYFUNCTION("""COMPUTED_VALUE"""),"PLAN DE NEGOCIOS")</f>
        <v>PLAN DE NEGOCIOS</v>
      </c>
      <c r="B670" s="58" t="str">
        <f>IFERROR(__xludf.DUMMYFUNCTION("""COMPUTED_VALUE"""),"PLAN DE NEGOCIOS - CONSULTORA LUIZAGA")</f>
        <v>PLAN DE NEGOCIOS - CONSULTORA LUIZAGA</v>
      </c>
      <c r="C670" s="58">
        <f>IFERROR(__xludf.DUMMYFUNCTION("""COMPUTED_VALUE"""),6.0)</f>
        <v>6</v>
      </c>
    </row>
    <row r="671">
      <c r="A671" s="58" t="str">
        <f>IFERROR(__xludf.DUMMYFUNCTION("""COMPUTED_VALUE"""),"PLAN DE NEGOCIOS")</f>
        <v>PLAN DE NEGOCIOS</v>
      </c>
      <c r="B671" s="58" t="str">
        <f>IFERROR(__xludf.DUMMYFUNCTION("""COMPUTED_VALUE"""),"PLAN DE NEGOCIOS PARA EL DESARROLLO Y POSICIONAMIENTO DE LA EMPRESA PRODUCTORA DE SAL “SAN JOAQUÍN”.")</f>
        <v>PLAN DE NEGOCIOS PARA EL DESARROLLO Y POSICIONAMIENTO DE LA EMPRESA PRODUCTORA DE SAL “SAN JOAQUÍN”.</v>
      </c>
      <c r="C671" s="58">
        <f>IFERROR(__xludf.DUMMYFUNCTION("""COMPUTED_VALUE"""),2.0)</f>
        <v>2</v>
      </c>
    </row>
    <row r="672">
      <c r="A672" s="58" t="str">
        <f>IFERROR(__xludf.DUMMYFUNCTION("""COMPUTED_VALUE"""),"PLAN DE NEGOCIOS")</f>
        <v>PLAN DE NEGOCIOS</v>
      </c>
      <c r="B672" s="58" t="str">
        <f>IFERROR(__xludf.DUMMYFUNCTION("""COMPUTED_VALUE"""),"PLAN DE NEGOCIOS PARA EL JUGO DE CAMU CAMU")</f>
        <v>PLAN DE NEGOCIOS PARA EL JUGO DE CAMU CAMU</v>
      </c>
      <c r="C672" s="58">
        <f>IFERROR(__xludf.DUMMYFUNCTION("""COMPUTED_VALUE"""),1.0)</f>
        <v>1</v>
      </c>
    </row>
    <row r="673">
      <c r="A673" s="58" t="str">
        <f>IFERROR(__xludf.DUMMYFUNCTION("""COMPUTED_VALUE"""),"PLAN DE NEGOCIOS")</f>
        <v>PLAN DE NEGOCIOS</v>
      </c>
      <c r="B673" s="58" t="str">
        <f>IFERROR(__xludf.DUMMYFUNCTION("""COMPUTED_VALUE"""),"PLAN DE NEGOCIOS PARA LA AMPLIACION DE SERVICIOS DE REPARACION Y           MANTENIMIENTO DE EQUIPOS ELECTRONICOS Y DIGITALES DEL HOGAR PARA LA EMPRESA SISTEC (SISTEMAS TÉCNICOS ELÉCTRICOS).")</f>
        <v>PLAN DE NEGOCIOS PARA LA AMPLIACION DE SERVICIOS DE REPARACION Y           MANTENIMIENTO DE EQUIPOS ELECTRONICOS Y DIGITALES DEL HOGAR PARA LA EMPRESA SISTEC (SISTEMAS TÉCNICOS ELÉCTRICOS).</v>
      </c>
      <c r="C673" s="58">
        <f>IFERROR(__xludf.DUMMYFUNCTION("""COMPUTED_VALUE"""),1.0)</f>
        <v>1</v>
      </c>
    </row>
    <row r="674">
      <c r="A674" s="58" t="str">
        <f>IFERROR(__xludf.DUMMYFUNCTION("""COMPUTED_VALUE"""),"PLAN DE NEGOCIOS")</f>
        <v>PLAN DE NEGOCIOS</v>
      </c>
      <c r="B674" s="58" t="str">
        <f>IFERROR(__xludf.DUMMYFUNCTION("""COMPUTED_VALUE"""),"PLAN DE NEGOCIOS PARA LA EMPRESA GESMAQ – GESTIÓN DE SOLUCIONES EN MAQUINARIA")</f>
        <v>PLAN DE NEGOCIOS PARA LA EMPRESA GESMAQ – GESTIÓN DE SOLUCIONES EN MAQUINARIA</v>
      </c>
      <c r="C674" s="58">
        <f>IFERROR(__xludf.DUMMYFUNCTION("""COMPUTED_VALUE"""),1.0)</f>
        <v>1</v>
      </c>
    </row>
    <row r="675">
      <c r="A675" s="58" t="str">
        <f>IFERROR(__xludf.DUMMYFUNCTION("""COMPUTED_VALUE"""),"PLAN DE NEGOCIOS")</f>
        <v>PLAN DE NEGOCIOS</v>
      </c>
      <c r="B675" s="58" t="str">
        <f>IFERROR(__xludf.DUMMYFUNCTION("""COMPUTED_VALUE"""),"PLAN DE NEGOCIOS PARA LA FACTIBILIDAD DE UNA LÍNEA DE REFRESCOS EN BASE A TÉ VERDE PARA LA EMPRESA PATUJÚ DEL CLÚSTER DE ALIMENTOS")</f>
        <v>PLAN DE NEGOCIOS PARA LA FACTIBILIDAD DE UNA LÍNEA DE REFRESCOS EN BASE A TÉ VERDE PARA LA EMPRESA PATUJÚ DEL CLÚSTER DE ALIMENTOS</v>
      </c>
      <c r="C675" s="58">
        <f>IFERROR(__xludf.DUMMYFUNCTION("""COMPUTED_VALUE"""),1.0)</f>
        <v>1</v>
      </c>
    </row>
    <row r="676">
      <c r="A676" s="58" t="str">
        <f>IFERROR(__xludf.DUMMYFUNCTION("""COMPUTED_VALUE"""),"PLAN DE NEGOCIOS")</f>
        <v>PLAN DE NEGOCIOS</v>
      </c>
      <c r="B676" s="58" t="str">
        <f>IFERROR(__xludf.DUMMYFUNCTION("""COMPUTED_VALUE"""),"PLAN ESTRATÉGICO DE MARKETING PARA LA EMPRESA DE MARKETING DIGITAL “SOCIAL BRAND” PARA PYMES EN LA CIUDAD DE COCHABAMBA”.")</f>
        <v>PLAN ESTRATÉGICO DE MARKETING PARA LA EMPRESA DE MARKETING DIGITAL “SOCIAL BRAND” PARA PYMES EN LA CIUDAD DE COCHABAMBA”.</v>
      </c>
      <c r="C676" s="58">
        <f>IFERROR(__xludf.DUMMYFUNCTION("""COMPUTED_VALUE"""),9.0)</f>
        <v>9</v>
      </c>
    </row>
    <row r="677">
      <c r="A677" s="58" t="str">
        <f>IFERROR(__xludf.DUMMYFUNCTION("""COMPUTED_VALUE"""),"PLAN DE NEGOCIOS")</f>
        <v>PLAN DE NEGOCIOS</v>
      </c>
      <c r="B677" s="58" t="str">
        <f>IFERROR(__xludf.DUMMYFUNCTION("""COMPUTED_VALUE"""),"PLAN ESTRATÉGICO PARA EL CENTRO DE ALIMENTOS Y PRODUCTOS NATURALES DE LA FACULTAD DE CIENCIAS Y TECNOLOGÍA – UNIVERSIDAD MAYOR DE SAN SIMÓN, 2020 - 2024")</f>
        <v>PLAN ESTRATÉGICO PARA EL CENTRO DE ALIMENTOS Y PRODUCTOS NATURALES DE LA FACULTAD DE CIENCIAS Y TECNOLOGÍA – UNIVERSIDAD MAYOR DE SAN SIMÓN, 2020 - 2024</v>
      </c>
      <c r="C677" s="58">
        <f>IFERROR(__xludf.DUMMYFUNCTION("""COMPUTED_VALUE"""),57.0)</f>
        <v>57</v>
      </c>
    </row>
    <row r="678">
      <c r="A678" s="58" t="str">
        <f>IFERROR(__xludf.DUMMYFUNCTION("""COMPUTED_VALUE"""),"PLANIFICACION Y CONTROL DE LA PRODUCCION")</f>
        <v>PLANIFICACION Y CONTROL DE LA PRODUCCION</v>
      </c>
      <c r="B678" s="58" t="str">
        <f>IFERROR(__xludf.DUMMYFUNCTION("""COMPUTED_VALUE"""),"ANÁLISIS, OPTIMIZACIÓN Y CONTROL DEL SISTEMA DE PREPARACIÓN DE CARGAS PARA EMBOL S.A.")</f>
        <v>ANÁLISIS, OPTIMIZACIÓN Y CONTROL DEL SISTEMA DE PREPARACIÓN DE CARGAS PARA EMBOL S.A.</v>
      </c>
      <c r="C678" s="58">
        <f>IFERROR(__xludf.DUMMYFUNCTION("""COMPUTED_VALUE"""),1.0)</f>
        <v>1</v>
      </c>
    </row>
    <row r="679">
      <c r="A679" s="58" t="str">
        <f>IFERROR(__xludf.DUMMYFUNCTION("""COMPUTED_VALUE"""),"PLANIFICACION Y CONTROL DE LA PRODUCCION")</f>
        <v>PLANIFICACION Y CONTROL DE LA PRODUCCION</v>
      </c>
      <c r="B679" s="58" t="str">
        <f>IFERROR(__xludf.DUMMYFUNCTION("""COMPUTED_VALUE"""),"ELABORACIÓN DEL MANUAL DE PRODUCCIÓN DE CURTIEMBRE TAURO LTDA.")</f>
        <v>ELABORACIÓN DEL MANUAL DE PRODUCCIÓN DE CURTIEMBRE TAURO LTDA.</v>
      </c>
      <c r="C679" s="58">
        <f>IFERROR(__xludf.DUMMYFUNCTION("""COMPUTED_VALUE"""),1.0)</f>
        <v>1</v>
      </c>
    </row>
    <row r="680">
      <c r="A680" s="58" t="str">
        <f>IFERROR(__xludf.DUMMYFUNCTION("""COMPUTED_VALUE"""),"PLANIFICACION Y CONTROL DE LA PRODUCCION")</f>
        <v>PLANIFICACION Y CONTROL DE LA PRODUCCION</v>
      </c>
      <c r="B680" s="58" t="str">
        <f>IFERROR(__xludf.DUMMYFUNCTION("""COMPUTED_VALUE"""),"MODELO DE PLANIFICACION Y CONTROL DE LA PRODUCCION PARA INDUSTRIAS LUJAN S. R. L.")</f>
        <v>MODELO DE PLANIFICACION Y CONTROL DE LA PRODUCCION PARA INDUSTRIAS LUJAN S. R. L.</v>
      </c>
      <c r="C680" s="58">
        <f>IFERROR(__xludf.DUMMYFUNCTION("""COMPUTED_VALUE"""),1.0)</f>
        <v>1</v>
      </c>
    </row>
    <row r="681">
      <c r="A681" s="58" t="str">
        <f>IFERROR(__xludf.DUMMYFUNCTION("""COMPUTED_VALUE"""),"PLANIFICACION Y CONTROL DE LA PRODUCCION")</f>
        <v>PLANIFICACION Y CONTROL DE LA PRODUCCION</v>
      </c>
      <c r="B681" s="58" t="str">
        <f>IFERROR(__xludf.DUMMYFUNCTION("""COMPUTED_VALUE"""),"PLAN PARA LA IMPLEMENTACIÓN DE LAS HERRAMIENTAS DE LA METODOLOGÍA WCM (WORLD CLASS MANUFACTURING) DEL PILAR DE CALIDAD EN LA PLANTA DE DETERGENTES EN POLVO DE UNILEVER ANDINA BOLIVIA S.A.")</f>
        <v>PLAN PARA LA IMPLEMENTACIÓN DE LAS HERRAMIENTAS DE LA METODOLOGÍA WCM (WORLD CLASS MANUFACTURING) DEL PILAR DE CALIDAD EN LA PLANTA DE DETERGENTES EN POLVO DE UNILEVER ANDINA BOLIVIA S.A.</v>
      </c>
      <c r="C681" s="58">
        <f>IFERROR(__xludf.DUMMYFUNCTION("""COMPUTED_VALUE"""),1.0)</f>
        <v>1</v>
      </c>
    </row>
    <row r="682">
      <c r="A682" s="58" t="str">
        <f>IFERROR(__xludf.DUMMYFUNCTION("""COMPUTED_VALUE"""),"PLANIFICACION Y CONTROL DE LA PRODUCCION")</f>
        <v>PLANIFICACION Y CONTROL DE LA PRODUCCION</v>
      </c>
      <c r="B682" s="58" t="str">
        <f>IFERROR(__xludf.DUMMYFUNCTION("""COMPUTED_VALUE"""),"PROGRAMA DE PLANIFICACIÓN PARA LOGÍSTICA Y PRODUCCIÓN EN LA PLANTA HORMIGONERA DE COBOCE HORMIGÓN")</f>
        <v>PROGRAMA DE PLANIFICACIÓN PARA LOGÍSTICA Y PRODUCCIÓN EN LA PLANTA HORMIGONERA DE COBOCE HORMIGÓN</v>
      </c>
      <c r="C682" s="58">
        <f>IFERROR(__xludf.DUMMYFUNCTION("""COMPUTED_VALUE"""),1.0)</f>
        <v>1</v>
      </c>
    </row>
    <row r="683">
      <c r="A683" s="58" t="str">
        <f>IFERROR(__xludf.DUMMYFUNCTION("""COMPUTED_VALUE"""),"PLANIFICACIÓN Y CONTROL DE LA PRODUCCIÓN")</f>
        <v>PLANIFICACIÓN Y CONTROL DE LA PRODUCCIÓN</v>
      </c>
      <c r="B683" s="58" t="str">
        <f>IFERROR(__xludf.DUMMYFUNCTION("""COMPUTED_VALUE"""),"APLICACIÓN DE LAS HERRAMIENTAS DEL JUSTO A TIEMPO PARA INCREMENTAR LA PRODUCTIVIDAD DE MXM CONFECCIONES EN EL ÁREA DE PRODUCCIÓN DE POLERAS TIPO POLO Y T-SHIRT")</f>
        <v>APLICACIÓN DE LAS HERRAMIENTAS DEL JUSTO A TIEMPO PARA INCREMENTAR LA PRODUCTIVIDAD DE MXM CONFECCIONES EN EL ÁREA DE PRODUCCIÓN DE POLERAS TIPO POLO Y T-SHIRT</v>
      </c>
      <c r="C683" s="58">
        <f>IFERROR(__xludf.DUMMYFUNCTION("""COMPUTED_VALUE"""),3.0)</f>
        <v>3</v>
      </c>
    </row>
    <row r="684">
      <c r="A684" s="58" t="str">
        <f>IFERROR(__xludf.DUMMYFUNCTION("""COMPUTED_VALUE"""),"PLANIFICACIÓN Y CONTROL DE LA PRODUCCIÓN")</f>
        <v>PLANIFICACIÓN Y CONTROL DE LA PRODUCCIÓN</v>
      </c>
      <c r="B684" s="58" t="str">
        <f>IFERROR(__xludf.DUMMYFUNCTION("""COMPUTED_VALUE"""),"DESARROLLO DE UN MODELO DE PLANEAMIENTO Y CONTROL DE LA PRODUCCIÓN EN LA EMPRESA MARMOLERA MACONAL S.R.L.")</f>
        <v>DESARROLLO DE UN MODELO DE PLANEAMIENTO Y CONTROL DE LA PRODUCCIÓN EN LA EMPRESA MARMOLERA MACONAL S.R.L.</v>
      </c>
      <c r="C684" s="58">
        <f>IFERROR(__xludf.DUMMYFUNCTION("""COMPUTED_VALUE"""),3.0)</f>
        <v>3</v>
      </c>
    </row>
    <row r="685">
      <c r="A685" s="58" t="str">
        <f>IFERROR(__xludf.DUMMYFUNCTION("""COMPUTED_VALUE"""),"PLANIFICACIÓN Y CONTROL DE LA PRODUCCIÓN")</f>
        <v>PLANIFICACIÓN Y CONTROL DE LA PRODUCCIÓN</v>
      </c>
      <c r="B685" s="58" t="str">
        <f>IFERROR(__xludf.DUMMYFUNCTION("""COMPUTED_VALUE"""),"DESARROLLO DE UN MODELO DE PLANIFICACION Y CONTROL DE LA PRODUCCION PARA LA INDUSTRAI INPROMAT")</f>
        <v>DESARROLLO DE UN MODELO DE PLANIFICACION Y CONTROL DE LA PRODUCCION PARA LA INDUSTRAI INPROMAT</v>
      </c>
      <c r="C685" s="58">
        <f>IFERROR(__xludf.DUMMYFUNCTION("""COMPUTED_VALUE"""),18.0)</f>
        <v>18</v>
      </c>
    </row>
    <row r="686">
      <c r="A686" s="58" t="str">
        <f>IFERROR(__xludf.DUMMYFUNCTION("""COMPUTED_VALUE"""),"PLANIFICACIÓN Y CONTROL DE LA PRODUCCIÓN")</f>
        <v>PLANIFICACIÓN Y CONTROL DE LA PRODUCCIÓN</v>
      </c>
      <c r="B686" s="58" t="str">
        <f>IFERROR(__xludf.DUMMYFUNCTION("""COMPUTED_VALUE"""),"DESARROLLO DE UN MODELO DE PLANIFICACIÓN Y CONTROL DE LA PRODUCCIÓN PARA LA EMPRESA CIENSA LTDA. CALZADOS TOMY")</f>
        <v>DESARROLLO DE UN MODELO DE PLANIFICACIÓN Y CONTROL DE LA PRODUCCIÓN PARA LA EMPRESA CIENSA LTDA. CALZADOS TOMY</v>
      </c>
      <c r="C686" s="58">
        <f>IFERROR(__xludf.DUMMYFUNCTION("""COMPUTED_VALUE"""),2.0)</f>
        <v>2</v>
      </c>
    </row>
    <row r="687">
      <c r="A687" s="58" t="str">
        <f>IFERROR(__xludf.DUMMYFUNCTION("""COMPUTED_VALUE"""),"PLANIFICACIÓN Y CONTROL DE LA PRODUCCIÓN")</f>
        <v>PLANIFICACIÓN Y CONTROL DE LA PRODUCCIÓN</v>
      </c>
      <c r="B687" s="58" t="str">
        <f>IFERROR(__xludf.DUMMYFUNCTION("""COMPUTED_VALUE"""),"DESARROLLO DE UN PROGRAMA DE PRODUCCIÓN MÁS LIMPIA PARA LAS LADRILLERAS ARTESANALES DE SACABA.")</f>
        <v>DESARROLLO DE UN PROGRAMA DE PRODUCCIÓN MÁS LIMPIA PARA LAS LADRILLERAS ARTESANALES DE SACABA.</v>
      </c>
      <c r="C687" s="58">
        <f>IFERROR(__xludf.DUMMYFUNCTION("""COMPUTED_VALUE"""),1.0)</f>
        <v>1</v>
      </c>
    </row>
    <row r="688">
      <c r="A688" s="58" t="str">
        <f>IFERROR(__xludf.DUMMYFUNCTION("""COMPUTED_VALUE"""),"PLANIFICACIÓN Y CONTROL DE LA PRODUCCIÓN")</f>
        <v>PLANIFICACIÓN Y CONTROL DE LA PRODUCCIÓN</v>
      </c>
      <c r="B688" s="58" t="str">
        <f>IFERROR(__xludf.DUMMYFUNCTION("""COMPUTED_VALUE"""),"DESARROLLO DE UN SISTEMA COMPLEMENTARIO DE PLANIFICACIÓN DE LA PRODUCCIÓN EN EL PROCESO DE FABRICACIÓN POR VÍA HÚMEDA DE CERÁMICA COBOCE")</f>
        <v>DESARROLLO DE UN SISTEMA COMPLEMENTARIO DE PLANIFICACIÓN DE LA PRODUCCIÓN EN EL PROCESO DE FABRICACIÓN POR VÍA HÚMEDA DE CERÁMICA COBOCE</v>
      </c>
      <c r="C688" s="58">
        <f>IFERROR(__xludf.DUMMYFUNCTION("""COMPUTED_VALUE"""),1.0)</f>
        <v>1</v>
      </c>
    </row>
    <row r="689">
      <c r="A689" s="58" t="str">
        <f>IFERROR(__xludf.DUMMYFUNCTION("""COMPUTED_VALUE"""),"PLANIFICACIÓN Y CONTROL DE LA PRODUCCIÓN")</f>
        <v>PLANIFICACIÓN Y CONTROL DE LA PRODUCCIÓN</v>
      </c>
      <c r="B689" s="58" t="str">
        <f>IFERROR(__xludf.DUMMYFUNCTION("""COMPUTED_VALUE"""),"DESARROLLO DE UN SISTEMA DE GESTIÓN DE ALMACENES DE PRODUCTOS TERMINADOS Y PRODUCTOS  IMPORTADOS   PARA LA EMPRESA ALMANZA CORP. S.R.L.")</f>
        <v>DESARROLLO DE UN SISTEMA DE GESTIÓN DE ALMACENES DE PRODUCTOS TERMINADOS Y PRODUCTOS  IMPORTADOS   PARA LA EMPRESA ALMANZA CORP. S.R.L.</v>
      </c>
      <c r="C689" s="58">
        <f>IFERROR(__xludf.DUMMYFUNCTION("""COMPUTED_VALUE"""),3.0)</f>
        <v>3</v>
      </c>
    </row>
    <row r="690">
      <c r="A690" s="58" t="str">
        <f>IFERROR(__xludf.DUMMYFUNCTION("""COMPUTED_VALUE"""),"PLANIFICACIÓN Y CONTROL DE LA PRODUCCIÓN")</f>
        <v>PLANIFICACIÓN Y CONTROL DE LA PRODUCCIÓN</v>
      </c>
      <c r="B690" s="58" t="str">
        <f>IFERROR(__xludf.DUMMYFUNCTION("""COMPUTED_VALUE"""),"DESARROLLO DEL PLAN DE GESTIÓN DE ALMACENES E INVENTARIOS EN LOS ALMACENES DEL DEPARTAMENTO DE ABASTECIMIENTOS Y LOGÍSTICAS DE LA EMPRESA BOLIVIANA DE AVIACIÓN BOA")</f>
        <v>DESARROLLO DEL PLAN DE GESTIÓN DE ALMACENES E INVENTARIOS EN LOS ALMACENES DEL DEPARTAMENTO DE ABASTECIMIENTOS Y LOGÍSTICAS DE LA EMPRESA BOLIVIANA DE AVIACIÓN BOA</v>
      </c>
      <c r="C690" s="58">
        <f>IFERROR(__xludf.DUMMYFUNCTION("""COMPUTED_VALUE"""),10.0)</f>
        <v>10</v>
      </c>
    </row>
    <row r="691">
      <c r="A691" s="58" t="str">
        <f>IFERROR(__xludf.DUMMYFUNCTION("""COMPUTED_VALUE"""),"PLANIFICACIÓN Y CONTROL DE LA PRODUCCIÓN")</f>
        <v>PLANIFICACIÓN Y CONTROL DE LA PRODUCCIÓN</v>
      </c>
      <c r="B691" s="58" t="str">
        <f>IFERROR(__xludf.DUMMYFUNCTION("""COMPUTED_VALUE"""),"DISEÑO DE UN MODELO DE GESTIÓN DE INVENTARIOS EN COBOCE CERAMIL")</f>
        <v>DISEÑO DE UN MODELO DE GESTIÓN DE INVENTARIOS EN COBOCE CERAMIL</v>
      </c>
      <c r="C691" s="58">
        <f>IFERROR(__xludf.DUMMYFUNCTION("""COMPUTED_VALUE"""),21.0)</f>
        <v>21</v>
      </c>
    </row>
    <row r="692">
      <c r="A692" s="58" t="str">
        <f>IFERROR(__xludf.DUMMYFUNCTION("""COMPUTED_VALUE"""),"PLANIFICACIÓN Y CONTROL DE LA PRODUCCIÓN")</f>
        <v>PLANIFICACIÓN Y CONTROL DE LA PRODUCCIÓN</v>
      </c>
      <c r="B692" s="58" t="str">
        <f>IFERROR(__xludf.DUMMYFUNCTION("""COMPUTED_VALUE"""),"DISEÑO DE UN SISTEMA DE PLANIFICACIÓN Y CONTROL DE LA PRODUCCIÓN DE LA EMPRESA CALRO")</f>
        <v>DISEÑO DE UN SISTEMA DE PLANIFICACIÓN Y CONTROL DE LA PRODUCCIÓN DE LA EMPRESA CALRO</v>
      </c>
      <c r="C692" s="58">
        <f>IFERROR(__xludf.DUMMYFUNCTION("""COMPUTED_VALUE"""),1.0)</f>
        <v>1</v>
      </c>
    </row>
    <row r="693">
      <c r="A693" s="58" t="str">
        <f>IFERROR(__xludf.DUMMYFUNCTION("""COMPUTED_VALUE"""),"PLANIFICACIÓN Y CONTROL DE LA PRODUCCIÓN")</f>
        <v>PLANIFICACIÓN Y CONTROL DE LA PRODUCCIÓN</v>
      </c>
      <c r="B693" s="58" t="str">
        <f>IFERROR(__xludf.DUMMYFUNCTION("""COMPUTED_VALUE"""),"DISEÑO DE UN SISTEMA DE PLANIFICACIÓN Y CONTROL DE MATERIALES EN EL ÁREA DE ALMACENES DE LA EMPRESA ESTRUTEC SRL")</f>
        <v>DISEÑO DE UN SISTEMA DE PLANIFICACIÓN Y CONTROL DE MATERIALES EN EL ÁREA DE ALMACENES DE LA EMPRESA ESTRUTEC SRL</v>
      </c>
      <c r="C693" s="58">
        <f>IFERROR(__xludf.DUMMYFUNCTION("""COMPUTED_VALUE"""),1.0)</f>
        <v>1</v>
      </c>
    </row>
    <row r="694">
      <c r="A694" s="58" t="str">
        <f>IFERROR(__xludf.DUMMYFUNCTION("""COMPUTED_VALUE"""),"PLANIFICACIÓN Y CONTROL DE LA PRODUCCIÓN")</f>
        <v>PLANIFICACIÓN Y CONTROL DE LA PRODUCCIÓN</v>
      </c>
      <c r="B694" s="58" t="str">
        <f>IFERROR(__xludf.DUMMYFUNCTION("""COMPUTED_VALUE"""),"DISEÑO DEL SISTEMA PRODUCTIVO PARA IMPLEMENTAR UNA PLANTA DESHIDRATADORA DE FRUTAS TROPICALES EN LA EMPRESA CORDILL S.A.")</f>
        <v>DISEÑO DEL SISTEMA PRODUCTIVO PARA IMPLEMENTAR UNA PLANTA DESHIDRATADORA DE FRUTAS TROPICALES EN LA EMPRESA CORDILL S.A.</v>
      </c>
      <c r="C694" s="58">
        <f>IFERROR(__xludf.DUMMYFUNCTION("""COMPUTED_VALUE"""),3.0)</f>
        <v>3</v>
      </c>
    </row>
    <row r="695">
      <c r="A695" s="58" t="str">
        <f>IFERROR(__xludf.DUMMYFUNCTION("""COMPUTED_VALUE"""),"PLANIFICACIÓN Y CONTROL DE LA PRODUCCIÓN")</f>
        <v>PLANIFICACIÓN Y CONTROL DE LA PRODUCCIÓN</v>
      </c>
      <c r="B695" s="58" t="str">
        <f>IFERROR(__xludf.DUMMYFUNCTION("""COMPUTED_VALUE"""),"ELABORACIÓN DE UN MODELO DEL PLAN HACCP EN LA EMPRESA AGROINDUSTRIAL DE ALIMENTOS VIGOR PARA LA LÍNEA DE LECHE ENTERA")</f>
        <v>ELABORACIÓN DE UN MODELO DEL PLAN HACCP EN LA EMPRESA AGROINDUSTRIAL DE ALIMENTOS VIGOR PARA LA LÍNEA DE LECHE ENTERA</v>
      </c>
      <c r="C695" s="58">
        <f>IFERROR(__xludf.DUMMYFUNCTION("""COMPUTED_VALUE"""),1.0)</f>
        <v>1</v>
      </c>
    </row>
    <row r="696">
      <c r="A696" s="58" t="str">
        <f>IFERROR(__xludf.DUMMYFUNCTION("""COMPUTED_VALUE"""),"PLANIFICACIÓN Y CONTROL DE LA PRODUCCIÓN")</f>
        <v>PLANIFICACIÓN Y CONTROL DE LA PRODUCCIÓN</v>
      </c>
      <c r="B696" s="58" t="str">
        <f>IFERROR(__xludf.DUMMYFUNCTION("""COMPUTED_VALUE"""),"ELABORACIÓN DE UN SISTEMA DE CONTROL DE INVENTARIOS PARA EL ALMACÉN DE MATERIA PRIMA Y MATERIAL DE EMPAQUE EN LA EMPRESA ASTRIX S.A. CBBA.")</f>
        <v>ELABORACIÓN DE UN SISTEMA DE CONTROL DE INVENTARIOS PARA EL ALMACÉN DE MATERIA PRIMA Y MATERIAL DE EMPAQUE EN LA EMPRESA ASTRIX S.A. CBBA.</v>
      </c>
      <c r="C696" s="58">
        <f>IFERROR(__xludf.DUMMYFUNCTION("""COMPUTED_VALUE"""),8.0)</f>
        <v>8</v>
      </c>
    </row>
    <row r="697">
      <c r="A697" s="58" t="str">
        <f>IFERROR(__xludf.DUMMYFUNCTION("""COMPUTED_VALUE"""),"PLANIFICACIÓN Y CONTROL DE LA PRODUCCIÓN")</f>
        <v>PLANIFICACIÓN Y CONTROL DE LA PRODUCCIÓN</v>
      </c>
      <c r="B697" s="58" t="str">
        <f>IFERROR(__xludf.DUMMYFUNCTION("""COMPUTED_VALUE"""),"ESTUDIO DE COSTOS, PLANIFICACIÓN Y CONTROL DE LA PRODUCCIÓN PARA LA EMPRESA A R I E L J E A N S")</f>
        <v>ESTUDIO DE COSTOS, PLANIFICACIÓN Y CONTROL DE LA PRODUCCIÓN PARA LA EMPRESA A R I E L J E A N S</v>
      </c>
      <c r="C697" s="58">
        <f>IFERROR(__xludf.DUMMYFUNCTION("""COMPUTED_VALUE"""),1.0)</f>
        <v>1</v>
      </c>
    </row>
    <row r="698">
      <c r="A698" s="58" t="str">
        <f>IFERROR(__xludf.DUMMYFUNCTION("""COMPUTED_VALUE"""),"PLANIFICACIÓN Y CONTROL DE LA PRODUCCIÓN")</f>
        <v>PLANIFICACIÓN Y CONTROL DE LA PRODUCCIÓN</v>
      </c>
      <c r="B698" s="58" t="str">
        <f>IFERROR(__xludf.DUMMYFUNCTION("""COMPUTED_VALUE"""),"IMPLEMENTACION DE LA FILOSOFIA JUSTO A TIEMPO (JAT) EN LA ELABORACION  DE MESONES DE MARMOL Y GRANITO EN LA EMPRESA MAJOBOL")</f>
        <v>IMPLEMENTACION DE LA FILOSOFIA JUSTO A TIEMPO (JAT) EN LA ELABORACION  DE MESONES DE MARMOL Y GRANITO EN LA EMPRESA MAJOBOL</v>
      </c>
      <c r="C698" s="58">
        <f>IFERROR(__xludf.DUMMYFUNCTION("""COMPUTED_VALUE"""),4.0)</f>
        <v>4</v>
      </c>
    </row>
    <row r="699">
      <c r="A699" s="58" t="str">
        <f>IFERROR(__xludf.DUMMYFUNCTION("""COMPUTED_VALUE"""),"PLANIFICACIÓN Y CONTROL DE LA PRODUCCIÓN")</f>
        <v>PLANIFICACIÓN Y CONTROL DE LA PRODUCCIÓN</v>
      </c>
      <c r="B699" s="58" t="str">
        <f>IFERROR(__xludf.DUMMYFUNCTION("""COMPUTED_VALUE"""),"IMPLEMENTACIÓN DEL SISTEMA DE PLANIFICACIÓN DE LOS RECURSOS EMPRESARIALES ERP-TEOWIN PARA LA EMPRESA NAHI INDUSTRIAS S.R.L")</f>
        <v>IMPLEMENTACIÓN DEL SISTEMA DE PLANIFICACIÓN DE LOS RECURSOS EMPRESARIALES ERP-TEOWIN PARA LA EMPRESA NAHI INDUSTRIAS S.R.L</v>
      </c>
      <c r="C699" s="58">
        <f>IFERROR(__xludf.DUMMYFUNCTION("""COMPUTED_VALUE"""),1.0)</f>
        <v>1</v>
      </c>
    </row>
    <row r="700">
      <c r="A700" s="58" t="str">
        <f>IFERROR(__xludf.DUMMYFUNCTION("""COMPUTED_VALUE"""),"PLANIFICACIÓN Y CONTROL DE LA PRODUCCIÓN")</f>
        <v>PLANIFICACIÓN Y CONTROL DE LA PRODUCCIÓN</v>
      </c>
      <c r="B700" s="58" t="str">
        <f>IFERROR(__xludf.DUMMYFUNCTION("""COMPUTED_VALUE"""),"MEJORA DE LA PLANIFICACIÓN Y CONTROL DE LA PRODUCCIÓN DE LA LÍNEA DE PRODUCCIÓN DE ESPUMA DE POLIESTIRENO EXPANDIDO (EPS) PARA LA EMPRESA TECNOPOR S.A")</f>
        <v>MEJORA DE LA PLANIFICACIÓN Y CONTROL DE LA PRODUCCIÓN DE LA LÍNEA DE PRODUCCIÓN DE ESPUMA DE POLIESTIRENO EXPANDIDO (EPS) PARA LA EMPRESA TECNOPOR S.A</v>
      </c>
      <c r="C700" s="58">
        <f>IFERROR(__xludf.DUMMYFUNCTION("""COMPUTED_VALUE"""),3.0)</f>
        <v>3</v>
      </c>
    </row>
    <row r="701">
      <c r="A701" s="58" t="str">
        <f>IFERROR(__xludf.DUMMYFUNCTION("""COMPUTED_VALUE"""),"PLANIFICACIÓN Y CONTROL DE LA PRODUCCIÓN")</f>
        <v>PLANIFICACIÓN Y CONTROL DE LA PRODUCCIÓN</v>
      </c>
      <c r="B701" s="58" t="str">
        <f>IFERROR(__xludf.DUMMYFUNCTION("""COMPUTED_VALUE"""),"MEJORAMIENTO DEL SISTEMA PRODUCTIVO EN PLÁSTICOS DERQUI S.R.L.")</f>
        <v>MEJORAMIENTO DEL SISTEMA PRODUCTIVO EN PLÁSTICOS DERQUI S.R.L.</v>
      </c>
      <c r="C701" s="58">
        <f>IFERROR(__xludf.DUMMYFUNCTION("""COMPUTED_VALUE"""),3.0)</f>
        <v>3</v>
      </c>
    </row>
    <row r="702">
      <c r="A702" s="58" t="str">
        <f>IFERROR(__xludf.DUMMYFUNCTION("""COMPUTED_VALUE"""),"PLANIFICACIÓN Y CONTROL DE LA PRODUCCIÓN")</f>
        <v>PLANIFICACIÓN Y CONTROL DE LA PRODUCCIÓN</v>
      </c>
      <c r="B702" s="58" t="str">
        <f>IFERROR(__xludf.DUMMYFUNCTION("""COMPUTED_VALUE"""),"MODELO DE PLANIFICACIÓN Y CONTROL DE LA PRODUCCIÓN PARA LA EMPRESA “DRESS”")</f>
        <v>MODELO DE PLANIFICACIÓN Y CONTROL DE LA PRODUCCIÓN PARA LA EMPRESA “DRESS”</v>
      </c>
      <c r="C702" s="58">
        <f>IFERROR(__xludf.DUMMYFUNCTION("""COMPUTED_VALUE"""),2.0)</f>
        <v>2</v>
      </c>
    </row>
    <row r="703">
      <c r="A703" s="58" t="str">
        <f>IFERROR(__xludf.DUMMYFUNCTION("""COMPUTED_VALUE"""),"PLANIFICACIÓN Y CONTROL DE LA PRODUCCIÓN")</f>
        <v>PLANIFICACIÓN Y CONTROL DE LA PRODUCCIÓN</v>
      </c>
      <c r="B703" s="58" t="str">
        <f>IFERROR(__xludf.DUMMYFUNCTION("""COMPUTED_VALUE"""),"MODELO DE PLANIFICACIÓN Y CONTROL DE LA PRODUCCIÓN PARA LA EMPRESA “PRODUCTOS NATURALES ANDES”")</f>
        <v>MODELO DE PLANIFICACIÓN Y CONTROL DE LA PRODUCCIÓN PARA LA EMPRESA “PRODUCTOS NATURALES ANDES”</v>
      </c>
      <c r="C703" s="58">
        <f>IFERROR(__xludf.DUMMYFUNCTION("""COMPUTED_VALUE"""),1.0)</f>
        <v>1</v>
      </c>
    </row>
    <row r="704">
      <c r="A704" s="58" t="str">
        <f>IFERROR(__xludf.DUMMYFUNCTION("""COMPUTED_VALUE"""),"PLANIFICACIÓN Y CONTROL DE LA PRODUCCIÓN")</f>
        <v>PLANIFICACIÓN Y CONTROL DE LA PRODUCCIÓN</v>
      </c>
      <c r="B704" s="58" t="str">
        <f>IFERROR(__xludf.DUMMYFUNCTION("""COMPUTED_VALUE"""),"MODELO DE PLANIFICACIÓN Y CONTROL DE LAPRODUCCIÓN PARA LA EMPRESA P.A.I.A. PLÁSTICOS Y ANEXOS S.R.L.")</f>
        <v>MODELO DE PLANIFICACIÓN Y CONTROL DE LAPRODUCCIÓN PARA LA EMPRESA P.A.I.A. PLÁSTICOS Y ANEXOS S.R.L.</v>
      </c>
      <c r="C704" s="58">
        <f>IFERROR(__xludf.DUMMYFUNCTION("""COMPUTED_VALUE"""),4.0)</f>
        <v>4</v>
      </c>
    </row>
    <row r="705">
      <c r="A705" s="58" t="str">
        <f>IFERROR(__xludf.DUMMYFUNCTION("""COMPUTED_VALUE"""),"PLANIFICACIÓN Y CONTROL DE LA PRODUCCIÓN")</f>
        <v>PLANIFICACIÓN Y CONTROL DE LA PRODUCCIÓN</v>
      </c>
      <c r="B705" s="58" t="str">
        <f>IFERROR(__xludf.DUMMYFUNCTION("""COMPUTED_VALUE"""),"MODELO DE PLANIFICACIÓN Y CONTROL DE PRODUCCIÓN PARA LA EMPRESA MOPAR S.A.")</f>
        <v>MODELO DE PLANIFICACIÓN Y CONTROL DE PRODUCCIÓN PARA LA EMPRESA MOPAR S.A.</v>
      </c>
      <c r="C705" s="58">
        <f>IFERROR(__xludf.DUMMYFUNCTION("""COMPUTED_VALUE"""),2.0)</f>
        <v>2</v>
      </c>
    </row>
    <row r="706">
      <c r="A706" s="58" t="str">
        <f>IFERROR(__xludf.DUMMYFUNCTION("""COMPUTED_VALUE"""),"PLANIFICACIÓN Y CONTROL DE LA PRODUCCIÓN")</f>
        <v>PLANIFICACIÓN Y CONTROL DE LA PRODUCCIÓN</v>
      </c>
      <c r="B706" s="58" t="str">
        <f>IFERROR(__xludf.DUMMYFUNCTION("""COMPUTED_VALUE"""),"MODELO DE PLANIFICACIÓN Y CONTROL EN LA PRODUCCIÓN PARA LA LÍNEA DE CUERO DE LAGARTO DE LA EMPRESA CIENSA LTDA.")</f>
        <v>MODELO DE PLANIFICACIÓN Y CONTROL EN LA PRODUCCIÓN PARA LA LÍNEA DE CUERO DE LAGARTO DE LA EMPRESA CIENSA LTDA.</v>
      </c>
      <c r="C706" s="58">
        <f>IFERROR(__xludf.DUMMYFUNCTION("""COMPUTED_VALUE"""),3.0)</f>
        <v>3</v>
      </c>
    </row>
    <row r="707">
      <c r="A707" s="58" t="str">
        <f>IFERROR(__xludf.DUMMYFUNCTION("""COMPUTED_VALUE"""),"PLANIFICACIÓN Y CONTROL DE LA PRODUCCIÓN")</f>
        <v>PLANIFICACIÓN Y CONTROL DE LA PRODUCCIÓN</v>
      </c>
      <c r="B707" s="58" t="str">
        <f>IFERROR(__xludf.DUMMYFUNCTION("""COMPUTED_VALUE"""),"MODELO DE PLANIFICACIÓN Y CONTROL PARA LA EMPRESA TINABOL")</f>
        <v>MODELO DE PLANIFICACIÓN Y CONTROL PARA LA EMPRESA TINABOL</v>
      </c>
      <c r="C707" s="58">
        <f>IFERROR(__xludf.DUMMYFUNCTION("""COMPUTED_VALUE"""),1.0)</f>
        <v>1</v>
      </c>
    </row>
    <row r="708">
      <c r="A708" s="58" t="str">
        <f>IFERROR(__xludf.DUMMYFUNCTION("""COMPUTED_VALUE"""),"PLANIFICACIÓN Y CONTROL DE LA PRODUCCIÓN")</f>
        <v>PLANIFICACIÓN Y CONTROL DE LA PRODUCCIÓN</v>
      </c>
      <c r="B708" s="58" t="str">
        <f>IFERROR(__xludf.DUMMYFUNCTION("""COMPUTED_VALUE"""),"PLAN DE MEJORAMIENTO DEL ÁREA DE PRODUCCIÓN PARA LA EMPRESA METAL MECÁNICA ÁLVAREZ.")</f>
        <v>PLAN DE MEJORAMIENTO DEL ÁREA DE PRODUCCIÓN PARA LA EMPRESA METAL MECÁNICA ÁLVAREZ.</v>
      </c>
      <c r="C708" s="58">
        <f>IFERROR(__xludf.DUMMYFUNCTION("""COMPUTED_VALUE"""),4.0)</f>
        <v>4</v>
      </c>
    </row>
    <row r="709">
      <c r="A709" s="58" t="str">
        <f>IFERROR(__xludf.DUMMYFUNCTION("""COMPUTED_VALUE"""),"PLANIFICACIÓN Y CONTROL DE LA PRODUCCIÓN")</f>
        <v>PLANIFICACIÓN Y CONTROL DE LA PRODUCCIÓN</v>
      </c>
      <c r="B709" s="58" t="str">
        <f>IFERROR(__xludf.DUMMYFUNCTION("""COMPUTED_VALUE"""),"PLANIFICACION Y CONTROL DE LA PRODUCCIÓN PARA LA EMPRESA “EMBOL S.A” EN EL DEPARTAMENTO DE LA PAZ-BOLIVIA")</f>
        <v>PLANIFICACION Y CONTROL DE LA PRODUCCIÓN PARA LA EMPRESA “EMBOL S.A” EN EL DEPARTAMENTO DE LA PAZ-BOLIVIA</v>
      </c>
      <c r="C709" s="58">
        <f>IFERROR(__xludf.DUMMYFUNCTION("""COMPUTED_VALUE"""),4.0)</f>
        <v>4</v>
      </c>
    </row>
    <row r="710">
      <c r="A710" s="58" t="str">
        <f>IFERROR(__xludf.DUMMYFUNCTION("""COMPUTED_VALUE"""),"PLANIFICACIÓN Y CONTROL DE LA PRODUCCIÓN")</f>
        <v>PLANIFICACIÓN Y CONTROL DE LA PRODUCCIÓN</v>
      </c>
      <c r="B710" s="58" t="str">
        <f>IFERROR(__xludf.DUMMYFUNCTION("""COMPUTED_VALUE"""),"PLANIFICACIÓN Y CONTROL DE LA PRODUCCIÓN DE LA EMPRESA COBOCE-CERAMIL")</f>
        <v>PLANIFICACIÓN Y CONTROL DE LA PRODUCCIÓN DE LA EMPRESA COBOCE-CERAMIL</v>
      </c>
      <c r="C710" s="58">
        <f>IFERROR(__xludf.DUMMYFUNCTION("""COMPUTED_VALUE"""),2.0)</f>
        <v>2</v>
      </c>
    </row>
    <row r="711">
      <c r="A711" s="58" t="str">
        <f>IFERROR(__xludf.DUMMYFUNCTION("""COMPUTED_VALUE"""),"PLANIFICACIÓN Y CONTROL DE LA PRODUCCIÓN")</f>
        <v>PLANIFICACIÓN Y CONTROL DE LA PRODUCCIÓN</v>
      </c>
      <c r="B711" s="58" t="str">
        <f>IFERROR(__xludf.DUMMYFUNCTION("""COMPUTED_VALUE"""),"PLANIFICACIÓN Y CONTROL DE LA PRODUCCIÓN PARA EMBOL S.A.")</f>
        <v>PLANIFICACIÓN Y CONTROL DE LA PRODUCCIÓN PARA EMBOL S.A.</v>
      </c>
      <c r="C711" s="58">
        <f>IFERROR(__xludf.DUMMYFUNCTION("""COMPUTED_VALUE"""),7.0)</f>
        <v>7</v>
      </c>
    </row>
    <row r="712">
      <c r="A712" s="58" t="str">
        <f>IFERROR(__xludf.DUMMYFUNCTION("""COMPUTED_VALUE"""),"PLANIFICACIÓN Y CONTROL DE LA PRODUCCIÓN")</f>
        <v>PLANIFICACIÓN Y CONTROL DE LA PRODUCCIÓN</v>
      </c>
      <c r="B712" s="58" t="str">
        <f>IFERROR(__xludf.DUMMYFUNCTION("""COMPUTED_VALUE"""),"PLANIFICACIÓN Y CONTROL DE LA PRODUCCIÓN PARA LA EMPRESA ECOFIBRA S.R.L. DE LA CIUDAD DE COCHABAMBA")</f>
        <v>PLANIFICACIÓN Y CONTROL DE LA PRODUCCIÓN PARA LA EMPRESA ECOFIBRA S.R.L. DE LA CIUDAD DE COCHABAMBA</v>
      </c>
      <c r="C712" s="58">
        <f>IFERROR(__xludf.DUMMYFUNCTION("""COMPUTED_VALUE"""),1.0)</f>
        <v>1</v>
      </c>
    </row>
    <row r="713">
      <c r="A713" s="58" t="str">
        <f>IFERROR(__xludf.DUMMYFUNCTION("""COMPUTED_VALUE"""),"PLANIFICACIÓN Y CONTROL DE LA PRODUCCIÓN")</f>
        <v>PLANIFICACIÓN Y CONTROL DE LA PRODUCCIÓN</v>
      </c>
      <c r="B713" s="58" t="str">
        <f>IFERROR(__xludf.DUMMYFUNCTION("""COMPUTED_VALUE"""),"PLANIFICACIÓN Y CONTROL DE LA PRODUCCIÓN PARA LA EMPRESA FADESA METAL S.R.L.")</f>
        <v>PLANIFICACIÓN Y CONTROL DE LA PRODUCCIÓN PARA LA EMPRESA FADESA METAL S.R.L.</v>
      </c>
      <c r="C713" s="58">
        <f>IFERROR(__xludf.DUMMYFUNCTION("""COMPUTED_VALUE"""),16.0)</f>
        <v>16</v>
      </c>
    </row>
    <row r="714">
      <c r="A714" s="58" t="str">
        <f>IFERROR(__xludf.DUMMYFUNCTION("""COMPUTED_VALUE"""),"PLANIFICACIÓN Y CONTROL DE LA PRODUCCIÓN")</f>
        <v>PLANIFICACIÓN Y CONTROL DE LA PRODUCCIÓN</v>
      </c>
      <c r="B714" s="58" t="str">
        <f>IFERROR(__xludf.DUMMYFUNCTION("""COMPUTED_VALUE"""),"PLANIFICACIÓN, PROGRAMACION Y CONTROL DE LA PRODUCCIÓN PARA LA OBTENCION DE EXTRACTOS DE LAS ESPECIES LLAVE T` IKA (TRIPODANTHUS ACUTIFOLIUS) Y LOCOTO (CAPSICUM PUBESCENS)")</f>
        <v>PLANIFICACIÓN, PROGRAMACION Y CONTROL DE LA PRODUCCIÓN PARA LA OBTENCION DE EXTRACTOS DE LAS ESPECIES LLAVE T` IKA (TRIPODANTHUS ACUTIFOLIUS) Y LOCOTO (CAPSICUM PUBESCENS)</v>
      </c>
      <c r="C714" s="58">
        <f>IFERROR(__xludf.DUMMYFUNCTION("""COMPUTED_VALUE"""),1.0)</f>
        <v>1</v>
      </c>
    </row>
    <row r="715">
      <c r="A715" s="58" t="str">
        <f>IFERROR(__xludf.DUMMYFUNCTION("""COMPUTED_VALUE"""),"PLANIFICACIÓN Y CONTROL DE LA PRODUCCIÓN")</f>
        <v>PLANIFICACIÓN Y CONTROL DE LA PRODUCCIÓN</v>
      </c>
      <c r="B715" s="58" t="str">
        <f>IFERROR(__xludf.DUMMYFUNCTION("""COMPUTED_VALUE"""),"PROGRAMA DE PLANIFICACIÓN PARA LA LOGÍSTICA Y PRODUCCIÓN EN LA PLANTA HORMIGONERA DE COBOCE HORMIGÓN")</f>
        <v>PROGRAMA DE PLANIFICACIÓN PARA LA LOGÍSTICA Y PRODUCCIÓN EN LA PLANTA HORMIGONERA DE COBOCE HORMIGÓN</v>
      </c>
      <c r="C715" s="58">
        <f>IFERROR(__xludf.DUMMYFUNCTION("""COMPUTED_VALUE"""),1.0)</f>
        <v>1</v>
      </c>
    </row>
    <row r="716">
      <c r="A716" s="58" t="str">
        <f>IFERROR(__xludf.DUMMYFUNCTION("""COMPUTED_VALUE"""),"PLANIFICACIÓN Y CONTROL DE LA PRODUCCIÓN")</f>
        <v>PLANIFICACIÓN Y CONTROL DE LA PRODUCCIÓN</v>
      </c>
      <c r="B716" s="58" t="str">
        <f>IFERROR(__xludf.DUMMYFUNCTION("""COMPUTED_VALUE"""),"SISTEMA DE PLANIFICACIÓN Y CONTROL DE LA PRODUCCIÓN DE LA EMPRESA CREACIONES ROBERTH")</f>
        <v>SISTEMA DE PLANIFICACIÓN Y CONTROL DE LA PRODUCCIÓN DE LA EMPRESA CREACIONES ROBERTH</v>
      </c>
      <c r="C716" s="58">
        <f>IFERROR(__xludf.DUMMYFUNCTION("""COMPUTED_VALUE"""),1.0)</f>
        <v>1</v>
      </c>
    </row>
    <row r="717">
      <c r="A717" s="58" t="str">
        <f>IFERROR(__xludf.DUMMYFUNCTION("""COMPUTED_VALUE"""),"PLANIFICACIÓN Y CONTROL DE LA PRODUCCIÓN")</f>
        <v>PLANIFICACIÓN Y CONTROL DE LA PRODUCCIÓN</v>
      </c>
      <c r="B717" s="58" t="str">
        <f>IFERROR(__xludf.DUMMYFUNCTION("""COMPUTED_VALUE"""),"SISTEMA DE REDUCCIÓN DE DESPERDICIOS MEDIANTE PROGRAMACIÓN DE OPERACIONES TIPO JAT-MRP, EN LA LÍNEA DE YOGURES DE PIL ANDINA S.A")</f>
        <v>SISTEMA DE REDUCCIÓN DE DESPERDICIOS MEDIANTE PROGRAMACIÓN DE OPERACIONES TIPO JAT-MRP, EN LA LÍNEA DE YOGURES DE PIL ANDINA S.A</v>
      </c>
      <c r="C717" s="58">
        <f>IFERROR(__xludf.DUMMYFUNCTION("""COMPUTED_VALUE"""),1.0)</f>
        <v>1</v>
      </c>
    </row>
    <row r="718">
      <c r="A718" s="58" t="str">
        <f>IFERROR(__xludf.DUMMYFUNCTION("""COMPUTED_VALUE"""),"PROCESOS INDUSTRIALES")</f>
        <v>PROCESOS INDUSTRIALES</v>
      </c>
      <c r="B718" s="58" t="str">
        <f>IFERROR(__xludf.DUMMYFUNCTION("""COMPUTED_VALUE"""),"ANÁLISIS DEL CICLO DE VIDA AMBIENTAL DE LA AGROINDUSTRIA LÁCTEA DE COCHABAMBA")</f>
        <v>ANÁLISIS DEL CICLO DE VIDA AMBIENTAL DE LA AGROINDUSTRIA LÁCTEA DE COCHABAMBA</v>
      </c>
      <c r="C718" s="58">
        <f>IFERROR(__xludf.DUMMYFUNCTION("""COMPUTED_VALUE"""),3.0)</f>
        <v>3</v>
      </c>
    </row>
    <row r="719">
      <c r="A719" s="58" t="str">
        <f>IFERROR(__xludf.DUMMYFUNCTION("""COMPUTED_VALUE"""),"PROCESOS INDUSTRIALES")</f>
        <v>PROCESOS INDUSTRIALES</v>
      </c>
      <c r="B719" s="58" t="str">
        <f>IFERROR(__xludf.DUMMYFUNCTION("""COMPUTED_VALUE"""),"CUANTIFICACIÓN Y TRATAMIENTO DE DESECHOS DEL SACRIFICIO DE GANADO BOVINO Y PORCINO EN EL MATADERO DE SACABA")</f>
        <v>CUANTIFICACIÓN Y TRATAMIENTO DE DESECHOS DEL SACRIFICIO DE GANADO BOVINO Y PORCINO EN EL MATADERO DE SACABA</v>
      </c>
      <c r="C719" s="58">
        <f>IFERROR(__xludf.DUMMYFUNCTION("""COMPUTED_VALUE"""),1.0)</f>
        <v>1</v>
      </c>
    </row>
    <row r="720">
      <c r="A720" s="58" t="str">
        <f>IFERROR(__xludf.DUMMYFUNCTION("""COMPUTED_VALUE"""),"PROCESOS INDUSTRIALES")</f>
        <v>PROCESOS INDUSTRIALES</v>
      </c>
      <c r="B720" s="58" t="str">
        <f>IFERROR(__xludf.DUMMYFUNCTION("""COMPUTED_VALUE"""),"DESARROLLO DE UN MODELO PARA EL MANEJO DE RESÍDUOS EN LA INDUSTRIA METALMECÁNICA (HIERRO Y ACERO) DE COCHABAMBA")</f>
        <v>DESARROLLO DE UN MODELO PARA EL MANEJO DE RESÍDUOS EN LA INDUSTRIA METALMECÁNICA (HIERRO Y ACERO) DE COCHABAMBA</v>
      </c>
      <c r="C720" s="58">
        <f>IFERROR(__xludf.DUMMYFUNCTION("""COMPUTED_VALUE"""),2.0)</f>
        <v>2</v>
      </c>
    </row>
    <row r="721">
      <c r="A721" s="58" t="str">
        <f>IFERROR(__xludf.DUMMYFUNCTION("""COMPUTED_VALUE"""),"PROCESOS INDUSTRIALES")</f>
        <v>PROCESOS INDUSTRIALES</v>
      </c>
      <c r="B721" s="58" t="str">
        <f>IFERROR(__xludf.DUMMYFUNCTION("""COMPUTED_VALUE"""),"DISEÑO DE UN MODELO DE MANEJO DE RESIDUOS SÓLIDOS EN EL CENTRO URBANO DE TIRAQUE")</f>
        <v>DISEÑO DE UN MODELO DE MANEJO DE RESIDUOS SÓLIDOS EN EL CENTRO URBANO DE TIRAQUE</v>
      </c>
      <c r="C721" s="58">
        <f>IFERROR(__xludf.DUMMYFUNCTION("""COMPUTED_VALUE"""),1.0)</f>
        <v>1</v>
      </c>
    </row>
    <row r="722">
      <c r="A722" s="58" t="str">
        <f>IFERROR(__xludf.DUMMYFUNCTION("""COMPUTED_VALUE"""),"PROCESOS INDUSTRIALES")</f>
        <v>PROCESOS INDUSTRIALES</v>
      </c>
      <c r="B722" s="58" t="str">
        <f>IFERROR(__xludf.DUMMYFUNCTION("""COMPUTED_VALUE"""),"DISEÑO Y PLANIFICACIÓN DE UN MODELO DE GESTIÓN Y TRATAMIENTO DE RESÍDUOS SÓLIDOS PARA LA CIUDAD DE PUNATA")</f>
        <v>DISEÑO Y PLANIFICACIÓN DE UN MODELO DE GESTIÓN Y TRATAMIENTO DE RESÍDUOS SÓLIDOS PARA LA CIUDAD DE PUNATA</v>
      </c>
      <c r="C722" s="58">
        <f>IFERROR(__xludf.DUMMYFUNCTION("""COMPUTED_VALUE"""),2.0)</f>
        <v>2</v>
      </c>
    </row>
    <row r="723">
      <c r="A723" s="58" t="str">
        <f>IFERROR(__xludf.DUMMYFUNCTION("""COMPUTED_VALUE"""),"PROCESOS INDUSTRIALES")</f>
        <v>PROCESOS INDUSTRIALES</v>
      </c>
      <c r="B723" s="58" t="str">
        <f>IFERROR(__xludf.DUMMYFUNCTION("""COMPUTED_VALUE"""),"ELABORACIÓN DE UN MANUAL DE PROCEDIMIENTOS BASADO EN EL MODELO DE GESTIÓN POR PROCESOS PARALA PLANTA ENGARRAFADORA DE YPFB-VALLEHERMOSO COCHABAMBA")</f>
        <v>ELABORACIÓN DE UN MANUAL DE PROCEDIMIENTOS BASADO EN EL MODELO DE GESTIÓN POR PROCESOS PARALA PLANTA ENGARRAFADORA DE YPFB-VALLEHERMOSO COCHABAMBA</v>
      </c>
      <c r="C723" s="58">
        <f>IFERROR(__xludf.DUMMYFUNCTION("""COMPUTED_VALUE"""),1.0)</f>
        <v>1</v>
      </c>
    </row>
    <row r="724">
      <c r="A724" s="58" t="str">
        <f>IFERROR(__xludf.DUMMYFUNCTION("""COMPUTED_VALUE"""),"PROCESOS INDUSTRIALES")</f>
        <v>PROCESOS INDUSTRIALES</v>
      </c>
      <c r="B724" s="58" t="str">
        <f>IFERROR(__xludf.DUMMYFUNCTION("""COMPUTED_VALUE"""),"ESTUDIO DE IMPLEMENTACIÓN DE UNA PLANTA PROCESADORA DE AZÚCAR MORENA EN EL VALLE DE SAIPINA.")</f>
        <v>ESTUDIO DE IMPLEMENTACIÓN DE UNA PLANTA PROCESADORA DE AZÚCAR MORENA EN EL VALLE DE SAIPINA.</v>
      </c>
      <c r="C724" s="58">
        <f>IFERROR(__xludf.DUMMYFUNCTION("""COMPUTED_VALUE"""),1.0)</f>
        <v>1</v>
      </c>
    </row>
    <row r="725">
      <c r="A725" s="58" t="str">
        <f>IFERROR(__xludf.DUMMYFUNCTION("""COMPUTED_VALUE"""),"PROCESOS INDUSTRIALES")</f>
        <v>PROCESOS INDUSTRIALES</v>
      </c>
      <c r="B725" s="58" t="str">
        <f>IFERROR(__xludf.DUMMYFUNCTION("""COMPUTED_VALUE"""),"IMPLEMENTACIÓN DE UNA PLANTA ELABORADORA DE HARINA DE SOYA INTEGRAL COMO INSUMO PARA LA ELABORACIÓN DE ALIMENTO BALANCEADO PARA AVES EN EL SECTOR DEL VALLE BAJO DE COCHABAMBA")</f>
        <v>IMPLEMENTACIÓN DE UNA PLANTA ELABORADORA DE HARINA DE SOYA INTEGRAL COMO INSUMO PARA LA ELABORACIÓN DE ALIMENTO BALANCEADO PARA AVES EN EL SECTOR DEL VALLE BAJO DE COCHABAMBA</v>
      </c>
      <c r="C725" s="58">
        <f>IFERROR(__xludf.DUMMYFUNCTION("""COMPUTED_VALUE"""),5.0)</f>
        <v>5</v>
      </c>
    </row>
    <row r="726">
      <c r="A726" s="58" t="str">
        <f>IFERROR(__xludf.DUMMYFUNCTION("""COMPUTED_VALUE"""),"PROCESOS INDUSTRIALES")</f>
        <v>PROCESOS INDUSTRIALES</v>
      </c>
      <c r="B726" s="58" t="str">
        <f>IFERROR(__xludf.DUMMYFUNCTION("""COMPUTED_VALUE"""),"INVESTIGACIÓN PARA LA PRODUCCIÓN DE HARINA DE HOJA
DE COCA")</f>
        <v>INVESTIGACIÓN PARA LA PRODUCCIÓN DE HARINA DE HOJA
DE COCA</v>
      </c>
      <c r="C726" s="58">
        <f>IFERROR(__xludf.DUMMYFUNCTION("""COMPUTED_VALUE"""),1.0)</f>
        <v>1</v>
      </c>
    </row>
    <row r="727">
      <c r="A727" s="58" t="str">
        <f>IFERROR(__xludf.DUMMYFUNCTION("""COMPUTED_VALUE"""),"PROCESOS INDUSTRIALES")</f>
        <v>PROCESOS INDUSTRIALES</v>
      </c>
      <c r="B727" s="58" t="str">
        <f>IFERROR(__xludf.DUMMYFUNCTION("""COMPUTED_VALUE"""),"MODELO DE  RECOLECCIÓN TRANSPORTE Y DISPOSICIÓN FINAL DE LOS RESIDUOS SÓLIDOS EN EL CENTRO POBLADO DEL MUNICIPIO DE OMEREQUE.")</f>
        <v>MODELO DE  RECOLECCIÓN TRANSPORTE Y DISPOSICIÓN FINAL DE LOS RESIDUOS SÓLIDOS EN EL CENTRO POBLADO DEL MUNICIPIO DE OMEREQUE.</v>
      </c>
      <c r="C727" s="58">
        <f>IFERROR(__xludf.DUMMYFUNCTION("""COMPUTED_VALUE"""),1.0)</f>
        <v>1</v>
      </c>
    </row>
    <row r="728">
      <c r="A728" s="58" t="str">
        <f>IFERROR(__xludf.DUMMYFUNCTION("""COMPUTED_VALUE"""),"PROCESOS INDUSTRIALES")</f>
        <v>PROCESOS INDUSTRIALES</v>
      </c>
      <c r="B728" s="58" t="str">
        <f>IFERROR(__xludf.DUMMYFUNCTION("""COMPUTED_VALUE"""),"OPTIMIZACIÓN DE LOS PROCESOS PRODUCTIVOS DE LA EMPRESA TEKNOLIFT S.R.L.")</f>
        <v>OPTIMIZACIÓN DE LOS PROCESOS PRODUCTIVOS DE LA EMPRESA TEKNOLIFT S.R.L.</v>
      </c>
      <c r="C728" s="58">
        <f>IFERROR(__xludf.DUMMYFUNCTION("""COMPUTED_VALUE"""),11.0)</f>
        <v>11</v>
      </c>
    </row>
    <row r="729">
      <c r="A729" s="58" t="str">
        <f>IFERROR(__xludf.DUMMYFUNCTION("""COMPUTED_VALUE"""),"PROCESOS INDUSTRIALES")</f>
        <v>PROCESOS INDUSTRIALES</v>
      </c>
      <c r="B729" s="58" t="str">
        <f>IFERROR(__xludf.DUMMYFUNCTION("""COMPUTED_VALUE"""),"PROPUESTA DE UN MODELO DE GESTIÓN DE RESÍDUOS SÓLIDOS DOMICILIARIOS PARA EL MUNICIPIO DE SANTIVAÑEZ")</f>
        <v>PROPUESTA DE UN MODELO DE GESTIÓN DE RESÍDUOS SÓLIDOS DOMICILIARIOS PARA EL MUNICIPIO DE SANTIVAÑEZ</v>
      </c>
      <c r="C729" s="58">
        <f>IFERROR(__xludf.DUMMYFUNCTION("""COMPUTED_VALUE"""),2.0)</f>
        <v>2</v>
      </c>
    </row>
    <row r="730">
      <c r="A730" s="58" t="str">
        <f>IFERROR(__xludf.DUMMYFUNCTION("""COMPUTED_VALUE"""),"RECURSOS HUMANOS")</f>
        <v>RECURSOS HUMANOS</v>
      </c>
      <c r="B730" s="58" t="str">
        <f>IFERROR(__xludf.DUMMYFUNCTION("""COMPUTED_VALUE"""),"DESARROLLO DE UN MODELO DE TRABAJO PARA LA ADMINISTRACIÓN DE RECURSOS HUMANOS DE COMTECO")</f>
        <v>DESARROLLO DE UN MODELO DE TRABAJO PARA LA ADMINISTRACIÓN DE RECURSOS HUMANOS DE COMTECO</v>
      </c>
      <c r="C730" s="58">
        <f>IFERROR(__xludf.DUMMYFUNCTION("""COMPUTED_VALUE"""),1.0)</f>
        <v>1</v>
      </c>
    </row>
    <row r="731">
      <c r="A731" s="58" t="str">
        <f>IFERROR(__xludf.DUMMYFUNCTION("""COMPUTED_VALUE"""),"RECURSOS HUMANOS")</f>
        <v>RECURSOS HUMANOS</v>
      </c>
      <c r="B731" s="58" t="str">
        <f>IFERROR(__xludf.DUMMYFUNCTION("""COMPUTED_VALUE"""),"DESARROLLO DE UN SISTEMA DE GESTIÓN DE RECURSOS HUMANOS PARA INDUSTRIAS LUJAN S.R.L., BASADO EN UN MODELO DE GESTIÓN POR PROCESOS")</f>
        <v>DESARROLLO DE UN SISTEMA DE GESTIÓN DE RECURSOS HUMANOS PARA INDUSTRIAS LUJAN S.R.L., BASADO EN UN MODELO DE GESTIÓN POR PROCESOS</v>
      </c>
      <c r="C731" s="58">
        <f>IFERROR(__xludf.DUMMYFUNCTION("""COMPUTED_VALUE"""),1.0)</f>
        <v>1</v>
      </c>
    </row>
    <row r="732">
      <c r="A732" s="58" t="str">
        <f>IFERROR(__xludf.DUMMYFUNCTION("""COMPUTED_VALUE"""),"RECURSOS HUMANOS")</f>
        <v>RECURSOS HUMANOS</v>
      </c>
      <c r="B732" s="58" t="str">
        <f>IFERROR(__xludf.DUMMYFUNCTION("""COMPUTED_VALUE"""),"MODELO DE CLIMA ORGANIZACIONAL PARA EL SECTOR ADMINISTRATIVO DE LA FACULTAD DE CIENCIAS Y TECNOLOGÍA")</f>
        <v>MODELO DE CLIMA ORGANIZACIONAL PARA EL SECTOR ADMINISTRATIVO DE LA FACULTAD DE CIENCIAS Y TECNOLOGÍA</v>
      </c>
      <c r="C732" s="58">
        <f>IFERROR(__xludf.DUMMYFUNCTION("""COMPUTED_VALUE"""),9.0)</f>
        <v>9</v>
      </c>
    </row>
    <row r="733">
      <c r="A733" s="58" t="str">
        <f>IFERROR(__xludf.DUMMYFUNCTION("""COMPUTED_VALUE"""),"RECURSOS HUMANOS")</f>
        <v>RECURSOS HUMANOS</v>
      </c>
      <c r="B733" s="58" t="str">
        <f>IFERROR(__xludf.DUMMYFUNCTION("""COMPUTED_VALUE"""),"PROPUESTA DE UN MODELO DE GESTIÓN DEL DESEMPEÑO PARA LOS RECURSOS HUMANOS DE LA OFICIALÍA MAYOR ADMINISTRATIVA Y FINANCIERA DE LA H.A.M. DE COCHABAMBA")</f>
        <v>PROPUESTA DE UN MODELO DE GESTIÓN DEL DESEMPEÑO PARA LOS RECURSOS HUMANOS DE LA OFICIALÍA MAYOR ADMINISTRATIVA Y FINANCIERA DE LA H.A.M. DE COCHABAMBA</v>
      </c>
      <c r="C733" s="58">
        <f>IFERROR(__xludf.DUMMYFUNCTION("""COMPUTED_VALUE"""),3.0)</f>
        <v>3</v>
      </c>
    </row>
    <row r="734">
      <c r="A734" s="58" t="str">
        <f>IFERROR(__xludf.DUMMYFUNCTION("""COMPUTED_VALUE"""),"SEGURIDAD INDUSTRIAL")</f>
        <v>SEGURIDAD INDUSTRIAL</v>
      </c>
      <c r="B734" s="58" t="str">
        <f>IFERROR(__xludf.DUMMYFUNCTION("""COMPUTED_VALUE""")," DISEÑO PARA LA IMPLEMENTACIÓN DE UN SISTEMA DE GESTIÓN DE RIESGOS DE 
CALIDAD ENFOCADO A LA CADENA DE VALOR DE LA EMPRESA SIGMA CORP.")</f>
        <v> DISEÑO PARA LA IMPLEMENTACIÓN DE UN SISTEMA DE GESTIÓN DE RIESGOS DE 
CALIDAD ENFOCADO A LA CADENA DE VALOR DE LA EMPRESA SIGMA CORP.</v>
      </c>
      <c r="C734" s="58">
        <f>IFERROR(__xludf.DUMMYFUNCTION("""COMPUTED_VALUE"""),5.0)</f>
        <v>5</v>
      </c>
    </row>
    <row r="735">
      <c r="A735" s="58" t="str">
        <f>IFERROR(__xludf.DUMMYFUNCTION("""COMPUTED_VALUE"""),"SEGURIDAD INDUSTRIAL")</f>
        <v>SEGURIDAD INDUSTRIAL</v>
      </c>
      <c r="B735" s="58" t="str">
        <f>IFERROR(__xludf.DUMMYFUNCTION("""COMPUTED_VALUE"""),"201800226@est.umss.edu")</f>
        <v>201800226@est.umss.edu</v>
      </c>
      <c r="C735" s="58">
        <f>IFERROR(__xludf.DUMMYFUNCTION("""COMPUTED_VALUE"""),1.0)</f>
        <v>1</v>
      </c>
    </row>
    <row r="736">
      <c r="A736" s="58" t="str">
        <f>IFERROR(__xludf.DUMMYFUNCTION("""COMPUTED_VALUE"""),"SEGURIDAD INDUSTRIAL")</f>
        <v>SEGURIDAD INDUSTRIAL</v>
      </c>
      <c r="B736" s="58" t="str">
        <f>IFERROR(__xludf.DUMMYFUNCTION("""COMPUTED_VALUE"""),"ANÁLISIS DE PREVENCIÓN Y PROTECCIÓN DE RIESGOS DE EXPLOSIÓN EN ESTACIONES DE SERVICIO DE GAS NATURAL Y COMBUSTIBLES LÍQUIDOS A TRAVÉS DE LA ARMONIZACIÓN Y APLICACIÓN DE LOS ESTÁNDARES IEC, API RP 500, API RP 505 Y NFPA70")</f>
        <v>ANÁLISIS DE PREVENCIÓN Y PROTECCIÓN DE RIESGOS DE EXPLOSIÓN EN ESTACIONES DE SERVICIO DE GAS NATURAL Y COMBUSTIBLES LÍQUIDOS A TRAVÉS DE LA ARMONIZACIÓN Y APLICACIÓN DE LOS ESTÁNDARES IEC, API RP 500, API RP 505 Y NFPA70</v>
      </c>
      <c r="C736" s="58">
        <f>IFERROR(__xludf.DUMMYFUNCTION("""COMPUTED_VALUE"""),1.0)</f>
        <v>1</v>
      </c>
    </row>
    <row r="737">
      <c r="A737" s="58" t="str">
        <f>IFERROR(__xludf.DUMMYFUNCTION("""COMPUTED_VALUE"""),"SEGURIDAD INDUSTRIAL")</f>
        <v>SEGURIDAD INDUSTRIAL</v>
      </c>
      <c r="B737" s="58" t="str">
        <f>IFERROR(__xludf.DUMMYFUNCTION("""COMPUTED_VALUE"""),"APLICACIÓN DEL MÉTODO DE ANÁLISIS, IDENTIFICACIÓN Y CONTROL DE PUNTOS CRÍTICOS EN EL PROCESO DE TRANSFORMACIÓN DE PRODUCTOS LÁCTEOS EN LA PLANTA PILOTO DE LA FACULTAD DE CIENCIAS AGRÍCOLAS Y PECUARIAS")</f>
        <v>APLICACIÓN DEL MÉTODO DE ANÁLISIS, IDENTIFICACIÓN Y CONTROL DE PUNTOS CRÍTICOS EN EL PROCESO DE TRANSFORMACIÓN DE PRODUCTOS LÁCTEOS EN LA PLANTA PILOTO DE LA FACULTAD DE CIENCIAS AGRÍCOLAS Y PECUARIAS</v>
      </c>
      <c r="C737" s="58">
        <f>IFERROR(__xludf.DUMMYFUNCTION("""COMPUTED_VALUE"""),1.0)</f>
        <v>1</v>
      </c>
    </row>
    <row r="738">
      <c r="A738" s="58" t="str">
        <f>IFERROR(__xludf.DUMMYFUNCTION("""COMPUTED_VALUE"""),"SEGURIDAD INDUSTRIAL")</f>
        <v>SEGURIDAD INDUSTRIAL</v>
      </c>
      <c r="B738" s="58" t="str">
        <f>IFERROR(__xludf.DUMMYFUNCTION("""COMPUTED_VALUE"""),"DESARROLLO DE UN PLAN DE ANÁLISIS DE PELIGROS Y PUNTOS DE CONTROL CRÍTICOS (APPCC) PARA LA LÍNEA DE REFRESCOS DE PIL ANDINA S.A.")</f>
        <v>DESARROLLO DE UN PLAN DE ANÁLISIS DE PELIGROS Y PUNTOS DE CONTROL CRÍTICOS (APPCC) PARA LA LÍNEA DE REFRESCOS DE PIL ANDINA S.A.</v>
      </c>
      <c r="C738" s="58">
        <f>IFERROR(__xludf.DUMMYFUNCTION("""COMPUTED_VALUE"""),2.0)</f>
        <v>2</v>
      </c>
    </row>
    <row r="739">
      <c r="A739" s="58" t="str">
        <f>IFERROR(__xludf.DUMMYFUNCTION("""COMPUTED_VALUE"""),"SEGURIDAD INDUSTRIAL")</f>
        <v>SEGURIDAD INDUSTRIAL</v>
      </c>
      <c r="B739" s="58" t="str">
        <f>IFERROR(__xludf.DUMMYFUNCTION("""COMPUTED_VALUE"""),"DESARROLLO DE UN PLAN DE EMERGENCIAS PARA ELFEC S.A. E INTEGRA S.A.")</f>
        <v>DESARROLLO DE UN PLAN DE EMERGENCIAS PARA ELFEC S.A. E INTEGRA S.A.</v>
      </c>
      <c r="C739" s="58">
        <f>IFERROR(__xludf.DUMMYFUNCTION("""COMPUTED_VALUE"""),8.0)</f>
        <v>8</v>
      </c>
    </row>
    <row r="740">
      <c r="A740" s="58" t="str">
        <f>IFERROR(__xludf.DUMMYFUNCTION("""COMPUTED_VALUE"""),"SEGURIDAD INDUSTRIAL")</f>
        <v>SEGURIDAD INDUSTRIAL</v>
      </c>
      <c r="B740" s="58" t="str">
        <f>IFERROR(__xludf.DUMMYFUNCTION("""COMPUTED_VALUE"""),"DESARROLLO DE UN PLAN DE SEGURIDAD E HIGIENE INDUSTRIAL EN LA EMPRESA DE METALMECÁNICA CAMESBA S.R.L.")</f>
        <v>DESARROLLO DE UN PLAN DE SEGURIDAD E HIGIENE INDUSTRIAL EN LA EMPRESA DE METALMECÁNICA CAMESBA S.R.L.</v>
      </c>
      <c r="C740" s="58">
        <f>IFERROR(__xludf.DUMMYFUNCTION("""COMPUTED_VALUE"""),3.0)</f>
        <v>3</v>
      </c>
    </row>
    <row r="741">
      <c r="A741" s="58" t="str">
        <f>IFERROR(__xludf.DUMMYFUNCTION("""COMPUTED_VALUE"""),"SEGURIDAD INDUSTRIAL")</f>
        <v>SEGURIDAD INDUSTRIAL</v>
      </c>
      <c r="B741" s="58" t="str">
        <f>IFERROR(__xludf.DUMMYFUNCTION("""COMPUTED_VALUE"""),"DESARROLLO DE UN PLAN DE SEGURIDAD INDUSTRIAL E HIGIENE OCUPACIONAL PARA LA EMPRESA DE CONFECCIONES BRENNER JEAN")</f>
        <v>DESARROLLO DE UN PLAN DE SEGURIDAD INDUSTRIAL E HIGIENE OCUPACIONAL PARA LA EMPRESA DE CONFECCIONES BRENNER JEAN</v>
      </c>
      <c r="C741" s="58">
        <f>IFERROR(__xludf.DUMMYFUNCTION("""COMPUTED_VALUE"""),2.0)</f>
        <v>2</v>
      </c>
    </row>
    <row r="742">
      <c r="A742" s="58" t="str">
        <f>IFERROR(__xludf.DUMMYFUNCTION("""COMPUTED_VALUE"""),"SEGURIDAD INDUSTRIAL")</f>
        <v>SEGURIDAD INDUSTRIAL</v>
      </c>
      <c r="B742" s="58" t="str">
        <f>IFERROR(__xludf.DUMMYFUNCTION("""COMPUTED_VALUE"""),"DESARROLLO DE UN PLAN DE SEGURIDAD INDUSTRIAL E HIGIENE OCUPACIONAL PARA LA FÁBRICA DE PLANTILLAS DE ZAPATOS Y ARTÍCULOS DE POLIETILENO PAFEGAR")</f>
        <v>DESARROLLO DE UN PLAN DE SEGURIDAD INDUSTRIAL E HIGIENE OCUPACIONAL PARA LA FÁBRICA DE PLANTILLAS DE ZAPATOS Y ARTÍCULOS DE POLIETILENO PAFEGAR</v>
      </c>
      <c r="C742" s="58">
        <f>IFERROR(__xludf.DUMMYFUNCTION("""COMPUTED_VALUE"""),2.0)</f>
        <v>2</v>
      </c>
    </row>
    <row r="743">
      <c r="A743" s="58" t="str">
        <f>IFERROR(__xludf.DUMMYFUNCTION("""COMPUTED_VALUE"""),"SEGURIDAD INDUSTRIAL")</f>
        <v>SEGURIDAD INDUSTRIAL</v>
      </c>
      <c r="B743" s="58" t="str">
        <f>IFERROR(__xludf.DUMMYFUNCTION("""COMPUTED_VALUE"""),"DESARROLLO DE UN PLAN INTEGRAL DE SEGURIDAD INDUSTRIAL, SALUD E HIGIENE OCUPACIONAL Y MEDIO AMBIENTAL PARA LA PAPELERA S.A. REGIONAL COCHABAMBA.")</f>
        <v>DESARROLLO DE UN PLAN INTEGRAL DE SEGURIDAD INDUSTRIAL, SALUD E HIGIENE OCUPACIONAL Y MEDIO AMBIENTAL PARA LA PAPELERA S.A. REGIONAL COCHABAMBA.</v>
      </c>
      <c r="C743" s="58">
        <f>IFERROR(__xludf.DUMMYFUNCTION("""COMPUTED_VALUE"""),1.0)</f>
        <v>1</v>
      </c>
    </row>
    <row r="744">
      <c r="A744" s="58" t="str">
        <f>IFERROR(__xludf.DUMMYFUNCTION("""COMPUTED_VALUE"""),"SEGURIDAD INDUSTRIAL")</f>
        <v>SEGURIDAD INDUSTRIAL</v>
      </c>
      <c r="B744" s="58" t="str">
        <f>IFERROR(__xludf.DUMMYFUNCTION("""COMPUTED_VALUE"""),"DESARROLLO DE UN SISTEMA DE GESTIÓN DE SEGURIDAD Y SALUD OCUPACIONAL BASADO EN LA NORMA BOLIVIANA NB/OHSAS 18001, PARA LA EMPRESA COBOCE HORMIGON")</f>
        <v>DESARROLLO DE UN SISTEMA DE GESTIÓN DE SEGURIDAD Y SALUD OCUPACIONAL BASADO EN LA NORMA BOLIVIANA NB/OHSAS 18001, PARA LA EMPRESA COBOCE HORMIGON</v>
      </c>
      <c r="C744" s="58">
        <f>IFERROR(__xludf.DUMMYFUNCTION("""COMPUTED_VALUE"""),2.0)</f>
        <v>2</v>
      </c>
    </row>
    <row r="745">
      <c r="A745" s="58" t="str">
        <f>IFERROR(__xludf.DUMMYFUNCTION("""COMPUTED_VALUE"""),"SEGURIDAD INDUSTRIAL")</f>
        <v>SEGURIDAD INDUSTRIAL</v>
      </c>
      <c r="B745" s="58" t="str">
        <f>IFERROR(__xludf.DUMMYFUNCTION("""COMPUTED_VALUE"""),"DISEÑO DE MEDIDAS DE PRODUCCIÓN MÁS LIMPIA, PLAN DE  SEGURIDAD E HIGIENE INDUSTRIAL PARA LA CARPINTERÍA EMANUEL")</f>
        <v>DISEÑO DE MEDIDAS DE PRODUCCIÓN MÁS LIMPIA, PLAN DE  SEGURIDAD E HIGIENE INDUSTRIAL PARA LA CARPINTERÍA EMANUEL</v>
      </c>
      <c r="C745" s="58">
        <f>IFERROR(__xludf.DUMMYFUNCTION("""COMPUTED_VALUE"""),1.0)</f>
        <v>1</v>
      </c>
    </row>
    <row r="746">
      <c r="A746" s="58" t="str">
        <f>IFERROR(__xludf.DUMMYFUNCTION("""COMPUTED_VALUE"""),"SEGURIDAD INDUSTRIAL")</f>
        <v>SEGURIDAD INDUSTRIAL</v>
      </c>
      <c r="B746" s="58" t="str">
        <f>IFERROR(__xludf.DUMMYFUNCTION("""COMPUTED_VALUE"""),"DISEÑO DE UN MODELO DE REORGANIZACIÓN DE LA SEGURIDAD INDUSTRIAL PARA LA EMPRESA FABE S.A.")</f>
        <v>DISEÑO DE UN MODELO DE REORGANIZACIÓN DE LA SEGURIDAD INDUSTRIAL PARA LA EMPRESA FABE S.A.</v>
      </c>
      <c r="C746" s="58">
        <f>IFERROR(__xludf.DUMMYFUNCTION("""COMPUTED_VALUE"""),1.0)</f>
        <v>1</v>
      </c>
    </row>
    <row r="747">
      <c r="A747" s="58" t="str">
        <f>IFERROR(__xludf.DUMMYFUNCTION("""COMPUTED_VALUE"""),"SEGURIDAD INDUSTRIAL")</f>
        <v>SEGURIDAD INDUSTRIAL</v>
      </c>
      <c r="B747" s="58" t="str">
        <f>IFERROR(__xludf.DUMMYFUNCTION("""COMPUTED_VALUE"""),"DISEÑO DE UN MODELO DE SEGURIDAD INDUSTRIAL PARA INDUSTRIAS DE ACEITE S.A.")</f>
        <v>DISEÑO DE UN MODELO DE SEGURIDAD INDUSTRIAL PARA INDUSTRIAS DE ACEITE S.A.</v>
      </c>
      <c r="C747" s="58">
        <f>IFERROR(__xludf.DUMMYFUNCTION("""COMPUTED_VALUE"""),2.0)</f>
        <v>2</v>
      </c>
    </row>
    <row r="748">
      <c r="A748" s="58" t="str">
        <f>IFERROR(__xludf.DUMMYFUNCTION("""COMPUTED_VALUE"""),"SEGURIDAD INDUSTRIAL")</f>
        <v>SEGURIDAD INDUSTRIAL</v>
      </c>
      <c r="B748" s="58" t="str">
        <f>IFERROR(__xludf.DUMMYFUNCTION("""COMPUTED_VALUE"""),"DISEÑO DE UN MODELO DE SISTEMA DE SEGURIDAD INDUSTRIAL E HIGIENE OCUPACIONAL PARA LA EMPRESA MATRA")</f>
        <v>DISEÑO DE UN MODELO DE SISTEMA DE SEGURIDAD INDUSTRIAL E HIGIENE OCUPACIONAL PARA LA EMPRESA MATRA</v>
      </c>
      <c r="C748" s="58">
        <f>IFERROR(__xludf.DUMMYFUNCTION("""COMPUTED_VALUE"""),2.0)</f>
        <v>2</v>
      </c>
    </row>
    <row r="749">
      <c r="A749" s="58" t="str">
        <f>IFERROR(__xludf.DUMMYFUNCTION("""COMPUTED_VALUE"""),"SEGURIDAD INDUSTRIAL")</f>
        <v>SEGURIDAD INDUSTRIAL</v>
      </c>
      <c r="B749" s="58" t="str">
        <f>IFERROR(__xludf.DUMMYFUNCTION("""COMPUTED_VALUE"""),"DISEÑO DE UN PLAN DE ANÁLISIS DE PELIGROS Y PUNTOS CRÍTICOS DE CONTROL HACCP PARA LA INDUSTRIA DE PRODUCTOS ALIMENTICIOS RICO PAN S.R.L")</f>
        <v>DISEÑO DE UN PLAN DE ANÁLISIS DE PELIGROS Y PUNTOS CRÍTICOS DE CONTROL HACCP PARA LA INDUSTRIA DE PRODUCTOS ALIMENTICIOS RICO PAN S.R.L</v>
      </c>
      <c r="C749" s="58">
        <f>IFERROR(__xludf.DUMMYFUNCTION("""COMPUTED_VALUE"""),3.0)</f>
        <v>3</v>
      </c>
    </row>
    <row r="750">
      <c r="A750" s="58" t="str">
        <f>IFERROR(__xludf.DUMMYFUNCTION("""COMPUTED_VALUE"""),"SEGURIDAD INDUSTRIAL")</f>
        <v>SEGURIDAD INDUSTRIAL</v>
      </c>
      <c r="B750" s="58" t="str">
        <f>IFERROR(__xludf.DUMMYFUNCTION("""COMPUTED_VALUE"""),"DISEÑO DE UN PLAN DE ANÁLISIS DE PELIGROS Y PUNTOS CRÍTICOS DE CONTROL Y UN PROGRAMA DE SEGURIDAD Y SALUD EN EL TRABAJO (PSST) PARA INDUSTRIAS YACOBS S.R.L")</f>
        <v>DISEÑO DE UN PLAN DE ANÁLISIS DE PELIGROS Y PUNTOS CRÍTICOS DE CONTROL Y UN PROGRAMA DE SEGURIDAD Y SALUD EN EL TRABAJO (PSST) PARA INDUSTRIAS YACOBS S.R.L</v>
      </c>
      <c r="C750" s="58">
        <f>IFERROR(__xludf.DUMMYFUNCTION("""COMPUTED_VALUE"""),2.0)</f>
        <v>2</v>
      </c>
    </row>
    <row r="751">
      <c r="A751" s="58" t="str">
        <f>IFERROR(__xludf.DUMMYFUNCTION("""COMPUTED_VALUE"""),"SEGURIDAD INDUSTRIAL")</f>
        <v>SEGURIDAD INDUSTRIAL</v>
      </c>
      <c r="B751" s="58" t="str">
        <f>IFERROR(__xludf.DUMMYFUNCTION("""COMPUTED_VALUE"""),"DISEÑO DE UN PLAN DE HIGIENE, SEGURIDAD OCUPACIONAL Y BIENESTAR SEGÚN DL 16998/RA 038 PARA LA EMPRESA “A&amp;E”")</f>
        <v>DISEÑO DE UN PLAN DE HIGIENE, SEGURIDAD OCUPACIONAL Y BIENESTAR SEGÚN DL 16998/RA 038 PARA LA EMPRESA “A&amp;E”</v>
      </c>
      <c r="C751" s="58">
        <f>IFERROR(__xludf.DUMMYFUNCTION("""COMPUTED_VALUE"""),1.0)</f>
        <v>1</v>
      </c>
    </row>
    <row r="752">
      <c r="A752" s="58" t="str">
        <f>IFERROR(__xludf.DUMMYFUNCTION("""COMPUTED_VALUE"""),"SEGURIDAD INDUSTRIAL")</f>
        <v>SEGURIDAD INDUSTRIAL</v>
      </c>
      <c r="B752" s="58" t="str">
        <f>IFERROR(__xludf.DUMMYFUNCTION("""COMPUTED_VALUE"""),"DISEÑO DE UN PLAN DE INOCUIDAD ALIMENTARIA BASADA EN EL HACCP Y UN PLAN DE SEGURIDAD INDUSTRIAL E HIGIENE OCUPACIONAL PARA LA EMPRESA INDUSTRIAS DEL MOLLE S.R.L")</f>
        <v>DISEÑO DE UN PLAN DE INOCUIDAD ALIMENTARIA BASADA EN EL HACCP Y UN PLAN DE SEGURIDAD INDUSTRIAL E HIGIENE OCUPACIONAL PARA LA EMPRESA INDUSTRIAS DEL MOLLE S.R.L</v>
      </c>
      <c r="C752" s="58">
        <f>IFERROR(__xludf.DUMMYFUNCTION("""COMPUTED_VALUE"""),1.0)</f>
        <v>1</v>
      </c>
    </row>
    <row r="753">
      <c r="A753" s="58" t="str">
        <f>IFERROR(__xludf.DUMMYFUNCTION("""COMPUTED_VALUE"""),"SEGURIDAD INDUSTRIAL")</f>
        <v>SEGURIDAD INDUSTRIAL</v>
      </c>
      <c r="B753" s="58" t="str">
        <f>IFERROR(__xludf.DUMMYFUNCTION("""COMPUTED_VALUE"""),"DISEÑO DE UN PLAN DE SEGURIDAD E HIGIENE INDUSTRIAL
PARA LA EMPRESA METALMECÁNICA INPROCO S.R.L.")</f>
        <v>DISEÑO DE UN PLAN DE SEGURIDAD E HIGIENE INDUSTRIAL
PARA LA EMPRESA METALMECÁNICA INPROCO S.R.L.</v>
      </c>
      <c r="C753" s="58">
        <f>IFERROR(__xludf.DUMMYFUNCTION("""COMPUTED_VALUE"""),1.0)</f>
        <v>1</v>
      </c>
    </row>
    <row r="754">
      <c r="A754" s="58" t="str">
        <f>IFERROR(__xludf.DUMMYFUNCTION("""COMPUTED_VALUE"""),"SEGURIDAD INDUSTRIAL")</f>
        <v>SEGURIDAD INDUSTRIAL</v>
      </c>
      <c r="B754" s="58" t="str">
        <f>IFERROR(__xludf.DUMMYFUNCTION("""COMPUTED_VALUE"""),"DISEÑO DE UN PLAN DE SEGURIDAD E HIGIENE INDUSTRIAL PARA LA EMPRESA METALMECÁNICA INPROCO S.R.L.")</f>
        <v>DISEÑO DE UN PLAN DE SEGURIDAD E HIGIENE INDUSTRIAL PARA LA EMPRESA METALMECÁNICA INPROCO S.R.L.</v>
      </c>
      <c r="C754" s="58">
        <f>IFERROR(__xludf.DUMMYFUNCTION("""COMPUTED_VALUE"""),6.0)</f>
        <v>6</v>
      </c>
    </row>
    <row r="755">
      <c r="A755" s="58" t="str">
        <f>IFERROR(__xludf.DUMMYFUNCTION("""COMPUTED_VALUE"""),"SEGURIDAD INDUSTRIAL")</f>
        <v>SEGURIDAD INDUSTRIAL</v>
      </c>
      <c r="B755" s="58" t="str">
        <f>IFERROR(__xludf.DUMMYFUNCTION("""COMPUTED_VALUE"""),"DISEÑO DE UN PLAN DE SEGURIDAD E HIGIENE INDUSTRIAL PARA PROCESADORA DE POLLOS VEGA “PROVE”")</f>
        <v>DISEÑO DE UN PLAN DE SEGURIDAD E HIGIENE INDUSTRIAL PARA PROCESADORA DE POLLOS VEGA “PROVE”</v>
      </c>
      <c r="C755" s="58">
        <f>IFERROR(__xludf.DUMMYFUNCTION("""COMPUTED_VALUE"""),4.0)</f>
        <v>4</v>
      </c>
    </row>
    <row r="756">
      <c r="A756" s="58" t="str">
        <f>IFERROR(__xludf.DUMMYFUNCTION("""COMPUTED_VALUE"""),"SEGURIDAD INDUSTRIAL")</f>
        <v>SEGURIDAD INDUSTRIAL</v>
      </c>
      <c r="B756" s="58" t="str">
        <f>IFERROR(__xludf.DUMMYFUNCTION("""COMPUTED_VALUE"""),"DISEÑO DE UN PLAN DE SEGURIDAD E HIGIENE OCUPACIONAL")</f>
        <v>DISEÑO DE UN PLAN DE SEGURIDAD E HIGIENE OCUPACIONAL</v>
      </c>
      <c r="C756" s="58">
        <f>IFERROR(__xludf.DUMMYFUNCTION("""COMPUTED_VALUE"""),2.0)</f>
        <v>2</v>
      </c>
    </row>
    <row r="757">
      <c r="A757" s="58" t="str">
        <f>IFERROR(__xludf.DUMMYFUNCTION("""COMPUTED_VALUE"""),"SEGURIDAD INDUSTRIAL")</f>
        <v>SEGURIDAD INDUSTRIAL</v>
      </c>
      <c r="B757" s="58" t="str">
        <f>IFERROR(__xludf.DUMMYFUNCTION("""COMPUTED_VALUE"""),"DISEÑO DE UN PLAN DE SEGURIDAD E HIGIENE OCUPACIONAL PARA CONSTRUCCIONES METÁLICAS VALVERDE S.R.L")</f>
        <v>DISEÑO DE UN PLAN DE SEGURIDAD E HIGIENE OCUPACIONAL PARA CONSTRUCCIONES METÁLICAS VALVERDE S.R.L</v>
      </c>
      <c r="C757" s="58">
        <f>IFERROR(__xludf.DUMMYFUNCTION("""COMPUTED_VALUE"""),1.0)</f>
        <v>1</v>
      </c>
    </row>
    <row r="758">
      <c r="A758" s="58" t="str">
        <f>IFERROR(__xludf.DUMMYFUNCTION("""COMPUTED_VALUE"""),"SEGURIDAD INDUSTRIAL")</f>
        <v>SEGURIDAD INDUSTRIAL</v>
      </c>
      <c r="B758" s="58" t="str">
        <f>IFERROR(__xludf.DUMMYFUNCTION("""COMPUTED_VALUE"""),"DISEÑO DE UN PLAN DE SEGURIDAD E HIGIENE OCUPACIONAL PARA EL ASERRADERO SAN JOAQUIN")</f>
        <v>DISEÑO DE UN PLAN DE SEGURIDAD E HIGIENE OCUPACIONAL PARA EL ASERRADERO SAN JOAQUIN</v>
      </c>
      <c r="C758" s="58">
        <f>IFERROR(__xludf.DUMMYFUNCTION("""COMPUTED_VALUE"""),2.0)</f>
        <v>2</v>
      </c>
    </row>
    <row r="759">
      <c r="A759" s="58" t="str">
        <f>IFERROR(__xludf.DUMMYFUNCTION("""COMPUTED_VALUE"""),"SEGURIDAD INDUSTRIAL")</f>
        <v>SEGURIDAD INDUSTRIAL</v>
      </c>
      <c r="B759" s="58" t="str">
        <f>IFERROR(__xludf.DUMMYFUNCTION("""COMPUTED_VALUE"""),"DISEÑO DE UN PLAN DE SEGURIDAD E HIGIENE OCUPACIONAL PARA LA CONSTRUCTORA METALMECÁNICA CONSVIVAR")</f>
        <v>DISEÑO DE UN PLAN DE SEGURIDAD E HIGIENE OCUPACIONAL PARA LA CONSTRUCTORA METALMECÁNICA CONSVIVAR</v>
      </c>
      <c r="C759" s="58">
        <f>IFERROR(__xludf.DUMMYFUNCTION("""COMPUTED_VALUE"""),2.0)</f>
        <v>2</v>
      </c>
    </row>
    <row r="760">
      <c r="A760" s="58" t="str">
        <f>IFERROR(__xludf.DUMMYFUNCTION("""COMPUTED_VALUE"""),"SEGURIDAD INDUSTRIAL")</f>
        <v>SEGURIDAD INDUSTRIAL</v>
      </c>
      <c r="B760" s="58" t="str">
        <f>IFERROR(__xludf.DUMMYFUNCTION("""COMPUTED_VALUE"""),"DISEÑO DE UN PLAN DE SEGURIDAD E HIGIENE OCUPACIONAL PARA LA COOPERATIVA FOTRACAR LTDA.")</f>
        <v>DISEÑO DE UN PLAN DE SEGURIDAD E HIGIENE OCUPACIONAL PARA LA COOPERATIVA FOTRACAR LTDA.</v>
      </c>
      <c r="C760" s="58">
        <f>IFERROR(__xludf.DUMMYFUNCTION("""COMPUTED_VALUE"""),1.0)</f>
        <v>1</v>
      </c>
    </row>
    <row r="761">
      <c r="A761" s="58" t="str">
        <f>IFERROR(__xludf.DUMMYFUNCTION("""COMPUTED_VALUE"""),"SEGURIDAD INDUSTRIAL")</f>
        <v>SEGURIDAD INDUSTRIAL</v>
      </c>
      <c r="B761" s="58" t="str">
        <f>IFERROR(__xludf.DUMMYFUNCTION("""COMPUTED_VALUE"""),"DISEÑO DE UN PLAN DE SEGURIDAD E HIGIENE OCUPACIONAL PARA LA “CURTIEMBRE VALENZUELA”")</f>
        <v>DISEÑO DE UN PLAN DE SEGURIDAD E HIGIENE OCUPACIONAL PARA LA “CURTIEMBRE VALENZUELA”</v>
      </c>
      <c r="C761" s="58">
        <f>IFERROR(__xludf.DUMMYFUNCTION("""COMPUTED_VALUE"""),2.0)</f>
        <v>2</v>
      </c>
    </row>
    <row r="762">
      <c r="A762" s="58" t="str">
        <f>IFERROR(__xludf.DUMMYFUNCTION("""COMPUTED_VALUE"""),"SEGURIDAD INDUSTRIAL")</f>
        <v>SEGURIDAD INDUSTRIAL</v>
      </c>
      <c r="B762" s="58" t="str">
        <f>IFERROR(__xludf.DUMMYFUNCTION("""COMPUTED_VALUE"""),"DISEÑO DE UN PLAN DE SEGURIDAD INDUSTRIAL E HIGIENE OCUPACIONAL PARA LA PLANTA DE PRODUCCIÓN DE CRISTEMBO S.R.L.")</f>
        <v>DISEÑO DE UN PLAN DE SEGURIDAD INDUSTRIAL E HIGIENE OCUPACIONAL PARA LA PLANTA DE PRODUCCIÓN DE CRISTEMBO S.R.L.</v>
      </c>
      <c r="C762" s="58">
        <f>IFERROR(__xludf.DUMMYFUNCTION("""COMPUTED_VALUE"""),1.0)</f>
        <v>1</v>
      </c>
    </row>
    <row r="763">
      <c r="A763" s="58" t="str">
        <f>IFERROR(__xludf.DUMMYFUNCTION("""COMPUTED_VALUE"""),"SEGURIDAD INDUSTRIAL")</f>
        <v>SEGURIDAD INDUSTRIAL</v>
      </c>
      <c r="B763" s="58" t="str">
        <f>IFERROR(__xludf.DUMMYFUNCTION("""COMPUTED_VALUE"""),"DISEÑO DE UN PLAN DE SEGURIDAD INDUSTRIAL PARA LA PREFECTURA DE COCHABAMBA")</f>
        <v>DISEÑO DE UN PLAN DE SEGURIDAD INDUSTRIAL PARA LA PREFECTURA DE COCHABAMBA</v>
      </c>
      <c r="C763" s="58">
        <f>IFERROR(__xludf.DUMMYFUNCTION("""COMPUTED_VALUE"""),1.0)</f>
        <v>1</v>
      </c>
    </row>
    <row r="764">
      <c r="A764" s="58" t="str">
        <f>IFERROR(__xludf.DUMMYFUNCTION("""COMPUTED_VALUE"""),"SEGURIDAD INDUSTRIAL")</f>
        <v>SEGURIDAD INDUSTRIAL</v>
      </c>
      <c r="B764" s="58" t="str">
        <f>IFERROR(__xludf.DUMMYFUNCTION("""COMPUTED_VALUE"""),"DISEÑO DE UN PLAN DE SEGURIDAD OCUPACIONAL EN LAS INSTALACIONES DE LA CURTIEMBRE CURVECO")</f>
        <v>DISEÑO DE UN PLAN DE SEGURIDAD OCUPACIONAL EN LAS INSTALACIONES DE LA CURTIEMBRE CURVECO</v>
      </c>
      <c r="C764" s="58">
        <f>IFERROR(__xludf.DUMMYFUNCTION("""COMPUTED_VALUE"""),1.0)</f>
        <v>1</v>
      </c>
    </row>
    <row r="765">
      <c r="A765" s="58" t="str">
        <f>IFERROR(__xludf.DUMMYFUNCTION("""COMPUTED_VALUE"""),"SEGURIDAD INDUSTRIAL")</f>
        <v>SEGURIDAD INDUSTRIAL</v>
      </c>
      <c r="B765"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C765" s="58">
        <f>IFERROR(__xludf.DUMMYFUNCTION("""COMPUTED_VALUE"""),1.0)</f>
        <v>1</v>
      </c>
    </row>
    <row r="766">
      <c r="A766" s="58" t="str">
        <f>IFERROR(__xludf.DUMMYFUNCTION("""COMPUTED_VALUE"""),"SEGURIDAD INDUSTRIAL")</f>
        <v>SEGURIDAD INDUSTRIAL</v>
      </c>
      <c r="B766" s="58" t="str">
        <f>IFERROR(__xludf.DUMMYFUNCTION("""COMPUTED_VALUE"""),"DISEÑO DE UN PLAN DE SEGURIDAD Y SALUD OCUPACIONAL BASADO EN LA NORMA BOLIVIANA OHSAS 18001-2007 PARA PROYECTOS DE CONSTRUCCIÓN CIVIL EN EL ÁREA DE VIALIDAD (CARRETERAS)")</f>
        <v>DISEÑO DE UN PLAN DE SEGURIDAD Y SALUD OCUPACIONAL BASADO EN LA NORMA BOLIVIANA OHSAS 18001-2007 PARA PROYECTOS DE CONSTRUCCIÓN CIVIL EN EL ÁREA DE VIALIDAD (CARRETERAS)</v>
      </c>
      <c r="C766" s="58">
        <f>IFERROR(__xludf.DUMMYFUNCTION("""COMPUTED_VALUE"""),1.0)</f>
        <v>1</v>
      </c>
    </row>
    <row r="767">
      <c r="A767" s="58" t="str">
        <f>IFERROR(__xludf.DUMMYFUNCTION("""COMPUTED_VALUE"""),"SEGURIDAD INDUSTRIAL")</f>
        <v>SEGURIDAD INDUSTRIAL</v>
      </c>
      <c r="B767"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C767" s="58">
        <f>IFERROR(__xludf.DUMMYFUNCTION("""COMPUTED_VALUE"""),6.0)</f>
        <v>6</v>
      </c>
    </row>
    <row r="768">
      <c r="A768" s="58" t="str">
        <f>IFERROR(__xludf.DUMMYFUNCTION("""COMPUTED_VALUE"""),"SEGURIDAD INDUSTRIAL")</f>
        <v>SEGURIDAD INDUSTRIAL</v>
      </c>
      <c r="B768" s="58" t="str">
        <f>IFERROR(__xludf.DUMMYFUNCTION("""COMPUTED_VALUE"""),"DISEÑO DE UN PLANA SEGURIDAD E HIGIENE OCUPACIONAL PARA LA INDUSTRIA PANIFICADORA INPASA")</f>
        <v>DISEÑO DE UN PLANA SEGURIDAD E HIGIENE OCUPACIONAL PARA LA INDUSTRIA PANIFICADORA INPASA</v>
      </c>
      <c r="C768" s="58">
        <f>IFERROR(__xludf.DUMMYFUNCTION("""COMPUTED_VALUE"""),3.0)</f>
        <v>3</v>
      </c>
    </row>
    <row r="769">
      <c r="A769" s="58" t="str">
        <f>IFERROR(__xludf.DUMMYFUNCTION("""COMPUTED_VALUE"""),"SEGURIDAD INDUSTRIAL")</f>
        <v>SEGURIDAD INDUSTRIAL</v>
      </c>
      <c r="B769" s="58" t="str">
        <f>IFERROR(__xludf.DUMMYFUNCTION("""COMPUTED_VALUE"""),"DISEÑO DE UN PROGRAMA DE SEGURIDAD INDUSTRIAL E HIGIÉNE OCUPACIONAL EN EL NUEVO MATADERO DEL GOBIERNO AUTÓNOMO MUNICIPAL DE SACABA”.")</f>
        <v>DISEÑO DE UN PROGRAMA DE SEGURIDAD INDUSTRIAL E HIGIÉNE OCUPACIONAL EN EL NUEVO MATADERO DEL GOBIERNO AUTÓNOMO MUNICIPAL DE SACABA”.</v>
      </c>
      <c r="C769" s="58">
        <f>IFERROR(__xludf.DUMMYFUNCTION("""COMPUTED_VALUE"""),5.0)</f>
        <v>5</v>
      </c>
    </row>
    <row r="770">
      <c r="A770" s="58" t="str">
        <f>IFERROR(__xludf.DUMMYFUNCTION("""COMPUTED_VALUE"""),"SEGURIDAD INDUSTRIAL")</f>
        <v>SEGURIDAD INDUSTRIAL</v>
      </c>
      <c r="B770" s="58" t="str">
        <f>IFERROR(__xludf.DUMMYFUNCTION("""COMPUTED_VALUE"""),"DISEÑO DE UN PROGRAMA DE SEGURIDAD Y SALUD EN EL TRABAJO PARA LA EMPRESA “LA MODERNA” S.R.L. – PLANTA DE PRODUCCIÓN DE PARQUE INDUSTRIAL DE SANTIVAÑEZ")</f>
        <v>DISEÑO DE UN PROGRAMA DE SEGURIDAD Y SALUD EN EL TRABAJO PARA LA EMPRESA “LA MODERNA” S.R.L. – PLANTA DE PRODUCCIÓN DE PARQUE INDUSTRIAL DE SANTIVAÑEZ</v>
      </c>
      <c r="C770" s="58">
        <f>IFERROR(__xludf.DUMMYFUNCTION("""COMPUTED_VALUE"""),10.0)</f>
        <v>10</v>
      </c>
    </row>
    <row r="771">
      <c r="A771" s="58" t="str">
        <f>IFERROR(__xludf.DUMMYFUNCTION("""COMPUTED_VALUE"""),"SEGURIDAD INDUSTRIAL")</f>
        <v>SEGURIDAD INDUSTRIAL</v>
      </c>
      <c r="B771" s="58" t="str">
        <f>IFERROR(__xludf.DUMMYFUNCTION("""COMPUTED_VALUE"""),"DISEÑO DE UN SG SYSO EN BASE A LA NB/OHSAS 18001:2008 PARA SER IMPLEMENTADO Y OPTAR A UNA CERTIFICACIÓN A INDUSTRIAS LUJAN S.R.L.")</f>
        <v>DISEÑO DE UN SG SYSO EN BASE A LA NB/OHSAS 18001:2008 PARA SER IMPLEMENTADO Y OPTAR A UNA CERTIFICACIÓN A INDUSTRIAS LUJAN S.R.L.</v>
      </c>
      <c r="C771" s="58">
        <f>IFERROR(__xludf.DUMMYFUNCTION("""COMPUTED_VALUE"""),4.0)</f>
        <v>4</v>
      </c>
    </row>
    <row r="772">
      <c r="A772" s="58" t="str">
        <f>IFERROR(__xludf.DUMMYFUNCTION("""COMPUTED_VALUE"""),"SEGURIDAD INDUSTRIAL")</f>
        <v>SEGURIDAD INDUSTRIAL</v>
      </c>
      <c r="B772" s="58" t="str">
        <f>IFERROR(__xludf.DUMMYFUNCTION("""COMPUTED_VALUE"""),"DISEÑO DE UN SISTEMA DE ANÁLISIS DE PELIGROS Y DE PUNTOS CRÍTICOS DE CONTROL (HACCP), PARA LA EMPRESA INDUSTRIA PANIFICADORA INPASA.")</f>
        <v>DISEÑO DE UN SISTEMA DE ANÁLISIS DE PELIGROS Y DE PUNTOS CRÍTICOS DE CONTROL (HACCP), PARA LA EMPRESA INDUSTRIA PANIFICADORA INPASA.</v>
      </c>
      <c r="C772" s="58">
        <f>IFERROR(__xludf.DUMMYFUNCTION("""COMPUTED_VALUE"""),4.0)</f>
        <v>4</v>
      </c>
    </row>
    <row r="773">
      <c r="A773" s="58" t="str">
        <f>IFERROR(__xludf.DUMMYFUNCTION("""COMPUTED_VALUE"""),"SEGURIDAD INDUSTRIAL")</f>
        <v>SEGURIDAD INDUSTRIAL</v>
      </c>
      <c r="B773" s="58" t="str">
        <f>IFERROR(__xludf.DUMMYFUNCTION("""COMPUTED_VALUE"""),"DISEÑO DE UN SISTEMA DE GESTION DE HIGIENE Y SALUD OCUPACIONAL EN CERVERCERIA BOLIVIANA NACIONAL S.A.- PLANTA TAQUIÑA")</f>
        <v>DISEÑO DE UN SISTEMA DE GESTION DE HIGIENE Y SALUD OCUPACIONAL EN CERVERCERIA BOLIVIANA NACIONAL S.A.- PLANTA TAQUIÑA</v>
      </c>
      <c r="C773" s="58">
        <f>IFERROR(__xludf.DUMMYFUNCTION("""COMPUTED_VALUE"""),3.0)</f>
        <v>3</v>
      </c>
    </row>
    <row r="774">
      <c r="A774" s="58" t="str">
        <f>IFERROR(__xludf.DUMMYFUNCTION("""COMPUTED_VALUE"""),"SEGURIDAD INDUSTRIAL")</f>
        <v>SEGURIDAD INDUSTRIAL</v>
      </c>
      <c r="B774" s="58" t="str">
        <f>IFERROR(__xludf.DUMMYFUNCTION("""COMPUTED_VALUE"""),"DISEÑO DE UN SISTEMA DE GESTIÓN DE LA SEGURIDAD Y SALUD EN EL TRABAJO PARA LA EMPRESA DE CONFECCIONES ROMAN JEANS")</f>
        <v>DISEÑO DE UN SISTEMA DE GESTIÓN DE LA SEGURIDAD Y SALUD EN EL TRABAJO PARA LA EMPRESA DE CONFECCIONES ROMAN JEANS</v>
      </c>
      <c r="C774" s="58">
        <f>IFERROR(__xludf.DUMMYFUNCTION("""COMPUTED_VALUE"""),5.0)</f>
        <v>5</v>
      </c>
    </row>
    <row r="775">
      <c r="A775" s="58" t="str">
        <f>IFERROR(__xludf.DUMMYFUNCTION("""COMPUTED_VALUE"""),"SEGURIDAD INDUSTRIAL")</f>
        <v>SEGURIDAD INDUSTRIAL</v>
      </c>
      <c r="B775" s="58" t="str">
        <f>IFERROR(__xludf.DUMMYFUNCTION("""COMPUTED_VALUE"""),"DISEÑO DE UN SISTEMA DE GESTIÓN DE LA SEGURIDAD Y SALUD OCUPACIONAL BASADO EN LA NB/OHSAS 18001:2008 PARA EMPRESA METALÚRGICA AYLLON")</f>
        <v>DISEÑO DE UN SISTEMA DE GESTIÓN DE LA SEGURIDAD Y SALUD OCUPACIONAL BASADO EN LA NB/OHSAS 18001:2008 PARA EMPRESA METALÚRGICA AYLLON</v>
      </c>
      <c r="C775" s="58">
        <f>IFERROR(__xludf.DUMMYFUNCTION("""COMPUTED_VALUE"""),4.0)</f>
        <v>4</v>
      </c>
    </row>
    <row r="776">
      <c r="A776" s="58" t="str">
        <f>IFERROR(__xludf.DUMMYFUNCTION("""COMPUTED_VALUE"""),"SEGURIDAD INDUSTRIAL")</f>
        <v>SEGURIDAD INDUSTRIAL</v>
      </c>
      <c r="B776" s="58" t="str">
        <f>IFERROR(__xludf.DUMMYFUNCTION("""COMPUTED_VALUE"""),"DISEÑO DE UN SISTEMA DE GESTIÓN DE SEGURIDAD Y SALUD
EN EL TRABAJO EN BASE A LA ISO 45001 PARA EL COMITÉ
NACIONAL DE DESPACHO DE CARGA – CNDC")</f>
        <v>DISEÑO DE UN SISTEMA DE GESTIÓN DE SEGURIDAD Y SALUD
EN EL TRABAJO EN BASE A LA ISO 45001 PARA EL COMITÉ
NACIONAL DE DESPACHO DE CARGA – CNDC</v>
      </c>
      <c r="C776" s="58">
        <f>IFERROR(__xludf.DUMMYFUNCTION("""COMPUTED_VALUE"""),1.0)</f>
        <v>1</v>
      </c>
    </row>
    <row r="777">
      <c r="A777" s="58" t="str">
        <f>IFERROR(__xludf.DUMMYFUNCTION("""COMPUTED_VALUE"""),"SEGURIDAD INDUSTRIAL")</f>
        <v>SEGURIDAD INDUSTRIAL</v>
      </c>
      <c r="B777" s="58" t="str">
        <f>IFERROR(__xludf.DUMMYFUNCTION("""COMPUTED_VALUE"""),"DISEÑO DE UN SISTEMA DE GESTIÓN DE SEGURIDAD Y SALUD EN EL TRABAJO EN BASE A LA ISO 45001 PARA EL COMITÉ NACIONAL DE DESPACHO DE CARGA –CNDC")</f>
        <v>DISEÑO DE UN SISTEMA DE GESTIÓN DE SEGURIDAD Y SALUD EN EL TRABAJO EN BASE A LA ISO 45001 PARA EL COMITÉ NACIONAL DE DESPACHO DE CARGA –CNDC</v>
      </c>
      <c r="C777" s="58">
        <f>IFERROR(__xludf.DUMMYFUNCTION("""COMPUTED_VALUE"""),9.0)</f>
        <v>9</v>
      </c>
    </row>
    <row r="778">
      <c r="A778" s="58" t="str">
        <f>IFERROR(__xludf.DUMMYFUNCTION("""COMPUTED_VALUE"""),"SEGURIDAD INDUSTRIAL")</f>
        <v>SEGURIDAD INDUSTRIAL</v>
      </c>
      <c r="B778" s="58" t="str">
        <f>IFERROR(__xludf.DUMMYFUNCTION("""COMPUTED_VALUE"""),"DISEÑO DE UN SISTEMA DE GESTIÓN DE SEGURIDAD Y SALUD EN EL TRABAJO SEGÚN LA NORMA ISO 45001:2018 PARA LA EMPRESA         
 “INCERCO LTDA.”
")</f>
        <v>DISEÑO DE UN SISTEMA DE GESTIÓN DE SEGURIDAD Y SALUD EN EL TRABAJO SEGÚN LA NORMA ISO 45001:2018 PARA LA EMPRESA         
 “INCERCO LTDA.”
</v>
      </c>
      <c r="C778" s="58">
        <f>IFERROR(__xludf.DUMMYFUNCTION("""COMPUTED_VALUE"""),26.0)</f>
        <v>26</v>
      </c>
    </row>
    <row r="779">
      <c r="A779" s="58" t="str">
        <f>IFERROR(__xludf.DUMMYFUNCTION("""COMPUTED_VALUE"""),"SEGURIDAD INDUSTRIAL")</f>
        <v>SEGURIDAD INDUSTRIAL</v>
      </c>
      <c r="B779" s="58" t="str">
        <f>IFERROR(__xludf.DUMMYFUNCTION("""COMPUTED_VALUE"""),"DISEÑO DE UN SISTEMA DE GESTIÓN DE SEGURIDAD Y SALUD OCUPACIONAL BASADO EN LA NORMA OHSAS 18001: 2008 PARA LA EMPRESA BIOTOP S.R.L.")</f>
        <v>DISEÑO DE UN SISTEMA DE GESTIÓN DE SEGURIDAD Y SALUD OCUPACIONAL BASADO EN LA NORMA OHSAS 18001: 2008 PARA LA EMPRESA BIOTOP S.R.L.</v>
      </c>
      <c r="C779" s="58">
        <f>IFERROR(__xludf.DUMMYFUNCTION("""COMPUTED_VALUE"""),1.0)</f>
        <v>1</v>
      </c>
    </row>
    <row r="780">
      <c r="A780" s="58" t="str">
        <f>IFERROR(__xludf.DUMMYFUNCTION("""COMPUTED_VALUE"""),"SEGURIDAD INDUSTRIAL")</f>
        <v>SEGURIDAD INDUSTRIAL</v>
      </c>
      <c r="B780" s="58" t="str">
        <f>IFERROR(__xludf.DUMMYFUNCTION("""COMPUTED_VALUE"""),"DISEÑO DE UN SISTEMA DE GESTIÓN DE SEGURIDAD Y SALUD OCUPACIONAL EN BASE A LA NORMA OHSAS 18001:2007 PARA COBOCE HORMIGÓN EN LA CIUDAD DE COCHABAMBA")</f>
        <v>DISEÑO DE UN SISTEMA DE GESTIÓN DE SEGURIDAD Y SALUD OCUPACIONAL EN BASE A LA NORMA OHSAS 18001:2007 PARA COBOCE HORMIGÓN EN LA CIUDAD DE COCHABAMBA</v>
      </c>
      <c r="C780" s="58">
        <f>IFERROR(__xludf.DUMMYFUNCTION("""COMPUTED_VALUE"""),1.0)</f>
        <v>1</v>
      </c>
    </row>
    <row r="781">
      <c r="A781" s="58" t="str">
        <f>IFERROR(__xludf.DUMMYFUNCTION("""COMPUTED_VALUE"""),"SEGURIDAD INDUSTRIAL")</f>
        <v>SEGURIDAD INDUSTRIAL</v>
      </c>
      <c r="B781" s="58" t="str">
        <f>IFERROR(__xludf.DUMMYFUNCTION("""COMPUTED_VALUE"""),"DISEÑO DE UN SISTEMA DE GESTIÓN DE SEGURIDAD Y SALUD OCUPACIONAL PARA LA EMPRESA “CAHOI SRL.” BASADO EN LA NORMA ISO 45001")</f>
        <v>DISEÑO DE UN SISTEMA DE GESTIÓN DE SEGURIDAD Y SALUD OCUPACIONAL PARA LA EMPRESA “CAHOI SRL.” BASADO EN LA NORMA ISO 45001</v>
      </c>
      <c r="C781" s="58">
        <f>IFERROR(__xludf.DUMMYFUNCTION("""COMPUTED_VALUE"""),17.0)</f>
        <v>17</v>
      </c>
    </row>
    <row r="782">
      <c r="A782" s="58" t="str">
        <f>IFERROR(__xludf.DUMMYFUNCTION("""COMPUTED_VALUE"""),"SEGURIDAD INDUSTRIAL")</f>
        <v>SEGURIDAD INDUSTRIAL</v>
      </c>
      <c r="B782" s="58" t="str">
        <f>IFERROR(__xludf.DUMMYFUNCTION("""COMPUTED_VALUE"""),"DISEÑO DEL PLAN DE ANÁLISIS DE PELIGROS Y PUNTOS CRÍTICOS DE CONTROL PARA LA LÍNEA DE FRUTAS DESHIDRATADAS DE LA EMPRESA BOLIVIA'S FRUIT")</f>
        <v>DISEÑO DEL PLAN DE ANÁLISIS DE PELIGROS Y PUNTOS CRÍTICOS DE CONTROL PARA LA LÍNEA DE FRUTAS DESHIDRATADAS DE LA EMPRESA BOLIVIA'S FRUIT</v>
      </c>
      <c r="C782" s="58">
        <f>IFERROR(__xludf.DUMMYFUNCTION("""COMPUTED_VALUE"""),1.0)</f>
        <v>1</v>
      </c>
    </row>
    <row r="783">
      <c r="A783" s="58" t="str">
        <f>IFERROR(__xludf.DUMMYFUNCTION("""COMPUTED_VALUE"""),"SEGURIDAD INDUSTRIAL")</f>
        <v>SEGURIDAD INDUSTRIAL</v>
      </c>
      <c r="B783" s="58" t="str">
        <f>IFERROR(__xludf.DUMMYFUNCTION("""COMPUTED_VALUE"""),"DISEÑO DEL PLAN DE SEGURIDAD INDUSTRIAL Y MEDIO AMBIENTE DE LA EMPRESA CALRO EN LA CIUDAD DE COCHABAMBA.")</f>
        <v>DISEÑO DEL PLAN DE SEGURIDAD INDUSTRIAL Y MEDIO AMBIENTE DE LA EMPRESA CALRO EN LA CIUDAD DE COCHABAMBA.</v>
      </c>
      <c r="C783" s="58">
        <f>IFERROR(__xludf.DUMMYFUNCTION("""COMPUTED_VALUE"""),2.0)</f>
        <v>2</v>
      </c>
    </row>
    <row r="784">
      <c r="A784" s="58" t="str">
        <f>IFERROR(__xludf.DUMMYFUNCTION("""COMPUTED_VALUE"""),"SEGURIDAD INDUSTRIAL")</f>
        <v>SEGURIDAD INDUSTRIAL</v>
      </c>
      <c r="B784" s="58" t="str">
        <f>IFERROR(__xludf.DUMMYFUNCTION("""COMPUTED_VALUE"""),"DISEÑO DEL PROGRAMA DE SEGURIDAD Y SALUD EN EL TRABAJO PARA EL DEPARTAMENTO DE CURTIEMBRE DE MANUFACTURA BOLIVIANA MANACO S.A.")</f>
        <v>DISEÑO DEL PROGRAMA DE SEGURIDAD Y SALUD EN EL TRABAJO PARA EL DEPARTAMENTO DE CURTIEMBRE DE MANUFACTURA BOLIVIANA MANACO S.A.</v>
      </c>
      <c r="C784" s="58">
        <f>IFERROR(__xludf.DUMMYFUNCTION("""COMPUTED_VALUE"""),9.0)</f>
        <v>9</v>
      </c>
    </row>
    <row r="785">
      <c r="A785" s="58" t="str">
        <f>IFERROR(__xludf.DUMMYFUNCTION("""COMPUTED_VALUE"""),"SEGURIDAD INDUSTRIAL")</f>
        <v>SEGURIDAD INDUSTRIAL</v>
      </c>
      <c r="B785" s="58" t="str">
        <f>IFERROR(__xludf.DUMMYFUNCTION("""COMPUTED_VALUE"""),"DISEÑO DEL SISTEMA DE GESTIÓN EN SEGURIDAD INDUSTRIAL Y SALUD EN EL TRABAJO EN BASE A LA NB/ISO 45001:2018 PARA LA EMPRESA COBOCE HORMIGÓN DE LA CIUDAD DE COCHABAMBA.")</f>
        <v>DISEÑO DEL SISTEMA DE GESTIÓN EN SEGURIDAD INDUSTRIAL Y SALUD EN EL TRABAJO EN BASE A LA NB/ISO 45001:2018 PARA LA EMPRESA COBOCE HORMIGÓN DE LA CIUDAD DE COCHABAMBA.</v>
      </c>
      <c r="C785" s="58">
        <f>IFERROR(__xludf.DUMMYFUNCTION("""COMPUTED_VALUE"""),8.0)</f>
        <v>8</v>
      </c>
    </row>
    <row r="786">
      <c r="A786" s="58" t="str">
        <f>IFERROR(__xludf.DUMMYFUNCTION("""COMPUTED_VALUE"""),"SEGURIDAD INDUSTRIAL")</f>
        <v>SEGURIDAD INDUSTRIAL</v>
      </c>
      <c r="B786" s="58" t="str">
        <f>IFERROR(__xludf.DUMMYFUNCTION("""COMPUTED_VALUE"""),"DISEÑO DEL SISTEMA DE SEGURIDAD
INDUSTRIAL E HIGIENE OCUPACIONAL EN
INBOLTECO S.A.")</f>
        <v>DISEÑO DEL SISTEMA DE SEGURIDAD
INDUSTRIAL E HIGIENE OCUPACIONAL EN
INBOLTECO S.A.</v>
      </c>
      <c r="C786" s="58">
        <f>IFERROR(__xludf.DUMMYFUNCTION("""COMPUTED_VALUE"""),1.0)</f>
        <v>1</v>
      </c>
    </row>
    <row r="787">
      <c r="A787" s="58" t="str">
        <f>IFERROR(__xludf.DUMMYFUNCTION("""COMPUTED_VALUE"""),"SEGURIDAD INDUSTRIAL")</f>
        <v>SEGURIDAD INDUSTRIAL</v>
      </c>
      <c r="B787" s="58" t="str">
        <f>IFERROR(__xludf.DUMMYFUNCTION("""COMPUTED_VALUE"""),"DISEÑO E IMPLEMENTACIÓN DE UN SISTEMA DE SEÑALÉTICA Y SEÑALIZACIÓN DE SEGURIDAD PARA LA FACULTAD DE CIENCIAS Y TECNOLOGÍA")</f>
        <v>DISEÑO E IMPLEMENTACIÓN DE UN SISTEMA DE SEÑALÉTICA Y SEÑALIZACIÓN DE SEGURIDAD PARA LA FACULTAD DE CIENCIAS Y TECNOLOGÍA</v>
      </c>
      <c r="C787" s="58">
        <f>IFERROR(__xludf.DUMMYFUNCTION("""COMPUTED_VALUE"""),2.0)</f>
        <v>2</v>
      </c>
    </row>
    <row r="788">
      <c r="A788" s="58" t="str">
        <f>IFERROR(__xludf.DUMMYFUNCTION("""COMPUTED_VALUE"""),"SEGURIDAD INDUSTRIAL")</f>
        <v>SEGURIDAD INDUSTRIAL</v>
      </c>
      <c r="B788" s="58" t="str">
        <f>IFERROR(__xludf.DUMMYFUNCTION("""COMPUTED_VALUE"""),"DISEÑO E IMPLEMENTACIÓN DEL SISTEMA DE ANÁLISIS DE PELIGROS Y PUNTOS CRÍTICOS DE CONTROL (HACCP) PARA EL CENTRO NACIONAL DE DISTRIBUCIÓN DE UNILEVER ANDINA BOLIVIA S.A")</f>
        <v>DISEÑO E IMPLEMENTACIÓN DEL SISTEMA DE ANÁLISIS DE PELIGROS Y PUNTOS CRÍTICOS DE CONTROL (HACCP) PARA EL CENTRO NACIONAL DE DISTRIBUCIÓN DE UNILEVER ANDINA BOLIVIA S.A</v>
      </c>
      <c r="C788" s="58">
        <f>IFERROR(__xludf.DUMMYFUNCTION("""COMPUTED_VALUE"""),1.0)</f>
        <v>1</v>
      </c>
    </row>
    <row r="789">
      <c r="A789" s="58" t="str">
        <f>IFERROR(__xludf.DUMMYFUNCTION("""COMPUTED_VALUE"""),"SEGURIDAD INDUSTRIAL")</f>
        <v>SEGURIDAD INDUSTRIAL</v>
      </c>
      <c r="B789" s="58" t="str">
        <f>IFERROR(__xludf.DUMMYFUNCTION("""COMPUTED_VALUE"""),"DISEÑO PARA LA IMPLEMENTACIÓN DE UN PROGRAMA DE SEGURIDAD Y SALUD EN EL TRABAJO SEGÚN LA NTS 009/18")</f>
        <v>DISEÑO PARA LA IMPLEMENTACIÓN DE UN PROGRAMA DE SEGURIDAD Y SALUD EN EL TRABAJO SEGÚN LA NTS 009/18</v>
      </c>
      <c r="C789" s="58">
        <f>IFERROR(__xludf.DUMMYFUNCTION("""COMPUTED_VALUE"""),14.0)</f>
        <v>14</v>
      </c>
    </row>
    <row r="790">
      <c r="A790" s="58" t="str">
        <f>IFERROR(__xludf.DUMMYFUNCTION("""COMPUTED_VALUE"""),"SEGURIDAD INDUSTRIAL")</f>
        <v>SEGURIDAD INDUSTRIAL</v>
      </c>
      <c r="B790" s="58" t="str">
        <f>IFERROR(__xludf.DUMMYFUNCTION("""COMPUTED_VALUE"""),"ELABORACION DEL PROGRAMA DE SEGURIDAD Y SALUD EN EL TRABAJO EN BASE A LA NORMA NTS 009/18 PARA LA UNIDAD PRODUCTIVA ""COBOCE HORMIGON"" DE LA COOPERATIVA MULTIACTIVA COBOCE RL.")</f>
        <v>ELABORACION DEL PROGRAMA DE SEGURIDAD Y SALUD EN EL TRABAJO EN BASE A LA NORMA NTS 009/18 PARA LA UNIDAD PRODUCTIVA "COBOCE HORMIGON" DE LA COOPERATIVA MULTIACTIVA COBOCE RL.</v>
      </c>
      <c r="C790" s="58">
        <f>IFERROR(__xludf.DUMMYFUNCTION("""COMPUTED_VALUE"""),8.0)</f>
        <v>8</v>
      </c>
    </row>
    <row r="791">
      <c r="A791" s="58" t="str">
        <f>IFERROR(__xludf.DUMMYFUNCTION("""COMPUTED_VALUE"""),"SEGURIDAD INDUSTRIAL")</f>
        <v>SEGURIDAD INDUSTRIAL</v>
      </c>
      <c r="B791" s="58" t="str">
        <f>IFERROR(__xludf.DUMMYFUNCTION("""COMPUTED_VALUE"""),"ELABORACIÓN DE PROGRAMA DE SEGURIDAD Y SALUD EN EL TRABAJO SEGÚN NTS-009/18 PARA LA EMPRESA THINK FREE CONSTRUCCIONES S.R.L")</f>
        <v>ELABORACIÓN DE PROGRAMA DE SEGURIDAD Y SALUD EN EL TRABAJO SEGÚN NTS-009/18 PARA LA EMPRESA THINK FREE CONSTRUCCIONES S.R.L</v>
      </c>
      <c r="C791" s="58">
        <f>IFERROR(__xludf.DUMMYFUNCTION("""COMPUTED_VALUE"""),27.0)</f>
        <v>27</v>
      </c>
    </row>
    <row r="792">
      <c r="A792" s="58" t="str">
        <f>IFERROR(__xludf.DUMMYFUNCTION("""COMPUTED_VALUE"""),"SEGURIDAD INDUSTRIAL")</f>
        <v>SEGURIDAD INDUSTRIAL</v>
      </c>
      <c r="B792" s="58" t="str">
        <f>IFERROR(__xludf.DUMMYFUNCTION("""COMPUTED_VALUE"""),"ELABORACIÓN DE UN ESTUDIO ERGONÓMICO Y DETERMINACIÓN DE PROPUESTAS DE MEJORA PARA LA EMPRESA ELFEC S.A.")</f>
        <v>ELABORACIÓN DE UN ESTUDIO ERGONÓMICO Y DETERMINACIÓN DE PROPUESTAS DE MEJORA PARA LA EMPRESA ELFEC S.A.</v>
      </c>
      <c r="C792" s="58">
        <f>IFERROR(__xludf.DUMMYFUNCTION("""COMPUTED_VALUE"""),3.0)</f>
        <v>3</v>
      </c>
    </row>
    <row r="793">
      <c r="A793" s="58" t="str">
        <f>IFERROR(__xludf.DUMMYFUNCTION("""COMPUTED_VALUE"""),"SEGURIDAD INDUSTRIAL")</f>
        <v>SEGURIDAD INDUSTRIAL</v>
      </c>
      <c r="B793" s="58" t="str">
        <f>IFERROR(__xludf.DUMMYFUNCTION("""COMPUTED_VALUE"""),"ELABORACIÓN DE UN PLAN DE EMERGENCIAS EN EL EDIFICIO TÉCNICO")</f>
        <v>ELABORACIÓN DE UN PLAN DE EMERGENCIAS EN EL EDIFICIO TÉCNICO</v>
      </c>
      <c r="C793" s="58">
        <f>IFERROR(__xludf.DUMMYFUNCTION("""COMPUTED_VALUE"""),4.0)</f>
        <v>4</v>
      </c>
    </row>
    <row r="794">
      <c r="A794" s="58" t="str">
        <f>IFERROR(__xludf.DUMMYFUNCTION("""COMPUTED_VALUE"""),"SEGURIDAD INDUSTRIAL")</f>
        <v>SEGURIDAD INDUSTRIAL</v>
      </c>
      <c r="B794" s="58" t="str">
        <f>IFERROR(__xludf.DUMMYFUNCTION("""COMPUTED_VALUE"""),"ELABORACIÓN DE UN PLAN DE HIGIENE, SEGURIDAD OCUPACIONAL Y BIENESTAR PARA LA EMPRESA PRE PIZZAS LA ROSA")</f>
        <v>ELABORACIÓN DE UN PLAN DE HIGIENE, SEGURIDAD OCUPACIONAL Y BIENESTAR PARA LA EMPRESA PRE PIZZAS LA ROSA</v>
      </c>
      <c r="C794" s="58">
        <f>IFERROR(__xludf.DUMMYFUNCTION("""COMPUTED_VALUE"""),23.0)</f>
        <v>23</v>
      </c>
    </row>
    <row r="795">
      <c r="A795" s="58" t="str">
        <f>IFERROR(__xludf.DUMMYFUNCTION("""COMPUTED_VALUE"""),"SEGURIDAD INDUSTRIAL")</f>
        <v>SEGURIDAD INDUSTRIAL</v>
      </c>
      <c r="B795" s="58" t="str">
        <f>IFERROR(__xludf.DUMMYFUNCTION("""COMPUTED_VALUE"""),"GUÍA TÉCNICA DE SEGURIDAD Y SALUD OCUPACIONAL PARA LAS CURTIEMBRES DEL CLUSTER CUERO COCHABAMBA")</f>
        <v>GUÍA TÉCNICA DE SEGURIDAD Y SALUD OCUPACIONAL PARA LAS CURTIEMBRES DEL CLUSTER CUERO COCHABAMBA</v>
      </c>
      <c r="C795" s="58">
        <f>IFERROR(__xludf.DUMMYFUNCTION("""COMPUTED_VALUE"""),3.0)</f>
        <v>3</v>
      </c>
    </row>
    <row r="796">
      <c r="A796" s="58" t="str">
        <f>IFERROR(__xludf.DUMMYFUNCTION("""COMPUTED_VALUE"""),"SEGURIDAD INDUSTRIAL")</f>
        <v>SEGURIDAD INDUSTRIAL</v>
      </c>
      <c r="B796"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C796" s="58">
        <f>IFERROR(__xludf.DUMMYFUNCTION("""COMPUTED_VALUE"""),2.0)</f>
        <v>2</v>
      </c>
    </row>
    <row r="797">
      <c r="A797" s="58" t="str">
        <f>IFERROR(__xludf.DUMMYFUNCTION("""COMPUTED_VALUE"""),"SEGURIDAD INDUSTRIAL")</f>
        <v>SEGURIDAD INDUSTRIAL</v>
      </c>
      <c r="B797" s="58" t="str">
        <f>IFERROR(__xludf.DUMMYFUNCTION("""COMPUTED_VALUE"""),"IIDENTIFICACIÓN DE PELIGROS, EVALUACIÓN DE RIESGOS Y DETERMINACIÓN DE CONTROLES SEGÚN NORMA OHSAS 18001:2007 PARA ELFEC S.A.")</f>
        <v>IIDENTIFICACIÓN DE PELIGROS, EVALUACIÓN DE RIESGOS Y DETERMINACIÓN DE CONTROLES SEGÚN NORMA OHSAS 18001:2007 PARA ELFEC S.A.</v>
      </c>
      <c r="C797" s="58">
        <f>IFERROR(__xludf.DUMMYFUNCTION("""COMPUTED_VALUE"""),5.0)</f>
        <v>5</v>
      </c>
    </row>
    <row r="798">
      <c r="A798" s="58" t="str">
        <f>IFERROR(__xludf.DUMMYFUNCTION("""COMPUTED_VALUE"""),"SEGURIDAD INDUSTRIAL")</f>
        <v>SEGURIDAD INDUSTRIAL</v>
      </c>
      <c r="B798" s="58" t="str">
        <f>IFERROR(__xludf.DUMMYFUNCTION("""COMPUTED_VALUE"""),"MANUAL DE PREVENCIÓN DE RIESGOS EN LA CONSTRUCCIÓN DE SISTEMAS DE AGUA POTABLE Y ALCANTARILLADO PARA LA EMPRESA  CONSTRUCTORA BALCOS")</f>
        <v>MANUAL DE PREVENCIÓN DE RIESGOS EN LA CONSTRUCCIÓN DE SISTEMAS DE AGUA POTABLE Y ALCANTARILLADO PARA LA EMPRESA  CONSTRUCTORA BALCOS</v>
      </c>
      <c r="C798" s="58">
        <f>IFERROR(__xludf.DUMMYFUNCTION("""COMPUTED_VALUE"""),2.0)</f>
        <v>2</v>
      </c>
    </row>
    <row r="799">
      <c r="A799" s="58" t="str">
        <f>IFERROR(__xludf.DUMMYFUNCTION("""COMPUTED_VALUE"""),"SEGURIDAD INDUSTRIAL")</f>
        <v>SEGURIDAD INDUSTRIAL</v>
      </c>
      <c r="B799" s="58" t="str">
        <f>IFERROR(__xludf.DUMMYFUNCTION("""COMPUTED_VALUE"""),"MANUAL PARA MEJORAR LA SEGURIDAD EN LOS PROCESOS DE SOLDADURA ASÍ COMO LA SALUD Y LA CAPACITACIÓN DE LOS SOLDADORES EN LAS MYPES DEDICADAS AL RUBRO DE LA METALMECÁNICA")</f>
        <v>MANUAL PARA MEJORAR LA SEGURIDAD EN LOS PROCESOS DE SOLDADURA ASÍ COMO LA SALUD Y LA CAPACITACIÓN DE LOS SOLDADORES EN LAS MYPES DEDICADAS AL RUBRO DE LA METALMECÁNICA</v>
      </c>
      <c r="C799" s="58">
        <f>IFERROR(__xludf.DUMMYFUNCTION("""COMPUTED_VALUE"""),3.0)</f>
        <v>3</v>
      </c>
    </row>
    <row r="800">
      <c r="A800" s="58" t="str">
        <f>IFERROR(__xludf.DUMMYFUNCTION("""COMPUTED_VALUE"""),"SEGURIDAD INDUSTRIAL")</f>
        <v>SEGURIDAD INDUSTRIAL</v>
      </c>
      <c r="B800" s="58" t="str">
        <f>IFERROR(__xludf.DUMMYFUNCTION("""COMPUTED_VALUE"""),"MODELO DE PROGRAMA DE GESTION DE SEGURIDAD INTEGRAL EN EL PARQUE INDUSTRIAL SANTIVAÑEZ EN LOS RUBROS ASERRADEROS-BARRACAS-PROCESADORAS DE MADERA")</f>
        <v>MODELO DE PROGRAMA DE GESTION DE SEGURIDAD INTEGRAL EN EL PARQUE INDUSTRIAL SANTIVAÑEZ EN LOS RUBROS ASERRADEROS-BARRACAS-PROCESADORAS DE MADERA</v>
      </c>
      <c r="C800" s="58">
        <f>IFERROR(__xludf.DUMMYFUNCTION("""COMPUTED_VALUE"""),5.0)</f>
        <v>5</v>
      </c>
    </row>
    <row r="801">
      <c r="A801" s="58" t="str">
        <f>IFERROR(__xludf.DUMMYFUNCTION("""COMPUTED_VALUE"""),"SEGURIDAD INDUSTRIAL")</f>
        <v>SEGURIDAD INDUSTRIAL</v>
      </c>
      <c r="B801" s="58" t="str">
        <f>IFERROR(__xludf.DUMMYFUNCTION("""COMPUTED_VALUE"""),"MODELO DE SEGURIDAD INDUSTRIAL PARA LA EMPRESA MEGHER SRL.")</f>
        <v>MODELO DE SEGURIDAD INDUSTRIAL PARA LA EMPRESA MEGHER SRL.</v>
      </c>
      <c r="C801" s="58">
        <f>IFERROR(__xludf.DUMMYFUNCTION("""COMPUTED_VALUE"""),2.0)</f>
        <v>2</v>
      </c>
    </row>
    <row r="802">
      <c r="A802" s="58" t="str">
        <f>IFERROR(__xludf.DUMMYFUNCTION("""COMPUTED_VALUE"""),"SEGURIDAD INDUSTRIAL")</f>
        <v>SEGURIDAD INDUSTRIAL</v>
      </c>
      <c r="B802" s="58" t="str">
        <f>IFERROR(__xludf.DUMMYFUNCTION("""COMPUTED_VALUE"""),"MODELO DE SEGURIDAD INDUSTRIAL PARA LAS INSTALACIONES DE LA HONORABLE ALCALDÍA MUNICIPAL DE COCHABAMBA DEL PASAJE SUCRE Y LA PLAZA PRINCIPAL")</f>
        <v>MODELO DE SEGURIDAD INDUSTRIAL PARA LAS INSTALACIONES DE LA HONORABLE ALCALDÍA MUNICIPAL DE COCHABAMBA DEL PASAJE SUCRE Y LA PLAZA PRINCIPAL</v>
      </c>
      <c r="C802" s="58">
        <f>IFERROR(__xludf.DUMMYFUNCTION("""COMPUTED_VALUE"""),3.0)</f>
        <v>3</v>
      </c>
    </row>
    <row r="803">
      <c r="A803" s="58" t="str">
        <f>IFERROR(__xludf.DUMMYFUNCTION("""COMPUTED_VALUE"""),"SEGURIDAD INDUSTRIAL")</f>
        <v>SEGURIDAD INDUSTRIAL</v>
      </c>
      <c r="B803" s="58" t="str">
        <f>IFERROR(__xludf.DUMMYFUNCTION("""COMPUTED_VALUE"""),"PLAN DE CAPACITACIÓN EN SEGURIDAD INDUSTRIAL PARA LA
EMPRESA EMBOL S.A.")</f>
        <v>PLAN DE CAPACITACIÓN EN SEGURIDAD INDUSTRIAL PARA LA
EMPRESA EMBOL S.A.</v>
      </c>
      <c r="C803" s="58">
        <f>IFERROR(__xludf.DUMMYFUNCTION("""COMPUTED_VALUE"""),1.0)</f>
        <v>1</v>
      </c>
    </row>
    <row r="804">
      <c r="A804" s="58" t="str">
        <f>IFERROR(__xludf.DUMMYFUNCTION("""COMPUTED_VALUE"""),"SEGURIDAD INDUSTRIAL")</f>
        <v>SEGURIDAD INDUSTRIAL</v>
      </c>
      <c r="B804" s="58" t="str">
        <f>IFERROR(__xludf.DUMMYFUNCTION("""COMPUTED_VALUE"""),"PLAN DE CAPACITACIÓN EN SEGURIDAD INDUSTRIAL PARA LA EMPRESA EMBOL S.A.")</f>
        <v>PLAN DE CAPACITACIÓN EN SEGURIDAD INDUSTRIAL PARA LA EMPRESA EMBOL S.A.</v>
      </c>
      <c r="C804" s="58">
        <f>IFERROR(__xludf.DUMMYFUNCTION("""COMPUTED_VALUE"""),2.0)</f>
        <v>2</v>
      </c>
    </row>
    <row r="805">
      <c r="A805" s="58" t="str">
        <f>IFERROR(__xludf.DUMMYFUNCTION("""COMPUTED_VALUE"""),"SEGURIDAD INDUSTRIAL")</f>
        <v>SEGURIDAD INDUSTRIAL</v>
      </c>
      <c r="B805" s="58" t="str">
        <f>IFERROR(__xludf.DUMMYFUNCTION("""COMPUTED_VALUE"""),"PLAN DE CAPACITACIÓN EN SEGURIDAD INDUSTRIAL Y SALUD OCUPACIONAL PARA LA CURTIEMBRE TOMY LLDA.")</f>
        <v>PLAN DE CAPACITACIÓN EN SEGURIDAD INDUSTRIAL Y SALUD OCUPACIONAL PARA LA CURTIEMBRE TOMY LLDA.</v>
      </c>
      <c r="C805" s="58">
        <f>IFERROR(__xludf.DUMMYFUNCTION("""COMPUTED_VALUE"""),1.0)</f>
        <v>1</v>
      </c>
    </row>
    <row r="806">
      <c r="A806" s="58" t="str">
        <f>IFERROR(__xludf.DUMMYFUNCTION("""COMPUTED_VALUE"""),"SEGURIDAD INDUSTRIAL")</f>
        <v>SEGURIDAD INDUSTRIAL</v>
      </c>
      <c r="B806" s="58" t="str">
        <f>IFERROR(__xludf.DUMMYFUNCTION("""COMPUTED_VALUE"""),"PLAN DE EMERGENCIAS Y CONTINGENCIAS EN LA COMPAÑÍA PAPELERA MENDOZA “COPELME S.A.")</f>
        <v>PLAN DE EMERGENCIAS Y CONTINGENCIAS EN LA COMPAÑÍA PAPELERA MENDOZA “COPELME S.A.</v>
      </c>
      <c r="C806" s="58">
        <f>IFERROR(__xludf.DUMMYFUNCTION("""COMPUTED_VALUE"""),6.0)</f>
        <v>6</v>
      </c>
    </row>
    <row r="807">
      <c r="A807" s="58" t="str">
        <f>IFERROR(__xludf.DUMMYFUNCTION("""COMPUTED_VALUE"""),"SEGURIDAD INDUSTRIAL")</f>
        <v>SEGURIDAD INDUSTRIAL</v>
      </c>
      <c r="B807" s="58" t="str">
        <f>IFERROR(__xludf.DUMMYFUNCTION("""COMPUTED_VALUE"""),"PLAN DE GESTIÓN EN SEGURIDAD E HIGIENE OCUPACIONAL PARA EL FONDO DE LA COMUNIDAD S.A. FFP")</f>
        <v>PLAN DE GESTIÓN EN SEGURIDAD E HIGIENE OCUPACIONAL PARA EL FONDO DE LA COMUNIDAD S.A. FFP</v>
      </c>
      <c r="C807" s="58">
        <f>IFERROR(__xludf.DUMMYFUNCTION("""COMPUTED_VALUE"""),2.0)</f>
        <v>2</v>
      </c>
    </row>
    <row r="808">
      <c r="A808" s="58" t="str">
        <f>IFERROR(__xludf.DUMMYFUNCTION("""COMPUTED_VALUE"""),"SEGURIDAD INDUSTRIAL")</f>
        <v>SEGURIDAD INDUSTRIAL</v>
      </c>
      <c r="B808" s="58" t="str">
        <f>IFERROR(__xludf.DUMMYFUNCTION("""COMPUTED_VALUE"""),"PLAN DE HIGIENE, SEGURIDAD OCUPACIONAL, BIENESTAR E IMPACTO AMBIENTAL DE LA PLANTA DE TRATAMIENTO DE AGUAS RESIDUALES ALBA RANCHO - SEMAPA.")</f>
        <v>PLAN DE HIGIENE, SEGURIDAD OCUPACIONAL, BIENESTAR E IMPACTO AMBIENTAL DE LA PLANTA DE TRATAMIENTO DE AGUAS RESIDUALES ALBA RANCHO - SEMAPA.</v>
      </c>
      <c r="C808" s="58">
        <f>IFERROR(__xludf.DUMMYFUNCTION("""COMPUTED_VALUE"""),3.0)</f>
        <v>3</v>
      </c>
    </row>
    <row r="809">
      <c r="A809" s="58" t="str">
        <f>IFERROR(__xludf.DUMMYFUNCTION("""COMPUTED_VALUE"""),"SEGURIDAD INDUSTRIAL")</f>
        <v>SEGURIDAD INDUSTRIAL</v>
      </c>
      <c r="B809" s="58" t="str">
        <f>IFERROR(__xludf.DUMMYFUNCTION("""COMPUTED_VALUE"""),"PLAN DE MINIMIZACIÓN DE RIESGOS EN LAS ÁREAS DE REDES AÉREAS Y SUBTERRÁNEAS Y FIBRA ÓPTICA PARA COMTECO LTDA.")</f>
        <v>PLAN DE MINIMIZACIÓN DE RIESGOS EN LAS ÁREAS DE REDES AÉREAS Y SUBTERRÁNEAS Y FIBRA ÓPTICA PARA COMTECO LTDA.</v>
      </c>
      <c r="C809" s="58">
        <f>IFERROR(__xludf.DUMMYFUNCTION("""COMPUTED_VALUE"""),1.0)</f>
        <v>1</v>
      </c>
    </row>
    <row r="810">
      <c r="A810" s="58" t="str">
        <f>IFERROR(__xludf.DUMMYFUNCTION("""COMPUTED_VALUE"""),"SEGURIDAD INDUSTRIAL")</f>
        <v>SEGURIDAD INDUSTRIAL</v>
      </c>
      <c r="B810" s="58" t="str">
        <f>IFERROR(__xludf.DUMMYFUNCTION("""COMPUTED_VALUE"""),"PLAN DE SEGURIDAD E HIGIENE INDUSTRIAL PARA
COBOCE-CERAMIL")</f>
        <v>PLAN DE SEGURIDAD E HIGIENE INDUSTRIAL PARA
COBOCE-CERAMIL</v>
      </c>
      <c r="C810" s="58">
        <f>IFERROR(__xludf.DUMMYFUNCTION("""COMPUTED_VALUE"""),1.0)</f>
        <v>1</v>
      </c>
    </row>
    <row r="811">
      <c r="A811" s="58" t="str">
        <f>IFERROR(__xludf.DUMMYFUNCTION("""COMPUTED_VALUE"""),"SEGURIDAD INDUSTRIAL")</f>
        <v>SEGURIDAD INDUSTRIAL</v>
      </c>
      <c r="B811" s="58" t="str">
        <f>IFERROR(__xludf.DUMMYFUNCTION("""COMPUTED_VALUE"""),"PLAN DE SEGURIDAD E HIGIENE INDUSTRIAL PARA COBOCE - CERAMIL")</f>
        <v>PLAN DE SEGURIDAD E HIGIENE INDUSTRIAL PARA COBOCE - CERAMIL</v>
      </c>
      <c r="C811" s="58">
        <f>IFERROR(__xludf.DUMMYFUNCTION("""COMPUTED_VALUE"""),7.0)</f>
        <v>7</v>
      </c>
    </row>
    <row r="812">
      <c r="A812" s="58" t="str">
        <f>IFERROR(__xludf.DUMMYFUNCTION("""COMPUTED_VALUE"""),"SEGURIDAD INDUSTRIAL")</f>
        <v>SEGURIDAD INDUSTRIAL</v>
      </c>
      <c r="B812" s="58" t="str">
        <f>IFERROR(__xludf.DUMMYFUNCTION("""COMPUTED_VALUE"""),"PLAN DE SEGURIDAD E HIGIENE INDUSTRIAL PARA EL TALLER DE ZAPATOS SENZANO")</f>
        <v>PLAN DE SEGURIDAD E HIGIENE INDUSTRIAL PARA EL TALLER DE ZAPATOS SENZANO</v>
      </c>
      <c r="C812" s="58">
        <f>IFERROR(__xludf.DUMMYFUNCTION("""COMPUTED_VALUE"""),1.0)</f>
        <v>1</v>
      </c>
    </row>
    <row r="813">
      <c r="A813" s="58" t="str">
        <f>IFERROR(__xludf.DUMMYFUNCTION("""COMPUTED_VALUE"""),"SEGURIDAD INDUSTRIAL")</f>
        <v>SEGURIDAD INDUSTRIAL</v>
      </c>
      <c r="B813" s="58" t="str">
        <f>IFERROR(__xludf.DUMMYFUNCTION("""COMPUTED_VALUE"""),"PLAN DE SEGURIDAD E HIGIENE INDUSTRIAL PARA LA CARPINTERÍA LYRAKI")</f>
        <v>PLAN DE SEGURIDAD E HIGIENE INDUSTRIAL PARA LA CARPINTERÍA LYRAKI</v>
      </c>
      <c r="C813" s="58">
        <f>IFERROR(__xludf.DUMMYFUNCTION("""COMPUTED_VALUE"""),1.0)</f>
        <v>1</v>
      </c>
    </row>
    <row r="814">
      <c r="A814" s="58" t="str">
        <f>IFERROR(__xludf.DUMMYFUNCTION("""COMPUTED_VALUE"""),"SEGURIDAD INDUSTRIAL")</f>
        <v>SEGURIDAD INDUSTRIAL</v>
      </c>
      <c r="B814" s="58" t="str">
        <f>IFERROR(__xludf.DUMMYFUNCTION("""COMPUTED_VALUE"""),"PLAN DE SEGURIDAD E HIGIENE INDUSTRIAL PARA LA CENTRAL DE ESTERILIZACIÓN DEL HOSPITAL MATERNO INFANTIL GERMÁN URQUIDI")</f>
        <v>PLAN DE SEGURIDAD E HIGIENE INDUSTRIAL PARA LA CENTRAL DE ESTERILIZACIÓN DEL HOSPITAL MATERNO INFANTIL GERMÁN URQUIDI</v>
      </c>
      <c r="C814" s="58">
        <f>IFERROR(__xludf.DUMMYFUNCTION("""COMPUTED_VALUE"""),1.0)</f>
        <v>1</v>
      </c>
    </row>
    <row r="815">
      <c r="A815" s="58" t="str">
        <f>IFERROR(__xludf.DUMMYFUNCTION("""COMPUTED_VALUE"""),"SEGURIDAD INDUSTRIAL")</f>
        <v>SEGURIDAD INDUSTRIAL</v>
      </c>
      <c r="B815" s="58" t="str">
        <f>IFERROR(__xludf.DUMMYFUNCTION("""COMPUTED_VALUE"""),"PLAN DE SEGURIDAD E HIGIENE INDUSTRIAL PARA LA EMPRESA DE PLÁSTICOS INALPLAS S.R.L.")</f>
        <v>PLAN DE SEGURIDAD E HIGIENE INDUSTRIAL PARA LA EMPRESA DE PLÁSTICOS INALPLAS S.R.L.</v>
      </c>
      <c r="C815" s="58">
        <f>IFERROR(__xludf.DUMMYFUNCTION("""COMPUTED_VALUE"""),3.0)</f>
        <v>3</v>
      </c>
    </row>
    <row r="816">
      <c r="A816" s="58" t="str">
        <f>IFERROR(__xludf.DUMMYFUNCTION("""COMPUTED_VALUE"""),"SEGURIDAD INDUSTRIAL")</f>
        <v>SEGURIDAD INDUSTRIAL</v>
      </c>
      <c r="B816" s="58" t="str">
        <f>IFERROR(__xludf.DUMMYFUNCTION("""COMPUTED_VALUE"""),"PLAN DE SEGURIDAD E HIGIENE INDUSTRIAL PARA LA FABRICA DE PLÁSTICOS F+E LTDA.")</f>
        <v>PLAN DE SEGURIDAD E HIGIENE INDUSTRIAL PARA LA FABRICA DE PLÁSTICOS F+E LTDA.</v>
      </c>
      <c r="C816" s="58">
        <f>IFERROR(__xludf.DUMMYFUNCTION("""COMPUTED_VALUE"""),1.0)</f>
        <v>1</v>
      </c>
    </row>
    <row r="817">
      <c r="A817" s="58" t="str">
        <f>IFERROR(__xludf.DUMMYFUNCTION("""COMPUTED_VALUE"""),"SEGURIDAD INDUSTRIAL")</f>
        <v>SEGURIDAD INDUSTRIAL</v>
      </c>
      <c r="B817" s="58" t="str">
        <f>IFERROR(__xludf.DUMMYFUNCTION("""COMPUTED_VALUE"""),"PLAN DE SEGURIDAD E HIGIENE INDUSTRIAL PARA LA FÁBRICA DE PLÁSTICOS DERQUI S.R.L.")</f>
        <v>PLAN DE SEGURIDAD E HIGIENE INDUSTRIAL PARA LA FÁBRICA DE PLÁSTICOS DERQUI S.R.L.</v>
      </c>
      <c r="C817" s="58">
        <f>IFERROR(__xludf.DUMMYFUNCTION("""COMPUTED_VALUE"""),10.0)</f>
        <v>10</v>
      </c>
    </row>
    <row r="818">
      <c r="A818" s="58" t="str">
        <f>IFERROR(__xludf.DUMMYFUNCTION("""COMPUTED_VALUE"""),"SEGURIDAD INDUSTRIAL")</f>
        <v>SEGURIDAD INDUSTRIAL</v>
      </c>
      <c r="B818" s="58" t="str">
        <f>IFERROR(__xludf.DUMMYFUNCTION("""COMPUTED_VALUE"""),"PLAN DE SEGURIDAD E HIGIENE INDUSTRIAL Y BUENAS PRÁCTICAS DE MANUFACTURA")</f>
        <v>PLAN DE SEGURIDAD E HIGIENE INDUSTRIAL Y BUENAS PRÁCTICAS DE MANUFACTURA</v>
      </c>
      <c r="C818" s="58">
        <f>IFERROR(__xludf.DUMMYFUNCTION("""COMPUTED_VALUE"""),1.0)</f>
        <v>1</v>
      </c>
    </row>
    <row r="819">
      <c r="A819" s="58" t="str">
        <f>IFERROR(__xludf.DUMMYFUNCTION("""COMPUTED_VALUE"""),"SEGURIDAD INDUSTRIAL")</f>
        <v>SEGURIDAD INDUSTRIAL</v>
      </c>
      <c r="B819" s="58" t="str">
        <f>IFERROR(__xludf.DUMMYFUNCTION("""COMPUTED_VALUE"""),"PLAN DE SEGURIDAD E HIGIENE OCUPACIONAL PARA LA CONSTRUCTORA “ROWCOR”")</f>
        <v>PLAN DE SEGURIDAD E HIGIENE OCUPACIONAL PARA LA CONSTRUCTORA “ROWCOR”</v>
      </c>
      <c r="C819" s="58">
        <f>IFERROR(__xludf.DUMMYFUNCTION("""COMPUTED_VALUE"""),9.0)</f>
        <v>9</v>
      </c>
    </row>
    <row r="820">
      <c r="A820" s="58" t="str">
        <f>IFERROR(__xludf.DUMMYFUNCTION("""COMPUTED_VALUE"""),"SEGURIDAD INDUSTRIAL")</f>
        <v>SEGURIDAD INDUSTRIAL</v>
      </c>
      <c r="B820" s="58" t="str">
        <f>IFERROR(__xludf.DUMMYFUNCTION("""COMPUTED_VALUE"""),"PLAN DE SEGURIDAD E HIGIENE OCUPACIONAL PARA LA EMPRESA CONSTRUCTORA TÉCNICA ARANIBAR GARCÍA S.R.L.")</f>
        <v>PLAN DE SEGURIDAD E HIGIENE OCUPACIONAL PARA LA EMPRESA CONSTRUCTORA TÉCNICA ARANIBAR GARCÍA S.R.L.</v>
      </c>
      <c r="C820" s="58">
        <f>IFERROR(__xludf.DUMMYFUNCTION("""COMPUTED_VALUE"""),2.0)</f>
        <v>2</v>
      </c>
    </row>
    <row r="821">
      <c r="A821" s="58" t="str">
        <f>IFERROR(__xludf.DUMMYFUNCTION("""COMPUTED_VALUE"""),"SEGURIDAD INDUSTRIAL")</f>
        <v>SEGURIDAD INDUSTRIAL</v>
      </c>
      <c r="B821" s="58" t="str">
        <f>IFERROR(__xludf.DUMMYFUNCTION("""COMPUTED_VALUE"""),"PLAN DE SEGURIDAD E HIGIENE OCUPACIONAL PARA LA EMPRESA SATELICAR LOGÍSTICA Y SERVICIOS S.A.")</f>
        <v>PLAN DE SEGURIDAD E HIGIENE OCUPACIONAL PARA LA EMPRESA SATELICAR LOGÍSTICA Y SERVICIOS S.A.</v>
      </c>
      <c r="C821" s="58">
        <f>IFERROR(__xludf.DUMMYFUNCTION("""COMPUTED_VALUE"""),1.0)</f>
        <v>1</v>
      </c>
    </row>
    <row r="822">
      <c r="A822" s="58" t="str">
        <f>IFERROR(__xludf.DUMMYFUNCTION("""COMPUTED_VALUE"""),"SEGURIDAD INDUSTRIAL")</f>
        <v>SEGURIDAD INDUSTRIAL</v>
      </c>
      <c r="B822" s="58" t="str">
        <f>IFERROR(__xludf.DUMMYFUNCTION("""COMPUTED_VALUE"""),"PLAN DE SEGURIDAD INDUSTRIAL E HIGIENE OCUPACIONAL PARA LA CONSTRUCTORA COSSIO")</f>
        <v>PLAN DE SEGURIDAD INDUSTRIAL E HIGIENE OCUPACIONAL PARA LA CONSTRUCTORA COSSIO</v>
      </c>
      <c r="C822" s="58">
        <f>IFERROR(__xludf.DUMMYFUNCTION("""COMPUTED_VALUE"""),4.0)</f>
        <v>4</v>
      </c>
    </row>
    <row r="823">
      <c r="A823" s="58" t="str">
        <f>IFERROR(__xludf.DUMMYFUNCTION("""COMPUTED_VALUE"""),"SEGURIDAD INDUSTRIAL")</f>
        <v>SEGURIDAD INDUSTRIAL</v>
      </c>
      <c r="B823" s="58" t="str">
        <f>IFERROR(__xludf.DUMMYFUNCTION("""COMPUTED_VALUE"""),"PLAN DE SEGURIDAD INDUSTRIAL E HIGIENE OCUPACIONAL PARA LA EMBOTELLADORA CASCADA S.A.")</f>
        <v>PLAN DE SEGURIDAD INDUSTRIAL E HIGIENE OCUPACIONAL PARA LA EMBOTELLADORA CASCADA S.A.</v>
      </c>
      <c r="C823" s="58">
        <f>IFERROR(__xludf.DUMMYFUNCTION("""COMPUTED_VALUE"""),2.0)</f>
        <v>2</v>
      </c>
    </row>
    <row r="824">
      <c r="A824" s="58" t="str">
        <f>IFERROR(__xludf.DUMMYFUNCTION("""COMPUTED_VALUE"""),"SEGURIDAD INDUSTRIAL")</f>
        <v>SEGURIDAD INDUSTRIAL</v>
      </c>
      <c r="B824" s="58" t="str">
        <f>IFERROR(__xludf.DUMMYFUNCTION("""COMPUTED_VALUE"""),"PLAN DE SEGURIDAD INDUSTRIAL E HIGIENE OCUPACIONAL PARA LA EMPRESA AMIPROCAL")</f>
        <v>PLAN DE SEGURIDAD INDUSTRIAL E HIGIENE OCUPACIONAL PARA LA EMPRESA AMIPROCAL</v>
      </c>
      <c r="C824" s="58">
        <f>IFERROR(__xludf.DUMMYFUNCTION("""COMPUTED_VALUE"""),1.0)</f>
        <v>1</v>
      </c>
    </row>
    <row r="825">
      <c r="A825" s="58" t="str">
        <f>IFERROR(__xludf.DUMMYFUNCTION("""COMPUTED_VALUE"""),"SEGURIDAD INDUSTRIAL")</f>
        <v>SEGURIDAD INDUSTRIAL</v>
      </c>
      <c r="B825" s="58" t="str">
        <f>IFERROR(__xludf.DUMMYFUNCTION("""COMPUTED_VALUE"""),"PLAN DE SEGURIDAD INDUSTRIAL E HIGIENE OCUPACIONAL PARA LA EMPRESA DE PLASTICOS ECOPLASTIC S.R.L.”.")</f>
        <v>PLAN DE SEGURIDAD INDUSTRIAL E HIGIENE OCUPACIONAL PARA LA EMPRESA DE PLASTICOS ECOPLASTIC S.R.L.”.</v>
      </c>
      <c r="C825" s="58">
        <f>IFERROR(__xludf.DUMMYFUNCTION("""COMPUTED_VALUE"""),5.0)</f>
        <v>5</v>
      </c>
    </row>
    <row r="826">
      <c r="A826" s="58" t="str">
        <f>IFERROR(__xludf.DUMMYFUNCTION("""COMPUTED_VALUE"""),"SEGURIDAD INDUSTRIAL")</f>
        <v>SEGURIDAD INDUSTRIAL</v>
      </c>
      <c r="B826" s="58" t="str">
        <f>IFERROR(__xludf.DUMMYFUNCTION("""COMPUTED_VALUE"""),"PLAN DE SEGURIDAD INDUSTRIAL E HIGIENE OCUPACIONAL PARA LA FÁBRICA DE PRODUCTOS DE PLÁSTICO ALCÓCER S.R.L.")</f>
        <v>PLAN DE SEGURIDAD INDUSTRIAL E HIGIENE OCUPACIONAL PARA LA FÁBRICA DE PRODUCTOS DE PLÁSTICO ALCÓCER S.R.L.</v>
      </c>
      <c r="C826" s="58">
        <f>IFERROR(__xludf.DUMMYFUNCTION("""COMPUTED_VALUE"""),1.0)</f>
        <v>1</v>
      </c>
    </row>
    <row r="827">
      <c r="A827" s="58" t="str">
        <f>IFERROR(__xludf.DUMMYFUNCTION("""COMPUTED_VALUE"""),"SEGURIDAD INDUSTRIAL")</f>
        <v>SEGURIDAD INDUSTRIAL</v>
      </c>
      <c r="B827" s="58" t="str">
        <f>IFERROR(__xludf.DUMMYFUNCTION("""COMPUTED_VALUE"""),"PLAN DE SEGURIDAD INDUSTRIAL PARA EL COLEGIO AGUA VIVA DE ROCA")</f>
        <v>PLAN DE SEGURIDAD INDUSTRIAL PARA EL COLEGIO AGUA VIVA DE ROCA</v>
      </c>
      <c r="C827" s="58">
        <f>IFERROR(__xludf.DUMMYFUNCTION("""COMPUTED_VALUE"""),3.0)</f>
        <v>3</v>
      </c>
    </row>
    <row r="828">
      <c r="A828" s="58" t="str">
        <f>IFERROR(__xludf.DUMMYFUNCTION("""COMPUTED_VALUE"""),"SEGURIDAD INDUSTRIAL")</f>
        <v>SEGURIDAD INDUSTRIAL</v>
      </c>
      <c r="B828" s="58" t="str">
        <f>IFERROR(__xludf.DUMMYFUNCTION("""COMPUTED_VALUE"""),"PLAN DE SEGURIDAD INDUSTRIAL Y SALUD EN EL TRABAJO PARA LA EMPRESA CONSTRUCTORA WIFERA S.R.L SEGÚN LA NORMA ISO 45001:2016 DE LA CIUDAD DE COCHABAMBA")</f>
        <v>PLAN DE SEGURIDAD INDUSTRIAL Y SALUD EN EL TRABAJO PARA LA EMPRESA CONSTRUCTORA WIFERA S.R.L SEGÚN LA NORMA ISO 45001:2016 DE LA CIUDAD DE COCHABAMBA</v>
      </c>
      <c r="C828" s="58">
        <f>IFERROR(__xludf.DUMMYFUNCTION("""COMPUTED_VALUE"""),13.0)</f>
        <v>13</v>
      </c>
    </row>
    <row r="829">
      <c r="A829" s="58" t="str">
        <f>IFERROR(__xludf.DUMMYFUNCTION("""COMPUTED_VALUE"""),"SEGURIDAD INDUSTRIAL")</f>
        <v>SEGURIDAD INDUSTRIAL</v>
      </c>
      <c r="B829" s="58" t="str">
        <f>IFERROR(__xludf.DUMMYFUNCTION("""COMPUTED_VALUE"""),"PLAN DE SEGURIDAD INDUSTRIAL Y SALUD OCUPACIONAL PARA LA CURTIEMBRE SAN ANTONIO PUNATA")</f>
        <v>PLAN DE SEGURIDAD INDUSTRIAL Y SALUD OCUPACIONAL PARA LA CURTIEMBRE SAN ANTONIO PUNATA</v>
      </c>
      <c r="C829" s="58">
        <f>IFERROR(__xludf.DUMMYFUNCTION("""COMPUTED_VALUE"""),4.0)</f>
        <v>4</v>
      </c>
    </row>
    <row r="830">
      <c r="A830" s="58" t="str">
        <f>IFERROR(__xludf.DUMMYFUNCTION("""COMPUTED_VALUE"""),"SEGURIDAD INDUSTRIAL")</f>
        <v>SEGURIDAD INDUSTRIAL</v>
      </c>
      <c r="B830" s="58" t="str">
        <f>IFERROR(__xludf.DUMMYFUNCTION("""COMPUTED_VALUE"""),"PLAN DE SEGURIDAD INDUSTRIAL Y SALUD OCUPACIONAL PARA LA EMPRESA METAL MECÁNICA MARQUEZ")</f>
        <v>PLAN DE SEGURIDAD INDUSTRIAL Y SALUD OCUPACIONAL PARA LA EMPRESA METAL MECÁNICA MARQUEZ</v>
      </c>
      <c r="C830" s="58">
        <f>IFERROR(__xludf.DUMMYFUNCTION("""COMPUTED_VALUE"""),1.0)</f>
        <v>1</v>
      </c>
    </row>
    <row r="831">
      <c r="A831" s="58" t="str">
        <f>IFERROR(__xludf.DUMMYFUNCTION("""COMPUTED_VALUE"""),"SEGURIDAD INDUSTRIAL")</f>
        <v>SEGURIDAD INDUSTRIAL</v>
      </c>
      <c r="B831" s="58" t="str">
        <f>IFERROR(__xludf.DUMMYFUNCTION("""COMPUTED_VALUE"""),"PLAN DE SEGURIDAD INDUSTRIAL Y SALUD OCUPACIONAL PARA LA INDUSTRIA FACER S.R.L. EN EL MARCO DEL DECRETO LEY 16998")</f>
        <v>PLAN DE SEGURIDAD INDUSTRIAL Y SALUD OCUPACIONAL PARA LA INDUSTRIA FACER S.R.L. EN EL MARCO DEL DECRETO LEY 16998</v>
      </c>
      <c r="C831" s="58">
        <f>IFERROR(__xludf.DUMMYFUNCTION("""COMPUTED_VALUE"""),8.0)</f>
        <v>8</v>
      </c>
    </row>
    <row r="832">
      <c r="A832" s="58" t="str">
        <f>IFERROR(__xludf.DUMMYFUNCTION("""COMPUTED_VALUE"""),"SEGURIDAD INDUSTRIAL")</f>
        <v>SEGURIDAD INDUSTRIAL</v>
      </c>
      <c r="B832" s="58" t="str">
        <f>IFERROR(__xludf.DUMMYFUNCTION("""COMPUTED_VALUE"""),"PLAN DE SEGURIDAD INDUSTRIAL, SALUD E HIGIENE OCUPACIONAL Y GESTIÓN MEDIO AMBIENTAL PARA LA “CURTIEMBRE JAZMÍN”")</f>
        <v>PLAN DE SEGURIDAD INDUSTRIAL, SALUD E HIGIENE OCUPACIONAL Y GESTIÓN MEDIO AMBIENTAL PARA LA “CURTIEMBRE JAZMÍN”</v>
      </c>
      <c r="C832" s="58">
        <f>IFERROR(__xludf.DUMMYFUNCTION("""COMPUTED_VALUE"""),1.0)</f>
        <v>1</v>
      </c>
    </row>
    <row r="833">
      <c r="A833" s="58" t="str">
        <f>IFERROR(__xludf.DUMMYFUNCTION("""COMPUTED_VALUE"""),"SEGURIDAD INDUSTRIAL")</f>
        <v>SEGURIDAD INDUSTRIAL</v>
      </c>
      <c r="B833" s="58" t="str">
        <f>IFERROR(__xludf.DUMMYFUNCTION("""COMPUTED_VALUE"""),"PLAN DE SEGURIDAD Y SALUD OCUPACIONAL PARA LA EMPRESA FLORALEX")</f>
        <v>PLAN DE SEGURIDAD Y SALUD OCUPACIONAL PARA LA EMPRESA FLORALEX</v>
      </c>
      <c r="C833" s="58">
        <f>IFERROR(__xludf.DUMMYFUNCTION("""COMPUTED_VALUE"""),2.0)</f>
        <v>2</v>
      </c>
    </row>
    <row r="834">
      <c r="A834" s="58" t="str">
        <f>IFERROR(__xludf.DUMMYFUNCTION("""COMPUTED_VALUE"""),"SEGURIDAD INDUSTRIAL")</f>
        <v>SEGURIDAD INDUSTRIAL</v>
      </c>
      <c r="B834" s="58" t="str">
        <f>IFERROR(__xludf.DUMMYFUNCTION("""COMPUTED_VALUE"""),"PLAN DE SEGURIDAD Y SALUD OCUPACIONAL PARA LA EMPRESA “EL SOL” BASADO EN LA NORMA OHSAS 18001:2008")</f>
        <v>PLAN DE SEGURIDAD Y SALUD OCUPACIONAL PARA LA EMPRESA “EL SOL” BASADO EN LA NORMA OHSAS 18001:2008</v>
      </c>
      <c r="C834" s="58">
        <f>IFERROR(__xludf.DUMMYFUNCTION("""COMPUTED_VALUE"""),1.0)</f>
        <v>1</v>
      </c>
    </row>
    <row r="835">
      <c r="A835" s="58" t="str">
        <f>IFERROR(__xludf.DUMMYFUNCTION("""COMPUTED_VALUE"""),"SEGURIDAD INDUSTRIAL")</f>
        <v>SEGURIDAD INDUSTRIAL</v>
      </c>
      <c r="B835" s="58" t="str">
        <f>IFERROR(__xludf.DUMMYFUNCTION("""COMPUTED_VALUE"""),"PLAN DE SEGURIDAD Y SALUD OCUPACIONAL PARA LA INDUSTRIA DE MANEJO DE RESIDUOS “RX”")</f>
        <v>PLAN DE SEGURIDAD Y SALUD OCUPACIONAL PARA LA INDUSTRIA DE MANEJO DE RESIDUOS “RX”</v>
      </c>
      <c r="C835" s="58">
        <f>IFERROR(__xludf.DUMMYFUNCTION("""COMPUTED_VALUE"""),1.0)</f>
        <v>1</v>
      </c>
    </row>
    <row r="836">
      <c r="A836" s="58" t="str">
        <f>IFERROR(__xludf.DUMMYFUNCTION("""COMPUTED_VALUE"""),"SEGURIDAD INDUSTRIAL")</f>
        <v>SEGURIDAD INDUSTRIAL</v>
      </c>
      <c r="B836" s="58" t="str">
        <f>IFERROR(__xludf.DUMMYFUNCTION("""COMPUTED_VALUE"""),"PROGRAMA DE PREVENCIÓN EN MATERIA
DE GESTIÓN DE SEGURIDAD E HIGIENE
INDUSTRIAL PARA LA FABRICA
DE CERÁMICA “COBOCE” LTDA.")</f>
        <v>PROGRAMA DE PREVENCIÓN EN MATERIA
DE GESTIÓN DE SEGURIDAD E HIGIENE
INDUSTRIAL PARA LA FABRICA
DE CERÁMICA “COBOCE” LTDA.</v>
      </c>
      <c r="C836" s="58">
        <f>IFERROR(__xludf.DUMMYFUNCTION("""COMPUTED_VALUE"""),2.0)</f>
        <v>2</v>
      </c>
    </row>
    <row r="837">
      <c r="A837" s="58" t="str">
        <f>IFERROR(__xludf.DUMMYFUNCTION("""COMPUTED_VALUE"""),"SEGURIDAD INDUSTRIAL")</f>
        <v>SEGURIDAD INDUSTRIAL</v>
      </c>
      <c r="B837" s="58" t="str">
        <f>IFERROR(__xludf.DUMMYFUNCTION("""COMPUTED_VALUE"""),"PROGRAMA DE PREVENCIÓN EN MATERIA DE GESTIÓN DE SEGURIDAD E HIGIENE INDUSTRIAL PARA LA FÁBRICA DE CERÁMICA COBOCE LTDA.")</f>
        <v>PROGRAMA DE PREVENCIÓN EN MATERIA DE GESTIÓN DE SEGURIDAD E HIGIENE INDUSTRIAL PARA LA FÁBRICA DE CERÁMICA COBOCE LTDA.</v>
      </c>
      <c r="C837" s="58">
        <f>IFERROR(__xludf.DUMMYFUNCTION("""COMPUTED_VALUE"""),4.0)</f>
        <v>4</v>
      </c>
    </row>
    <row r="838">
      <c r="A838" s="58" t="str">
        <f>IFERROR(__xludf.DUMMYFUNCTION("""COMPUTED_VALUE"""),"SEGURIDAD INDUSTRIAL")</f>
        <v>SEGURIDAD INDUSTRIAL</v>
      </c>
      <c r="B838" s="58" t="str">
        <f>IFERROR(__xludf.DUMMYFUNCTION("""COMPUTED_VALUE"""),"PROGRAMA DE SEGURIDAD Y SALUD EN EL TRABAJO EN BASE A LOS REQUISITOS DE LA NORMA TÉCNICA DE SEGURIDAD INDUSTRIAL 009/18 (NTS – 009/18) PARA LA EMPRESA TEKNOLIFT DE LA CIUDAD DE COCHABAMBA")</f>
        <v>PROGRAMA DE SEGURIDAD Y SALUD EN EL TRABAJO EN BASE A LOS REQUISITOS DE LA NORMA TÉCNICA DE SEGURIDAD INDUSTRIAL 009/18 (NTS – 009/18) PARA LA EMPRESA TEKNOLIFT DE LA CIUDAD DE COCHABAMBA</v>
      </c>
      <c r="C838" s="58">
        <f>IFERROR(__xludf.DUMMYFUNCTION("""COMPUTED_VALUE"""),11.0)</f>
        <v>11</v>
      </c>
    </row>
    <row r="839">
      <c r="A839" s="58" t="str">
        <f>IFERROR(__xludf.DUMMYFUNCTION("""COMPUTED_VALUE"""),"SEGURIDAD INDUSTRIAL")</f>
        <v>SEGURIDAD INDUSTRIAL</v>
      </c>
      <c r="B839" s="58" t="str">
        <f>IFERROR(__xludf.DUMMYFUNCTION("""COMPUTED_VALUE"""),"PROGRAMA DE SEGURIDAD Y SALUD EN EL TRABAJO PARA LA PLANTA DE ALIMENTO                                       BALANCEADO DE LA ASOCIACIÓN DE PRODUCTORES DE LECHE DEL VALLE DE COCHABAMBA (APL) VINCULADOS AL CLÚSTER LÁCTEOS DE LA UMSS.")</f>
        <v>PROGRAMA DE SEGURIDAD Y SALUD EN EL TRABAJO PARA LA PLANTA DE ALIMENTO                                       BALANCEADO DE LA ASOCIACIÓN DE PRODUCTORES DE LECHE DEL VALLE DE COCHABAMBA (APL) VINCULADOS AL CLÚSTER LÁCTEOS DE LA UMSS.</v>
      </c>
      <c r="C839" s="58">
        <f>IFERROR(__xludf.DUMMYFUNCTION("""COMPUTED_VALUE"""),2.0)</f>
        <v>2</v>
      </c>
    </row>
    <row r="840">
      <c r="A840" s="58" t="str">
        <f>IFERROR(__xludf.DUMMYFUNCTION("""COMPUTED_VALUE"""),"SEGURIDAD INDUSTRIAL")</f>
        <v>SEGURIDAD INDUSTRIAL</v>
      </c>
      <c r="B840" s="58" t="str">
        <f>IFERROR(__xludf.DUMMYFUNCTION("""COMPUTED_VALUE"""),"PROGRAMA DE SEGURIDAD Y SALUD EN EL TRABAJO SEGÚN LA NORMA TECNICA NTS-009/18 PARA LA EMPRESA BIOMEDICAL”.")</f>
        <v>PROGRAMA DE SEGURIDAD Y SALUD EN EL TRABAJO SEGÚN LA NORMA TECNICA NTS-009/18 PARA LA EMPRESA BIOMEDICAL”.</v>
      </c>
      <c r="C840" s="58">
        <f>IFERROR(__xludf.DUMMYFUNCTION("""COMPUTED_VALUE"""),12.0)</f>
        <v>12</v>
      </c>
    </row>
    <row r="841">
      <c r="A841" s="58" t="str">
        <f>IFERROR(__xludf.DUMMYFUNCTION("""COMPUTED_VALUE"""),"SEGURIDAD INDUSTRIAL")</f>
        <v>SEGURIDAD INDUSTRIAL</v>
      </c>
      <c r="B841" s="58" t="str">
        <f>IFERROR(__xludf.DUMMYFUNCTION("""COMPUTED_VALUE"""),"PROGRAMA DE SEGURIDAD Y SALUD EN EL TRABAJO SEGÚN LA NORMA TÉCNICA DE SEGURIDAD 009/18 (NTS 009/18) PARA EL PROGRAMA DE DESARROLLO DE TECNOLOGÍAS DE FABRICACIÓN (PDTF) DE LA UMSS")</f>
        <v>PROGRAMA DE SEGURIDAD Y SALUD EN EL TRABAJO SEGÚN LA NORMA TÉCNICA DE SEGURIDAD 009/18 (NTS 009/18) PARA EL PROGRAMA DE DESARROLLO DE TECNOLOGÍAS DE FABRICACIÓN (PDTF) DE LA UMSS</v>
      </c>
      <c r="C841" s="58">
        <f>IFERROR(__xludf.DUMMYFUNCTION("""COMPUTED_VALUE"""),5.0)</f>
        <v>5</v>
      </c>
    </row>
    <row r="842">
      <c r="A842" s="58" t="str">
        <f>IFERROR(__xludf.DUMMYFUNCTION("""COMPUTED_VALUE"""),"SEGURIDAD INDUSTRIAL")</f>
        <v>SEGURIDAD INDUSTRIAL</v>
      </c>
      <c r="B842" s="58" t="str">
        <f>IFERROR(__xludf.DUMMYFUNCTION("""COMPUTED_VALUE"""),"PROPUESTA DE DISEÑO DEL PROGRAMA DE SEGURIDAD Y SALUD EN EL TRABAJO SEGÚN LA NTS 009/18 PARA LA EMPRESA INDUSTRIAS QUÍMICA NACIONAL UBICADA EN LA CIUDAD DE COCHABAMBA")</f>
        <v>PROPUESTA DE DISEÑO DEL PROGRAMA DE SEGURIDAD Y SALUD EN EL TRABAJO SEGÚN LA NTS 009/18 PARA LA EMPRESA INDUSTRIAS QUÍMICA NACIONAL UBICADA EN LA CIUDAD DE COCHABAMBA</v>
      </c>
      <c r="C842" s="58">
        <f>IFERROR(__xludf.DUMMYFUNCTION("""COMPUTED_VALUE"""),8.0)</f>
        <v>8</v>
      </c>
    </row>
    <row r="843">
      <c r="A843" s="58" t="str">
        <f>IFERROR(__xludf.DUMMYFUNCTION("""COMPUTED_VALUE"""),"SEGURIDAD INDUSTRIAL")</f>
        <v>SEGURIDAD INDUSTRIAL</v>
      </c>
      <c r="B843" s="58" t="str">
        <f>IFERROR(__xludf.DUMMYFUNCTION("""COMPUTED_VALUE"""),"PROPUESTA DE UN SISTEMA DE GESTIÓN EN SEGURIDAD Y SALUD OCUPACIONAL CONFORME A LA NORMA OHSAS 18001 PARA LA EMPRESA MACAWS S.R.L.")</f>
        <v>PROPUESTA DE UN SISTEMA DE GESTIÓN EN SEGURIDAD Y SALUD OCUPACIONAL CONFORME A LA NORMA OHSAS 18001 PARA LA EMPRESA MACAWS S.R.L.</v>
      </c>
      <c r="C843" s="58">
        <f>IFERROR(__xludf.DUMMYFUNCTION("""COMPUTED_VALUE"""),4.0)</f>
        <v>4</v>
      </c>
    </row>
    <row r="844">
      <c r="A844" s="58" t="str">
        <f>IFERROR(__xludf.DUMMYFUNCTION("""COMPUTED_VALUE"""),"SEGURIDAD INDUSTRIAL")</f>
        <v>SEGURIDAD INDUSTRIAL</v>
      </c>
      <c r="B844" s="58" t="str">
        <f>IFERROR(__xludf.DUMMYFUNCTION("""COMPUTED_VALUE"""),"SISTEMA DE GESTION EN SEGURIDAD INDUSTRIAL Y SALUD OCUPACIONAL PARA LA PLANTA DE FABRICACION DE ENVASES PLASTICOS PILPLAST DEL MUNICIPIO DE COLCAPIRHUA")</f>
        <v>SISTEMA DE GESTION EN SEGURIDAD INDUSTRIAL Y SALUD OCUPACIONAL PARA LA PLANTA DE FABRICACION DE ENVASES PLASTICOS PILPLAST DEL MUNICIPIO DE COLCAPIRHUA</v>
      </c>
      <c r="C844" s="58">
        <f>IFERROR(__xludf.DUMMYFUNCTION("""COMPUTED_VALUE"""),5.0)</f>
        <v>5</v>
      </c>
    </row>
    <row r="845">
      <c r="A845" s="58" t="str">
        <f>IFERROR(__xludf.DUMMYFUNCTION("""COMPUTED_VALUE"""),"SEGURIDAD INDUSTRIAL")</f>
        <v>SEGURIDAD INDUSTRIAL</v>
      </c>
      <c r="B845" s="58" t="str">
        <f>IFERROR(__xludf.DUMMYFUNCTION("""COMPUTED_VALUE"""),"SISTEMA DE GESTIÓN DE SEGURIDAD Y SALUD EN EL TRABAJO BASADO EN LA NORMA NB/ISO 45001:2018 PARA LA EMPRESA COBOCE CERAMIL EN EL PARQUE INDUSTRIAL DE SANTIVAÑEZ")</f>
        <v>SISTEMA DE GESTIÓN DE SEGURIDAD Y SALUD EN EL TRABAJO BASADO EN LA NORMA NB/ISO 45001:2018 PARA LA EMPRESA COBOCE CERAMIL EN EL PARQUE INDUSTRIAL DE SANTIVAÑEZ</v>
      </c>
      <c r="C845" s="58">
        <f>IFERROR(__xludf.DUMMYFUNCTION("""COMPUTED_VALUE"""),11.0)</f>
        <v>11</v>
      </c>
    </row>
    <row r="846">
      <c r="A846" s="58" t="str">
        <f>IFERROR(__xludf.DUMMYFUNCTION("""COMPUTED_VALUE"""),"SEGURIDAD INDUSTRIAL")</f>
        <v>SEGURIDAD INDUSTRIAL</v>
      </c>
      <c r="B846" s="58" t="str">
        <f>IFERROR(__xludf.DUMMYFUNCTION("""COMPUTED_VALUE"""),"SISTEMA DE GESTIÓN EN SEGURIDAD Y SALUD OCUPACIONAL BASADO EN LA NORMA OHSAS 18001 PARA LA EMPRESA SABSA")</f>
        <v>SISTEMA DE GESTIÓN EN SEGURIDAD Y SALUD OCUPACIONAL BASADO EN LA NORMA OHSAS 18001 PARA LA EMPRESA SABSA</v>
      </c>
      <c r="C846" s="58">
        <f>IFERROR(__xludf.DUMMYFUNCTION("""COMPUTED_VALUE"""),2.0)</f>
        <v>2</v>
      </c>
    </row>
    <row r="847">
      <c r="A847" s="58" t="str">
        <f>IFERROR(__xludf.DUMMYFUNCTION("""COMPUTED_VALUE"""),"SEGURIDAD INDUSTRIAL")</f>
        <v>SEGURIDAD INDUSTRIAL</v>
      </c>
      <c r="B847" s="58" t="str">
        <f>IFERROR(__xludf.DUMMYFUNCTION("""COMPUTED_VALUE"""),"SISTEMA DE GESTIÓN EN SEGURIDAD Y SALUD OCUPACIONAL DE ACUERDO A LA   NORMA OHSAS 18001, PARA EL “COMPLEJO AVICOLA TORRICO S.R.L.”")</f>
        <v>SISTEMA DE GESTIÓN EN SEGURIDAD Y SALUD OCUPACIONAL DE ACUERDO A LA   NORMA OHSAS 18001, PARA EL “COMPLEJO AVICOLA TORRICO S.R.L.”</v>
      </c>
      <c r="C847" s="58">
        <f>IFERROR(__xludf.DUMMYFUNCTION("""COMPUTED_VALUE"""),2.0)</f>
        <v>2</v>
      </c>
    </row>
    <row r="848">
      <c r="A848" s="58" t="str">
        <f>IFERROR(__xludf.DUMMYFUNCTION("""COMPUTED_VALUE"""),"SEGURIDAD INDUSTRIAL")</f>
        <v>SEGURIDAD INDUSTRIAL</v>
      </c>
      <c r="B848" s="58" t="str">
        <f>IFERROR(__xludf.DUMMYFUNCTION("""COMPUTED_VALUE"""),"SISTEMA DE GESTIÓN EN SEGURIDAD Y SALUD OCUPACIONAL DE ACUERDO A LA NORMA OHSAS 18001:2007 PARA LA EMPRESA PLAXBURG")</f>
        <v>SISTEMA DE GESTIÓN EN SEGURIDAD Y SALUD OCUPACIONAL DE ACUERDO A LA NORMA OHSAS 18001:2007 PARA LA EMPRESA PLAXBURG</v>
      </c>
      <c r="C848" s="58">
        <f>IFERROR(__xludf.DUMMYFUNCTION("""COMPUTED_VALUE"""),1.0)</f>
        <v>1</v>
      </c>
    </row>
    <row r="849">
      <c r="A849" s="58" t="str">
        <f>IFERROR(__xludf.DUMMYFUNCTION("""COMPUTED_VALUE"""),"SEGURIDAD INDUSTRIAL")</f>
        <v>SEGURIDAD INDUSTRIAL</v>
      </c>
      <c r="B849" s="58" t="str">
        <f>IFERROR(__xludf.DUMMYFUNCTION("""COMPUTED_VALUE"""),"“DISEÑO Y PROPUESTA DE IMPLEMENTACIÓN DEL PLAN DE SEGURIDAD INDUSTRIAL PARA LAS DEPENDENCIAS DE SERVICIOS GENERALES DE LA UNIVERSIDAD MAYOR DE SAN SIMÓN”.")</f>
        <v>“DISEÑO Y PROPUESTA DE IMPLEMENTACIÓN DEL PLAN DE SEGURIDAD INDUSTRIAL PARA LAS DEPENDENCIAS DE SERVICIOS GENERALES DE LA UNIVERSIDAD MAYOR DE SAN SIMÓN”.</v>
      </c>
      <c r="C849" s="58">
        <f>IFERROR(__xludf.DUMMYFUNCTION("""COMPUTED_VALUE"""),3.0)</f>
        <v>3</v>
      </c>
    </row>
    <row r="850">
      <c r="A850" s="58" t="str">
        <f>IFERROR(__xludf.DUMMYFUNCTION("""COMPUTED_VALUE"""),"SISTEMAS DE INFORMACIÓN")</f>
        <v>SISTEMAS DE INFORMACIÓN</v>
      </c>
      <c r="B850" s="58" t="str">
        <f>IFERROR(__xludf.DUMMYFUNCTION("""COMPUTED_VALUE"""),"ANÁLISIS, DISEÑO Y AUTOMATIZACIÓN DEL SISTEMA DE INFORMACIÓN DEL PROGRAMA DE CONTROL DE CALIDAD DE ALIMENTOS Y BEBIDAS DE LA UNIDAD DE SALUD AMBIENTAL DEL DEPARTAMENTO DE COCHABAMBA.")</f>
        <v>ANÁLISIS, DISEÑO Y AUTOMATIZACIÓN DEL SISTEMA DE INFORMACIÓN DEL PROGRAMA DE CONTROL DE CALIDAD DE ALIMENTOS Y BEBIDAS DE LA UNIDAD DE SALUD AMBIENTAL DEL DEPARTAMENTO DE COCHABAMBA.</v>
      </c>
      <c r="C850" s="58">
        <f>IFERROR(__xludf.DUMMYFUNCTION("""COMPUTED_VALUE"""),5.0)</f>
        <v>5</v>
      </c>
    </row>
    <row r="851">
      <c r="A851" s="58" t="str">
        <f>IFERROR(__xludf.DUMMYFUNCTION("""COMPUTED_VALUE"""),"SISTEMAS DE INFORMACIÓN")</f>
        <v>SISTEMAS DE INFORMACIÓN</v>
      </c>
      <c r="B851" s="58" t="str">
        <f>IFERROR(__xludf.DUMMYFUNCTION("""COMPUTED_VALUE"""),"DESARROLLO DE UN MODELO DE ADMINISTRACIÓN ESTRATÉGICA Y CUADRO DE MANDO INTEGRAL PARA LA EMPRESA CONSULCAD INGENIERÍA SRL.")</f>
        <v>DESARROLLO DE UN MODELO DE ADMINISTRACIÓN ESTRATÉGICA Y CUADRO DE MANDO INTEGRAL PARA LA EMPRESA CONSULCAD INGENIERÍA SRL.</v>
      </c>
      <c r="C851" s="58">
        <f>IFERROR(__xludf.DUMMYFUNCTION("""COMPUTED_VALUE"""),2.0)</f>
        <v>2</v>
      </c>
    </row>
    <row r="852">
      <c r="A852" s="58" t="str">
        <f>IFERROR(__xludf.DUMMYFUNCTION("""COMPUTED_VALUE"""),"SISTEMAS DE INFORMACIÓN")</f>
        <v>SISTEMAS DE INFORMACIÓN</v>
      </c>
      <c r="B852" s="58" t="str">
        <f>IFERROR(__xludf.DUMMYFUNCTION("""COMPUTED_VALUE"""),"DESARROLLO DE UN SISTEMA DE COSTEO ESTÁNDAR DE LA PRODUCCIÓN EN LA EMPRESA COBOCE – CERAMIL")</f>
        <v>DESARROLLO DE UN SISTEMA DE COSTEO ESTÁNDAR DE LA PRODUCCIÓN EN LA EMPRESA COBOCE – CERAMIL</v>
      </c>
      <c r="C852" s="58">
        <f>IFERROR(__xludf.DUMMYFUNCTION("""COMPUTED_VALUE"""),2.0)</f>
        <v>2</v>
      </c>
    </row>
    <row r="853">
      <c r="A853" s="58" t="str">
        <f>IFERROR(__xludf.DUMMYFUNCTION("""COMPUTED_VALUE"""),"SISTEMAS DE INFORMACIÓN")</f>
        <v>SISTEMAS DE INFORMACIÓN</v>
      </c>
      <c r="B853" s="58" t="str">
        <f>IFERROR(__xludf.DUMMYFUNCTION("""COMPUTED_VALUE"""),"DESARROLLO E IMPLEMENTACIÓN DE UN SISTEMA DE INFORMACIÓN ADMINISTRATIVO PARA EL ÁREA DE INOCUIDAD ALIMENTARIA EN LA JEFATURA DISTRITAL SENASAG - COCHABAMBA.")</f>
        <v>DESARROLLO E IMPLEMENTACIÓN DE UN SISTEMA DE INFORMACIÓN ADMINISTRATIVO PARA EL ÁREA DE INOCUIDAD ALIMENTARIA EN LA JEFATURA DISTRITAL SENASAG - COCHABAMBA.</v>
      </c>
      <c r="C853" s="58">
        <f>IFERROR(__xludf.DUMMYFUNCTION("""COMPUTED_VALUE"""),3.0)</f>
        <v>3</v>
      </c>
    </row>
    <row r="854">
      <c r="A854" s="58" t="str">
        <f>IFERROR(__xludf.DUMMYFUNCTION("""COMPUTED_VALUE"""),"SISTEMAS DE INFORMACIÓN")</f>
        <v>SISTEMAS DE INFORMACIÓN</v>
      </c>
      <c r="B854" s="58" t="str">
        <f>IFERROR(__xludf.DUMMYFUNCTION("""COMPUTED_VALUE"""),"DIAGNOSTICO DEL SISTEMA DE COBRANZA INTERNO DE LA UNIDAD DE SERVICIOS FINANCIERO DE LA EMPRESA VIVA-GSM")</f>
        <v>DIAGNOSTICO DEL SISTEMA DE COBRANZA INTERNO DE LA UNIDAD DE SERVICIOS FINANCIERO DE LA EMPRESA VIVA-GSM</v>
      </c>
      <c r="C854" s="58">
        <f>IFERROR(__xludf.DUMMYFUNCTION("""COMPUTED_VALUE"""),1.0)</f>
        <v>1</v>
      </c>
    </row>
    <row r="855">
      <c r="A855" s="58" t="str">
        <f>IFERROR(__xludf.DUMMYFUNCTION("""COMPUTED_VALUE"""),"SISTEMAS DE INFORMACIÓN")</f>
        <v>SISTEMAS DE INFORMACIÓN</v>
      </c>
      <c r="B855" s="58" t="str">
        <f>IFERROR(__xludf.DUMMYFUNCTION("""COMPUTED_VALUE"""),"DIAGNOSTICO DEL SISTEMA DE COBRANZA INTERNO DE LA UNIDAD DE SERVICIOS FINANCIERO DE LA EMPRESA VIVA-GSM
")</f>
        <v>DIAGNOSTICO DEL SISTEMA DE COBRANZA INTERNO DE LA UNIDAD DE SERVICIOS FINANCIERO DE LA EMPRESA VIVA-GSM
</v>
      </c>
      <c r="C855" s="58">
        <f>IFERROR(__xludf.DUMMYFUNCTION("""COMPUTED_VALUE"""),4.0)</f>
        <v>4</v>
      </c>
    </row>
    <row r="856">
      <c r="A856" s="58" t="str">
        <f>IFERROR(__xludf.DUMMYFUNCTION("""COMPUTED_VALUE"""),"SISTEMAS DE INFORMACIÓN")</f>
        <v>SISTEMAS DE INFORMACIÓN</v>
      </c>
      <c r="B856" s="58" t="str">
        <f>IFERROR(__xludf.DUMMYFUNCTION("""COMPUTED_VALUE"""),"DISEÑO DE UN SISTEMA DE INFORMACIÓN DE COSTOS DE MANTENIMIENTO PARA LA PANTA DE HORMIGÓN READY MIX COCHABAMBA DE SOBOCE S.A.")</f>
        <v>DISEÑO DE UN SISTEMA DE INFORMACIÓN DE COSTOS DE MANTENIMIENTO PARA LA PANTA DE HORMIGÓN READY MIX COCHABAMBA DE SOBOCE S.A.</v>
      </c>
      <c r="C856" s="58">
        <f>IFERROR(__xludf.DUMMYFUNCTION("""COMPUTED_VALUE"""),3.0)</f>
        <v>3</v>
      </c>
    </row>
    <row r="857">
      <c r="A857" s="58" t="str">
        <f>IFERROR(__xludf.DUMMYFUNCTION("""COMPUTED_VALUE"""),"SISTEMAS DE INFORMACIÓN")</f>
        <v>SISTEMAS DE INFORMACIÓN</v>
      </c>
      <c r="B857" s="58" t="str">
        <f>IFERROR(__xludf.DUMMYFUNCTION("""COMPUTED_VALUE"""),"DISEÑO DE UN SISTEMA DE INFORMACIÓN PARA LA GESTIÓN ADMINISTRATIVA DE LA DISTRIBUIDORA VILOMA GAS")</f>
        <v>DISEÑO DE UN SISTEMA DE INFORMACIÓN PARA LA GESTIÓN ADMINISTRATIVA DE LA DISTRIBUIDORA VILOMA GAS</v>
      </c>
      <c r="C857" s="58">
        <f>IFERROR(__xludf.DUMMYFUNCTION("""COMPUTED_VALUE"""),1.0)</f>
        <v>1</v>
      </c>
    </row>
    <row r="858">
      <c r="A858" s="58" t="str">
        <f>IFERROR(__xludf.DUMMYFUNCTION("""COMPUTED_VALUE"""),"SISTEMAS DE INFORMACIÓN")</f>
        <v>SISTEMAS DE INFORMACIÓN</v>
      </c>
      <c r="B858" s="58" t="str">
        <f>IFERROR(__xludf.DUMMYFUNCTION("""COMPUTED_VALUE"""),"DISEÑO DE UN SISTEMA INTEGRAL DE INOCUIDAD ALIMENTARIA BASADO EN LA NORMA NB-ISO 22000:2005 PARA LA INDUSTRIA DE ALIMENTOS Y BEBIDAS “FRUTOS DEL SUR")</f>
        <v>DISEÑO DE UN SISTEMA INTEGRAL DE INOCUIDAD ALIMENTARIA BASADO EN LA NORMA NB-ISO 22000:2005 PARA LA INDUSTRIA DE ALIMENTOS Y BEBIDAS “FRUTOS DEL SUR</v>
      </c>
      <c r="C858" s="58">
        <f>IFERROR(__xludf.DUMMYFUNCTION("""COMPUTED_VALUE"""),2.0)</f>
        <v>2</v>
      </c>
    </row>
    <row r="859">
      <c r="A859" s="58" t="str">
        <f>IFERROR(__xludf.DUMMYFUNCTION("""COMPUTED_VALUE"""),"SISTEMAS DE INFORMACIÓN")</f>
        <v>SISTEMAS DE INFORMACIÓN</v>
      </c>
      <c r="B859" s="58" t="str">
        <f>IFERROR(__xludf.DUMMYFUNCTION("""COMPUTED_VALUE"""),"DISEÑO E IMPLEMENTACIÓN DE UN SISTEMA DE GESTIÓN DE STOCKS PARA UNILEVER ANDINA BOLIVIA S.A. EN ALMACÉN 3D DE LA CIUDAD DE COCHABAMBA")</f>
        <v>DISEÑO E IMPLEMENTACIÓN DE UN SISTEMA DE GESTIÓN DE STOCKS PARA UNILEVER ANDINA BOLIVIA S.A. EN ALMACÉN 3D DE LA CIUDAD DE COCHABAMBA</v>
      </c>
      <c r="C859" s="58">
        <f>IFERROR(__xludf.DUMMYFUNCTION("""COMPUTED_VALUE"""),1.0)</f>
        <v>1</v>
      </c>
    </row>
    <row r="860">
      <c r="A860" s="58" t="str">
        <f>IFERROR(__xludf.DUMMYFUNCTION("""COMPUTED_VALUE"""),"SISTEMAS DE INFORMACIÓN")</f>
        <v>SISTEMAS DE INFORMACIÓN</v>
      </c>
      <c r="B860" s="58" t="str">
        <f>IFERROR(__xludf.DUMMYFUNCTION("""COMPUTED_VALUE"""),"DISEÑO LÓGICO DE UN SISTEMA INFORMÁTICO PARA LA ADMINISTRACIÓN DE RECURSOS HUMANOS DE E.M.S.A.")</f>
        <v>DISEÑO LÓGICO DE UN SISTEMA INFORMÁTICO PARA LA ADMINISTRACIÓN DE RECURSOS HUMANOS DE E.M.S.A.</v>
      </c>
      <c r="C860" s="58">
        <f>IFERROR(__xludf.DUMMYFUNCTION("""COMPUTED_VALUE"""),2.0)</f>
        <v>2</v>
      </c>
    </row>
    <row r="861">
      <c r="A861" s="58" t="str">
        <f>IFERROR(__xludf.DUMMYFUNCTION("""COMPUTED_VALUE"""),"SISTEMAS DE INFORMACIÓN")</f>
        <v>SISTEMAS DE INFORMACIÓN</v>
      </c>
      <c r="B861" s="58" t="str">
        <f>IFERROR(__xludf.DUMMYFUNCTION("""COMPUTED_VALUE"""),"IDENTIFICACIÓN, MAPEO Y ANÁLISIS COMPETITIVO DEL CLÚSTER INFORMÁTICO EN COCHABAMBA.")</f>
        <v>IDENTIFICACIÓN, MAPEO Y ANÁLISIS COMPETITIVO DEL CLÚSTER INFORMÁTICO EN COCHABAMBA.</v>
      </c>
      <c r="C861" s="58">
        <f>IFERROR(__xludf.DUMMYFUNCTION("""COMPUTED_VALUE"""),2.0)</f>
        <v>2</v>
      </c>
    </row>
    <row r="862">
      <c r="A862" s="58" t="str">
        <f>IFERROR(__xludf.DUMMYFUNCTION("""COMPUTED_VALUE"""),"SISTEMAS DE INFORMACIÓN")</f>
        <v>SISTEMAS DE INFORMACIÓN</v>
      </c>
      <c r="B862" s="58" t="str">
        <f>IFERROR(__xludf.DUMMYFUNCTION("""COMPUTED_VALUE"""),"MODELAMIENTO DE UN SISTEMA DE INFORMACIÓN PARA LAS LÍNEAS DE PRODUCCIÓN DE EMBOL S.A.")</f>
        <v>MODELAMIENTO DE UN SISTEMA DE INFORMACIÓN PARA LAS LÍNEAS DE PRODUCCIÓN DE EMBOL S.A.</v>
      </c>
      <c r="C862" s="58">
        <f>IFERROR(__xludf.DUMMYFUNCTION("""COMPUTED_VALUE"""),1.0)</f>
        <v>1</v>
      </c>
    </row>
    <row r="863">
      <c r="A863" s="58" t="str">
        <f>IFERROR(__xludf.DUMMYFUNCTION("""COMPUTED_VALUE"""),"SISTEMAS DE INFORMACIÓN")</f>
        <v>SISTEMAS DE INFORMACIÓN</v>
      </c>
      <c r="B863" s="58" t="str">
        <f>IFERROR(__xludf.DUMMYFUNCTION("""COMPUTED_VALUE"""),"MODELO DE CONTROL ESTADÍSTICO DE CALIDAD EN BASE AL SOFTWARE MINITAB PARA EL PROCESO DE FABRICACIÓN DE LA MUNICIÓN 7.62 X 51MM. DE LA FÁBRICA BOLIVIANA DE MUNICIÓN")</f>
        <v>MODELO DE CONTROL ESTADÍSTICO DE CALIDAD EN BASE AL SOFTWARE MINITAB PARA EL PROCESO DE FABRICACIÓN DE LA MUNICIÓN 7.62 X 51MM. DE LA FÁBRICA BOLIVIANA DE MUNICIÓN</v>
      </c>
      <c r="C863" s="58">
        <f>IFERROR(__xludf.DUMMYFUNCTION("""COMPUTED_VALUE"""),4.0)</f>
        <v>4</v>
      </c>
    </row>
    <row r="864">
      <c r="A864" s="58" t="str">
        <f>IFERROR(__xludf.DUMMYFUNCTION("""COMPUTED_VALUE"""),"SISTEMAS DE INFORMACIÓN")</f>
        <v>SISTEMAS DE INFORMACIÓN</v>
      </c>
      <c r="B864" s="58" t="str">
        <f>IFERROR(__xludf.DUMMYFUNCTION("""COMPUTED_VALUE"""),"SISTEMA DE COSTOS PARA LA INDUSTRIA PANIFICADORA “SOTO”")</f>
        <v>SISTEMA DE COSTOS PARA LA INDUSTRIA PANIFICADORA “SOTO”</v>
      </c>
      <c r="C864" s="58">
        <f>IFERROR(__xludf.DUMMYFUNCTION("""COMPUTED_VALUE"""),1.0)</f>
        <v>1</v>
      </c>
    </row>
    <row r="865">
      <c r="A865" s="58" t="str">
        <f>IFERROR(__xludf.DUMMYFUNCTION("""COMPUTED_VALUE"""),"SISTEMAS DE INFORMACIÓN")</f>
        <v>SISTEMAS DE INFORMACIÓN</v>
      </c>
      <c r="B865" s="58" t="str">
        <f>IFERROR(__xludf.DUMMYFUNCTION("""COMPUTED_VALUE"""),"SISTEMA DE INFORMACIÓN DE OPERACIONES BAJO LÍNEA DE CRÉDITO PARA EL BANCO BISA S.A. (REGIONAL COCHABAMBA)")</f>
        <v>SISTEMA DE INFORMACIÓN DE OPERACIONES BAJO LÍNEA DE CRÉDITO PARA EL BANCO BISA S.A. (REGIONAL COCHABAMBA)</v>
      </c>
      <c r="C865" s="58">
        <f>IFERROR(__xludf.DUMMYFUNCTION("""COMPUTED_VALUE"""),5.0)</f>
        <v>5</v>
      </c>
    </row>
    <row r="866">
      <c r="A866" s="58" t="str">
        <f>IFERROR(__xludf.DUMMYFUNCTION("""COMPUTED_VALUE"""),"SISTEMAS INTEGRADOS")</f>
        <v>SISTEMAS INTEGRADOS</v>
      </c>
      <c r="B866" s="58" t="str">
        <f>IFERROR(__xludf.DUMMYFUNCTION("""COMPUTED_VALUE"""),"DISEÑO DE UN SISTEMA INTEGRADO DE GESTION BASADO EN
OHSAS 18001:2003 E ISO 14001:2004 PARA LA PLANTA DE ENVASES
PLASTICOS “PILPLAST” DE PIL ANDINA S.A.")</f>
        <v>DISEÑO DE UN SISTEMA INTEGRADO DE GESTION BASADO EN
OHSAS 18001:2003 E ISO 14001:2004 PARA LA PLANTA DE ENVASES
PLASTICOS “PILPLAST” DE PIL ANDINA S.A.</v>
      </c>
      <c r="C866" s="58">
        <f>IFERROR(__xludf.DUMMYFUNCTION("""COMPUTED_VALUE"""),2.0)</f>
        <v>2</v>
      </c>
    </row>
    <row r="867">
      <c r="A867" s="58" t="str">
        <f>IFERROR(__xludf.DUMMYFUNCTION("""COMPUTED_VALUE"""),"SISTEMAS INTEGRADOS")</f>
        <v>SISTEMAS INTEGRADOS</v>
      </c>
      <c r="B867"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C867" s="58">
        <f>IFERROR(__xludf.DUMMYFUNCTION("""COMPUTED_VALUE"""),4.0)</f>
        <v>4</v>
      </c>
    </row>
    <row r="868">
      <c r="A868" s="58" t="str">
        <f>IFERROR(__xludf.DUMMYFUNCTION("""COMPUTED_VALUE"""),"SISTEMAS INTEGRADOS")</f>
        <v>SISTEMAS INTEGRADOS</v>
      </c>
      <c r="B868"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C868" s="58">
        <f>IFERROR(__xludf.DUMMYFUNCTION("""COMPUTED_VALUE"""),22.0)</f>
        <v>22</v>
      </c>
    </row>
    <row r="869">
      <c r="A869" s="58" t="str">
        <f>IFERROR(__xludf.DUMMYFUNCTION("""COMPUTED_VALUE"""),"SISTEMAS INTEGRADOS")</f>
        <v>SISTEMAS INTEGRADOS</v>
      </c>
      <c r="B869"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C869" s="58">
        <f>IFERROR(__xludf.DUMMYFUNCTION("""COMPUTED_VALUE"""),1.0)</f>
        <v>1</v>
      </c>
    </row>
    <row r="870">
      <c r="A870" s="58" t="str">
        <f>IFERROR(__xludf.DUMMYFUNCTION("""COMPUTED_VALUE"""),"SISTEMAS INTEGRADOS")</f>
        <v>SISTEMAS INTEGRADOS</v>
      </c>
      <c r="B870" s="58" t="str">
        <f>IFERROR(__xludf.DUMMYFUNCTION("""COMPUTED_VALUE"""),"DISEÑO DE UN SISTEMA INTEGRADO DE GESTIÓN PARA LA
EMPRESA METALMECÁNICA MOPAR S.A. BASADO EN LAS
NORMAS ISO 14001:2004 – OHSAS 18001:2007")</f>
        <v>DISEÑO DE UN SISTEMA INTEGRADO DE GESTIÓN PARA LA
EMPRESA METALMECÁNICA MOPAR S.A. BASADO EN LAS
NORMAS ISO 14001:2004 – OHSAS 18001:2007</v>
      </c>
      <c r="C870" s="58">
        <f>IFERROR(__xludf.DUMMYFUNCTION("""COMPUTED_VALUE"""),1.0)</f>
        <v>1</v>
      </c>
    </row>
    <row r="871">
      <c r="A871" s="58" t="str">
        <f>IFERROR(__xludf.DUMMYFUNCTION("""COMPUTED_VALUE"""),"SISTEMAS INTEGRADOS")</f>
        <v>SISTEMAS INTEGRADOS</v>
      </c>
      <c r="B871" s="58" t="str">
        <f>IFERROR(__xludf.DUMMYFUNCTION("""COMPUTED_VALUE"""),"DISEÑO DE UN SISTEMA INTEGRADO DE GESTIÓN PARA LA EMPRESA METALMECÁNICA MOPAR    S.A. BASADO EN LAS NORMAS ISO 14001:2004 – OHSAS 18001:2007")</f>
        <v>DISEÑO DE UN SISTEMA INTEGRADO DE GESTIÓN PARA LA EMPRESA METALMECÁNICA MOPAR    S.A. BASADO EN LAS NORMAS ISO 14001:2004 – OHSAS 18001:2007</v>
      </c>
      <c r="C871" s="58">
        <f>IFERROR(__xludf.DUMMYFUNCTION("""COMPUTED_VALUE"""),4.0)</f>
        <v>4</v>
      </c>
    </row>
    <row r="872">
      <c r="A872" s="58" t="str">
        <f>IFERROR(__xludf.DUMMYFUNCTION("""COMPUTED_VALUE"""),"SISTEMAS INTEGRADOS")</f>
        <v>SISTEMAS INTEGRADOS</v>
      </c>
      <c r="B872" s="58" t="str">
        <f>IFERROR(__xludf.DUMMYFUNCTION("""COMPUTED_VALUE"""),"ELABORACIÓN MANUAL DEL SISTEMA INTEGRADO DE
GESTIÓN PARA LA EMPRESA MITBOL S.R.L. EN BASE A
NORMAS ISO 9001, ISO 14001 Y OHSAS 18001")</f>
        <v>ELABORACIÓN MANUAL DEL SISTEMA INTEGRADO DE
GESTIÓN PARA LA EMPRESA MITBOL S.R.L. EN BASE A
NORMAS ISO 9001, ISO 14001 Y OHSAS 18001</v>
      </c>
      <c r="C872" s="58">
        <f>IFERROR(__xludf.DUMMYFUNCTION("""COMPUTED_VALUE"""),1.0)</f>
        <v>1</v>
      </c>
    </row>
    <row r="873">
      <c r="A873" s="58" t="str">
        <f>IFERROR(__xludf.DUMMYFUNCTION("""COMPUTED_VALUE"""),"SISTEMAS INTEGRADOS")</f>
        <v>SISTEMAS INTEGRADOS</v>
      </c>
      <c r="B873" s="58" t="str">
        <f>IFERROR(__xludf.DUMMYFUNCTION("""COMPUTED_VALUE"""),"ELABORACIÓN MANUAL DEL SISTEMA INTEGRADO DE GESTIÓN PARA LA EMPRESA MITBOL S.R.L. EN BASE A NORMAS ISO 9001, ISO 14001 Y OHSAS 18001")</f>
        <v>ELABORACIÓN MANUAL DEL SISTEMA INTEGRADO DE GESTIÓN PARA LA EMPRESA MITBOL S.R.L. EN BASE A NORMAS ISO 9001, ISO 14001 Y OHSAS 18001</v>
      </c>
      <c r="C873" s="58">
        <f>IFERROR(__xludf.DUMMYFUNCTION("""COMPUTED_VALUE"""),2.0)</f>
        <v>2</v>
      </c>
    </row>
    <row r="874">
      <c r="A874" s="58" t="str">
        <f>IFERROR(__xludf.DUMMYFUNCTION("""COMPUTED_VALUE"""),"SISTEMAS INTEGRADOS")</f>
        <v>SISTEMAS INTEGRADOS</v>
      </c>
      <c r="B874" s="58" t="str">
        <f>IFERROR(__xludf.DUMMYFUNCTION("""COMPUTED_VALUE"""),"EVALUACIÓN, PROPUESTA E IMPLEMENTACIÓN DE MEJORAS EN EL SISTEMA INTEGRADO DE GESTIÓN DE INDUSTRIAS LUJAN S.R.L. PARA AFRONTAR EL PROCESO DE RE-CERTIFICACIÓN CONFORME A LAS NORMAS ISO 9001 E ISO 14001.")</f>
        <v>EVALUACIÓN, PROPUESTA E IMPLEMENTACIÓN DE MEJORAS EN EL SISTEMA INTEGRADO DE GESTIÓN DE INDUSTRIAS LUJAN S.R.L. PARA AFRONTAR EL PROCESO DE RE-CERTIFICACIÓN CONFORME A LAS NORMAS ISO 9001 E ISO 14001.</v>
      </c>
      <c r="C874" s="58">
        <f>IFERROR(__xludf.DUMMYFUNCTION("""COMPUTED_VALUE"""),9.0)</f>
        <v>9</v>
      </c>
    </row>
    <row r="875">
      <c r="A875" s="58" t="str">
        <f>IFERROR(__xludf.DUMMYFUNCTION("""COMPUTED_VALUE"""),"SISTEMAS INTEGRADOS")</f>
        <v>SISTEMAS INTEGRADOS</v>
      </c>
      <c r="B875" s="58" t="str">
        <f>IFERROR(__xludf.DUMMYFUNCTION("""COMPUTED_VALUE"""),"TRANSFERENCIA, ADECUACIÓN E IMPLEMENTACIÓN DEL SISTEMA INTEGRADO DE GESTIÓN DE LA EMPRESA ELÉCTRICA VALLE HERMOSO S.A. EN LA CENTRAL TERMOELÉCTRICA EL ALTO")</f>
        <v>TRANSFERENCIA, ADECUACIÓN E IMPLEMENTACIÓN DEL SISTEMA INTEGRADO DE GESTIÓN DE LA EMPRESA ELÉCTRICA VALLE HERMOSO S.A. EN LA CENTRAL TERMOELÉCTRICA EL ALTO</v>
      </c>
      <c r="C875" s="58">
        <f>IFERROR(__xludf.DUMMYFUNCTION("""COMPUTED_VALUE"""),1.0)</f>
        <v>1</v>
      </c>
    </row>
    <row r="876">
      <c r="A876" s="58" t="str">
        <f>IFERROR(__xludf.DUMMYFUNCTION("""COMPUTED_VALUE"""),"SISTEMAS INTEGRADOS")</f>
        <v>SISTEMAS INTEGRADOS</v>
      </c>
      <c r="B876" s="58" t="str">
        <f>IFERROR(__xludf.DUMMYFUNCTION("""COMPUTED_VALUE"""),"“DESARROLLO DE UN SISTEMA INTEGRADO PARA EL ALMACÉN DE LA EMPRESA DE INGENIERÍA Y SERVICIOS INTEGRALES COCHABAMBA S.A. (INTEGRA S.A.)”")</f>
        <v>“DESARROLLO DE UN SISTEMA INTEGRADO PARA EL ALMACÉN DE LA EMPRESA DE INGENIERÍA Y SERVICIOS INTEGRALES COCHABAMBA S.A. (INTEGRA S.A.)”</v>
      </c>
      <c r="C876" s="58">
        <f>IFERROR(__xludf.DUMMYFUNCTION("""COMPUTED_VALUE"""),3.0)</f>
        <v>3</v>
      </c>
    </row>
    <row r="877">
      <c r="A877" s="58" t="str">
        <f>IFERROR(__xludf.DUMMYFUNCTION("""COMPUTED_VALUE"""),"SUGURIDAD INDUSTRIAL")</f>
        <v>SUGURIDAD INDUSTRIAL</v>
      </c>
      <c r="B877" s="58" t="str">
        <f>IFERROR(__xludf.DUMMYFUNCTION("""COMPUTED_VALUE"""),"APLICACION DEL METODO DE ANALISIS DE RIESGOS,IDENTIFICACION Y CONTROL DE PUNTOS CRITICOS (HACCP) EN EL PROCESO DE TRANSFORMACION DE PRODUCTOS LACTEOS EN LA PLANTA PILOTO DE LA FACULTAD DE CIENCIAS AGRICOLAS Y PECUARIAS")</f>
        <v>APLICACION DEL METODO DE ANALISIS DE RIESGOS,IDENTIFICACION Y CONTROL DE PUNTOS CRITICOS (HACCP) EN EL PROCESO DE TRANSFORMACION DE PRODUCTOS LACTEOS EN LA PLANTA PILOTO DE LA FACULTAD DE CIENCIAS AGRICOLAS Y PECUARIAS</v>
      </c>
      <c r="C877" s="58">
        <f>IFERROR(__xludf.DUMMYFUNCTION("""COMPUTED_VALUE"""),1.0)</f>
        <v>1</v>
      </c>
    </row>
    <row r="878">
      <c r="A878" s="58" t="str">
        <f>IFERROR(__xludf.DUMMYFUNCTION("""COMPUTED_VALUE"""),"SUGURIDAD INDUSTRIAL")</f>
        <v>SUGURIDAD INDUSTRIAL</v>
      </c>
      <c r="B878" s="58" t="str">
        <f>IFERROR(__xludf.DUMMYFUNCTION("""COMPUTED_VALUE"""),"DESARROLLO DE UN PLAN DE SEGURIDAD INDUSTRIAL E
HIGIENE OCUPACIONAL PARA LA EMPRESA DE
CONFECCIONES “BRENNER JEANS”")</f>
        <v>DESARROLLO DE UN PLAN DE SEGURIDAD INDUSTRIAL E
HIGIENE OCUPACIONAL PARA LA EMPRESA DE
CONFECCIONES “BRENNER JEANS”</v>
      </c>
      <c r="C878" s="58">
        <f>IFERROR(__xludf.DUMMYFUNCTION("""COMPUTED_VALUE"""),1.0)</f>
        <v>1</v>
      </c>
    </row>
    <row r="879">
      <c r="A879" s="58" t="str">
        <f>IFERROR(__xludf.DUMMYFUNCTION("""COMPUTED_VALUE"""),"SUGURIDAD INDUSTRIAL")</f>
        <v>SUGURIDAD INDUSTRIAL</v>
      </c>
      <c r="B879" s="58" t="str">
        <f>IFERROR(__xludf.DUMMYFUNCTION("""COMPUTED_VALUE"""),"DISEÑO DE UN SISTEMA DE GESTIÓN DE LA SEGURIDAD Y SALUD EN EL TRABAJO PARA LA EMPRESA DE CONFECCIONES ROMAN JEANS")</f>
        <v>DISEÑO DE UN SISTEMA DE GESTIÓN DE LA SEGURIDAD Y SALUD EN EL TRABAJO PARA LA EMPRESA DE CONFECCIONES ROMAN JEANS</v>
      </c>
      <c r="C879" s="58">
        <f>IFERROR(__xludf.DUMMYFUNCTION("""COMPUTED_VALUE"""),2.0)</f>
        <v>2</v>
      </c>
    </row>
    <row r="880">
      <c r="A880" s="58" t="str">
        <f>IFERROR(__xludf.DUMMYFUNCTION("""COMPUTED_VALUE"""),"SUGURIDAD INDUSTRIAL")</f>
        <v>SUGURIDAD INDUSTRIAL</v>
      </c>
      <c r="B880" s="58" t="str">
        <f>IFERROR(__xludf.DUMMYFUNCTION("""COMPUTED_VALUE"""),"ELABORACIÓN DE UN PLAN DE HIGIENE, SEGURIDAD OCUPACIONAL Y BIENESTAR PARA LA PLANTA PROCESADORA DE FRUTAS LACTEOSBOL")</f>
        <v>ELABORACIÓN DE UN PLAN DE HIGIENE, SEGURIDAD OCUPACIONAL Y BIENESTAR PARA LA PLANTA PROCESADORA DE FRUTAS LACTEOSBOL</v>
      </c>
      <c r="C880" s="58">
        <f>IFERROR(__xludf.DUMMYFUNCTION("""COMPUTED_VALUE"""),1.0)</f>
        <v>1</v>
      </c>
    </row>
    <row r="881">
      <c r="A881" s="58" t="str">
        <f>IFERROR(__xludf.DUMMYFUNCTION("""COMPUTED_VALUE"""),"SUGURIDAD INDUSTRIAL")</f>
        <v>SUGURIDAD INDUSTRIAL</v>
      </c>
      <c r="B881" s="58" t="str">
        <f>IFERROR(__xludf.DUMMYFUNCTION("""COMPUTED_VALUE"""),"ESTANDARIZACIÓN DE TIEMPOS – OPERACIONES Y SEGURIDAD INDUSTRIAL EN LA EMPRESA CÓRDOVA")</f>
        <v>ESTANDARIZACIÓN DE TIEMPOS – OPERACIONES Y SEGURIDAD INDUSTRIAL EN LA EMPRESA CÓRDOVA</v>
      </c>
      <c r="C881" s="58">
        <f>IFERROR(__xludf.DUMMYFUNCTION("""COMPUTED_VALUE"""),1.0)</f>
        <v>1</v>
      </c>
    </row>
    <row r="882">
      <c r="A882" s="58" t="str">
        <f>IFERROR(__xludf.DUMMYFUNCTION("""COMPUTED_VALUE"""),"SUGURIDAD INDUSTRIAL")</f>
        <v>SUGURIDAD INDUSTRIAL</v>
      </c>
      <c r="B882" s="58" t="str">
        <f>IFERROR(__xludf.DUMMYFUNCTION("""COMPUTED_VALUE"""),"IDENTIFICACIÓN DE PELIGROS, EVALUACIÓN DE RIESGOS Y DETERMINACIÓN DE CONTROLES SEGÚN NORMA OHSAS 18001:2007 PARA ELFEC S.A.")</f>
        <v>IDENTIFICACIÓN DE PELIGROS, EVALUACIÓN DE RIESGOS Y DETERMINACIÓN DE CONTROLES SEGÚN NORMA OHSAS 18001:2007 PARA ELFEC S.A.</v>
      </c>
      <c r="C882" s="58">
        <f>IFERROR(__xludf.DUMMYFUNCTION("""COMPUTED_VALUE"""),1.0)</f>
        <v>1</v>
      </c>
    </row>
    <row r="883">
      <c r="A883" s="58" t="str">
        <f>IFERROR(__xludf.DUMMYFUNCTION("""COMPUTED_VALUE"""),"SUGURIDAD INDUSTRIAL")</f>
        <v>SUGURIDAD INDUSTRIAL</v>
      </c>
      <c r="B883"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C883" s="58">
        <f>IFERROR(__xludf.DUMMYFUNCTION("""COMPUTED_VALUE"""),1.0)</f>
        <v>1</v>
      </c>
    </row>
    <row r="884">
      <c r="A884" s="58" t="str">
        <f>IFERROR(__xludf.DUMMYFUNCTION("""COMPUTED_VALUE"""),"SUGURIDAD INDUSTRIAL")</f>
        <v>SUGURIDAD INDUSTRIAL</v>
      </c>
      <c r="B884" s="58" t="str">
        <f>IFERROR(__xludf.DUMMYFUNCTION("""COMPUTED_VALUE"""),"MODELO DE UN SISTEMA DE GESTIÓN PROACTIVO PARA LA PREVENCIÓN Y CONTROL DE RIESGOS LABORALES EN EMPRESAS MANUFACTURERAS")</f>
        <v>MODELO DE UN SISTEMA DE GESTIÓN PROACTIVO PARA LA PREVENCIÓN Y CONTROL DE RIESGOS LABORALES EN EMPRESAS MANUFACTURERAS</v>
      </c>
      <c r="C884" s="58">
        <f>IFERROR(__xludf.DUMMYFUNCTION("""COMPUTED_VALUE"""),1.0)</f>
        <v>1</v>
      </c>
    </row>
    <row r="885">
      <c r="A885" s="58" t="str">
        <f>IFERROR(__xludf.DUMMYFUNCTION("""COMPUTED_VALUE"""),"SUGURIDAD INDUSTRIAL")</f>
        <v>SUGURIDAD INDUSTRIAL</v>
      </c>
      <c r="B885" s="58" t="str">
        <f>IFERROR(__xludf.DUMMYFUNCTION("""COMPUTED_VALUE"""),"PLAN DE PREVENCIÓN DE RIESGOS LABORALES BASADO EN UN MAPA DE RIESGOS PARA LA DIVISIÓN DE PLANTA INTERNA EN COMTECO LTDA.")</f>
        <v>PLAN DE PREVENCIÓN DE RIESGOS LABORALES BASADO EN UN MAPA DE RIESGOS PARA LA DIVISIÓN DE PLANTA INTERNA EN COMTECO LTDA.</v>
      </c>
      <c r="C885" s="58">
        <f>IFERROR(__xludf.DUMMYFUNCTION("""COMPUTED_VALUE"""),1.0)</f>
        <v>1</v>
      </c>
    </row>
    <row r="886">
      <c r="A886" s="58" t="str">
        <f>IFERROR(__xludf.DUMMYFUNCTION("""COMPUTED_VALUE"""),"SUGURIDAD INDUSTRIAL")</f>
        <v>SUGURIDAD INDUSTRIAL</v>
      </c>
      <c r="B886" s="58" t="str">
        <f>IFERROR(__xludf.DUMMYFUNCTION("""COMPUTED_VALUE"""),"PLAN DE SEGURIDAD INDUSTRIAL Y SALUD EN EL TRABAJO PARA LA EMPRESA
“CONSTRUCTORA WIFERA S.R.L”
SEGÚN NORMA ISO 45001:2016
DE LA CIUDAD DE COCHABAMBA")</f>
        <v>PLAN DE SEGURIDAD INDUSTRIAL Y SALUD EN EL TRABAJO PARA LA EMPRESA
“CONSTRUCTORA WIFERA S.R.L”
SEGÚN NORMA ISO 45001:2016
DE LA CIUDAD DE COCHABAMBA</v>
      </c>
      <c r="C886" s="58">
        <f>IFERROR(__xludf.DUMMYFUNCTION("""COMPUTED_VALUE"""),1.0)</f>
        <v>1</v>
      </c>
    </row>
    <row r="887">
      <c r="A887" s="58" t="str">
        <f>IFERROR(__xludf.DUMMYFUNCTION("""COMPUTED_VALUE"""),"SUGURIDAD INDUSTRIAL")</f>
        <v>SUGURIDAD INDUSTRIAL</v>
      </c>
      <c r="B887" s="58" t="str">
        <f>IFERROR(__xludf.DUMMYFUNCTION("""COMPUTED_VALUE"""),"SISTEMA DE GESTIÓN DE SEGURIDAD Y SALUD EN ELTRABAJO BASADO EN LA NORMA NB/ISO 45001:2018 PARA LA EMPRESA COBOCE CERAMIL EN EL PARQUE INDUSTRIAL DE SANTIVAÑEZ PROYECTO DE GRADO, PRESENTADO PARA OPTAR AL DIPLOMADO ACADÉMICO")</f>
        <v>SISTEMA DE GESTIÓN DE SEGURIDAD Y SALUD EN ELTRABAJO BASADO EN LA NORMA NB/ISO 45001:2018 PARA LA EMPRESA COBOCE CERAMIL EN EL PARQUE INDUSTRIAL DE SANTIVAÑEZ PROYECTO DE GRADO, PRESENTADO PARA OPTAR AL DIPLOMADO ACADÉMICO</v>
      </c>
      <c r="C887" s="58">
        <f>IFERROR(__xludf.DUMMYFUNCTION("""COMPUTED_VALUE"""),1.0)</f>
        <v>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58" t="str">
        <f>IFERROR(__xludf.DUMMYFUNCTION("QUERY(Analytics!A:D,""select C, count(C) group by C"",1)"),"Categoria tesis")</f>
        <v>Categoria tesis</v>
      </c>
      <c r="B1" s="58" t="str">
        <f>IFERROR(__xludf.DUMMYFUNCTION("""COMPUTED_VALUE"""),"count Categoria tesis")</f>
        <v>count Categoria tesis</v>
      </c>
    </row>
    <row r="2">
      <c r="A2" s="58"/>
      <c r="B2" s="58">
        <f>IFERROR(__xludf.DUMMYFUNCTION("""COMPUTED_VALUE"""),0.0)</f>
        <v>0</v>
      </c>
    </row>
    <row r="3">
      <c r="A3" s="58" t="str">
        <f>IFERROR(__xludf.DUMMYFUNCTION("""COMPUTED_VALUE"""),"ACADÉMICOS")</f>
        <v>ACADÉMICOS</v>
      </c>
      <c r="B3" s="58">
        <f>IFERROR(__xludf.DUMMYFUNCTION("""COMPUTED_VALUE"""),35.0)</f>
        <v>35</v>
      </c>
    </row>
    <row r="4">
      <c r="A4" s="58" t="str">
        <f>IFERROR(__xludf.DUMMYFUNCTION("""COMPUTED_VALUE"""),"CALIDAD")</f>
        <v>CALIDAD</v>
      </c>
      <c r="B4" s="58">
        <f>IFERROR(__xludf.DUMMYFUNCTION("""COMPUTED_VALUE"""),305.0)</f>
        <v>305</v>
      </c>
    </row>
    <row r="5">
      <c r="A5" s="58" t="str">
        <f>IFERROR(__xludf.DUMMYFUNCTION("""COMPUTED_VALUE"""),"DISEÑO")</f>
        <v>DISEÑO</v>
      </c>
      <c r="B5" s="58">
        <f>IFERROR(__xludf.DUMMYFUNCTION("""COMPUTED_VALUE"""),83.0)</f>
        <v>83</v>
      </c>
    </row>
    <row r="6">
      <c r="A6" s="58" t="str">
        <f>IFERROR(__xludf.DUMMYFUNCTION("""COMPUTED_VALUE"""),"EVALUACIÓN TÉCNICA")</f>
        <v>EVALUACIÓN TÉCNICA</v>
      </c>
      <c r="B6" s="58">
        <f>IFERROR(__xludf.DUMMYFUNCTION("""COMPUTED_VALUE"""),39.0)</f>
        <v>39</v>
      </c>
    </row>
    <row r="7">
      <c r="A7" s="58" t="str">
        <f>IFERROR(__xludf.DUMMYFUNCTION("""COMPUTED_VALUE"""),"EVALUCION TECNICA")</f>
        <v>EVALUCION TECNICA</v>
      </c>
      <c r="B7" s="58">
        <f>IFERROR(__xludf.DUMMYFUNCTION("""COMPUTED_VALUE"""),1.0)</f>
        <v>1</v>
      </c>
    </row>
    <row r="8">
      <c r="A8" s="58" t="str">
        <f>IFERROR(__xludf.DUMMYFUNCTION("""COMPUTED_VALUE"""),"FACTIBILIDAD")</f>
        <v>FACTIBILIDAD</v>
      </c>
      <c r="B8" s="58">
        <f>IFERROR(__xludf.DUMMYFUNCTION("""COMPUTED_VALUE"""),1141.0)</f>
        <v>1141</v>
      </c>
    </row>
    <row r="9">
      <c r="A9" s="58" t="str">
        <f>IFERROR(__xludf.DUMMYFUNCTION("""COMPUTED_VALUE"""),"GESTION DE CALIDAD")</f>
        <v>GESTION DE CALIDAD</v>
      </c>
      <c r="B9" s="58">
        <f>IFERROR(__xludf.DUMMYFUNCTION("""COMPUTED_VALUE"""),12.0)</f>
        <v>12</v>
      </c>
    </row>
    <row r="10">
      <c r="A10" s="58" t="str">
        <f>IFERROR(__xludf.DUMMYFUNCTION("""COMPUTED_VALUE"""),"GESTIÓN ESTRATÉGICA")</f>
        <v>GESTIÓN ESTRATÉGICA</v>
      </c>
      <c r="B10" s="58">
        <f>IFERROR(__xludf.DUMMYFUNCTION("""COMPUTED_VALUE"""),202.0)</f>
        <v>202</v>
      </c>
    </row>
    <row r="11">
      <c r="A11" s="58" t="str">
        <f>IFERROR(__xludf.DUMMYFUNCTION("""COMPUTED_VALUE"""),"GESTIÓN ESTRATÉGICA
")</f>
        <v>GESTIÓN ESTRATÉGICA
</v>
      </c>
      <c r="B11" s="58">
        <f>IFERROR(__xludf.DUMMYFUNCTION("""COMPUTED_VALUE"""),1.0)</f>
        <v>1</v>
      </c>
    </row>
    <row r="12">
      <c r="A12" s="58" t="str">
        <f>IFERROR(__xludf.DUMMYFUNCTION("""COMPUTED_VALUE"""),"INGENIERIA DE METODOS")</f>
        <v>INGENIERIA DE METODOS</v>
      </c>
      <c r="B12" s="58">
        <f>IFERROR(__xludf.DUMMYFUNCTION("""COMPUTED_VALUE"""),2.0)</f>
        <v>2</v>
      </c>
    </row>
    <row r="13">
      <c r="A13" s="58" t="str">
        <f>IFERROR(__xludf.DUMMYFUNCTION("""COMPUTED_VALUE"""),"INGENIERÍA DE MÉTODOS")</f>
        <v>INGENIERÍA DE MÉTODOS</v>
      </c>
      <c r="B13" s="58">
        <f>IFERROR(__xludf.DUMMYFUNCTION("""COMPUTED_VALUE"""),239.0)</f>
        <v>239</v>
      </c>
    </row>
    <row r="14">
      <c r="A14" s="58" t="str">
        <f>IFERROR(__xludf.DUMMYFUNCTION("""COMPUTED_VALUE"""),"INGENIERÍA DE MÉTODOS
")</f>
        <v>INGENIERÍA DE MÉTODOS
</v>
      </c>
      <c r="B14" s="58">
        <f>IFERROR(__xludf.DUMMYFUNCTION("""COMPUTED_VALUE"""),1.0)</f>
        <v>1</v>
      </c>
    </row>
    <row r="15">
      <c r="A15" s="58" t="str">
        <f>IFERROR(__xludf.DUMMYFUNCTION("""COMPUTED_VALUE"""),"INVESTIGACIÓN OPERATIVA")</f>
        <v>INVESTIGACIÓN OPERATIVA</v>
      </c>
      <c r="B15" s="58">
        <f>IFERROR(__xludf.DUMMYFUNCTION("""COMPUTED_VALUE"""),11.0)</f>
        <v>11</v>
      </c>
    </row>
    <row r="16">
      <c r="A16" s="58" t="str">
        <f>IFERROR(__xludf.DUMMYFUNCTION("""COMPUTED_VALUE"""),"MANTENIMIENTO")</f>
        <v>MANTENIMIENTO</v>
      </c>
      <c r="B16" s="58">
        <f>IFERROR(__xludf.DUMMYFUNCTION("""COMPUTED_VALUE"""),26.0)</f>
        <v>26</v>
      </c>
    </row>
    <row r="17">
      <c r="A17" s="58" t="str">
        <f>IFERROR(__xludf.DUMMYFUNCTION("""COMPUTED_VALUE"""),"MARKETING/MERCADOTECNIA")</f>
        <v>MARKETING/MERCADOTECNIA</v>
      </c>
      <c r="B17" s="58">
        <f>IFERROR(__xludf.DUMMYFUNCTION("""COMPUTED_VALUE"""),37.0)</f>
        <v>37</v>
      </c>
    </row>
    <row r="18">
      <c r="A18" s="58" t="str">
        <f>IFERROR(__xludf.DUMMYFUNCTION("""COMPUTED_VALUE"""),"OPTIMIZACION")</f>
        <v>OPTIMIZACION</v>
      </c>
      <c r="B18" s="58">
        <f>IFERROR(__xludf.DUMMYFUNCTION("""COMPUTED_VALUE"""),1.0)</f>
        <v>1</v>
      </c>
    </row>
    <row r="19">
      <c r="A19" s="58" t="str">
        <f>IFERROR(__xludf.DUMMYFUNCTION("""COMPUTED_VALUE"""),"OPTIMIZACIÓN")</f>
        <v>OPTIMIZACIÓN</v>
      </c>
      <c r="B19" s="58">
        <f>IFERROR(__xludf.DUMMYFUNCTION("""COMPUTED_VALUE"""),158.0)</f>
        <v>158</v>
      </c>
    </row>
    <row r="20">
      <c r="A20" s="58" t="str">
        <f>IFERROR(__xludf.DUMMYFUNCTION("""COMPUTED_VALUE"""),"ORGANIZACION INDUTRIAL")</f>
        <v>ORGANIZACION INDUTRIAL</v>
      </c>
      <c r="B20" s="58">
        <f>IFERROR(__xludf.DUMMYFUNCTION("""COMPUTED_VALUE"""),2.0)</f>
        <v>2</v>
      </c>
    </row>
    <row r="21">
      <c r="A21" s="58" t="str">
        <f>IFERROR(__xludf.DUMMYFUNCTION("""COMPUTED_VALUE"""),"ORGANIZACIÓN INDUSTRIAL")</f>
        <v>ORGANIZACIÓN INDUSTRIAL</v>
      </c>
      <c r="B21" s="58">
        <f>IFERROR(__xludf.DUMMYFUNCTION("""COMPUTED_VALUE"""),26.0)</f>
        <v>26</v>
      </c>
    </row>
    <row r="22">
      <c r="A22" s="58" t="str">
        <f>IFERROR(__xludf.DUMMYFUNCTION("""COMPUTED_VALUE"""),"OTROS")</f>
        <v>OTROS</v>
      </c>
      <c r="B22" s="58">
        <f>IFERROR(__xludf.DUMMYFUNCTION("""COMPUTED_VALUE"""),35.0)</f>
        <v>35</v>
      </c>
    </row>
    <row r="23">
      <c r="A23" s="58" t="str">
        <f>IFERROR(__xludf.DUMMYFUNCTION("""COMPUTED_VALUE"""),"PLAN DE NEGOCIOS")</f>
        <v>PLAN DE NEGOCIOS</v>
      </c>
      <c r="B23" s="58">
        <f>IFERROR(__xludf.DUMMYFUNCTION("""COMPUTED_VALUE"""),81.0)</f>
        <v>81</v>
      </c>
    </row>
    <row r="24">
      <c r="A24" s="58" t="str">
        <f>IFERROR(__xludf.DUMMYFUNCTION("""COMPUTED_VALUE"""),"PLANIFICACION Y CONTROL DE LA PRODUCCION")</f>
        <v>PLANIFICACION Y CONTROL DE LA PRODUCCION</v>
      </c>
      <c r="B24" s="58">
        <f>IFERROR(__xludf.DUMMYFUNCTION("""COMPUTED_VALUE"""),5.0)</f>
        <v>5</v>
      </c>
    </row>
    <row r="25">
      <c r="A25" s="58" t="str">
        <f>IFERROR(__xludf.DUMMYFUNCTION("""COMPUTED_VALUE"""),"PLANIFICACIÓN Y CONTROL DE LA PRODUCCIÓN")</f>
        <v>PLANIFICACIÓN Y CONTROL DE LA PRODUCCIÓN</v>
      </c>
      <c r="B25" s="58">
        <f>IFERROR(__xludf.DUMMYFUNCTION("""COMPUTED_VALUE"""),139.0)</f>
        <v>139</v>
      </c>
    </row>
    <row r="26">
      <c r="A26" s="58" t="str">
        <f>IFERROR(__xludf.DUMMYFUNCTION("""COMPUTED_VALUE"""),"PROCESOS INDUSTRIALES")</f>
        <v>PROCESOS INDUSTRIALES</v>
      </c>
      <c r="B26" s="58">
        <f>IFERROR(__xludf.DUMMYFUNCTION("""COMPUTED_VALUE"""),31.0)</f>
        <v>31</v>
      </c>
    </row>
    <row r="27">
      <c r="A27" s="58" t="str">
        <f>IFERROR(__xludf.DUMMYFUNCTION("""COMPUTED_VALUE"""),"RECURSOS HUMANOS")</f>
        <v>RECURSOS HUMANOS</v>
      </c>
      <c r="B27" s="58">
        <f>IFERROR(__xludf.DUMMYFUNCTION("""COMPUTED_VALUE"""),14.0)</f>
        <v>14</v>
      </c>
    </row>
    <row r="28">
      <c r="A28" s="58" t="str">
        <f>IFERROR(__xludf.DUMMYFUNCTION("""COMPUTED_VALUE"""),"SEGURIDAD INDUSTRIAL")</f>
        <v>SEGURIDAD INDUSTRIAL</v>
      </c>
      <c r="B28" s="58">
        <f>IFERROR(__xludf.DUMMYFUNCTION("""COMPUTED_VALUE"""),467.0)</f>
        <v>467</v>
      </c>
    </row>
    <row r="29">
      <c r="A29" s="58" t="str">
        <f>IFERROR(__xludf.DUMMYFUNCTION("""COMPUTED_VALUE"""),"SISTEMAS DE INFORMACIÓN")</f>
        <v>SISTEMAS DE INFORMACIÓN</v>
      </c>
      <c r="B29" s="58">
        <f>IFERROR(__xludf.DUMMYFUNCTION("""COMPUTED_VALUE"""),39.0)</f>
        <v>39</v>
      </c>
    </row>
    <row r="30">
      <c r="A30" s="58" t="str">
        <f>IFERROR(__xludf.DUMMYFUNCTION("""COMPUTED_VALUE"""),"SISTEMAS INTEGRADOS")</f>
        <v>SISTEMAS INTEGRADOS</v>
      </c>
      <c r="B30" s="58">
        <f>IFERROR(__xludf.DUMMYFUNCTION("""COMPUTED_VALUE"""),50.0)</f>
        <v>50</v>
      </c>
    </row>
    <row r="31">
      <c r="A31" s="58" t="str">
        <f>IFERROR(__xludf.DUMMYFUNCTION("""COMPUTED_VALUE"""),"SUGURIDAD INDUSTRIAL")</f>
        <v>SUGURIDAD INDUSTRIAL</v>
      </c>
      <c r="B31" s="58">
        <f>IFERROR(__xludf.DUMMYFUNCTION("""COMPUTED_VALUE"""),12.0)</f>
        <v>12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tr">
        <f>IFERROR(__xludf.DUMMYFUNCTION("QUERY(Analytics!A:D,""SELECT B, COUNT(B) GROUP BY B"",1)"),"Nombre de tesis")</f>
        <v>Nombre de tesis</v>
      </c>
      <c r="B1" s="58" t="str">
        <f>IFERROR(__xludf.DUMMYFUNCTION("""COMPUTED_VALUE"""),"count Nombre de tesis")</f>
        <v>count Nombre de tesis</v>
      </c>
    </row>
    <row r="2">
      <c r="A2" s="58"/>
      <c r="B2" s="58">
        <f>IFERROR(__xludf.DUMMYFUNCTION("""COMPUTED_VALUE"""),0.0)</f>
        <v>0</v>
      </c>
    </row>
    <row r="3">
      <c r="A3" s="58" t="str">
        <f>IFERROR(__xludf.DUMMYFUNCTION("""COMPUTED_VALUE""")," DISEÑO PARA LA IMPLEMENTACIÓN DE UN SISTEMA DE GESTIÓN DE RIESGOS DE 
CALIDAD ENFOCADO A LA CADENA DE VALOR DE LA EMPRESA SIGMA CORP.")</f>
        <v> DISEÑO PARA LA IMPLEMENTACIÓN DE UN SISTEMA DE GESTIÓN DE RIESGOS DE 
CALIDAD ENFOCADO A LA CADENA DE VALOR DE LA EMPRESA SIGMA CORP.</v>
      </c>
      <c r="B3" s="58">
        <f>IFERROR(__xludf.DUMMYFUNCTION("""COMPUTED_VALUE"""),5.0)</f>
        <v>5</v>
      </c>
    </row>
    <row r="4">
      <c r="A4" s="58" t="str">
        <f>IFERROR(__xludf.DUMMYFUNCTION("""COMPUTED_VALUE"""),"201603794@est.umss.edu")</f>
        <v>201603794@est.umss.edu</v>
      </c>
      <c r="B4" s="58">
        <f>IFERROR(__xludf.DUMMYFUNCTION("""COMPUTED_VALUE"""),1.0)</f>
        <v>1</v>
      </c>
    </row>
    <row r="5">
      <c r="A5" s="58" t="str">
        <f>IFERROR(__xludf.DUMMYFUNCTION("""COMPUTED_VALUE"""),"201800226@est.umss.edu")</f>
        <v>201800226@est.umss.edu</v>
      </c>
      <c r="B5" s="58">
        <f>IFERROR(__xludf.DUMMYFUNCTION("""COMPUTED_VALUE"""),1.0)</f>
        <v>1</v>
      </c>
    </row>
    <row r="6">
      <c r="A6" s="58" t="str">
        <f>IFERROR(__xludf.DUMMYFUNCTION("""COMPUTED_VALUE"""),"ACTUALIZACIÓN DE LA AUTOEVALUACIÓN Y DESARROLLO DE UN PLAN ESTRATÉGICO PARA LA CARRERA DE INGENIERÍA ELÉCTRICA")</f>
        <v>ACTUALIZACIÓN DE LA AUTOEVALUACIÓN Y DESARROLLO DE UN PLAN ESTRATÉGICO PARA LA CARRERA DE INGENIERÍA ELÉCTRICA</v>
      </c>
      <c r="B6" s="58">
        <f>IFERROR(__xludf.DUMMYFUNCTION("""COMPUTED_VALUE"""),1.0)</f>
        <v>1</v>
      </c>
    </row>
    <row r="7">
      <c r="A7" s="58" t="str">
        <f>IFERROR(__xludf.DUMMYFUNCTION("""COMPUTED_VALUE"""),"ACTUALIZACIÓN DEL SISTEMA
DE GESTIÓN DE LA CALIDAD DE LA EMPRESA
INCERCO LTDA. BAJO LOS REQUISITOS
DE LA NB/ISO 9001:2008 A LA NB/ISO 9001:2015")</f>
        <v>ACTUALIZACIÓN DEL SISTEMA
DE GESTIÓN DE LA CALIDAD DE LA EMPRESA
INCERCO LTDA. BAJO LOS REQUISITOS
DE LA NB/ISO 9001:2008 A LA NB/ISO 9001:2015</v>
      </c>
      <c r="B7" s="58">
        <f>IFERROR(__xludf.DUMMYFUNCTION("""COMPUTED_VALUE"""),2.0)</f>
        <v>2</v>
      </c>
    </row>
    <row r="8">
      <c r="A8" s="58" t="str">
        <f>IFERROR(__xludf.DUMMYFUNCTION("""COMPUTED_VALUE"""),"ACTUALIZACIÓN DEL SISTEMA DE GESTIÓN DE LA CALIDAD DE LA EMPRESA INCERCO LTDA. BAJO LOS REQUISITOS DE LA NB/ISO 9001:2008 A LA NB/ISO 9001:2015")</f>
        <v>ACTUALIZACIÓN DEL SISTEMA DE GESTIÓN DE LA CALIDAD DE LA EMPRESA INCERCO LTDA. BAJO LOS REQUISITOS DE LA NB/ISO 9001:2008 A LA NB/ISO 9001:2015</v>
      </c>
      <c r="B8" s="58">
        <f>IFERROR(__xludf.DUMMYFUNCTION("""COMPUTED_VALUE"""),6.0)</f>
        <v>6</v>
      </c>
    </row>
    <row r="9">
      <c r="A9" s="58" t="str">
        <f>IFERROR(__xludf.DUMMYFUNCTION("""COMPUTED_VALUE"""),"ANÁLISIS DE LA CULTURA Y EL CLIMA ORGANIZACIONAL EN EL CENTRO DE TECNOLOGÍA AGROINDUSTRIAL")</f>
        <v>ANÁLISIS DE LA CULTURA Y EL CLIMA ORGANIZACIONAL EN EL CENTRO DE TECNOLOGÍA AGROINDUSTRIAL</v>
      </c>
      <c r="B9" s="58">
        <f>IFERROR(__xludf.DUMMYFUNCTION("""COMPUTED_VALUE"""),1.0)</f>
        <v>1</v>
      </c>
    </row>
    <row r="10">
      <c r="A10" s="58" t="str">
        <f>IFERROR(__xludf.DUMMYFUNCTION("""COMPUTED_VALUE"""),"ANÁLISIS DE LA INVERSIÓN EN EL ESTUDIO DE FACTIBILIDAD PARA LA FABRICACIÓN DE MERMELADA Y DULCE DE DURAZNO")</f>
        <v>ANÁLISIS DE LA INVERSIÓN EN EL ESTUDIO DE FACTIBILIDAD PARA LA FABRICACIÓN DE MERMELADA Y DULCE DE DURAZNO</v>
      </c>
      <c r="B10" s="58">
        <f>IFERROR(__xludf.DUMMYFUNCTION("""COMPUTED_VALUE"""),3.0)</f>
        <v>3</v>
      </c>
    </row>
    <row r="11">
      <c r="A11" s="58" t="str">
        <f>IFERROR(__xludf.DUMMYFUNCTION("""COMPUTED_VALUE"""),"ANÁLISIS DE PREVENCIÓN Y PROTECCIÓN DE RIESGOS DE EXPLOSIÓN EN ESTACIONES DE SERVICIO DE GAS NATURAL Y COMBUSTIBLES LÍQUIDOS A TRAVÉS DE LA ARMONIZACIÓN Y APLICACIÓN DE LOS ESTÁNDARES IEC, API RP 500, API RP 505 Y NFPA70")</f>
        <v>ANÁLISIS DE PREVENCIÓN Y PROTECCIÓN DE RIESGOS DE EXPLOSIÓN EN ESTACIONES DE SERVICIO DE GAS NATURAL Y COMBUSTIBLES LÍQUIDOS A TRAVÉS DE LA ARMONIZACIÓN Y APLICACIÓN DE LOS ESTÁNDARES IEC, API RP 500, API RP 505 Y NFPA70</v>
      </c>
      <c r="B11" s="58">
        <f>IFERROR(__xludf.DUMMYFUNCTION("""COMPUTED_VALUE"""),1.0)</f>
        <v>1</v>
      </c>
    </row>
    <row r="12">
      <c r="A12" s="58" t="str">
        <f>IFERROR(__xludf.DUMMYFUNCTION("""COMPUTED_VALUE"""),"ANÁLISIS DEL CICLO DE VIDA AMBIENTAL DE LA AGROINDUSTRIA LÁCTEA DE COCHABAMBA")</f>
        <v>ANÁLISIS DEL CICLO DE VIDA AMBIENTAL DE LA AGROINDUSTRIA LÁCTEA DE COCHABAMBA</v>
      </c>
      <c r="B12" s="58">
        <f>IFERROR(__xludf.DUMMYFUNCTION("""COMPUTED_VALUE"""),3.0)</f>
        <v>3</v>
      </c>
    </row>
    <row r="13">
      <c r="A13" s="58" t="str">
        <f>IFERROR(__xludf.DUMMYFUNCTION("""COMPUTED_VALUE"""),"ANÁLISIS PROSPECTIVO Y DEFINICIÓN DE ESTRATEGIAS PARA EL DESARROLLO DE LA INDUSTRIA MANUFACTURERA DE COCHABAMBA 2021-2025")</f>
        <v>ANÁLISIS PROSPECTIVO Y DEFINICIÓN DE ESTRATEGIAS PARA EL DESARROLLO DE LA INDUSTRIA MANUFACTURERA DE COCHABAMBA 2021-2025</v>
      </c>
      <c r="B13" s="58">
        <f>IFERROR(__xludf.DUMMYFUNCTION("""COMPUTED_VALUE"""),6.0)</f>
        <v>6</v>
      </c>
    </row>
    <row r="14">
      <c r="A14" s="58" t="str">
        <f>IFERROR(__xludf.DUMMYFUNCTION("""COMPUTED_VALUE"""),"ANÁLISIS TÉCNICO E IMPLEMENTACIÓN PARA LA OPTIMIZACIÓN Y MEJORA EN LE RECUPERACIÓN DE DIÓXIDO DE CARBONO EN PLANTA TAQUIÑA S.A.")</f>
        <v>ANÁLISIS TÉCNICO E IMPLEMENTACIÓN PARA LA OPTIMIZACIÓN Y MEJORA EN LE RECUPERACIÓN DE DIÓXIDO DE CARBONO EN PLANTA TAQUIÑA S.A.</v>
      </c>
      <c r="B14" s="58">
        <f>IFERROR(__xludf.DUMMYFUNCTION("""COMPUTED_VALUE"""),1.0)</f>
        <v>1</v>
      </c>
    </row>
    <row r="15">
      <c r="A15" s="58" t="str">
        <f>IFERROR(__xludf.DUMMYFUNCTION("""COMPUTED_VALUE"""),"ANÁLISIS TÉCNICO Y ECONÓMICA DE LA MICROCENTRAL HIDROELÉCTRICA QUEWIÑAPAMPA POR LA VENTA DE ELECTRICIDAD A ELFEC.")</f>
        <v>ANÁLISIS TÉCNICO Y ECONÓMICA DE LA MICROCENTRAL HIDROELÉCTRICA QUEWIÑAPAMPA POR LA VENTA DE ELECTRICIDAD A ELFEC.</v>
      </c>
      <c r="B15" s="58">
        <f>IFERROR(__xludf.DUMMYFUNCTION("""COMPUTED_VALUE"""),1.0)</f>
        <v>1</v>
      </c>
    </row>
    <row r="16">
      <c r="A16" s="58" t="str">
        <f>IFERROR(__xludf.DUMMYFUNCTION("""COMPUTED_VALUE"""),"ANÁLISIS Y MEJORAMIENTO DEL ÁREA DE PRODUCCIÓN, EN LA INDUSTRIA MADERERA FAMALIT LTDA.; UNIDAD PRODUCTIVA ASERRADERO.")</f>
        <v>ANÁLISIS Y MEJORAMIENTO DEL ÁREA DE PRODUCCIÓN, EN LA INDUSTRIA MADERERA FAMALIT LTDA.; UNIDAD PRODUCTIVA ASERRADERO.</v>
      </c>
      <c r="B16" s="58">
        <f>IFERROR(__xludf.DUMMYFUNCTION("""COMPUTED_VALUE"""),1.0)</f>
        <v>1</v>
      </c>
    </row>
    <row r="17">
      <c r="A17" s="58" t="str">
        <f>IFERROR(__xludf.DUMMYFUNCTION("""COMPUTED_VALUE"""),"ANÁLISIS, DISEÑO Y AUTOMATIZACIÓN DEL SISTEMA DE INFORMACIÓN DEL PROGRAMA DE CONTROL DE CALIDAD DE ALIMENTOS Y BEBIDAS DE LA UNIDAD DE SALUD AMBIENTAL DEL DEPARTAMENTO DE COCHABAMBA.")</f>
        <v>ANÁLISIS, DISEÑO Y AUTOMATIZACIÓN DEL SISTEMA DE INFORMACIÓN DEL PROGRAMA DE CONTROL DE CALIDAD DE ALIMENTOS Y BEBIDAS DE LA UNIDAD DE SALUD AMBIENTAL DEL DEPARTAMENTO DE COCHABAMBA.</v>
      </c>
      <c r="B17" s="58">
        <f>IFERROR(__xludf.DUMMYFUNCTION("""COMPUTED_VALUE"""),5.0)</f>
        <v>5</v>
      </c>
    </row>
    <row r="18">
      <c r="A18" s="58" t="str">
        <f>IFERROR(__xludf.DUMMYFUNCTION("""COMPUTED_VALUE"""),"ANÁLISIS, OPTIMIZACIÓN Y CONTROL DEL SISTEMA DE PREPARACIÓN DE CARGAS PARA EMBOL S.A.")</f>
        <v>ANÁLISIS, OPTIMIZACIÓN Y CONTROL DEL SISTEMA DE PREPARACIÓN DE CARGAS PARA EMBOL S.A.</v>
      </c>
      <c r="B18" s="58">
        <f>IFERROR(__xludf.DUMMYFUNCTION("""COMPUTED_VALUE"""),2.0)</f>
        <v>2</v>
      </c>
    </row>
    <row r="19">
      <c r="A19" s="58" t="str">
        <f>IFERROR(__xludf.DUMMYFUNCTION("""COMPUTED_VALUE"""),"APLICACION DEL METODO DE ANALISIS DE RIESGOS,IDENTIFICACION Y CONTROL DE PUNTOS CRITICOS (HACCP) EN EL PROCESO DE TRANSFORMACION DE PRODUCTOS LACTEOS EN LA PLANTA PILOTO DE LA FACULTAD DE CIENCIAS AGRICOLAS Y PECUARIAS")</f>
        <v>APLICACION DEL METODO DE ANALISIS DE RIESGOS,IDENTIFICACION Y CONTROL DE PUNTOS CRITICOS (HACCP) EN EL PROCESO DE TRANSFORMACION DE PRODUCTOS LACTEOS EN LA PLANTA PILOTO DE LA FACULTAD DE CIENCIAS AGRICOLAS Y PECUARIAS</v>
      </c>
      <c r="B19" s="58">
        <f>IFERROR(__xludf.DUMMYFUNCTION("""COMPUTED_VALUE"""),1.0)</f>
        <v>1</v>
      </c>
    </row>
    <row r="20">
      <c r="A20" s="58" t="str">
        <f>IFERROR(__xludf.DUMMYFUNCTION("""COMPUTED_VALUE"""),"APLICACIÓN DE LA METODOLOGÍA SMED AL CAMBIO DE FORMATO EN LA LÍNEA DE ENVASADO JABONERÍA DE UNILEVER ANDINA BOLIVIA S.A.")</f>
        <v>APLICACIÓN DE LA METODOLOGÍA SMED AL CAMBIO DE FORMATO EN LA LÍNEA DE ENVASADO JABONERÍA DE UNILEVER ANDINA BOLIVIA S.A.</v>
      </c>
      <c r="B20" s="58">
        <f>IFERROR(__xludf.DUMMYFUNCTION("""COMPUTED_VALUE"""),11.0)</f>
        <v>11</v>
      </c>
    </row>
    <row r="21">
      <c r="A21" s="58" t="str">
        <f>IFERROR(__xludf.DUMMYFUNCTION("""COMPUTED_VALUE"""),"APLICACIÓN DE LA TÉCNICA OVERALL EQUIPMENT EFFECTIVENESS AL ÁREA DE METAL EN LA EMPRESA INDUSTRIAS RAVI S.A.")</f>
        <v>APLICACIÓN DE LA TÉCNICA OVERALL EQUIPMENT EFFECTIVENESS AL ÁREA DE METAL EN LA EMPRESA INDUSTRIAS RAVI S.A.</v>
      </c>
      <c r="B21" s="58">
        <f>IFERROR(__xludf.DUMMYFUNCTION("""COMPUTED_VALUE"""),1.0)</f>
        <v>1</v>
      </c>
    </row>
    <row r="22">
      <c r="A22" s="58" t="str">
        <f>IFERROR(__xludf.DUMMYFUNCTION("""COMPUTED_VALUE"""),"APLICACIÓN DE LAS HERRAMIENTAS DEL JUSTO A TIEMPO PARA INCREMENTAR LA PRODUCTIVIDAD DE MXM CONFECCIONES EN EL ÁREA DE PRODUCCIÓN DE POLERAS TIPO POLO Y T-SHIRT")</f>
        <v>APLICACIÓN DE LAS HERRAMIENTAS DEL JUSTO A TIEMPO PARA INCREMENTAR LA PRODUCTIVIDAD DE MXM CONFECCIONES EN EL ÁREA DE PRODUCCIÓN DE POLERAS TIPO POLO Y T-SHIRT</v>
      </c>
      <c r="B22" s="58">
        <f>IFERROR(__xludf.DUMMYFUNCTION("""COMPUTED_VALUE"""),3.0)</f>
        <v>3</v>
      </c>
    </row>
    <row r="23">
      <c r="A23" s="58" t="str">
        <f>IFERROR(__xludf.DUMMYFUNCTION("""COMPUTED_VALUE"""),"APLICACIÓN DE UN MÉTODO DE REDUCCIÓN DE TIEMPOS PARA OPTIMIZAR LAS OPERACIONES DE CAMBIOS DE CALIBRE EN EL SECTOR DE ENVASADO DE LA CERVECERÍA BOLIVIANA NACIONAL S.A. - PLANTA TAQUIÑA.")</f>
        <v>APLICACIÓN DE UN MÉTODO DE REDUCCIÓN DE TIEMPOS PARA OPTIMIZAR LAS OPERACIONES DE CAMBIOS DE CALIBRE EN EL SECTOR DE ENVASADO DE LA CERVECERÍA BOLIVIANA NACIONAL S.A. - PLANTA TAQUIÑA.</v>
      </c>
      <c r="B23" s="58">
        <f>IFERROR(__xludf.DUMMYFUNCTION("""COMPUTED_VALUE"""),1.0)</f>
        <v>1</v>
      </c>
    </row>
    <row r="24">
      <c r="A24" s="58" t="str">
        <f>IFERROR(__xludf.DUMMYFUNCTION("""COMPUTED_VALUE"""),"APLICACIÓN DEL MÉTODO DE ANÁLISIS, IDENTIFICACIÓN Y CONTROL DE PUNTOS CRÍTICOS EN EL PROCESO DE TRANSFORMACIÓN DE PRODUCTOS LÁCTEOS EN LA PLANTA PILOTO DE LA FACULTAD DE CIENCIAS AGRÍCOLAS Y PECUARIAS")</f>
        <v>APLICACIÓN DEL MÉTODO DE ANÁLISIS, IDENTIFICACIÓN Y CONTROL DE PUNTOS CRÍTICOS EN EL PROCESO DE TRANSFORMACIÓN DE PRODUCTOS LÁCTEOS EN LA PLANTA PILOTO DE LA FACULTAD DE CIENCIAS AGRÍCOLAS Y PECUARIAS</v>
      </c>
      <c r="B24" s="58">
        <f>IFERROR(__xludf.DUMMYFUNCTION("""COMPUTED_VALUE"""),1.0)</f>
        <v>1</v>
      </c>
    </row>
    <row r="25">
      <c r="A25" s="58" t="str">
        <f>IFERROR(__xludf.DUMMYFUNCTION("""COMPUTED_VALUE"""),"AUTOMATIZACIÓN DE CARGA DE LADRILLOS EN EL MÓDULO DE LA EMPRESA")</f>
        <v>AUTOMATIZACIÓN DE CARGA DE LADRILLOS EN EL MÓDULO DE LA EMPRESA</v>
      </c>
      <c r="B25" s="58">
        <f>IFERROR(__xludf.DUMMYFUNCTION("""COMPUTED_VALUE"""),2.0)</f>
        <v>2</v>
      </c>
    </row>
    <row r="26">
      <c r="A26" s="58" t="str">
        <f>IFERROR(__xludf.DUMMYFUNCTION("""COMPUTED_VALUE"""),"CADENAS DE MARKOV PARA LA CONSTRUCCIÓN DE UN GRAFO SOCIAL COMERCIAL")</f>
        <v>CADENAS DE MARKOV PARA LA CONSTRUCCIÓN DE UN GRAFO SOCIAL COMERCIAL</v>
      </c>
      <c r="B26" s="58">
        <f>IFERROR(__xludf.DUMMYFUNCTION("""COMPUTED_VALUE"""),2.0)</f>
        <v>2</v>
      </c>
    </row>
    <row r="27">
      <c r="A27" s="58" t="str">
        <f>IFERROR(__xludf.DUMMYFUNCTION("""COMPUTED_VALUE"""),"CONTROL ESTADÍSTICO DE CALIDAD EN LA EMPRESA PLABOL")</f>
        <v>CONTROL ESTADÍSTICO DE CALIDAD EN LA EMPRESA PLABOL</v>
      </c>
      <c r="B27" s="58">
        <f>IFERROR(__xludf.DUMMYFUNCTION("""COMPUTED_VALUE"""),1.0)</f>
        <v>1</v>
      </c>
    </row>
    <row r="28">
      <c r="A28" s="58" t="str">
        <f>IFERROR(__xludf.DUMMYFUNCTION("""COMPUTED_VALUE"""),"CONTROL ESTADÍSTICO DE CALIDAD EN LA EMPRESA “PLABOL”.")</f>
        <v>CONTROL ESTADÍSTICO DE CALIDAD EN LA EMPRESA “PLABOL”.</v>
      </c>
      <c r="B28" s="58">
        <f>IFERROR(__xludf.DUMMYFUNCTION("""COMPUTED_VALUE"""),6.0)</f>
        <v>6</v>
      </c>
    </row>
    <row r="29">
      <c r="A29" s="58" t="str">
        <f>IFERROR(__xludf.DUMMYFUNCTION("""COMPUTED_VALUE"""),"CUANTIFICACIÓN Y TRATAMIENTO DE DESECHOS DEL SACRIFICIO DE GANADO BOVINO Y PORCINO EN EL MATADERO DE SACABA")</f>
        <v>CUANTIFICACIÓN Y TRATAMIENTO DE DESECHOS DEL SACRIFICIO DE GANADO BOVINO Y PORCINO EN EL MATADERO DE SACABA</v>
      </c>
      <c r="B29" s="58">
        <f>IFERROR(__xludf.DUMMYFUNCTION("""COMPUTED_VALUE"""),1.0)</f>
        <v>1</v>
      </c>
    </row>
    <row r="30">
      <c r="A30" s="58" t="str">
        <f>IFERROR(__xludf.DUMMYFUNCTION("""COMPUTED_VALUE"""),"DESARROLLO DE BUENAS PRÁCTICA DE MANUFACTURA Y PLAN DE SANEAMIENTO BÁSICO PARA LA FÁBRICA DE  CRISTAL.")</f>
        <v>DESARROLLO DE BUENAS PRÁCTICA DE MANUFACTURA Y PLAN DE SANEAMIENTO BÁSICO PARA LA FÁBRICA DE  CRISTAL.</v>
      </c>
      <c r="B30" s="58">
        <f>IFERROR(__xludf.DUMMYFUNCTION("""COMPUTED_VALUE"""),2.0)</f>
        <v>2</v>
      </c>
    </row>
    <row r="31">
      <c r="A31" s="58" t="str">
        <f>IFERROR(__xludf.DUMMYFUNCTION("""COMPUTED_VALUE"""),"DESARROLLO DE BUENAS PRÁCTICAS DE MANUFACTURA Y PROCEDIMIENTOS DE HIGIENE ESTANDAR OPERACIONAL EN EL INGENIO AZUCARERO GUABIRA S.A.")</f>
        <v>DESARROLLO DE BUENAS PRÁCTICAS DE MANUFACTURA Y PROCEDIMIENTOS DE HIGIENE ESTANDAR OPERACIONAL EN EL INGENIO AZUCARERO GUABIRA S.A.</v>
      </c>
      <c r="B31" s="58">
        <f>IFERROR(__xludf.DUMMYFUNCTION("""COMPUTED_VALUE"""),7.0)</f>
        <v>7</v>
      </c>
    </row>
    <row r="32">
      <c r="A32" s="58" t="str">
        <f>IFERROR(__xludf.DUMMYFUNCTION("""COMPUTED_VALUE"""),"DESARROLLO DE ESTRATEGIAS DE COMPETITIVIDAD BASADAS EN LA GESTIÓN DEL CONOCIMIENTO PARA MYPES TEXTILERAS")</f>
        <v>DESARROLLO DE ESTRATEGIAS DE COMPETITIVIDAD BASADAS EN LA GESTIÓN DEL CONOCIMIENTO PARA MYPES TEXTILERAS</v>
      </c>
      <c r="B32" s="58">
        <f>IFERROR(__xludf.DUMMYFUNCTION("""COMPUTED_VALUE"""),2.0)</f>
        <v>2</v>
      </c>
    </row>
    <row r="33">
      <c r="A33" s="58" t="str">
        <f>IFERROR(__xludf.DUMMYFUNCTION("""COMPUTED_VALUE"""),"DESARROLLO DE ESTRATEGIAS DE COMPETITIVIDAD BASADOS EN LA GESTIÓN DEL CONOCIMIENTO PARA MYPES TEXTILERAS")</f>
        <v>DESARROLLO DE ESTRATEGIAS DE COMPETITIVIDAD BASADOS EN LA GESTIÓN DEL CONOCIMIENTO PARA MYPES TEXTILERAS</v>
      </c>
      <c r="B33" s="58">
        <f>IFERROR(__xludf.DUMMYFUNCTION("""COMPUTED_VALUE"""),3.0)</f>
        <v>3</v>
      </c>
    </row>
    <row r="34">
      <c r="A34" s="58" t="str">
        <f>IFERROR(__xludf.DUMMYFUNCTION("""COMPUTED_VALUE"""),"DESARROLLO DE LAS BASES PARA UN SISTEMA DE GESTIÓN DE CALIDAD DEL DEPARTAMENTO DE PRODUCCIÓN DE GOMA Y PLÁSTICO DE LA EMPRESA MANUFACTURA BOLIVIANA S.A.")</f>
        <v>DESARROLLO DE LAS BASES PARA UN SISTEMA DE GESTIÓN DE CALIDAD DEL DEPARTAMENTO DE PRODUCCIÓN DE GOMA Y PLÁSTICO DE LA EMPRESA MANUFACTURA BOLIVIANA S.A.</v>
      </c>
      <c r="B34" s="58">
        <f>IFERROR(__xludf.DUMMYFUNCTION("""COMPUTED_VALUE"""),5.0)</f>
        <v>5</v>
      </c>
    </row>
    <row r="35">
      <c r="A35" s="58" t="str">
        <f>IFERROR(__xludf.DUMMYFUNCTION("""COMPUTED_VALUE"""),"DESARROLLO DE UN MODELO DE ADMINISTRACIÓN ESTRATÉGICA Y CUADRO DE MANDO INTEGRAL PARA LA EMPRESA CONSULCAD INGENIERÍA SRL.")</f>
        <v>DESARROLLO DE UN MODELO DE ADMINISTRACIÓN ESTRATÉGICA Y CUADRO DE MANDO INTEGRAL PARA LA EMPRESA CONSULCAD INGENIERÍA SRL.</v>
      </c>
      <c r="B35" s="58">
        <f>IFERROR(__xludf.DUMMYFUNCTION("""COMPUTED_VALUE"""),2.0)</f>
        <v>2</v>
      </c>
    </row>
    <row r="36">
      <c r="A36" s="58" t="str">
        <f>IFERROR(__xludf.DUMMYFUNCTION("""COMPUTED_VALUE"""),"DESARROLLO DE UN MODELO DE PLANEAMIENTO Y CONTROL DE LA PRODUCCIÓN EN LA EMPRESA MARMOLERA MACONAL S.R.L.")</f>
        <v>DESARROLLO DE UN MODELO DE PLANEAMIENTO Y CONTROL DE LA PRODUCCIÓN EN LA EMPRESA MARMOLERA MACONAL S.R.L.</v>
      </c>
      <c r="B36" s="58">
        <f>IFERROR(__xludf.DUMMYFUNCTION("""COMPUTED_VALUE"""),3.0)</f>
        <v>3</v>
      </c>
    </row>
    <row r="37">
      <c r="A37" s="58" t="str">
        <f>IFERROR(__xludf.DUMMYFUNCTION("""COMPUTED_VALUE"""),"DESARROLLO DE UN MODELO DE PLANIFICACION Y CONTROL DE LA PRODUCCION PARA LA INDUSTRAI INPROMAT")</f>
        <v>DESARROLLO DE UN MODELO DE PLANIFICACION Y CONTROL DE LA PRODUCCION PARA LA INDUSTRAI INPROMAT</v>
      </c>
      <c r="B37" s="58">
        <f>IFERROR(__xludf.DUMMYFUNCTION("""COMPUTED_VALUE"""),18.0)</f>
        <v>18</v>
      </c>
    </row>
    <row r="38">
      <c r="A38" s="58" t="str">
        <f>IFERROR(__xludf.DUMMYFUNCTION("""COMPUTED_VALUE"""),"DESARROLLO DE UN MODELO DE PLANIFICACIÓN Y CONTROL DE LA PRODUCCIÓN PARA LA EMPRESA CIENSA LTDA. CALZADOS TOMY")</f>
        <v>DESARROLLO DE UN MODELO DE PLANIFICACIÓN Y CONTROL DE LA PRODUCCIÓN PARA LA EMPRESA CIENSA LTDA. CALZADOS TOMY</v>
      </c>
      <c r="B38" s="58">
        <f>IFERROR(__xludf.DUMMYFUNCTION("""COMPUTED_VALUE"""),2.0)</f>
        <v>2</v>
      </c>
    </row>
    <row r="39">
      <c r="A39" s="58" t="str">
        <f>IFERROR(__xludf.DUMMYFUNCTION("""COMPUTED_VALUE"""),"DESARROLLO DE UN MODELO DE SISTEMA DE GESTIÓN AMBIENTAL BASADO EN LA NORMA ISO 14001 PARA LA EMPRESA ""ENABOLCO LTDA.""")</f>
        <v>DESARROLLO DE UN MODELO DE SISTEMA DE GESTIÓN AMBIENTAL BASADO EN LA NORMA ISO 14001 PARA LA EMPRESA "ENABOLCO LTDA."</v>
      </c>
      <c r="B39" s="58">
        <f>IFERROR(__xludf.DUMMYFUNCTION("""COMPUTED_VALUE"""),2.0)</f>
        <v>2</v>
      </c>
    </row>
    <row r="40">
      <c r="A40" s="58" t="str">
        <f>IFERROR(__xludf.DUMMYFUNCTION("""COMPUTED_VALUE"""),"DESARROLLO DE UN MODELO DE TRABAJO PARA LA ADMINISTRACIÓN DE RECURSOS HUMANOS DE COMTECO")</f>
        <v>DESARROLLO DE UN MODELO DE TRABAJO PARA LA ADMINISTRACIÓN DE RECURSOS HUMANOS DE COMTECO</v>
      </c>
      <c r="B40" s="58">
        <f>IFERROR(__xludf.DUMMYFUNCTION("""COMPUTED_VALUE"""),1.0)</f>
        <v>1</v>
      </c>
    </row>
    <row r="41">
      <c r="A41" s="58" t="str">
        <f>IFERROR(__xludf.DUMMYFUNCTION("""COMPUTED_VALUE"""),"DESARROLLO DE UN MODELO PARA EL MANEJO DE RESÍDUOS EN LA INDUSTRIA METALMECÁNICA (HIERRO Y ACERO) DE COCHABAMBA")</f>
        <v>DESARROLLO DE UN MODELO PARA EL MANEJO DE RESÍDUOS EN LA INDUSTRIA METALMECÁNICA (HIERRO Y ACERO) DE COCHABAMBA</v>
      </c>
      <c r="B41" s="58">
        <f>IFERROR(__xludf.DUMMYFUNCTION("""COMPUTED_VALUE"""),2.0)</f>
        <v>2</v>
      </c>
    </row>
    <row r="42">
      <c r="A42" s="58" t="str">
        <f>IFERROR(__xludf.DUMMYFUNCTION("""COMPUTED_VALUE"""),"DESARROLLO DE UN PLAN COMERCIAL PARA INTRODUCIR AL MERCADO CARTERAS FEMENINAS ELABORADAS EN CUERO DE PESCADO POR ARTESANAS DEL TRÓPICO, EN LA CIUDAD DE COCHABAMBA")</f>
        <v>DESARROLLO DE UN PLAN COMERCIAL PARA INTRODUCIR AL MERCADO CARTERAS FEMENINAS ELABORADAS EN CUERO DE PESCADO POR ARTESANAS DEL TRÓPICO, EN LA CIUDAD DE COCHABAMBA</v>
      </c>
      <c r="B42" s="58">
        <f>IFERROR(__xludf.DUMMYFUNCTION("""COMPUTED_VALUE"""),1.0)</f>
        <v>1</v>
      </c>
    </row>
    <row r="43">
      <c r="A43" s="58" t="str">
        <f>IFERROR(__xludf.DUMMYFUNCTION("""COMPUTED_VALUE"""),"DESARROLLO DE UN PLAN DE ANÁLISIS DE PELIGROS Y PUNTOS DE CONTROL CRÍTICOS (APPCC) PARA LA LÍNEA DE REFRESCOS DE PIL ANDINA S.A.")</f>
        <v>DESARROLLO DE UN PLAN DE ANÁLISIS DE PELIGROS Y PUNTOS DE CONTROL CRÍTICOS (APPCC) PARA LA LÍNEA DE REFRESCOS DE PIL ANDINA S.A.</v>
      </c>
      <c r="B43" s="58">
        <f>IFERROR(__xludf.DUMMYFUNCTION("""COMPUTED_VALUE"""),2.0)</f>
        <v>2</v>
      </c>
    </row>
    <row r="44">
      <c r="A44" s="58" t="str">
        <f>IFERROR(__xludf.DUMMYFUNCTION("""COMPUTED_VALUE"""),"DESARROLLO DE UN PLAN DE EMERGENCIAS PARA ELFEC S.A. E INTEGRA S.A.")</f>
        <v>DESARROLLO DE UN PLAN DE EMERGENCIAS PARA ELFEC S.A. E INTEGRA S.A.</v>
      </c>
      <c r="B44" s="58">
        <f>IFERROR(__xludf.DUMMYFUNCTION("""COMPUTED_VALUE"""),9.0)</f>
        <v>9</v>
      </c>
    </row>
    <row r="45">
      <c r="A45" s="58" t="str">
        <f>IFERROR(__xludf.DUMMYFUNCTION("""COMPUTED_VALUE"""),"DESARROLLO DE UN PLAN DE SEGURIDAD E HIGIENE INDUSTRIAL EN LA EMPRESA DE METALMECÁNICA CAMESBA S.R.L.")</f>
        <v>DESARROLLO DE UN PLAN DE SEGURIDAD E HIGIENE INDUSTRIAL EN LA EMPRESA DE METALMECÁNICA CAMESBA S.R.L.</v>
      </c>
      <c r="B45" s="58">
        <f>IFERROR(__xludf.DUMMYFUNCTION("""COMPUTED_VALUE"""),3.0)</f>
        <v>3</v>
      </c>
    </row>
    <row r="46">
      <c r="A46" s="58" t="str">
        <f>IFERROR(__xludf.DUMMYFUNCTION("""COMPUTED_VALUE"""),"DESARROLLO DE UN PLAN DE SEGURIDAD INDUSTRIAL E
HIGIENE OCUPACIONAL PARA LA EMPRESA DE
CONFECCIONES “BRENNER JEANS”")</f>
        <v>DESARROLLO DE UN PLAN DE SEGURIDAD INDUSTRIAL E
HIGIENE OCUPACIONAL PARA LA EMPRESA DE
CONFECCIONES “BRENNER JEANS”</v>
      </c>
      <c r="B46" s="58">
        <f>IFERROR(__xludf.DUMMYFUNCTION("""COMPUTED_VALUE"""),1.0)</f>
        <v>1</v>
      </c>
    </row>
    <row r="47">
      <c r="A47" s="58" t="str">
        <f>IFERROR(__xludf.DUMMYFUNCTION("""COMPUTED_VALUE"""),"DESARROLLO DE UN PLAN DE SEGURIDAD INDUSTRIAL E HIGIENE OCUPACIONAL PARA LA EMPRESA DE CONFECCIONES BRENNER JEAN")</f>
        <v>DESARROLLO DE UN PLAN DE SEGURIDAD INDUSTRIAL E HIGIENE OCUPACIONAL PARA LA EMPRESA DE CONFECCIONES BRENNER JEAN</v>
      </c>
      <c r="B47" s="58">
        <f>IFERROR(__xludf.DUMMYFUNCTION("""COMPUTED_VALUE"""),2.0)</f>
        <v>2</v>
      </c>
    </row>
    <row r="48">
      <c r="A48" s="58" t="str">
        <f>IFERROR(__xludf.DUMMYFUNCTION("""COMPUTED_VALUE"""),"DESARROLLO DE UN PLAN DE SEGURIDAD INDUSTRIAL E HIGIENE OCUPACIONAL PARA LA FÁBRICA DE PLANTILLAS DE ZAPATOS Y ARTÍCULOS DE POLIETILENO PAFEGAR")</f>
        <v>DESARROLLO DE UN PLAN DE SEGURIDAD INDUSTRIAL E HIGIENE OCUPACIONAL PARA LA FÁBRICA DE PLANTILLAS DE ZAPATOS Y ARTÍCULOS DE POLIETILENO PAFEGAR</v>
      </c>
      <c r="B48" s="58">
        <f>IFERROR(__xludf.DUMMYFUNCTION("""COMPUTED_VALUE"""),2.0)</f>
        <v>2</v>
      </c>
    </row>
    <row r="49">
      <c r="A49" s="58" t="str">
        <f>IFERROR(__xludf.DUMMYFUNCTION("""COMPUTED_VALUE"""),"DESARROLLO DE UN PLAN ESTRATÉGICO DE COMERCIALIZACIÓN PARA LA EMPRESA FLORÍCOLA EROS.")</f>
        <v>DESARROLLO DE UN PLAN ESTRATÉGICO DE COMERCIALIZACIÓN PARA LA EMPRESA FLORÍCOLA EROS.</v>
      </c>
      <c r="B49" s="58">
        <f>IFERROR(__xludf.DUMMYFUNCTION("""COMPUTED_VALUE"""),3.0)</f>
        <v>3</v>
      </c>
    </row>
    <row r="50">
      <c r="A50" s="58" t="str">
        <f>IFERROR(__xludf.DUMMYFUNCTION("""COMPUTED_VALUE"""),"DESARROLLO DE UN PLAN ESTRATÉGICO DE COMERCIALIZACIÓN PARA LA NUEVA LÍNEA DE MATERIALES ELÉCTRICOS EN INDUSTRIAS SANKYO S.R.L.")</f>
        <v>DESARROLLO DE UN PLAN ESTRATÉGICO DE COMERCIALIZACIÓN PARA LA NUEVA LÍNEA DE MATERIALES ELÉCTRICOS EN INDUSTRIAS SANKYO S.R.L.</v>
      </c>
      <c r="B50" s="58">
        <f>IFERROR(__xludf.DUMMYFUNCTION("""COMPUTED_VALUE"""),1.0)</f>
        <v>1</v>
      </c>
    </row>
    <row r="51">
      <c r="A51" s="58" t="str">
        <f>IFERROR(__xludf.DUMMYFUNCTION("""COMPUTED_VALUE"""),"DESARROLLO DE UN PLAN ESTRATÉGICO DE MARKETING PARA LA EMPRESA MUEBLES SEÑOR DE SANTIAGO.")</f>
        <v>DESARROLLO DE UN PLAN ESTRATÉGICO DE MARKETING PARA LA EMPRESA MUEBLES SEÑOR DE SANTIAGO.</v>
      </c>
      <c r="B51" s="58">
        <f>IFERROR(__xludf.DUMMYFUNCTION("""COMPUTED_VALUE"""),3.0)</f>
        <v>3</v>
      </c>
    </row>
    <row r="52">
      <c r="A52" s="58" t="str">
        <f>IFERROR(__xludf.DUMMYFUNCTION("""COMPUTED_VALUE"""),"DESARROLLO DE UN PLAN ESTRATÉGICO DE MARKETING PARA LA NUEVA LÍNEA DE ACEITE SAE 10W30 API SN DE LA MARCA YPFB LUBRICANTES")</f>
        <v>DESARROLLO DE UN PLAN ESTRATÉGICO DE MARKETING PARA LA NUEVA LÍNEA DE ACEITE SAE 10W30 API SN DE LA MARCA YPFB LUBRICANTES</v>
      </c>
      <c r="B52" s="58">
        <f>IFERROR(__xludf.DUMMYFUNCTION("""COMPUTED_VALUE"""),1.0)</f>
        <v>1</v>
      </c>
    </row>
    <row r="53">
      <c r="A53" s="58" t="str">
        <f>IFERROR(__xludf.DUMMYFUNCTION("""COMPUTED_VALUE"""),"DESARROLLO DE UN PLAN ESTRATÉGICO DE MARKETING PARA SU IMPLEMENTACIÓN EN C &amp; A CONSULTORES ASOCIADOS")</f>
        <v>DESARROLLO DE UN PLAN ESTRATÉGICO DE MARKETING PARA SU IMPLEMENTACIÓN EN C &amp; A CONSULTORES ASOCIADOS</v>
      </c>
      <c r="B53" s="58">
        <f>IFERROR(__xludf.DUMMYFUNCTION("""COMPUTED_VALUE"""),1.0)</f>
        <v>1</v>
      </c>
    </row>
    <row r="54">
      <c r="A54" s="58" t="str">
        <f>IFERROR(__xludf.DUMMYFUNCTION("""COMPUTED_VALUE"""),"DESARROLLO DE UN PLAN INTEGRAL DE SEGURIDAD INDUSTRIAL, SALUD E HIGIENE OCUPACIONAL Y MEDIO AMBIENTAL PARA LA PAPELERA S.A. REGIONAL COCHABAMBA.")</f>
        <v>DESARROLLO DE UN PLAN INTEGRAL DE SEGURIDAD INDUSTRIAL, SALUD E HIGIENE OCUPACIONAL Y MEDIO AMBIENTAL PARA LA PAPELERA S.A. REGIONAL COCHABAMBA.</v>
      </c>
      <c r="B54" s="58">
        <f>IFERROR(__xludf.DUMMYFUNCTION("""COMPUTED_VALUE"""),2.0)</f>
        <v>2</v>
      </c>
    </row>
    <row r="55">
      <c r="A55" s="58" t="str">
        <f>IFERROR(__xludf.DUMMYFUNCTION("""COMPUTED_VALUE"""),"DESARROLLO DE UN PROCESO DE AUTOEVALUACIÓN Y LA PROPUESTA DE UN PLAN ESTRATÉGICO PARA LA CARRERA DE INGENIERÍA DE SISTEMAS")</f>
        <v>DESARROLLO DE UN PROCESO DE AUTOEVALUACIÓN Y LA PROPUESTA DE UN PLAN ESTRATÉGICO PARA LA CARRERA DE INGENIERÍA DE SISTEMAS</v>
      </c>
      <c r="B55" s="58">
        <f>IFERROR(__xludf.DUMMYFUNCTION("""COMPUTED_VALUE"""),2.0)</f>
        <v>2</v>
      </c>
    </row>
    <row r="56">
      <c r="A56" s="58" t="str">
        <f>IFERROR(__xludf.DUMMYFUNCTION("""COMPUTED_VALUE"""),"DESARROLLO DE UN PROGRAMA DE PRODUCCIÓN MÁS LIMPIA PARA LAS LADRILLERAS ARTESANALES DE SACABA.")</f>
        <v>DESARROLLO DE UN PROGRAMA DE PRODUCCIÓN MÁS LIMPIA PARA LAS LADRILLERAS ARTESANALES DE SACABA.</v>
      </c>
      <c r="B56" s="58">
        <f>IFERROR(__xludf.DUMMYFUNCTION("""COMPUTED_VALUE"""),1.0)</f>
        <v>1</v>
      </c>
    </row>
    <row r="57">
      <c r="A57" s="58" t="str">
        <f>IFERROR(__xludf.DUMMYFUNCTION("""COMPUTED_VALUE"""),"DESARROLLO DE UN SISTEMA COMPLEMENTARIO DE PLANIFICACIÓN DE LA PRODUCCIÓN EN EL PROCESO DE FABRICACIÓN POR VÍA HÚMEDA DE CERÁMICA COBOCE")</f>
        <v>DESARROLLO DE UN SISTEMA COMPLEMENTARIO DE PLANIFICACIÓN DE LA PRODUCCIÓN EN EL PROCESO DE FABRICACIÓN POR VÍA HÚMEDA DE CERÁMICA COBOCE</v>
      </c>
      <c r="B57" s="58">
        <f>IFERROR(__xludf.DUMMYFUNCTION("""COMPUTED_VALUE"""),1.0)</f>
        <v>1</v>
      </c>
    </row>
    <row r="58">
      <c r="A58" s="58" t="str">
        <f>IFERROR(__xludf.DUMMYFUNCTION("""COMPUTED_VALUE"""),"DESARROLLO DE UN SISTEMA DE CONTROL DE CALIDAD
BASADO EN LAS NORMAS NB–1211001 (LADRILLOS
CERÁMICOS– CLASIFICACIÓN Y REQUISITOS) Y NB–1211002
(LADRILLOS CERÁMICOS-MÉTODOS DE ENSAYO) PARA LA
EMPRESA “COBOCE CERAMIL”")</f>
        <v>DESARROLLO DE UN SISTEMA DE CONTROL DE CALIDAD
BASADO EN LAS NORMAS NB–1211001 (LADRILLOS
CERÁMICOS– CLASIFICACIÓN Y REQUISITOS) Y NB–1211002
(LADRILLOS CERÁMICOS-MÉTODOS DE ENSAYO) PARA LA
EMPRESA “COBOCE CERAMIL”</v>
      </c>
      <c r="B58" s="58">
        <f>IFERROR(__xludf.DUMMYFUNCTION("""COMPUTED_VALUE"""),3.0)</f>
        <v>3</v>
      </c>
    </row>
    <row r="59">
      <c r="A59" s="58" t="str">
        <f>IFERROR(__xludf.DUMMYFUNCTION("""COMPUTED_VALUE"""),"DESARROLLO DE UN SISTEMA DE CONTROL DE CALIDAD BASADO EN LAS NORMAS NB–1211001 (LADRILLOS CERÁMICOS–CLASIFICACIÓN Y REQUISITOS) Y NB–1211002 (LADRILLOS CERÁMICOS-MÉTODOS DE ENSAYO) PARA LA EMPRESA “COBOCE CERAMIL”")</f>
        <v>DESARROLLO DE UN SISTEMA DE CONTROL DE CALIDAD BASADO EN LAS NORMAS NB–1211001 (LADRILLOS CERÁMICOS–CLASIFICACIÓN Y REQUISITOS) Y NB–1211002 (LADRILLOS CERÁMICOS-MÉTODOS DE ENSAYO) PARA LA EMPRESA “COBOCE CERAMIL”</v>
      </c>
      <c r="B59" s="58">
        <f>IFERROR(__xludf.DUMMYFUNCTION("""COMPUTED_VALUE"""),1.0)</f>
        <v>1</v>
      </c>
    </row>
    <row r="60">
      <c r="A60" s="58" t="str">
        <f>IFERROR(__xludf.DUMMYFUNCTION("""COMPUTED_VALUE"""),"DESARROLLO DE UN SISTEMA DE COSTEO ESTÁNDAR DE LA PRODUCCIÓN EN LA EMPRESA COBOCE – CERAMIL")</f>
        <v>DESARROLLO DE UN SISTEMA DE COSTEO ESTÁNDAR DE LA PRODUCCIÓN EN LA EMPRESA COBOCE – CERAMIL</v>
      </c>
      <c r="B60" s="58">
        <f>IFERROR(__xludf.DUMMYFUNCTION("""COMPUTED_VALUE"""),2.0)</f>
        <v>2</v>
      </c>
    </row>
    <row r="61">
      <c r="A61" s="58" t="str">
        <f>IFERROR(__xludf.DUMMYFUNCTION("""COMPUTED_VALUE"""),"DESARROLLO DE UN SISTEMA DE GESTION DE CALIDAD BASADO
EN LA NORMA ISO 9001:2008 EN EL PROCESO DE PRODUCCIÓN
PARA LA EMPRESA “CERÁMICA RÍO GRANDE S.A.”")</f>
        <v>DESARROLLO DE UN SISTEMA DE GESTION DE CALIDAD BASADO
EN LA NORMA ISO 9001:2008 EN EL PROCESO DE PRODUCCIÓN
PARA LA EMPRESA “CERÁMICA RÍO GRANDE S.A.”</v>
      </c>
      <c r="B61" s="58">
        <f>IFERROR(__xludf.DUMMYFUNCTION("""COMPUTED_VALUE"""),2.0)</f>
        <v>2</v>
      </c>
    </row>
    <row r="62">
      <c r="A62" s="58" t="str">
        <f>IFERROR(__xludf.DUMMYFUNCTION("""COMPUTED_VALUE"""),"DESARROLLO DE UN SISTEMA DE GESTION DE CALIDAD BASADO EN LA NORMA ISO 9001:2000 PARA LA LINEA DE PAN MOLDE DE LA EMPRESA “LA FRANCESA”")</f>
        <v>DESARROLLO DE UN SISTEMA DE GESTION DE CALIDAD BASADO EN LA NORMA ISO 9001:2000 PARA LA LINEA DE PAN MOLDE DE LA EMPRESA “LA FRANCESA”</v>
      </c>
      <c r="B62" s="58">
        <f>IFERROR(__xludf.DUMMYFUNCTION("""COMPUTED_VALUE"""),6.0)</f>
        <v>6</v>
      </c>
    </row>
    <row r="63">
      <c r="A63" s="58" t="str">
        <f>IFERROR(__xludf.DUMMYFUNCTION("""COMPUTED_VALUE"""),"DESARROLLO DE UN SISTEMA DE GESTIÓN DE ALMACENES DE PRODUCTOS TERMINADOS Y PRODUCTOS  IMPORTADOS   PARA LA EMPRESA ALMANZA CORP. S.R.L.")</f>
        <v>DESARROLLO DE UN SISTEMA DE GESTIÓN DE ALMACENES DE PRODUCTOS TERMINADOS Y PRODUCTOS  IMPORTADOS   PARA LA EMPRESA ALMANZA CORP. S.R.L.</v>
      </c>
      <c r="B63" s="58">
        <f>IFERROR(__xludf.DUMMYFUNCTION("""COMPUTED_VALUE"""),3.0)</f>
        <v>3</v>
      </c>
    </row>
    <row r="64">
      <c r="A64" s="58" t="str">
        <f>IFERROR(__xludf.DUMMYFUNCTION("""COMPUTED_VALUE"""),"DESARROLLO DE UN SISTEMA DE GESTIÓN DE CALIDAD BASADO EN LA NORMA ISO 9001:2000 PARA LA LÍNEA DE PAN MOLDE DE LA EMPRESA “LA FRANCESA”")</f>
        <v>DESARROLLO DE UN SISTEMA DE GESTIÓN DE CALIDAD BASADO EN LA NORMA ISO 9001:2000 PARA LA LÍNEA DE PAN MOLDE DE LA EMPRESA “LA FRANCESA”</v>
      </c>
      <c r="B64" s="58">
        <f>IFERROR(__xludf.DUMMYFUNCTION("""COMPUTED_VALUE"""),7.0)</f>
        <v>7</v>
      </c>
    </row>
    <row r="65">
      <c r="A65" s="58" t="str">
        <f>IFERROR(__xludf.DUMMYFUNCTION("""COMPUTED_VALUE"""),"DESARROLLO DE UN SISTEMA DE GESTIÓN DE CALIDAD BASADO EN LA NORMA ISO 9001:2008 EN EL PROCESO DE PRODUCCIÓN PARA LA EMPRESA “CERÁMICA RÍO GRANDE S.A.”")</f>
        <v>DESARROLLO DE UN SISTEMA DE GESTIÓN DE CALIDAD BASADO EN LA NORMA ISO 9001:2008 EN EL PROCESO DE PRODUCCIÓN PARA LA EMPRESA “CERÁMICA RÍO GRANDE S.A.”</v>
      </c>
      <c r="B65" s="58">
        <f>IFERROR(__xludf.DUMMYFUNCTION("""COMPUTED_VALUE"""),3.0)</f>
        <v>3</v>
      </c>
    </row>
    <row r="66">
      <c r="A66" s="58" t="str">
        <f>IFERROR(__xludf.DUMMYFUNCTION("""COMPUTED_VALUE"""),"DESARROLLO DE UN SISTEMA DE GESTIÓN DE CALIDAD PARA LA ATENCIÓN DE INSTALACIONES Y MANTENIMIENTOS DOMICILIARIOS DE LA EMPRESA ENTEL S.A. REGIONAL COCHABAMBA BASADO EN LA NORMA ISO 9001 VERSION 2000")</f>
        <v>DESARROLLO DE UN SISTEMA DE GESTIÓN DE CALIDAD PARA LA ATENCIÓN DE INSTALACIONES Y MANTENIMIENTOS DOMICILIARIOS DE LA EMPRESA ENTEL S.A. REGIONAL COCHABAMBA BASADO EN LA NORMA ISO 9001 VERSION 2000</v>
      </c>
      <c r="B66" s="58">
        <f>IFERROR(__xludf.DUMMYFUNCTION("""COMPUTED_VALUE"""),2.0)</f>
        <v>2</v>
      </c>
    </row>
    <row r="67">
      <c r="A67" s="58" t="str">
        <f>IFERROR(__xludf.DUMMYFUNCTION("""COMPUTED_VALUE"""),"DESARROLLO DE UN SISTEMA DE GESTIÓN DE LA CALIDAD  BASADO EN LA NORMA  NB-ISO 9001: 2000  EN EL PROCESO DE PRODUCCIÓN DEL DETERGENTE LÍQUIDO OLA LAVAVAJILLA EN LA EMPRESA ASTRIX S.A.")</f>
        <v>DESARROLLO DE UN SISTEMA DE GESTIÓN DE LA CALIDAD  BASADO EN LA NORMA  NB-ISO 9001: 2000  EN EL PROCESO DE PRODUCCIÓN DEL DETERGENTE LÍQUIDO OLA LAVAVAJILLA EN LA EMPRESA ASTRIX S.A.</v>
      </c>
      <c r="B67" s="58">
        <f>IFERROR(__xludf.DUMMYFUNCTION("""COMPUTED_VALUE"""),2.0)</f>
        <v>2</v>
      </c>
    </row>
    <row r="68">
      <c r="A68" s="58" t="str">
        <f>IFERROR(__xludf.DUMMYFUNCTION("""COMPUTED_VALUE"""),"DESARROLLO DE UN SISTEMA DE GESTIÓN DE LA CALIDAD BASADO EN LA NORMA ISO 9001 VERSIÓN 2000 PARA LA EMPRESA D.R. SERVICIOS TÉCNICOS Y VERIFICACIÓN.")</f>
        <v>DESARROLLO DE UN SISTEMA DE GESTIÓN DE LA CALIDAD BASADO EN LA NORMA ISO 9001 VERSIÓN 2000 PARA LA EMPRESA D.R. SERVICIOS TÉCNICOS Y VERIFICACIÓN.</v>
      </c>
      <c r="B68" s="58">
        <f>IFERROR(__xludf.DUMMYFUNCTION("""COMPUTED_VALUE"""),3.0)</f>
        <v>3</v>
      </c>
    </row>
    <row r="69">
      <c r="A69" s="58" t="str">
        <f>IFERROR(__xludf.DUMMYFUNCTION("""COMPUTED_VALUE"""),"DESARROLLO DE UN SISTEMA DE GESTIÓN DE LA CALIDAD BASADO EN LA NORMA ISO 9001:2000 PARA LA EMPRESA POTA EQUIP - AGUA VERTIENTE")</f>
        <v>DESARROLLO DE UN SISTEMA DE GESTIÓN DE LA CALIDAD BASADO EN LA NORMA ISO 9001:2000 PARA LA EMPRESA POTA EQUIP - AGUA VERTIENTE</v>
      </c>
      <c r="B69" s="58">
        <f>IFERROR(__xludf.DUMMYFUNCTION("""COMPUTED_VALUE"""),6.0)</f>
        <v>6</v>
      </c>
    </row>
    <row r="70">
      <c r="A70" s="58" t="str">
        <f>IFERROR(__xludf.DUMMYFUNCTION("""COMPUTED_VALUE"""),"DESARROLLO DE UN SISTEMA DE GESTIÓN DE RECURSOS HUMANOS PARA INDUSTRIAS LUJAN S.R.L., BASADO EN UN MODELO DE GESTIÓN POR PROCESOS")</f>
        <v>DESARROLLO DE UN SISTEMA DE GESTIÓN DE RECURSOS HUMANOS PARA INDUSTRIAS LUJAN S.R.L., BASADO EN UN MODELO DE GESTIÓN POR PROCESOS</v>
      </c>
      <c r="B70" s="58">
        <f>IFERROR(__xludf.DUMMYFUNCTION("""COMPUTED_VALUE"""),1.0)</f>
        <v>1</v>
      </c>
    </row>
    <row r="71">
      <c r="A71" s="58" t="str">
        <f>IFERROR(__xludf.DUMMYFUNCTION("""COMPUTED_VALUE"""),"DESARROLLO DE UN SISTEMA DE GESTIÓN DE SEGURIDAD Y SALUD OCUPACIONAL BASADO EN LA NORMA BOLIVIANA NB/OHSAS 18001, PARA LA EMPRESA COBOCE HORMIGON")</f>
        <v>DESARROLLO DE UN SISTEMA DE GESTIÓN DE SEGURIDAD Y SALUD OCUPACIONAL BASADO EN LA NORMA BOLIVIANA NB/OHSAS 18001, PARA LA EMPRESA COBOCE HORMIGON</v>
      </c>
      <c r="B71" s="58">
        <f>IFERROR(__xludf.DUMMYFUNCTION("""COMPUTED_VALUE"""),2.0)</f>
        <v>2</v>
      </c>
    </row>
    <row r="72">
      <c r="A72" s="58" t="str">
        <f>IFERROR(__xludf.DUMMYFUNCTION("""COMPUTED_VALUE"""),"DESARROLLO DE UNA BIBLIOTECA DIGITAL EN LA CARRERA DE INGENIERÍA INDUSTRIAL")</f>
        <v>DESARROLLO DE UNA BIBLIOTECA DIGITAL EN LA CARRERA DE INGENIERÍA INDUSTRIAL</v>
      </c>
      <c r="B72" s="58">
        <f>IFERROR(__xludf.DUMMYFUNCTION("""COMPUTED_VALUE"""),3.0)</f>
        <v>3</v>
      </c>
    </row>
    <row r="73">
      <c r="A73" s="58" t="str">
        <f>IFERROR(__xludf.DUMMYFUNCTION("""COMPUTED_VALUE"""),"DESARROLLO DE UNA PLANIFICACIÓN ESTRATÉGICA DE MARKETING Y UNA PLANIFICACIÓN DE LA PRODUCCIÓN PARA LA EMPRESA DE MUEBLES METÁLICOS “RACAO”")</f>
        <v>DESARROLLO DE UNA PLANIFICACIÓN ESTRATÉGICA DE MARKETING Y UNA PLANIFICACIÓN DE LA PRODUCCIÓN PARA LA EMPRESA DE MUEBLES METÁLICOS “RACAO”</v>
      </c>
      <c r="B73" s="58">
        <f>IFERROR(__xludf.DUMMYFUNCTION("""COMPUTED_VALUE"""),2.0)</f>
        <v>2</v>
      </c>
    </row>
    <row r="74">
      <c r="A74" s="58" t="str">
        <f>IFERROR(__xludf.DUMMYFUNCTION("""COMPUTED_VALUE"""),"DESARROLLO DE UNA PROPUESTA PARA LA IMPLEMENTACIÓN DEL CICLO DE MEJORA CONTINUA (PDCA) PARA DISMINUIR LOS COMPORTAMIENTOS INSEGUROS EN LA MINI PLANTA DE OPERACIONES PLANTA – TAQUIÑA")</f>
        <v>DESARROLLO DE UNA PROPUESTA PARA LA IMPLEMENTACIÓN DEL CICLO DE MEJORA CONTINUA (PDCA) PARA DISMINUIR LOS COMPORTAMIENTOS INSEGUROS EN LA MINI PLANTA DE OPERACIONES PLANTA – TAQUIÑA</v>
      </c>
      <c r="B74" s="58">
        <f>IFERROR(__xludf.DUMMYFUNCTION("""COMPUTED_VALUE"""),3.0)</f>
        <v>3</v>
      </c>
    </row>
    <row r="75">
      <c r="A75" s="58" t="str">
        <f>IFERROR(__xludf.DUMMYFUNCTION("""COMPUTED_VALUE"""),"DESARROLLO DEL PLAN DE GESTIÓN DE ALMACENES E INVENTARIOS EN LOS ALMACENES DEL DEPARTAMENTO DE ABASTECIMIENTOS Y LOGÍSTICAS DE LA EMPRESA BOLIVIANA DE AVIACIÓN BOA")</f>
        <v>DESARROLLO DEL PLAN DE GESTIÓN DE ALMACENES E INVENTARIOS EN LOS ALMACENES DEL DEPARTAMENTO DE ABASTECIMIENTOS Y LOGÍSTICAS DE LA EMPRESA BOLIVIANA DE AVIACIÓN BOA</v>
      </c>
      <c r="B75" s="58">
        <f>IFERROR(__xludf.DUMMYFUNCTION("""COMPUTED_VALUE"""),10.0)</f>
        <v>10</v>
      </c>
    </row>
    <row r="76">
      <c r="A76" s="58" t="str">
        <f>IFERROR(__xludf.DUMMYFUNCTION("""COMPUTED_VALUE"""),"DESARROLLO DEL PORTAFOLIO Y PLAN DE MARKETING DE LOS SERVICIOS DE AGRONEGOCIOS PARA EL PROGRAMA SDA DE FUNDACIÓN VALLES")</f>
        <v>DESARROLLO DEL PORTAFOLIO Y PLAN DE MARKETING DE LOS SERVICIOS DE AGRONEGOCIOS PARA EL PROGRAMA SDA DE FUNDACIÓN VALLES</v>
      </c>
      <c r="B76" s="58">
        <f>IFERROR(__xludf.DUMMYFUNCTION("""COMPUTED_VALUE"""),1.0)</f>
        <v>1</v>
      </c>
    </row>
    <row r="77">
      <c r="A77" s="58" t="str">
        <f>IFERROR(__xludf.DUMMYFUNCTION("""COMPUTED_VALUE"""),"DESARROLLO E IMPLEMENTACIÓN DE UN SISTEMA DE INFORMACIÓN ADMINISTRATIVO PARA EL ÁREA DE INOCUIDAD ALIMENTARIA EN LA JEFATURA DISTRITAL SENASAG - COCHABAMBA.")</f>
        <v>DESARROLLO E IMPLEMENTACIÓN DE UN SISTEMA DE INFORMACIÓN ADMINISTRATIVO PARA EL ÁREA DE INOCUIDAD ALIMENTARIA EN LA JEFATURA DISTRITAL SENASAG - COCHABAMBA.</v>
      </c>
      <c r="B77" s="58">
        <f>IFERROR(__xludf.DUMMYFUNCTION("""COMPUTED_VALUE"""),3.0)</f>
        <v>3</v>
      </c>
    </row>
    <row r="78">
      <c r="A78" s="58" t="str">
        <f>IFERROR(__xludf.DUMMYFUNCTION("""COMPUTED_VALUE"""),"DESARROLLO E IMPLEMENTACIÓN DE UNA METODOLOGÍA DE  MEJORA DE EFICIENCIA EN PLANTA DE EMBOL S.A. - COCHABAMBA")</f>
        <v>DESARROLLO E IMPLEMENTACIÓN DE UNA METODOLOGÍA DE  MEJORA DE EFICIENCIA EN PLANTA DE EMBOL S.A. - COCHABAMBA</v>
      </c>
      <c r="B78" s="58">
        <f>IFERROR(__xludf.DUMMYFUNCTION("""COMPUTED_VALUE"""),4.0)</f>
        <v>4</v>
      </c>
    </row>
    <row r="79">
      <c r="A79" s="58" t="str">
        <f>IFERROR(__xludf.DUMMYFUNCTION("""COMPUTED_VALUE"""),"DESARROLLO Y APLICACIÓN DE UN MODELO PARA MEDIR EL DESEMPEÑO Y CAPACIDAD DE UN CENTRO DE INVESTIGACIÓN EN LA VINCULACIÓN CON EL SECTOR PRODUCTIVO")</f>
        <v>DESARROLLO Y APLICACIÓN DE UN MODELO PARA MEDIR EL DESEMPEÑO Y CAPACIDAD DE UN CENTRO DE INVESTIGACIÓN EN LA VINCULACIÓN CON EL SECTOR PRODUCTIVO</v>
      </c>
      <c r="B79" s="58">
        <f>IFERROR(__xludf.DUMMYFUNCTION("""COMPUTED_VALUE"""),1.0)</f>
        <v>1</v>
      </c>
    </row>
    <row r="80">
      <c r="A80" s="58" t="str">
        <f>IFERROR(__xludf.DUMMYFUNCTION("""COMPUTED_VALUE"""),"DIAGNOSTICO DEL SISTEMA DE COBRANZA INTERNO DE LA UNIDAD DE SERVICIOS FINANCIERO DE LA EMPRESA VIVA-GSM")</f>
        <v>DIAGNOSTICO DEL SISTEMA DE COBRANZA INTERNO DE LA UNIDAD DE SERVICIOS FINANCIERO DE LA EMPRESA VIVA-GSM</v>
      </c>
      <c r="B80" s="58">
        <f>IFERROR(__xludf.DUMMYFUNCTION("""COMPUTED_VALUE"""),1.0)</f>
        <v>1</v>
      </c>
    </row>
    <row r="81">
      <c r="A81" s="58" t="str">
        <f>IFERROR(__xludf.DUMMYFUNCTION("""COMPUTED_VALUE"""),"DIAGNOSTICO DEL SISTEMA DE COBRANZA INTERNO DE LA UNIDAD DE SERVICIOS FINANCIERO DE LA EMPRESA VIVA-GSM
")</f>
        <v>DIAGNOSTICO DEL SISTEMA DE COBRANZA INTERNO DE LA UNIDAD DE SERVICIOS FINANCIERO DE LA EMPRESA VIVA-GSM
</v>
      </c>
      <c r="B81" s="58">
        <f>IFERROR(__xludf.DUMMYFUNCTION("""COMPUTED_VALUE"""),4.0)</f>
        <v>4</v>
      </c>
    </row>
    <row r="82">
      <c r="A82" s="58" t="str">
        <f>IFERROR(__xludf.DUMMYFUNCTION("""COMPUTED_VALUE"""),"DIAGNOSTICO Y ESTUDIO DE FACTIBILIDAD PARA LA AMPLIACION DE LA PLANTA AGROINDUSTRIAL “HIDROVIDA” EN EL MUNICIPIO DE COCHABAMBA.")</f>
        <v>DIAGNOSTICO Y ESTUDIO DE FACTIBILIDAD PARA LA AMPLIACION DE LA PLANTA AGROINDUSTRIAL “HIDROVIDA” EN EL MUNICIPIO DE COCHABAMBA.</v>
      </c>
      <c r="B82" s="58">
        <f>IFERROR(__xludf.DUMMYFUNCTION("""COMPUTED_VALUE"""),3.0)</f>
        <v>3</v>
      </c>
    </row>
    <row r="83">
      <c r="A83" s="58" t="str">
        <f>IFERROR(__xludf.DUMMYFUNCTION("""COMPUTED_VALUE"""),"DISENO DE UN PLAN ESTRATEGICO DE COMERCIALIZACION PARA LA NUEVA LÍNEA DE PRODUCCION DE LA EMPRESA INPASA")</f>
        <v>DISENO DE UN PLAN ESTRATEGICO DE COMERCIALIZACION PARA LA NUEVA LÍNEA DE PRODUCCION DE LA EMPRESA INPASA</v>
      </c>
      <c r="B83" s="58">
        <f>IFERROR(__xludf.DUMMYFUNCTION("""COMPUTED_VALUE"""),4.0)</f>
        <v>4</v>
      </c>
    </row>
    <row r="84">
      <c r="A84" s="58" t="str">
        <f>IFERROR(__xludf.DUMMYFUNCTION("""COMPUTED_VALUE"""),"DISENO DE UN PLAN ESTRATEGICO DE MARKETING PARA LA LINEA DE PRODUCCION YOGURT EN LA PLANTA DE PROCESOS INDUSTRIALES")</f>
        <v>DISENO DE UN PLAN ESTRATEGICO DE MARKETING PARA LA LINEA DE PRODUCCION YOGURT EN LA PLANTA DE PROCESOS INDUSTRIALES</v>
      </c>
      <c r="B84" s="58">
        <f>IFERROR(__xludf.DUMMYFUNCTION("""COMPUTED_VALUE"""),3.0)</f>
        <v>3</v>
      </c>
    </row>
    <row r="85">
      <c r="A85" s="58" t="str">
        <f>IFERROR(__xludf.DUMMYFUNCTION("""COMPUTED_VALUE"""),"DISEÑO  DE  UN  SISTEMA  DE  GESTIÓN  DE  CALIDAD  DEL PROCESO DE  FACTURACIÓN  DE   LA  COOPERATIVA DE TELECOMUNICACIONES  COCHABAMBA – COMTECO  BASADO EN  LA  NORMA ISO 9001:2000.
")</f>
        <v>DISEÑO  DE  UN  SISTEMA  DE  GESTIÓN  DE  CALIDAD  DEL PROCESO DE  FACTURACIÓN  DE   LA  COOPERATIVA DE TELECOMUNICACIONES  COCHABAMBA – COMTECO  BASADO EN  LA  NORMA ISO 9001:2000.
</v>
      </c>
      <c r="B85" s="58">
        <f>IFERROR(__xludf.DUMMYFUNCTION("""COMPUTED_VALUE"""),2.0)</f>
        <v>2</v>
      </c>
    </row>
    <row r="86">
      <c r="A86" s="58" t="str">
        <f>IFERROR(__xludf.DUMMYFUNCTION("""COMPUTED_VALUE"""),"DISEÑO  DE  UN SISTEMA  DE  GESTIÓN  DE  LA CALIDAD BASADO EN LA NORMA ISO 9001 VERSIÓN 2008 PARA INDUSTRIAS LÁCTEAS DEL VALLE ALTO “ILVA S.R.L.”")</f>
        <v>DISEÑO  DE  UN SISTEMA  DE  GESTIÓN  DE  LA CALIDAD BASADO EN LA NORMA ISO 9001 VERSIÓN 2008 PARA INDUSTRIAS LÁCTEAS DEL VALLE ALTO “ILVA S.R.L.”</v>
      </c>
      <c r="B86" s="58">
        <f>IFERROR(__xludf.DUMMYFUNCTION("""COMPUTED_VALUE"""),6.0)</f>
        <v>6</v>
      </c>
    </row>
    <row r="87">
      <c r="A87" s="58" t="str">
        <f>IFERROR(__xludf.DUMMYFUNCTION("""COMPUTED_VALUE"""),"DISEÑO CONCEPTUAL DE UNA BATERÍA DE LITIO PARA VEHÍCULOS SOLARES")</f>
        <v>DISEÑO CONCEPTUAL DE UNA BATERÍA DE LITIO PARA VEHÍCULOS SOLARES</v>
      </c>
      <c r="B87" s="58">
        <f>IFERROR(__xludf.DUMMYFUNCTION("""COMPUTED_VALUE"""),8.0)</f>
        <v>8</v>
      </c>
    </row>
    <row r="88">
      <c r="A88" s="58" t="str">
        <f>IFERROR(__xludf.DUMMYFUNCTION("""COMPUTED_VALUE"""),"DISEÑO DE LA ESTRUCTURA ORGANIZATIVA BAJO EL ENFOQUE BASADO EN PROCESOS PARA LA INCUBADORA DE EMPRESAS DE BASE TECNOLÓGICA”EMBATE” DE LA FACULTAD DE CIENCIAS Y TECNOLOGÍA.")</f>
        <v>DISEÑO DE LA ESTRUCTURA ORGANIZATIVA BAJO EL ENFOQUE BASADO EN PROCESOS PARA LA INCUBADORA DE EMPRESAS DE BASE TECNOLÓGICA”EMBATE” DE LA FACULTAD DE CIENCIAS Y TECNOLOGÍA.</v>
      </c>
      <c r="B88" s="58">
        <f>IFERROR(__xludf.DUMMYFUNCTION("""COMPUTED_VALUE"""),2.0)</f>
        <v>2</v>
      </c>
    </row>
    <row r="89">
      <c r="A89" s="58" t="str">
        <f>IFERROR(__xludf.DUMMYFUNCTION("""COMPUTED_VALUE"""),"DISEÑO DE MAQUINA DE TRANSPORTE DE AFRECHO PARA LA INDUSTRIA MOLINERA CONCORDIA.")</f>
        <v>DISEÑO DE MAQUINA DE TRANSPORTE DE AFRECHO PARA LA INDUSTRIA MOLINERA CONCORDIA.</v>
      </c>
      <c r="B89" s="58">
        <f>IFERROR(__xludf.DUMMYFUNCTION("""COMPUTED_VALUE"""),4.0)</f>
        <v>4</v>
      </c>
    </row>
    <row r="90">
      <c r="A90" s="58" t="str">
        <f>IFERROR(__xludf.DUMMYFUNCTION("""COMPUTED_VALUE"""),"DISEÑO DE MEDIDAS DE PRODUCCIÓN MÁS LIMPIA, PLAN DE  SEGURIDAD E HIGIENE INDUSTRIAL PARA LA CARPINTERÍA EMANUEL")</f>
        <v>DISEÑO DE MEDIDAS DE PRODUCCIÓN MÁS LIMPIA, PLAN DE  SEGURIDAD E HIGIENE INDUSTRIAL PARA LA CARPINTERÍA EMANUEL</v>
      </c>
      <c r="B90" s="58">
        <f>IFERROR(__xludf.DUMMYFUNCTION("""COMPUTED_VALUE"""),1.0)</f>
        <v>1</v>
      </c>
    </row>
    <row r="91">
      <c r="A91" s="58" t="str">
        <f>IFERROR(__xludf.DUMMYFUNCTION("""COMPUTED_VALUE"""),"DISEÑO DE PLANIFICACIÓN ESTRATÉGICA Y CUADRO DE MANDO INTEGRAL PARA CURTIEMBRE AMÉRICA S.A.")</f>
        <v>DISEÑO DE PLANIFICACIÓN ESTRATÉGICA Y CUADRO DE MANDO INTEGRAL PARA CURTIEMBRE AMÉRICA S.A.</v>
      </c>
      <c r="B91" s="58">
        <f>IFERROR(__xludf.DUMMYFUNCTION("""COMPUTED_VALUE"""),2.0)</f>
        <v>2</v>
      </c>
    </row>
    <row r="92">
      <c r="A92" s="58" t="str">
        <f>IFERROR(__xludf.DUMMYFUNCTION("""COMPUTED_VALUE"""),"DISEÑO DE PLANIFICACIÓN ESTRATÉGICA Y CUADRO DE MANDO INTEGRAL PARA EL LABORATORIO INDUSTRIAL FARMACÉUTICO ECHEVERRÍA “LIFE”")</f>
        <v>DISEÑO DE PLANIFICACIÓN ESTRATÉGICA Y CUADRO DE MANDO INTEGRAL PARA EL LABORATORIO INDUSTRIAL FARMACÉUTICO ECHEVERRÍA “LIFE”</v>
      </c>
      <c r="B92" s="58">
        <f>IFERROR(__xludf.DUMMYFUNCTION("""COMPUTED_VALUE"""),1.0)</f>
        <v>1</v>
      </c>
    </row>
    <row r="93">
      <c r="A93" s="58" t="str">
        <f>IFERROR(__xludf.DUMMYFUNCTION("""COMPUTED_VALUE"""),"DISEÑO DE UN  PLAN ESTRATÉGICO DE MARKETING PARA LA EMPRESA DE ALTA COSTURA DE DAMAS  FABELLA MODA")</f>
        <v>DISEÑO DE UN  PLAN ESTRATÉGICO DE MARKETING PARA LA EMPRESA DE ALTA COSTURA DE DAMAS  FABELLA MODA</v>
      </c>
      <c r="B93" s="58">
        <f>IFERROR(__xludf.DUMMYFUNCTION("""COMPUTED_VALUE"""),5.0)</f>
        <v>5</v>
      </c>
    </row>
    <row r="94">
      <c r="A94" s="58" t="str">
        <f>IFERROR(__xludf.DUMMYFUNCTION("""COMPUTED_VALUE"""),"DISEÑO DE UN  SISTEMA DE GESTION DE CALIDAD BASADO EN LA NORMA NB-ISO 9001:2008 PARA LE EMPRESA TRANSPORTES RAMALLO")</f>
        <v>DISEÑO DE UN  SISTEMA DE GESTION DE CALIDAD BASADO EN LA NORMA NB-ISO 9001:2008 PARA LE EMPRESA TRANSPORTES RAMALLO</v>
      </c>
      <c r="B94" s="58">
        <f>IFERROR(__xludf.DUMMYFUNCTION("""COMPUTED_VALUE"""),3.0)</f>
        <v>3</v>
      </c>
    </row>
    <row r="95">
      <c r="A95" s="58" t="str">
        <f>IFERROR(__xludf.DUMMYFUNCTION("""COMPUTED_VALUE"""),"DISEÑO DE UN MODELO ADMINISTRATIVO PARA LA MEJORA DEL FUNCIONAMIENTO DE LA EMPRESA DE SERVICIOS ELÉCTRICOS DEL TRÓPICO")</f>
        <v>DISEÑO DE UN MODELO ADMINISTRATIVO PARA LA MEJORA DEL FUNCIONAMIENTO DE LA EMPRESA DE SERVICIOS ELÉCTRICOS DEL TRÓPICO</v>
      </c>
      <c r="B95" s="58">
        <f>IFERROR(__xludf.DUMMYFUNCTION("""COMPUTED_VALUE"""),2.0)</f>
        <v>2</v>
      </c>
    </row>
    <row r="96">
      <c r="A96" s="58" t="str">
        <f>IFERROR(__xludf.DUMMYFUNCTION("""COMPUTED_VALUE"""),"DISEÑO DE UN MODELO DE BUENAS PRACTICAS DE MANUFACTURA Y PROCEDIMIENTOS DE OPERACIÓN ESTANDAR DE SANIDAD PARA LA EMPRESA “NORDLAND LTDA")</f>
        <v>DISEÑO DE UN MODELO DE BUENAS PRACTICAS DE MANUFACTURA Y PROCEDIMIENTOS DE OPERACIÓN ESTANDAR DE SANIDAD PARA LA EMPRESA “NORDLAND LTDA</v>
      </c>
      <c r="B96" s="58">
        <f>IFERROR(__xludf.DUMMYFUNCTION("""COMPUTED_VALUE"""),4.0)</f>
        <v>4</v>
      </c>
    </row>
    <row r="97">
      <c r="A97" s="58" t="str">
        <f>IFERROR(__xludf.DUMMYFUNCTION("""COMPUTED_VALUE"""),"DISEÑO DE UN MODELO DE CULTURA ORGANIZACIONAL PARA MEJORAR LAS RELACIONES HUMANAS EN LA UNIDAD DE COBOCE CONSTRUCCIONES")</f>
        <v>DISEÑO DE UN MODELO DE CULTURA ORGANIZACIONAL PARA MEJORAR LAS RELACIONES HUMANAS EN LA UNIDAD DE COBOCE CONSTRUCCIONES</v>
      </c>
      <c r="B97" s="58">
        <f>IFERROR(__xludf.DUMMYFUNCTION("""COMPUTED_VALUE"""),1.0)</f>
        <v>1</v>
      </c>
    </row>
    <row r="98">
      <c r="A98" s="58" t="str">
        <f>IFERROR(__xludf.DUMMYFUNCTION("""COMPUTED_VALUE"""),"DISEÑO DE UN MODELO DE GESTIÓN DE INOCUIDAD ALIMENTARIA SEGÚN LA NB/ISO 22000:2005 PARA LA EMPRESA “ALIMENTOS ALFA PRODUCTOS NORDLAND LTDA.”")</f>
        <v>DISEÑO DE UN MODELO DE GESTIÓN DE INOCUIDAD ALIMENTARIA SEGÚN LA NB/ISO 22000:2005 PARA LA EMPRESA “ALIMENTOS ALFA PRODUCTOS NORDLAND LTDA.”</v>
      </c>
      <c r="B98" s="58">
        <f>IFERROR(__xludf.DUMMYFUNCTION("""COMPUTED_VALUE"""),4.0)</f>
        <v>4</v>
      </c>
    </row>
    <row r="99">
      <c r="A99" s="58" t="str">
        <f>IFERROR(__xludf.DUMMYFUNCTION("""COMPUTED_VALUE"""),"DISEÑO DE UN MODELO DE GESTIÓN DE INOCUIDAD ALIMENTARÍA SEGÚN LA NB ISO 22000:2005 PARA LA EMPRESA VIGOR EN SU LÍNEA DE LÁCTEOS.")</f>
        <v>DISEÑO DE UN MODELO DE GESTIÓN DE INOCUIDAD ALIMENTARÍA SEGÚN LA NB ISO 22000:2005 PARA LA EMPRESA VIGOR EN SU LÍNEA DE LÁCTEOS.</v>
      </c>
      <c r="B99" s="58">
        <f>IFERROR(__xludf.DUMMYFUNCTION("""COMPUTED_VALUE"""),2.0)</f>
        <v>2</v>
      </c>
    </row>
    <row r="100">
      <c r="A100" s="58" t="str">
        <f>IFERROR(__xludf.DUMMYFUNCTION("""COMPUTED_VALUE"""),"DISEÑO DE UN MODELO DE GESTIÓN DE INVENTARIOS EN COBOCE CERAMIL")</f>
        <v>DISEÑO DE UN MODELO DE GESTIÓN DE INVENTARIOS EN COBOCE CERAMIL</v>
      </c>
      <c r="B100" s="58">
        <f>IFERROR(__xludf.DUMMYFUNCTION("""COMPUTED_VALUE"""),21.0)</f>
        <v>21</v>
      </c>
    </row>
    <row r="101">
      <c r="A101" s="58" t="str">
        <f>IFERROR(__xludf.DUMMYFUNCTION("""COMPUTED_VALUE"""),"DISEÑO DE UN MODELO DE GESTIÓN DE MANTENIMIENTO CORRECTIVO DE EQUIPO PESADO PARA EL SERVICIO PREFECTURAL DE CAMINOS (SPCAM) COCHABAMBA")</f>
        <v>DISEÑO DE UN MODELO DE GESTIÓN DE MANTENIMIENTO CORRECTIVO DE EQUIPO PESADO PARA EL SERVICIO PREFECTURAL DE CAMINOS (SPCAM) COCHABAMBA</v>
      </c>
      <c r="B101" s="58">
        <f>IFERROR(__xludf.DUMMYFUNCTION("""COMPUTED_VALUE"""),1.0)</f>
        <v>1</v>
      </c>
    </row>
    <row r="102">
      <c r="A102" s="58" t="str">
        <f>IFERROR(__xludf.DUMMYFUNCTION("""COMPUTED_VALUE"""),"DISEÑO DE UN MODELO DE GESTIÓN EMPRESARIAL PARA LA IMPRENTA GRÁFICA VOCAL SRL.")</f>
        <v>DISEÑO DE UN MODELO DE GESTIÓN EMPRESARIAL PARA LA IMPRENTA GRÁFICA VOCAL SRL.</v>
      </c>
      <c r="B102" s="58">
        <f>IFERROR(__xludf.DUMMYFUNCTION("""COMPUTED_VALUE"""),1.0)</f>
        <v>1</v>
      </c>
    </row>
    <row r="103">
      <c r="A103" s="58" t="str">
        <f>IFERROR(__xludf.DUMMYFUNCTION("""COMPUTED_VALUE"""),"DISEÑO DE UN MODELO DE MANEJO DE RESIDUOS SÓLIDOS EN EL CENTRO URBANO DE TIRAQUE")</f>
        <v>DISEÑO DE UN MODELO DE MANEJO DE RESIDUOS SÓLIDOS EN EL CENTRO URBANO DE TIRAQUE</v>
      </c>
      <c r="B103" s="58">
        <f>IFERROR(__xludf.DUMMYFUNCTION("""COMPUTED_VALUE"""),1.0)</f>
        <v>1</v>
      </c>
    </row>
    <row r="104">
      <c r="A104" s="58" t="str">
        <f>IFERROR(__xludf.DUMMYFUNCTION("""COMPUTED_VALUE"""),"DISEÑO DE UN MODELO DE MARKETING ESTRATÉGICO PARA LA EMPRESA MÁQUINAS Y MATRICES ALCÓCER")</f>
        <v>DISEÑO DE UN MODELO DE MARKETING ESTRATÉGICO PARA LA EMPRESA MÁQUINAS Y MATRICES ALCÓCER</v>
      </c>
      <c r="B104" s="58">
        <f>IFERROR(__xludf.DUMMYFUNCTION("""COMPUTED_VALUE"""),1.0)</f>
        <v>1</v>
      </c>
    </row>
    <row r="105">
      <c r="A105" s="58" t="str">
        <f>IFERROR(__xludf.DUMMYFUNCTION("""COMPUTED_VALUE"""),"DISEÑO DE UN MODELO DE PLANIFICACIÓN ESTRATÉGICA PARA EL INTERNADO GERIÁTRICO HOGAR LUZ")</f>
        <v>DISEÑO DE UN MODELO DE PLANIFICACIÓN ESTRATÉGICA PARA EL INTERNADO GERIÁTRICO HOGAR LUZ</v>
      </c>
      <c r="B105" s="58">
        <f>IFERROR(__xludf.DUMMYFUNCTION("""COMPUTED_VALUE"""),1.0)</f>
        <v>1</v>
      </c>
    </row>
    <row r="106">
      <c r="A106" s="58" t="str">
        <f>IFERROR(__xludf.DUMMYFUNCTION("""COMPUTED_VALUE"""),"DISEÑO DE UN MODELO DE REORGANIZACIÓN DE LA SEGURIDAD INDUSTRIAL PARA LA EMPRESA FABE S.A.")</f>
        <v>DISEÑO DE UN MODELO DE REORGANIZACIÓN DE LA SEGURIDAD INDUSTRIAL PARA LA EMPRESA FABE S.A.</v>
      </c>
      <c r="B106" s="58">
        <f>IFERROR(__xludf.DUMMYFUNCTION("""COMPUTED_VALUE"""),1.0)</f>
        <v>1</v>
      </c>
    </row>
    <row r="107">
      <c r="A107" s="58" t="str">
        <f>IFERROR(__xludf.DUMMYFUNCTION("""COMPUTED_VALUE"""),"DISEÑO DE UN MODELO DE SEGURIDAD INDUSTRIAL PARA INDUSTRIAS DE ACEITE S.A.")</f>
        <v>DISEÑO DE UN MODELO DE SEGURIDAD INDUSTRIAL PARA INDUSTRIAS DE ACEITE S.A.</v>
      </c>
      <c r="B107" s="58">
        <f>IFERROR(__xludf.DUMMYFUNCTION("""COMPUTED_VALUE"""),2.0)</f>
        <v>2</v>
      </c>
    </row>
    <row r="108">
      <c r="A108" s="58" t="str">
        <f>IFERROR(__xludf.DUMMYFUNCTION("""COMPUTED_VALUE"""),"DISEÑO DE UN MODELO DE SISTEMA DE SEGURIDAD INDUSTRIAL E HIGIENE OCUPACIONAL PARA LA EMPRESA MATRA")</f>
        <v>DISEÑO DE UN MODELO DE SISTEMA DE SEGURIDAD INDUSTRIAL E HIGIENE OCUPACIONAL PARA LA EMPRESA MATRA</v>
      </c>
      <c r="B108" s="58">
        <f>IFERROR(__xludf.DUMMYFUNCTION("""COMPUTED_VALUE"""),2.0)</f>
        <v>2</v>
      </c>
    </row>
    <row r="109">
      <c r="A109" s="58" t="str">
        <f>IFERROR(__xludf.DUMMYFUNCTION("""COMPUTED_VALUE"""),"DISEÑO DE UN PLAN DE ACCIÓN DE MEJORA DE LA CONFIABILIDAD DEL FLUJO DE INVENTARIOS FÍSICO VS LÓGICO PARA EL WAREHOUSE DEL CENTRO NACIONAL DE DISTRIBUCIÓN UNILEVER ANDINA S.A")</f>
        <v>DISEÑO DE UN PLAN DE ACCIÓN DE MEJORA DE LA CONFIABILIDAD DEL FLUJO DE INVENTARIOS FÍSICO VS LÓGICO PARA EL WAREHOUSE DEL CENTRO NACIONAL DE DISTRIBUCIÓN UNILEVER ANDINA S.A</v>
      </c>
      <c r="B109" s="58">
        <f>IFERROR(__xludf.DUMMYFUNCTION("""COMPUTED_VALUE"""),4.0)</f>
        <v>4</v>
      </c>
    </row>
    <row r="110">
      <c r="A110" s="58" t="str">
        <f>IFERROR(__xludf.DUMMYFUNCTION("""COMPUTED_VALUE"""),"DISEÑO DE UN PLAN DE ANÁLISIS DE PELIGROS Y PUNTOS CRÍTICOS DE CONTROL (HACCP) Y UN PROGRAMA DE SEGURIDAD Y SALUD EN EL TRABAJO (PSST) PARA INDUSTRIAS YACOBS S.R.L")</f>
        <v>DISEÑO DE UN PLAN DE ANÁLISIS DE PELIGROS Y PUNTOS CRÍTICOS DE CONTROL (HACCP) Y UN PROGRAMA DE SEGURIDAD Y SALUD EN EL TRABAJO (PSST) PARA INDUSTRIAS YACOBS S.R.L</v>
      </c>
      <c r="B110" s="58">
        <f>IFERROR(__xludf.DUMMYFUNCTION("""COMPUTED_VALUE"""),2.0)</f>
        <v>2</v>
      </c>
    </row>
    <row r="111">
      <c r="A111" s="58" t="str">
        <f>IFERROR(__xludf.DUMMYFUNCTION("""COMPUTED_VALUE"""),"DISEÑO DE UN PLAN DE ANÁLISIS DE PELIGROS Y PUNTOS CRÍTICOS DE CONTROL HACCP PARA LA INDUSTRIA DE PRODUCTOS ALIMENTICIOS RICO PAN S.R.L")</f>
        <v>DISEÑO DE UN PLAN DE ANÁLISIS DE PELIGROS Y PUNTOS CRÍTICOS DE CONTROL HACCP PARA LA INDUSTRIA DE PRODUCTOS ALIMENTICIOS RICO PAN S.R.L</v>
      </c>
      <c r="B111" s="58">
        <f>IFERROR(__xludf.DUMMYFUNCTION("""COMPUTED_VALUE"""),3.0)</f>
        <v>3</v>
      </c>
    </row>
    <row r="112">
      <c r="A112" s="58" t="str">
        <f>IFERROR(__xludf.DUMMYFUNCTION("""COMPUTED_VALUE"""),"DISEÑO DE UN PLAN DE ANÁLISIS DE PELIGROS Y PUNTOS CRÍTICOS DE CONTROL Y UN PROGRAMA DE SEGURIDAD Y SALUD EN EL TRABAJO (PSST) PARA INDUSTRIAS YACOBS S.R.L")</f>
        <v>DISEÑO DE UN PLAN DE ANÁLISIS DE PELIGROS Y PUNTOS CRÍTICOS DE CONTROL Y UN PROGRAMA DE SEGURIDAD Y SALUD EN EL TRABAJO (PSST) PARA INDUSTRIAS YACOBS S.R.L</v>
      </c>
      <c r="B112" s="58">
        <f>IFERROR(__xludf.DUMMYFUNCTION("""COMPUTED_VALUE"""),2.0)</f>
        <v>2</v>
      </c>
    </row>
    <row r="113">
      <c r="A113" s="58" t="str">
        <f>IFERROR(__xludf.DUMMYFUNCTION("""COMPUTED_VALUE"""),"DISEÑO DE UN PLAN DE HIGIENE, SEGURIDAD OCUPACIONAL Y BIENESTAR SEGÚN DL 16998/RA 038 PARA LA EMPRESA “A&amp;E”")</f>
        <v>DISEÑO DE UN PLAN DE HIGIENE, SEGURIDAD OCUPACIONAL Y BIENESTAR SEGÚN DL 16998/RA 038 PARA LA EMPRESA “A&amp;E”</v>
      </c>
      <c r="B113" s="58">
        <f>IFERROR(__xludf.DUMMYFUNCTION("""COMPUTED_VALUE"""),1.0)</f>
        <v>1</v>
      </c>
    </row>
    <row r="114">
      <c r="A114" s="58" t="str">
        <f>IFERROR(__xludf.DUMMYFUNCTION("""COMPUTED_VALUE"""),"DISEÑO DE UN PLAN DE INOCUIDAD ALIMENTARIA BASADA EN EL HACCP Y UN PLAN DE SEGURIDAD INDUSTRIAL E HIGIENE OCUPACIONAL PARA LA EMPRESA INDUSTRIAS DEL MOLLE S.R.L")</f>
        <v>DISEÑO DE UN PLAN DE INOCUIDAD ALIMENTARIA BASADA EN EL HACCP Y UN PLAN DE SEGURIDAD INDUSTRIAL E HIGIENE OCUPACIONAL PARA LA EMPRESA INDUSTRIAS DEL MOLLE S.R.L</v>
      </c>
      <c r="B114" s="58">
        <f>IFERROR(__xludf.DUMMYFUNCTION("""COMPUTED_VALUE"""),1.0)</f>
        <v>1</v>
      </c>
    </row>
    <row r="115">
      <c r="A115" s="58" t="str">
        <f>IFERROR(__xludf.DUMMYFUNCTION("""COMPUTED_VALUE"""),"DISEÑO DE UN PLAN DE MANTENIMIENTO AUTÓNOMO SEGÚN TPM (TOTAL PRODUCTIVE MAINTENANCE) PARA LA FÁBRICA DE MUEBLES CIMAL")</f>
        <v>DISEÑO DE UN PLAN DE MANTENIMIENTO AUTÓNOMO SEGÚN TPM (TOTAL PRODUCTIVE MAINTENANCE) PARA LA FÁBRICA DE MUEBLES CIMAL</v>
      </c>
      <c r="B115" s="58">
        <f>IFERROR(__xludf.DUMMYFUNCTION("""COMPUTED_VALUE"""),2.0)</f>
        <v>2</v>
      </c>
    </row>
    <row r="116">
      <c r="A116" s="58" t="str">
        <f>IFERROR(__xludf.DUMMYFUNCTION("""COMPUTED_VALUE"""),"DISEÑO DE UN PLAN DE MEJORA CONTINUA PARA EL WAREHOUSE DEL CENTRO NACIONAL DE DISTRIBUCIÓN DE UNILEVER ANDINA BOLIVIA S.A.")</f>
        <v>DISEÑO DE UN PLAN DE MEJORA CONTINUA PARA EL WAREHOUSE DEL CENTRO NACIONAL DE DISTRIBUCIÓN DE UNILEVER ANDINA BOLIVIA S.A.</v>
      </c>
      <c r="B116" s="58">
        <f>IFERROR(__xludf.DUMMYFUNCTION("""COMPUTED_VALUE"""),2.0)</f>
        <v>2</v>
      </c>
    </row>
    <row r="117">
      <c r="A117" s="58" t="str">
        <f>IFERROR(__xludf.DUMMYFUNCTION("""COMPUTED_VALUE"""),"DISEÑO DE UN PLAN DE NEGOCIOS DE FORTALECIMIENTO PARA LA ASOCIACIÓN DE PRODUCCIÓN TEXTIL K’ANCHAY")</f>
        <v>DISEÑO DE UN PLAN DE NEGOCIOS DE FORTALECIMIENTO PARA LA ASOCIACIÓN DE PRODUCCIÓN TEXTIL K’ANCHAY</v>
      </c>
      <c r="B117" s="58">
        <f>IFERROR(__xludf.DUMMYFUNCTION("""COMPUTED_VALUE"""),3.0)</f>
        <v>3</v>
      </c>
    </row>
    <row r="118">
      <c r="A118" s="58" t="str">
        <f>IFERROR(__xludf.DUMMYFUNCTION("""COMPUTED_VALUE"""),"DISEÑO DE UN PLAN DE OPTIMIZACIÓN DEL CONSUMO DE AGUA EN LA MINIPLANTA DE ENVASADO-TAQUIÑA")</f>
        <v>DISEÑO DE UN PLAN DE OPTIMIZACIÓN DEL CONSUMO DE AGUA EN LA MINIPLANTA DE ENVASADO-TAQUIÑA</v>
      </c>
      <c r="B118" s="58">
        <f>IFERROR(__xludf.DUMMYFUNCTION("""COMPUTED_VALUE"""),2.0)</f>
        <v>2</v>
      </c>
    </row>
    <row r="119">
      <c r="A119" s="58" t="str">
        <f>IFERROR(__xludf.DUMMYFUNCTION("""COMPUTED_VALUE"""),"DISEÑO DE UN PLAN DE REINGENIERÍA DEL PROCESO PRODUCTIVO PARA LA EMPRESA CALRO EN LA CIUDAD DE COCHABAMBA")</f>
        <v>DISEÑO DE UN PLAN DE REINGENIERÍA DEL PROCESO PRODUCTIVO PARA LA EMPRESA CALRO EN LA CIUDAD DE COCHABAMBA</v>
      </c>
      <c r="B119" s="58">
        <f>IFERROR(__xludf.DUMMYFUNCTION("""COMPUTED_VALUE"""),1.0)</f>
        <v>1</v>
      </c>
    </row>
    <row r="120">
      <c r="A120" s="58" t="str">
        <f>IFERROR(__xludf.DUMMYFUNCTION("""COMPUTED_VALUE"""),"DISEÑO DE UN PLAN DE SEGURIDAD E HIGIENE INDUSTRIAL
PARA LA EMPRESA METALMECÁNICA INPROCO S.R.L.")</f>
        <v>DISEÑO DE UN PLAN DE SEGURIDAD E HIGIENE INDUSTRIAL
PARA LA EMPRESA METALMECÁNICA INPROCO S.R.L.</v>
      </c>
      <c r="B120" s="58">
        <f>IFERROR(__xludf.DUMMYFUNCTION("""COMPUTED_VALUE"""),1.0)</f>
        <v>1</v>
      </c>
    </row>
    <row r="121">
      <c r="A121" s="58" t="str">
        <f>IFERROR(__xludf.DUMMYFUNCTION("""COMPUTED_VALUE"""),"DISEÑO DE UN PLAN DE SEGURIDAD E HIGIENE INDUSTRIAL PARA LA EMPRESA METALMECÁNICA INPROCO S.R.L.")</f>
        <v>DISEÑO DE UN PLAN DE SEGURIDAD E HIGIENE INDUSTRIAL PARA LA EMPRESA METALMECÁNICA INPROCO S.R.L.</v>
      </c>
      <c r="B121" s="58">
        <f>IFERROR(__xludf.DUMMYFUNCTION("""COMPUTED_VALUE"""),6.0)</f>
        <v>6</v>
      </c>
    </row>
    <row r="122">
      <c r="A122" s="58" t="str">
        <f>IFERROR(__xludf.DUMMYFUNCTION("""COMPUTED_VALUE"""),"DISEÑO DE UN PLAN DE SEGURIDAD E HIGIENE INDUSTRIAL PARA PROCESADORA DE POLLOS VEGA “PROVE”")</f>
        <v>DISEÑO DE UN PLAN DE SEGURIDAD E HIGIENE INDUSTRIAL PARA PROCESADORA DE POLLOS VEGA “PROVE”</v>
      </c>
      <c r="B122" s="58">
        <f>IFERROR(__xludf.DUMMYFUNCTION("""COMPUTED_VALUE"""),4.0)</f>
        <v>4</v>
      </c>
    </row>
    <row r="123">
      <c r="A123" s="58" t="str">
        <f>IFERROR(__xludf.DUMMYFUNCTION("""COMPUTED_VALUE"""),"DISEÑO DE UN PLAN DE SEGURIDAD E HIGIENE OCUPACIONAL")</f>
        <v>DISEÑO DE UN PLAN DE SEGURIDAD E HIGIENE OCUPACIONAL</v>
      </c>
      <c r="B123" s="58">
        <f>IFERROR(__xludf.DUMMYFUNCTION("""COMPUTED_VALUE"""),2.0)</f>
        <v>2</v>
      </c>
    </row>
    <row r="124">
      <c r="A124" s="58" t="str">
        <f>IFERROR(__xludf.DUMMYFUNCTION("""COMPUTED_VALUE"""),"DISEÑO DE UN PLAN DE SEGURIDAD E HIGIENE OCUPACIONAL PARA CONSTRUCCIONES METÁLICAS VALVERDE S.R.L")</f>
        <v>DISEÑO DE UN PLAN DE SEGURIDAD E HIGIENE OCUPACIONAL PARA CONSTRUCCIONES METÁLICAS VALVERDE S.R.L</v>
      </c>
      <c r="B124" s="58">
        <f>IFERROR(__xludf.DUMMYFUNCTION("""COMPUTED_VALUE"""),1.0)</f>
        <v>1</v>
      </c>
    </row>
    <row r="125">
      <c r="A125" s="58" t="str">
        <f>IFERROR(__xludf.DUMMYFUNCTION("""COMPUTED_VALUE"""),"DISEÑO DE UN PLAN DE SEGURIDAD E HIGIENE OCUPACIONAL PARA EL ASERRADERO SAN JOAQUIN")</f>
        <v>DISEÑO DE UN PLAN DE SEGURIDAD E HIGIENE OCUPACIONAL PARA EL ASERRADERO SAN JOAQUIN</v>
      </c>
      <c r="B125" s="58">
        <f>IFERROR(__xludf.DUMMYFUNCTION("""COMPUTED_VALUE"""),2.0)</f>
        <v>2</v>
      </c>
    </row>
    <row r="126">
      <c r="A126" s="58" t="str">
        <f>IFERROR(__xludf.DUMMYFUNCTION("""COMPUTED_VALUE"""),"DISEÑO DE UN PLAN DE SEGURIDAD E HIGIENE OCUPACIONAL PARA LA CONSTRUCTORA METALMECÁNICA CONSVIVAR")</f>
        <v>DISEÑO DE UN PLAN DE SEGURIDAD E HIGIENE OCUPACIONAL PARA LA CONSTRUCTORA METALMECÁNICA CONSVIVAR</v>
      </c>
      <c r="B126" s="58">
        <f>IFERROR(__xludf.DUMMYFUNCTION("""COMPUTED_VALUE"""),2.0)</f>
        <v>2</v>
      </c>
    </row>
    <row r="127">
      <c r="A127" s="58" t="str">
        <f>IFERROR(__xludf.DUMMYFUNCTION("""COMPUTED_VALUE"""),"DISEÑO DE UN PLAN DE SEGURIDAD E HIGIENE OCUPACIONAL PARA LA COOPERATIVA FOTRACAR LTDA.")</f>
        <v>DISEÑO DE UN PLAN DE SEGURIDAD E HIGIENE OCUPACIONAL PARA LA COOPERATIVA FOTRACAR LTDA.</v>
      </c>
      <c r="B127" s="58">
        <f>IFERROR(__xludf.DUMMYFUNCTION("""COMPUTED_VALUE"""),1.0)</f>
        <v>1</v>
      </c>
    </row>
    <row r="128">
      <c r="A128" s="58" t="str">
        <f>IFERROR(__xludf.DUMMYFUNCTION("""COMPUTED_VALUE"""),"DISEÑO DE UN PLAN DE SEGURIDAD E HIGIENE OCUPACIONAL PARA LA “CURTIEMBRE VALENZUELA”")</f>
        <v>DISEÑO DE UN PLAN DE SEGURIDAD E HIGIENE OCUPACIONAL PARA LA “CURTIEMBRE VALENZUELA”</v>
      </c>
      <c r="B128" s="58">
        <f>IFERROR(__xludf.DUMMYFUNCTION("""COMPUTED_VALUE"""),2.0)</f>
        <v>2</v>
      </c>
    </row>
    <row r="129">
      <c r="A129" s="58" t="str">
        <f>IFERROR(__xludf.DUMMYFUNCTION("""COMPUTED_VALUE"""),"DISEÑO DE UN PLAN DE SEGURIDAD INDUSTRIAL E HIGIENE OCUPACIONAL PARA LA PLANTA DE PRODUCCIÓN DE CRISTEMBO S.R.L.")</f>
        <v>DISEÑO DE UN PLAN DE SEGURIDAD INDUSTRIAL E HIGIENE OCUPACIONAL PARA LA PLANTA DE PRODUCCIÓN DE CRISTEMBO S.R.L.</v>
      </c>
      <c r="B129" s="58">
        <f>IFERROR(__xludf.DUMMYFUNCTION("""COMPUTED_VALUE"""),1.0)</f>
        <v>1</v>
      </c>
    </row>
    <row r="130">
      <c r="A130" s="58" t="str">
        <f>IFERROR(__xludf.DUMMYFUNCTION("""COMPUTED_VALUE"""),"DISEÑO DE UN PLAN DE SEGURIDAD INDUSTRIAL PARA LA PREFECTURA DE COCHABAMBA")</f>
        <v>DISEÑO DE UN PLAN DE SEGURIDAD INDUSTRIAL PARA LA PREFECTURA DE COCHABAMBA</v>
      </c>
      <c r="B130" s="58">
        <f>IFERROR(__xludf.DUMMYFUNCTION("""COMPUTED_VALUE"""),1.0)</f>
        <v>1</v>
      </c>
    </row>
    <row r="131">
      <c r="A131" s="58" t="str">
        <f>IFERROR(__xludf.DUMMYFUNCTION("""COMPUTED_VALUE"""),"DISEÑO DE UN PLAN DE SEGURIDAD OCUPACIONAL EN LAS INSTALACIONES DE LA CURTIEMBRE CURVECO")</f>
        <v>DISEÑO DE UN PLAN DE SEGURIDAD OCUPACIONAL EN LAS INSTALACIONES DE LA CURTIEMBRE CURVECO</v>
      </c>
      <c r="B131" s="58">
        <f>IFERROR(__xludf.DUMMYFUNCTION("""COMPUTED_VALUE"""),1.0)</f>
        <v>1</v>
      </c>
    </row>
    <row r="132">
      <c r="A132"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B132" s="58">
        <f>IFERROR(__xludf.DUMMYFUNCTION("""COMPUTED_VALUE"""),1.0)</f>
        <v>1</v>
      </c>
    </row>
    <row r="133">
      <c r="A133" s="58" t="str">
        <f>IFERROR(__xludf.DUMMYFUNCTION("""COMPUTED_VALUE"""),"DISEÑO DE UN PLAN DE SEGURIDAD Y SALUD OCUPACIONAL BASADO EN LA NORMA BOLIVIANA OHSAS 18001-2007 PARA PROYECTOS DE CONSTRUCCIÓN CIVIL EN EL ÁREA DE VIALIDAD (CARRETERAS)")</f>
        <v>DISEÑO DE UN PLAN DE SEGURIDAD Y SALUD OCUPACIONAL BASADO EN LA NORMA BOLIVIANA OHSAS 18001-2007 PARA PROYECTOS DE CONSTRUCCIÓN CIVIL EN EL ÁREA DE VIALIDAD (CARRETERAS)</v>
      </c>
      <c r="B133" s="58">
        <f>IFERROR(__xludf.DUMMYFUNCTION("""COMPUTED_VALUE"""),1.0)</f>
        <v>1</v>
      </c>
    </row>
    <row r="134">
      <c r="A134"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B134" s="58">
        <f>IFERROR(__xludf.DUMMYFUNCTION("""COMPUTED_VALUE"""),6.0)</f>
        <v>6</v>
      </c>
    </row>
    <row r="135">
      <c r="A135" s="58" t="str">
        <f>IFERROR(__xludf.DUMMYFUNCTION("""COMPUTED_VALUE"""),"DISEÑO DE UN PLAN DE SEGURIDAD Y SALUD OCUPACIONAL BASADO EN LA NORMA NB/ISO 45001: 2018 PARA “MAESTRANZA FUNDICION QUILLACOLLO – MAFUQUI”")</f>
        <v>DISEÑO DE UN PLAN DE SEGURIDAD Y SALUD OCUPACIONAL BASADO EN LA NORMA NB/ISO 45001: 2018 PARA “MAESTRANZA FUNDICION QUILLACOLLO – MAFUQUI”</v>
      </c>
      <c r="B135" s="58">
        <f>IFERROR(__xludf.DUMMYFUNCTION("""COMPUTED_VALUE"""),1.0)</f>
        <v>1</v>
      </c>
    </row>
    <row r="136">
      <c r="A136" s="58" t="str">
        <f>IFERROR(__xludf.DUMMYFUNCTION("""COMPUTED_VALUE"""),"DISEÑO DE UN PLAN ESTRATÉGICO DE DESARROLLO PARA LA CARRERA DE LICENCIATURA EN INFORMÁTICA")</f>
        <v>DISEÑO DE UN PLAN ESTRATÉGICO DE DESARROLLO PARA LA CARRERA DE LICENCIATURA EN INFORMÁTICA</v>
      </c>
      <c r="B136" s="58">
        <f>IFERROR(__xludf.DUMMYFUNCTION("""COMPUTED_VALUE"""),5.0)</f>
        <v>5</v>
      </c>
    </row>
    <row r="137">
      <c r="A137" s="58" t="str">
        <f>IFERROR(__xludf.DUMMYFUNCTION("""COMPUTED_VALUE"""),"DISEÑO DE UN PLAN ESTRATÉGICO DE MARKETING PARA LA EMPRESA DE HAMBURGUESAS L A E X Q U I S I T A")</f>
        <v>DISEÑO DE UN PLAN ESTRATÉGICO DE MARKETING PARA LA EMPRESA DE HAMBURGUESAS L A E X Q U I S I T A</v>
      </c>
      <c r="B137" s="58">
        <f>IFERROR(__xludf.DUMMYFUNCTION("""COMPUTED_VALUE"""),1.0)</f>
        <v>1</v>
      </c>
    </row>
    <row r="138">
      <c r="A138" s="58" t="str">
        <f>IFERROR(__xludf.DUMMYFUNCTION("""COMPUTED_VALUE"""),"DISEÑO DE UN PLAN ESTRATÉGICO DE MARKETING PARA LA EMPRESA DE PANIFICACIÓN NOVA PAN")</f>
        <v>DISEÑO DE UN PLAN ESTRATÉGICO DE MARKETING PARA LA EMPRESA DE PANIFICACIÓN NOVA PAN</v>
      </c>
      <c r="B138" s="58">
        <f>IFERROR(__xludf.DUMMYFUNCTION("""COMPUTED_VALUE"""),1.0)</f>
        <v>1</v>
      </c>
    </row>
    <row r="139">
      <c r="A139" s="58" t="str">
        <f>IFERROR(__xludf.DUMMYFUNCTION("""COMPUTED_VALUE"""),"DISEÑO DE UN PLAN ESTRATÉGICO DE MARKETING PARA LA GRANJA MODELO PAIRUMANI")</f>
        <v>DISEÑO DE UN PLAN ESTRATÉGICO DE MARKETING PARA LA GRANJA MODELO PAIRUMANI</v>
      </c>
      <c r="B139" s="58">
        <f>IFERROR(__xludf.DUMMYFUNCTION("""COMPUTED_VALUE"""),1.0)</f>
        <v>1</v>
      </c>
    </row>
    <row r="140">
      <c r="A140" s="58" t="str">
        <f>IFERROR(__xludf.DUMMYFUNCTION("""COMPUTED_VALUE"""),"DISEÑO DE UN PLAN ESTRATÉGICO DE PRODUCCIÓN PARA LA MICROEMPRESA ZAMBRANA")</f>
        <v>DISEÑO DE UN PLAN ESTRATÉGICO DE PRODUCCIÓN PARA LA MICROEMPRESA ZAMBRANA</v>
      </c>
      <c r="B140" s="58">
        <f>IFERROR(__xludf.DUMMYFUNCTION("""COMPUTED_VALUE"""),1.0)</f>
        <v>1</v>
      </c>
    </row>
    <row r="141">
      <c r="A141" s="58" t="str">
        <f>IFERROR(__xludf.DUMMYFUNCTION("""COMPUTED_VALUE"""),"DISEÑO DE UN PLAN ESTRATÉGICO PARA EL CLÚSTER DE ALIMENTOS COCHABAMBA DEL PROYECTO INNOVA-UMSS 2019-2023")</f>
        <v>DISEÑO DE UN PLAN ESTRATÉGICO PARA EL CLÚSTER DE ALIMENTOS COCHABAMBA DEL PROYECTO INNOVA-UMSS 2019-2023</v>
      </c>
      <c r="B141" s="58">
        <f>IFERROR(__xludf.DUMMYFUNCTION("""COMPUTED_VALUE"""),7.0)</f>
        <v>7</v>
      </c>
    </row>
    <row r="142">
      <c r="A142" s="58" t="str">
        <f>IFERROR(__xludf.DUMMYFUNCTION("""COMPUTED_VALUE"""),"DISEÑO DE UN PLAN ESTRATÉGICO PARA LA EMPRESA DE CALZADOS PARA NIÑOS “JEMOS-PIPER”")</f>
        <v>DISEÑO DE UN PLAN ESTRATÉGICO PARA LA EMPRESA DE CALZADOS PARA NIÑOS “JEMOS-PIPER”</v>
      </c>
      <c r="B142" s="58">
        <f>IFERROR(__xludf.DUMMYFUNCTION("""COMPUTED_VALUE"""),1.0)</f>
        <v>1</v>
      </c>
    </row>
    <row r="143">
      <c r="A143" s="58" t="str">
        <f>IFERROR(__xludf.DUMMYFUNCTION("""COMPUTED_VALUE"""),"DISEÑO DE UN PLAN ESTRATÉGICO PARA LA EMPRESA FRUTIJUGO 
EN EL DEPARTAMENTO DE COCHABAMBA PERIODO 2020-2024")</f>
        <v>DISEÑO DE UN PLAN ESTRATÉGICO PARA LA EMPRESA FRUTIJUGO 
EN EL DEPARTAMENTO DE COCHABAMBA PERIODO 2020-2024</v>
      </c>
      <c r="B143" s="58">
        <f>IFERROR(__xludf.DUMMYFUNCTION("""COMPUTED_VALUE"""),10.0)</f>
        <v>10</v>
      </c>
    </row>
    <row r="144">
      <c r="A144" s="58" t="str">
        <f>IFERROR(__xludf.DUMMYFUNCTION("""COMPUTED_VALUE"""),"DISEÑO DE UN PLAN ESTRATÉGICO PARA LA EMPRESA PRODUCTORA DE      CEMENTO COLA ADHE – REMIX EN EL DEPARTAMENTO DE COCHABAMBA")</f>
        <v>DISEÑO DE UN PLAN ESTRATÉGICO PARA LA EMPRESA PRODUCTORA DE      CEMENTO COLA ADHE – REMIX EN EL DEPARTAMENTO DE COCHABAMBA</v>
      </c>
      <c r="B144" s="58">
        <f>IFERROR(__xludf.DUMMYFUNCTION("""COMPUTED_VALUE"""),5.0)</f>
        <v>5</v>
      </c>
    </row>
    <row r="145">
      <c r="A145" s="58" t="str">
        <f>IFERROR(__xludf.DUMMYFUNCTION("""COMPUTED_VALUE"""),"DISEÑO DE UN PLANA SEGURIDAD E HIGIENE OCUPACIONAL PARA LA INDUSTRIA PANIFICADORA INPASA")</f>
        <v>DISEÑO DE UN PLANA SEGURIDAD E HIGIENE OCUPACIONAL PARA LA INDUSTRIA PANIFICADORA INPASA</v>
      </c>
      <c r="B145" s="58">
        <f>IFERROR(__xludf.DUMMYFUNCTION("""COMPUTED_VALUE"""),3.0)</f>
        <v>3</v>
      </c>
    </row>
    <row r="146">
      <c r="A146" s="58" t="str">
        <f>IFERROR(__xludf.DUMMYFUNCTION("""COMPUTED_VALUE"""),"DISEÑO DE UN PROGRAMA DE PRODUCCIÓN MÁS LIMPIA ORIENTADO AL SECTOR  LADRILLERO ARTESANAL DE LA ZONA DE CH’AMPA RANCHO")</f>
        <v>DISEÑO DE UN PROGRAMA DE PRODUCCIÓN MÁS LIMPIA ORIENTADO AL SECTOR  LADRILLERO ARTESANAL DE LA ZONA DE CH’AMPA RANCHO</v>
      </c>
      <c r="B146" s="58">
        <f>IFERROR(__xludf.DUMMYFUNCTION("""COMPUTED_VALUE"""),1.0)</f>
        <v>1</v>
      </c>
    </row>
    <row r="147">
      <c r="A147" s="58" t="str">
        <f>IFERROR(__xludf.DUMMYFUNCTION("""COMPUTED_VALUE"""),"DISEÑO DE UN PROGRAMA DE SEGURIDAD INDUSTRIAL E HIGIÉNE OCUPACIONAL EN EL NUEVO MATADERO DEL GOBIERNO AUTÓNOMO MUNICIPAL DE SACABA”.")</f>
        <v>DISEÑO DE UN PROGRAMA DE SEGURIDAD INDUSTRIAL E HIGIÉNE OCUPACIONAL EN EL NUEVO MATADERO DEL GOBIERNO AUTÓNOMO MUNICIPAL DE SACABA”.</v>
      </c>
      <c r="B147" s="58">
        <f>IFERROR(__xludf.DUMMYFUNCTION("""COMPUTED_VALUE"""),5.0)</f>
        <v>5</v>
      </c>
    </row>
    <row r="148">
      <c r="A148" s="58" t="str">
        <f>IFERROR(__xludf.DUMMYFUNCTION("""COMPUTED_VALUE"""),"DISEÑO DE UN PROGRAMA DE SEGURIDAD Y SALUD EN EL TRABAJO PARA LA EMPRESA “LA MODERNA” S.R.L. – PLANTA DE PRODUCCIÓN DE PARQUE INDUSTRIAL DE SANTIVAÑEZ")</f>
        <v>DISEÑO DE UN PROGRAMA DE SEGURIDAD Y SALUD EN EL TRABAJO PARA LA EMPRESA “LA MODERNA” S.R.L. – PLANTA DE PRODUCCIÓN DE PARQUE INDUSTRIAL DE SANTIVAÑEZ</v>
      </c>
      <c r="B148" s="58">
        <f>IFERROR(__xludf.DUMMYFUNCTION("""COMPUTED_VALUE"""),10.0)</f>
        <v>10</v>
      </c>
    </row>
    <row r="149">
      <c r="A149" s="58" t="str">
        <f>IFERROR(__xludf.DUMMYFUNCTION("""COMPUTED_VALUE"""),"DISEÑO DE UN SG SYSO EN BASE A LA NB/OHSAS 18001:2008 PARA SER IMPLEMENTADO Y OPTAR A UNA CERTIFICACIÓN A INDUSTRIAS LUJAN S.R.L.")</f>
        <v>DISEÑO DE UN SG SYSO EN BASE A LA NB/OHSAS 18001:2008 PARA SER IMPLEMENTADO Y OPTAR A UNA CERTIFICACIÓN A INDUSTRIAS LUJAN S.R.L.</v>
      </c>
      <c r="B149" s="58">
        <f>IFERROR(__xludf.DUMMYFUNCTION("""COMPUTED_VALUE"""),4.0)</f>
        <v>4</v>
      </c>
    </row>
    <row r="150">
      <c r="A150" s="58" t="str">
        <f>IFERROR(__xludf.DUMMYFUNCTION("""COMPUTED_VALUE"""),"DISEÑO DE UN SISTEMA DE ANÁLISIS DE PELIGROS Y DE PUNTOS CRÍTICOS DE CONTROL (HACCP), PARA LA EMPRESA INDUSTRIA PANIFICADORA INPASA.")</f>
        <v>DISEÑO DE UN SISTEMA DE ANÁLISIS DE PELIGROS Y DE PUNTOS CRÍTICOS DE CONTROL (HACCP), PARA LA EMPRESA INDUSTRIA PANIFICADORA INPASA.</v>
      </c>
      <c r="B150" s="58">
        <f>IFERROR(__xludf.DUMMYFUNCTION("""COMPUTED_VALUE"""),4.0)</f>
        <v>4</v>
      </c>
    </row>
    <row r="151">
      <c r="A151" s="58" t="str">
        <f>IFERROR(__xludf.DUMMYFUNCTION("""COMPUTED_VALUE"""),"DISEÑO DE UN SISTEMA DE ANÁLISIS DE PELIGROS Y DE PUNTOS CRÍTICOS DE CONTROL (HACCP), PARA LA EMPRESA “INDUSTRIA PANIFICADORA INPASA”")</f>
        <v>DISEÑO DE UN SISTEMA DE ANÁLISIS DE PELIGROS Y DE PUNTOS CRÍTICOS DE CONTROL (HACCP), PARA LA EMPRESA “INDUSTRIA PANIFICADORA INPASA”</v>
      </c>
      <c r="B151" s="58">
        <f>IFERROR(__xludf.DUMMYFUNCTION("""COMPUTED_VALUE"""),2.0)</f>
        <v>2</v>
      </c>
    </row>
    <row r="152">
      <c r="A152" s="58" t="str">
        <f>IFERROR(__xludf.DUMMYFUNCTION("""COMPUTED_VALUE"""),"DISEÑO DE UN SISTEMA DE CALIDAD BAJO LA  NORMA BOLIVIANA NB-ISO-IEC 17025:2005 PARA EL LABORATORIO DE SERVICIOS CAPN-UMSS")</f>
        <v>DISEÑO DE UN SISTEMA DE CALIDAD BAJO LA  NORMA BOLIVIANA NB-ISO-IEC 17025:2005 PARA EL LABORATORIO DE SERVICIOS CAPN-UMSS</v>
      </c>
      <c r="B152" s="58">
        <f>IFERROR(__xludf.DUMMYFUNCTION("""COMPUTED_VALUE"""),1.0)</f>
        <v>1</v>
      </c>
    </row>
    <row r="153">
      <c r="A153" s="58" t="str">
        <f>IFERROR(__xludf.DUMMYFUNCTION("""COMPUTED_VALUE"""),"DISEÑO DE UN SISTEMA DE CONTROL DE CALIDAD BASADO EN LAS NORMAS NB-1211001(LADRILLOS CERAMICOS-CLASIFICACION Y REQUISITOS) Y NB 1211002 (LADRILLOS CERAMICOS- METODOS DE ENSAYO) PARA LA EMPRESA CIMCO LTDA")</f>
        <v>DISEÑO DE UN SISTEMA DE CONTROL DE CALIDAD BASADO EN LAS NORMAS NB-1211001(LADRILLOS CERAMICOS-CLASIFICACION Y REQUISITOS) Y NB 1211002 (LADRILLOS CERAMICOS- METODOS DE ENSAYO) PARA LA EMPRESA CIMCO LTDA</v>
      </c>
      <c r="B153" s="58">
        <f>IFERROR(__xludf.DUMMYFUNCTION("""COMPUTED_VALUE"""),3.0)</f>
        <v>3</v>
      </c>
    </row>
    <row r="154">
      <c r="A154" s="58" t="str">
        <f>IFERROR(__xludf.DUMMYFUNCTION("""COMPUTED_VALUE"""),"DISEÑO DE UN SISTEMA DE CONTROL DE CALIDAD DE LA MATERIA
PRIMA EN “ILVA”")</f>
        <v>DISEÑO DE UN SISTEMA DE CONTROL DE CALIDAD DE LA MATERIA
PRIMA EN “ILVA”</v>
      </c>
      <c r="B154" s="58">
        <f>IFERROR(__xludf.DUMMYFUNCTION("""COMPUTED_VALUE"""),2.0)</f>
        <v>2</v>
      </c>
    </row>
    <row r="155">
      <c r="A155" s="58" t="str">
        <f>IFERROR(__xludf.DUMMYFUNCTION("""COMPUTED_VALUE"""),"DISEÑO DE UN SISTEMA DE CONTROL DE CALIDAD DE LA MATERIA PRIMA EN I L V A")</f>
        <v>DISEÑO DE UN SISTEMA DE CONTROL DE CALIDAD DE LA MATERIA PRIMA EN I L V A</v>
      </c>
      <c r="B155" s="58">
        <f>IFERROR(__xludf.DUMMYFUNCTION("""COMPUTED_VALUE"""),5.0)</f>
        <v>5</v>
      </c>
    </row>
    <row r="156">
      <c r="A156" s="58" t="str">
        <f>IFERROR(__xludf.DUMMYFUNCTION("""COMPUTED_VALUE"""),"DISEÑO DE UN SISTEMA DE GESTION AMBIENTAL
BASADO EN LA NORMA ISO 14001:2004
PARA IMPABOL S.R.L.")</f>
        <v>DISEÑO DE UN SISTEMA DE GESTION AMBIENTAL
BASADO EN LA NORMA ISO 14001:2004
PARA IMPABOL S.R.L.</v>
      </c>
      <c r="B156" s="58">
        <f>IFERROR(__xludf.DUMMYFUNCTION("""COMPUTED_VALUE"""),1.0)</f>
        <v>1</v>
      </c>
    </row>
    <row r="157">
      <c r="A157" s="58" t="str">
        <f>IFERROR(__xludf.DUMMYFUNCTION("""COMPUTED_VALUE"""),"DISEÑO DE UN SISTEMA DE GESTION DE CALIDAD BASADO EN LA NORMA NB-ISO 9001:2008 PARA LA INDUSTRIA PANIFICADORA SAN ANTONIO INPASA")</f>
        <v>DISEÑO DE UN SISTEMA DE GESTION DE CALIDAD BASADO EN LA NORMA NB-ISO 9001:2008 PARA LA INDUSTRIA PANIFICADORA SAN ANTONIO INPASA</v>
      </c>
      <c r="B157" s="58">
        <f>IFERROR(__xludf.DUMMYFUNCTION("""COMPUTED_VALUE"""),3.0)</f>
        <v>3</v>
      </c>
    </row>
    <row r="158">
      <c r="A158" s="58" t="str">
        <f>IFERROR(__xludf.DUMMYFUNCTION("""COMPUTED_VALUE"""),"DISEÑO DE UN SISTEMA DE GESTION DE CALIDAD ISO 9001:2015 CERTIFICABLE PARA LA EMPRESA PIERINI S.A.")</f>
        <v>DISEÑO DE UN SISTEMA DE GESTION DE CALIDAD ISO 9001:2015 CERTIFICABLE PARA LA EMPRESA PIERINI S.A.</v>
      </c>
      <c r="B158" s="58">
        <f>IFERROR(__xludf.DUMMYFUNCTION("""COMPUTED_VALUE"""),1.0)</f>
        <v>1</v>
      </c>
    </row>
    <row r="159">
      <c r="A159" s="58" t="str">
        <f>IFERROR(__xludf.DUMMYFUNCTION("""COMPUTED_VALUE"""),"DISEÑO DE UN SISTEMA DE GESTION DE HIGIENE Y SALUD OCUPACIONAL EN CERVERCERIA BOLIVIANA NACIONAL S.A.- PLANTA TAQUIÑA")</f>
        <v>DISEÑO DE UN SISTEMA DE GESTION DE HIGIENE Y SALUD OCUPACIONAL EN CERVERCERIA BOLIVIANA NACIONAL S.A.- PLANTA TAQUIÑA</v>
      </c>
      <c r="B159" s="58">
        <f>IFERROR(__xludf.DUMMYFUNCTION("""COMPUTED_VALUE"""),3.0)</f>
        <v>3</v>
      </c>
    </row>
    <row r="160">
      <c r="A160" s="58" t="str">
        <f>IFERROR(__xludf.DUMMYFUNCTION("""COMPUTED_VALUE"""),"DISEÑO DE UN SISTEMA DE GESTION DE LA CALIDAD SEGÚN NORMA NB/ISO 9001:2008 PARA LA LÍNEA FRACCIONAMIENTO DE LA EMPRESA FOODS COMPANY S.R.L.")</f>
        <v>DISEÑO DE UN SISTEMA DE GESTION DE LA CALIDAD SEGÚN NORMA NB/ISO 9001:2008 PARA LA LÍNEA FRACCIONAMIENTO DE LA EMPRESA FOODS COMPANY S.R.L.</v>
      </c>
      <c r="B160" s="58">
        <f>IFERROR(__xludf.DUMMYFUNCTION("""COMPUTED_VALUE"""),1.0)</f>
        <v>1</v>
      </c>
    </row>
    <row r="161">
      <c r="A161" s="58" t="str">
        <f>IFERROR(__xludf.DUMMYFUNCTION("""COMPUTED_VALUE"""),"DISEÑO DE UN SISTEMA DE GESTIÓN AMBIENTAL
PARA EL GRUPO EMPRESARIAL VALENCIA
SEGÚN LA NORMA ISO 14001:2004")</f>
        <v>DISEÑO DE UN SISTEMA DE GESTIÓN AMBIENTAL
PARA EL GRUPO EMPRESARIAL VALENCIA
SEGÚN LA NORMA ISO 14001:2004</v>
      </c>
      <c r="B161" s="58">
        <f>IFERROR(__xludf.DUMMYFUNCTION("""COMPUTED_VALUE"""),2.0)</f>
        <v>2</v>
      </c>
    </row>
    <row r="162">
      <c r="A162" s="58" t="str">
        <f>IFERROR(__xludf.DUMMYFUNCTION("""COMPUTED_VALUE"""),"DISEÑO DE UN SISTEMA DE GESTIÓN AMBIENTAL BASADO EN LA NORMA ISO 14001:2004 PARA COPELME S.A.")</f>
        <v>DISEÑO DE UN SISTEMA DE GESTIÓN AMBIENTAL BASADO EN LA NORMA ISO 14001:2004 PARA COPELME S.A.</v>
      </c>
      <c r="B162" s="58">
        <f>IFERROR(__xludf.DUMMYFUNCTION("""COMPUTED_VALUE"""),1.0)</f>
        <v>1</v>
      </c>
    </row>
    <row r="163">
      <c r="A163" s="58" t="str">
        <f>IFERROR(__xludf.DUMMYFUNCTION("""COMPUTED_VALUE"""),"DISEÑO DE UN SISTEMA DE GESTIÓN AMBIENTAL BASADO EN LA NORMA ISO 14001:2004 PARA IMPABOL S.R.L.")</f>
        <v>DISEÑO DE UN SISTEMA DE GESTIÓN AMBIENTAL BASADO EN LA NORMA ISO 14001:2004 PARA IMPABOL S.R.L.</v>
      </c>
      <c r="B163" s="58">
        <f>IFERROR(__xludf.DUMMYFUNCTION("""COMPUTED_VALUE"""),3.0)</f>
        <v>3</v>
      </c>
    </row>
    <row r="164">
      <c r="A164" s="58" t="str">
        <f>IFERROR(__xludf.DUMMYFUNCTION("""COMPUTED_VALUE"""),"DISEÑO DE UN SISTEMA DE GESTIÓN AMBIENTAL DE ACUERDO A LA NORMA ISO 14001:2015 PARA LA EMPRESA COBOCE HORMIGÓN EN EL DEPARTAMENTO DE COCHABAMBA, PROVINCIA CERCADO")</f>
        <v>DISEÑO DE UN SISTEMA DE GESTIÓN AMBIENTAL DE ACUERDO A LA NORMA ISO 14001:2015 PARA LA EMPRESA COBOCE HORMIGÓN EN EL DEPARTAMENTO DE COCHABAMBA, PROVINCIA CERCADO</v>
      </c>
      <c r="B164" s="58">
        <f>IFERROR(__xludf.DUMMYFUNCTION("""COMPUTED_VALUE"""),13.0)</f>
        <v>13</v>
      </c>
    </row>
    <row r="165">
      <c r="A165" s="58" t="str">
        <f>IFERROR(__xludf.DUMMYFUNCTION("""COMPUTED_VALUE"""),"DISEÑO DE UN SISTEMA DE GESTIÓN AMBIENTAL PARA LA COOPERATIVA INTEGRAL FOTRAMA LTDA. BASADO EN LA NORMA ISO 14001:2004")</f>
        <v>DISEÑO DE UN SISTEMA DE GESTIÓN AMBIENTAL PARA LA COOPERATIVA INTEGRAL FOTRAMA LTDA. BASADO EN LA NORMA ISO 14001:2004</v>
      </c>
      <c r="B165" s="58">
        <f>IFERROR(__xludf.DUMMYFUNCTION("""COMPUTED_VALUE"""),2.0)</f>
        <v>2</v>
      </c>
    </row>
    <row r="166">
      <c r="A166" s="58" t="str">
        <f>IFERROR(__xludf.DUMMYFUNCTION("""COMPUTED_VALUE"""),"DISEÑO DE UN SISTEMA DE GESTIÓN DE CALIDAD
BASADO EN LA NORMA ISO 9001:2008
PARA EL ÁREA DE PRODUCCIÓN DEL PDTF")</f>
        <v>DISEÑO DE UN SISTEMA DE GESTIÓN DE CALIDAD
BASADO EN LA NORMA ISO 9001:2008
PARA EL ÁREA DE PRODUCCIÓN DEL PDTF</v>
      </c>
      <c r="B166" s="58">
        <f>IFERROR(__xludf.DUMMYFUNCTION("""COMPUTED_VALUE"""),1.0)</f>
        <v>1</v>
      </c>
    </row>
    <row r="167">
      <c r="A167"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67" s="58">
        <f>IFERROR(__xludf.DUMMYFUNCTION("""COMPUTED_VALUE"""),1.0)</f>
        <v>1</v>
      </c>
    </row>
    <row r="168">
      <c r="A168" s="58" t="str">
        <f>IFERROR(__xludf.DUMMYFUNCTION("""COMPUTED_VALUE"""),"DISEÑO DE UN SISTEMA DE GESTIÓN DE CALIDAD BASADO EN LA ISO 9001–2008 PARA LA EMPRESA METALMECÁNICA ALANOCA")</f>
        <v>DISEÑO DE UN SISTEMA DE GESTIÓN DE CALIDAD BASADO EN LA ISO 9001–2008 PARA LA EMPRESA METALMECÁNICA ALANOCA</v>
      </c>
      <c r="B168" s="58">
        <f>IFERROR(__xludf.DUMMYFUNCTION("""COMPUTED_VALUE"""),2.0)</f>
        <v>2</v>
      </c>
    </row>
    <row r="169">
      <c r="A169"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69" s="58">
        <f>IFERROR(__xludf.DUMMYFUNCTION("""COMPUTED_VALUE"""),1.0)</f>
        <v>1</v>
      </c>
    </row>
    <row r="170">
      <c r="A170"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70" s="58">
        <f>IFERROR(__xludf.DUMMYFUNCTION("""COMPUTED_VALUE"""),3.0)</f>
        <v>3</v>
      </c>
    </row>
    <row r="171">
      <c r="A171" s="58" t="str">
        <f>IFERROR(__xludf.DUMMYFUNCTION("""COMPUTED_VALUE"""),"DISEÑO DE UN SISTEMA DE GESTIÓN DE CALIDAD BASADO EN LA NORMA BOLIVIANA ISO 9001/2015 PARA LA EMPRESAN ISOFORTE S.R.L.")</f>
        <v>DISEÑO DE UN SISTEMA DE GESTIÓN DE CALIDAD BASADO EN LA NORMA BOLIVIANA ISO 9001/2015 PARA LA EMPRESAN ISOFORTE S.R.L.</v>
      </c>
      <c r="B171" s="58">
        <f>IFERROR(__xludf.DUMMYFUNCTION("""COMPUTED_VALUE"""),1.0)</f>
        <v>1</v>
      </c>
    </row>
    <row r="172">
      <c r="A172" s="58" t="str">
        <f>IFERROR(__xludf.DUMMYFUNCTION("""COMPUTED_VALUE"""),"DISEÑO DE UN SISTEMA DE GESTIÓN DE CALIDAD BASADO EN LA NORMA BOLIVIANA ISO 9001:2015 PARA LA EMPRESA ISOFORTE S.R.L.")</f>
        <v>DISEÑO DE UN SISTEMA DE GESTIÓN DE CALIDAD BASADO EN LA NORMA BOLIVIANA ISO 9001:2015 PARA LA EMPRESA ISOFORTE S.R.L.</v>
      </c>
      <c r="B172" s="58">
        <f>IFERROR(__xludf.DUMMYFUNCTION("""COMPUTED_VALUE"""),22.0)</f>
        <v>22</v>
      </c>
    </row>
    <row r="173">
      <c r="A173" s="58" t="str">
        <f>IFERROR(__xludf.DUMMYFUNCTION("""COMPUTED_VALUE"""),"DISEÑO DE UN SISTEMA DE GESTIÓN DE CALIDAD BASADO EN LA NORMA ISO 9001 EN EL DEPARTAMENTO DE DISEÑO Y DESARROLLO DE LA EMPRESA METALMECÁNICA PROMAQ I+D LTDA.")</f>
        <v>DISEÑO DE UN SISTEMA DE GESTIÓN DE CALIDAD BASADO EN LA NORMA ISO 9001 EN EL DEPARTAMENTO DE DISEÑO Y DESARROLLO DE LA EMPRESA METALMECÁNICA PROMAQ I+D LTDA.</v>
      </c>
      <c r="B173" s="58">
        <f>IFERROR(__xludf.DUMMYFUNCTION("""COMPUTED_VALUE"""),2.0)</f>
        <v>2</v>
      </c>
    </row>
    <row r="174">
      <c r="A174" s="58" t="str">
        <f>IFERROR(__xludf.DUMMYFUNCTION("""COMPUTED_VALUE"""),"DISEÑO DE UN SISTEMA DE GESTIÓN DE CALIDAD BASADO EN LA NORMA ISO 9001 VERSIÓN 2008 PARA LAS PRINCIPALES ÁREAS OPERATIVAS DE LA EMPRESA PÚBLICA SEMAPA")</f>
        <v>DISEÑO DE UN SISTEMA DE GESTIÓN DE CALIDAD BASADO EN LA NORMA ISO 9001 VERSIÓN 2008 PARA LAS PRINCIPALES ÁREAS OPERATIVAS DE LA EMPRESA PÚBLICA SEMAPA</v>
      </c>
      <c r="B174" s="58">
        <f>IFERROR(__xludf.DUMMYFUNCTION("""COMPUTED_VALUE"""),3.0)</f>
        <v>3</v>
      </c>
    </row>
    <row r="175">
      <c r="A175" s="58" t="str">
        <f>IFERROR(__xludf.DUMMYFUNCTION("""COMPUTED_VALUE"""),"DISEÑO DE UN SISTEMA DE GESTIÓN DE CALIDAD BASADO EN LA NORMA ISO 9001:2000 PARA LA EMPRESA IMPRESO S.R.L.")</f>
        <v>DISEÑO DE UN SISTEMA DE GESTIÓN DE CALIDAD BASADO EN LA NORMA ISO 9001:2000 PARA LA EMPRESA IMPRESO S.R.L.</v>
      </c>
      <c r="B175" s="58">
        <f>IFERROR(__xludf.DUMMYFUNCTION("""COMPUTED_VALUE"""),1.0)</f>
        <v>1</v>
      </c>
    </row>
    <row r="176">
      <c r="A176" s="58" t="str">
        <f>IFERROR(__xludf.DUMMYFUNCTION("""COMPUTED_VALUE"""),"DISEÑO DE UN SISTEMA DE GESTIÓN DE CALIDAD BASADO EN LA NORMA ISO 9001:2008 PARA LA EMPRESA DE PLÁSTICOS: “INMAPLAST S.R.L.")</f>
        <v>DISEÑO DE UN SISTEMA DE GESTIÓN DE CALIDAD BASADO EN LA NORMA ISO 9001:2008 PARA LA EMPRESA DE PLÁSTICOS: “INMAPLAST S.R.L.</v>
      </c>
      <c r="B176" s="58">
        <f>IFERROR(__xludf.DUMMYFUNCTION("""COMPUTED_VALUE"""),2.0)</f>
        <v>2</v>
      </c>
    </row>
    <row r="177">
      <c r="A177" s="58" t="str">
        <f>IFERROR(__xludf.DUMMYFUNCTION("""COMPUTED_VALUE"""),"DISEÑO DE UN SISTEMA DE GESTIÓN DE CALIDAD BASADO EN LA NORMA ISO 9001:2008, PARA LA COOPERATIVA DE AHORRO Y CRÉDITO ABIERTA SAN JOSÉ DE PUNATA LTDA")</f>
        <v>DISEÑO DE UN SISTEMA DE GESTIÓN DE CALIDAD BASADO EN LA NORMA ISO 9001:2008, PARA LA COOPERATIVA DE AHORRO Y CRÉDITO ABIERTA SAN JOSÉ DE PUNATA LTDA</v>
      </c>
      <c r="B177" s="58">
        <f>IFERROR(__xludf.DUMMYFUNCTION("""COMPUTED_VALUE"""),1.0)</f>
        <v>1</v>
      </c>
    </row>
    <row r="178">
      <c r="A178" s="58" t="str">
        <f>IFERROR(__xludf.DUMMYFUNCTION("""COMPUTED_VALUE"""),"DISEÑO DE UN SISTEMA DE GESTIÓN DE CALIDAD BASADO EN LA NORMA NB-ISO 9001:2008 PARA LA INDUSTRIA PANIFICADORA SAN ANTONIO INPASA.")</f>
        <v>DISEÑO DE UN SISTEMA DE GESTIÓN DE CALIDAD BASADO EN LA NORMA NB-ISO 9001:2008 PARA LA INDUSTRIA PANIFICADORA SAN ANTONIO INPASA.</v>
      </c>
      <c r="B178" s="58">
        <f>IFERROR(__xludf.DUMMYFUNCTION("""COMPUTED_VALUE"""),5.0)</f>
        <v>5</v>
      </c>
    </row>
    <row r="179">
      <c r="A179"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B179" s="58">
        <f>IFERROR(__xludf.DUMMYFUNCTION("""COMPUTED_VALUE"""),1.0)</f>
        <v>1</v>
      </c>
    </row>
    <row r="180">
      <c r="A180" s="58" t="str">
        <f>IFERROR(__xludf.DUMMYFUNCTION("""COMPUTED_VALUE"""),"DISEÑO DE UN SISTEMA DE GESTIÓN DE CALIDAD BASADO EN LA NORMA NB/ISO 9001:2015 PARA LA EMPRESA DE MUEBLES PERSONALIZADOS “MERAKI” EN LA CIUDAD DE COCHABAMBA")</f>
        <v>DISEÑO DE UN SISTEMA DE GESTIÓN DE CALIDAD BASADO EN LA NORMA NB/ISO 9001:2015 PARA LA EMPRESA DE MUEBLES PERSONALIZADOS “MERAKI” EN LA CIUDAD DE COCHABAMBA</v>
      </c>
      <c r="B180" s="58">
        <f>IFERROR(__xludf.DUMMYFUNCTION("""COMPUTED_VALUE"""),13.0)</f>
        <v>13</v>
      </c>
    </row>
    <row r="181">
      <c r="A181" s="58" t="str">
        <f>IFERROR(__xludf.DUMMYFUNCTION("""COMPUTED_VALUE"""),"DISEÑO DE UN SISTEMA DE GESTIÓN DE CALIDAD DEL PROCESO DE LAMINACIÓN PARA LA EMPRESA COPELME S.A.")</f>
        <v>DISEÑO DE UN SISTEMA DE GESTIÓN DE CALIDAD DEL PROCESO DE LAMINACIÓN PARA LA EMPRESA COPELME S.A.</v>
      </c>
      <c r="B181" s="58">
        <f>IFERROR(__xludf.DUMMYFUNCTION("""COMPUTED_VALUE"""),1.0)</f>
        <v>1</v>
      </c>
    </row>
    <row r="182">
      <c r="A182" s="58" t="str">
        <f>IFERROR(__xludf.DUMMYFUNCTION("""COMPUTED_VALUE"""),"DISEÑO DE UN SISTEMA DE GESTIÓN DE CALIDAD E IMPLENTACION DOCUMENTAL PARCIAL BASADO EN LA NORMA ISO 9001 VERSIÓN 2008 PARA LA DIRECCION DEL POSGRADO DE LA FACULTAD DE CIENCIAS Y TECNOLOGIA")</f>
        <v>DISEÑO DE UN SISTEMA DE GESTIÓN DE CALIDAD E IMPLENTACION DOCUMENTAL PARCIAL BASADO EN LA NORMA ISO 9001 VERSIÓN 2008 PARA LA DIRECCION DEL POSGRADO DE LA FACULTAD DE CIENCIAS Y TECNOLOGIA</v>
      </c>
      <c r="B182" s="58">
        <f>IFERROR(__xludf.DUMMYFUNCTION("""COMPUTED_VALUE"""),2.0)</f>
        <v>2</v>
      </c>
    </row>
    <row r="183">
      <c r="A183" s="58" t="str">
        <f>IFERROR(__xludf.DUMMYFUNCTION("""COMPUTED_VALUE"""),"DISEÑO DE UN SISTEMA DE GESTIÓN DE CALIDAD ISO 9001:2000 PARA LA EMPRESA VIVA-GSM")</f>
        <v>DISEÑO DE UN SISTEMA DE GESTIÓN DE CALIDAD ISO 9001:2000 PARA LA EMPRESA VIVA-GSM</v>
      </c>
      <c r="B183" s="58">
        <f>IFERROR(__xludf.DUMMYFUNCTION("""COMPUTED_VALUE"""),4.0)</f>
        <v>4</v>
      </c>
    </row>
    <row r="184">
      <c r="A184" s="58" t="str">
        <f>IFERROR(__xludf.DUMMYFUNCTION("""COMPUTED_VALUE"""),"DISEÑO DE UN SISTEMA DE GESTIÓN DE CALIDAD ISO 9001:2015 CERTIFICABLE PARA LA EMPRESA PIERINI S.A.")</f>
        <v>DISEÑO DE UN SISTEMA DE GESTIÓN DE CALIDAD ISO 9001:2015 CERTIFICABLE PARA LA EMPRESA PIERINI S.A.</v>
      </c>
      <c r="B184" s="58">
        <f>IFERROR(__xludf.DUMMYFUNCTION("""COMPUTED_VALUE"""),13.0)</f>
        <v>13</v>
      </c>
    </row>
    <row r="185">
      <c r="A185" s="58" t="str">
        <f>IFERROR(__xludf.DUMMYFUNCTION("""COMPUTED_VALUE"""),"DISEÑO DE UN SISTEMA DE GESTIÓN DE CALIDAD ORIENTADO A PROCESOS PARA LA INSTITUCIÓN FINANCIERA DE DESARROLLO CIDRE")</f>
        <v>DISEÑO DE UN SISTEMA DE GESTIÓN DE CALIDAD ORIENTADO A PROCESOS PARA LA INSTITUCIÓN FINANCIERA DE DESARROLLO CIDRE</v>
      </c>
      <c r="B185" s="58">
        <f>IFERROR(__xludf.DUMMYFUNCTION("""COMPUTED_VALUE"""),1.0)</f>
        <v>1</v>
      </c>
    </row>
    <row r="186">
      <c r="A186" s="58" t="str">
        <f>IFERROR(__xludf.DUMMYFUNCTION("""COMPUTED_VALUE"""),"DISEÑO DE UN SISTEMA DE GESTIÓN DE CALIDAD PARA LA EMPRESA DELMONTE S.R.L. EN         BASE A LA NORMA ISO 9001:2015")</f>
        <v>DISEÑO DE UN SISTEMA DE GESTIÓN DE CALIDAD PARA LA EMPRESA DELMONTE S.R.L. EN         BASE A LA NORMA ISO 9001:2015</v>
      </c>
      <c r="B186" s="58">
        <f>IFERROR(__xludf.DUMMYFUNCTION("""COMPUTED_VALUE"""),4.0)</f>
        <v>4</v>
      </c>
    </row>
    <row r="187">
      <c r="A187" s="58" t="str">
        <f>IFERROR(__xludf.DUMMYFUNCTION("""COMPUTED_VALUE"""),"DISEÑO DE UN SISTEMA DE GESTIÓN DE CALIDAD PARA LA EMPRESA DELMONTE S.R.L. EN BASE A LA NORMA ISO 9001:2015")</f>
        <v>DISEÑO DE UN SISTEMA DE GESTIÓN DE CALIDAD PARA LA EMPRESA DELMONTE S.R.L. EN BASE A LA NORMA ISO 9001:2015</v>
      </c>
      <c r="B187" s="58">
        <f>IFERROR(__xludf.DUMMYFUNCTION("""COMPUTED_VALUE"""),5.0)</f>
        <v>5</v>
      </c>
    </row>
    <row r="188">
      <c r="A188" s="58" t="str">
        <f>IFERROR(__xludf.DUMMYFUNCTION("""COMPUTED_VALUE"""),"DISEÑO DE UN SISTEMA DE GESTIÓN DE CALIDAD PARA LA EMPRESA DELMONTE S.R.L. EN BASE A LA NORMA ISO 9001:2016")</f>
        <v>DISEÑO DE UN SISTEMA DE GESTIÓN DE CALIDAD PARA LA EMPRESA DELMONTE S.R.L. EN BASE A LA NORMA ISO 9001:2016</v>
      </c>
      <c r="B188" s="58">
        <f>IFERROR(__xludf.DUMMYFUNCTION("""COMPUTED_VALUE"""),2.0)</f>
        <v>2</v>
      </c>
    </row>
    <row r="189">
      <c r="A189" s="58" t="str">
        <f>IFERROR(__xludf.DUMMYFUNCTION("""COMPUTED_VALUE"""),"DISEÑO DE UN SISTEMA DE GESTIÓN DE CALIDAD PARA LA EMPRESA DELMONTE S.R.L. EN BASE A LA NORMA ISO 9001:2017")</f>
        <v>DISEÑO DE UN SISTEMA DE GESTIÓN DE CALIDAD PARA LA EMPRESA DELMONTE S.R.L. EN BASE A LA NORMA ISO 9001:2017</v>
      </c>
      <c r="B189" s="58">
        <f>IFERROR(__xludf.DUMMYFUNCTION("""COMPUTED_VALUE"""),5.0)</f>
        <v>5</v>
      </c>
    </row>
    <row r="190">
      <c r="A190" s="58" t="str">
        <f>IFERROR(__xludf.DUMMYFUNCTION("""COMPUTED_VALUE"""),"DISEÑO DE UN SISTEMA DE GESTIÓN DE CALIDAD PARA PLANTA EXTERNA DE TELEFONÍA BÁSICA PARA LA EMPRESA COMTECO COCHABAMBA EN BASE A LA NORMA ISO 9001:2000")</f>
        <v>DISEÑO DE UN SISTEMA DE GESTIÓN DE CALIDAD PARA PLANTA EXTERNA DE TELEFONÍA BÁSICA PARA LA EMPRESA COMTECO COCHABAMBA EN BASE A LA NORMA ISO 9001:2000</v>
      </c>
      <c r="B190" s="58">
        <f>IFERROR(__xludf.DUMMYFUNCTION("""COMPUTED_VALUE"""),1.0)</f>
        <v>1</v>
      </c>
    </row>
    <row r="191">
      <c r="A191" s="58" t="str">
        <f>IFERROR(__xludf.DUMMYFUNCTION("""COMPUTED_VALUE"""),"DISEÑO DE UN SISTEMA DE GESTIÓN DE CALIDAD PARAPLANTA PILOTO DEL CENTRO DE TECNOLOGÍA
AGROINDUSTRIAL EN BASE A LA NORMA
ISO 9001:2000")</f>
        <v>DISEÑO DE UN SISTEMA DE GESTIÓN DE CALIDAD PARAPLANTA PILOTO DEL CENTRO DE TECNOLOGÍA
AGROINDUSTRIAL EN BASE A LA NORMA
ISO 9001:2000</v>
      </c>
      <c r="B191" s="58">
        <f>IFERROR(__xludf.DUMMYFUNCTION("""COMPUTED_VALUE"""),1.0)</f>
        <v>1</v>
      </c>
    </row>
    <row r="192">
      <c r="A192" s="58" t="str">
        <f>IFERROR(__xludf.DUMMYFUNCTION("""COMPUTED_VALUE"""),"DISEÑO DE UN SISTEMA DE GESTIÓN DE INOCUIDAD ALIMENTARIA BAJO EL ESQUEMA FSSC  22000 PARA LA EMPRESA LA PAPELERA S.A.")</f>
        <v>DISEÑO DE UN SISTEMA DE GESTIÓN DE INOCUIDAD ALIMENTARIA BAJO EL ESQUEMA FSSC  22000 PARA LA EMPRESA LA PAPELERA S.A.</v>
      </c>
      <c r="B192" s="58">
        <f>IFERROR(__xludf.DUMMYFUNCTION("""COMPUTED_VALUE"""),2.0)</f>
        <v>2</v>
      </c>
    </row>
    <row r="193">
      <c r="A193" s="58" t="str">
        <f>IFERROR(__xludf.DUMMYFUNCTION("""COMPUTED_VALUE"""),"DISEÑO DE UN SISTEMA DE GESTIÓN DE INOCUIDAD ALIMENTARIA BASADO EN LA NORMA ISO 22000:2005 PARA LA EMPRESA SIARAVE")</f>
        <v>DISEÑO DE UN SISTEMA DE GESTIÓN DE INOCUIDAD ALIMENTARIA BASADO EN LA NORMA ISO 22000:2005 PARA LA EMPRESA SIARAVE</v>
      </c>
      <c r="B193" s="58">
        <f>IFERROR(__xludf.DUMMYFUNCTION("""COMPUTED_VALUE"""),1.0)</f>
        <v>1</v>
      </c>
    </row>
    <row r="194">
      <c r="A194" s="58" t="str">
        <f>IFERROR(__xludf.DUMMYFUNCTION("""COMPUTED_VALUE"""),"DISEÑO DE UN SISTEMA DE GESTIÓN DE LA CALIDAD
BASADO EN LA NORMA ISO 9001 VERSIÓN 2008 PARA
INDUSTRIAS LACTEAS DEL VALLE ALTO “ILVA S.R.L.”")</f>
        <v>DISEÑO DE UN SISTEMA DE GESTIÓN DE LA CALIDAD
BASADO EN LA NORMA ISO 9001 VERSIÓN 2008 PARA
INDUSTRIAS LACTEAS DEL VALLE ALTO “ILVA S.R.L.”</v>
      </c>
      <c r="B194" s="58">
        <f>IFERROR(__xludf.DUMMYFUNCTION("""COMPUTED_VALUE"""),1.0)</f>
        <v>1</v>
      </c>
    </row>
    <row r="195">
      <c r="A195" s="58" t="str">
        <f>IFERROR(__xludf.DUMMYFUNCTION("""COMPUTED_VALUE"""),"DISEÑO DE UN SISTEMA DE GESTIÓN DE LA CALIDAD BASADO EN LA NORMA ISO 9001:2000 PARA LA EMPRESA MURANO S.R.L.")</f>
        <v>DISEÑO DE UN SISTEMA DE GESTIÓN DE LA CALIDAD BASADO EN LA NORMA ISO 9001:2000 PARA LA EMPRESA MURANO S.R.L.</v>
      </c>
      <c r="B195" s="58">
        <f>IFERROR(__xludf.DUMMYFUNCTION("""COMPUTED_VALUE"""),1.0)</f>
        <v>1</v>
      </c>
    </row>
    <row r="196">
      <c r="A196" s="58" t="str">
        <f>IFERROR(__xludf.DUMMYFUNCTION("""COMPUTED_VALUE"""),"DISEÑO DE UN SISTEMA DE GESTIÓN DE LA CALIDAD ISO 9001:2000 PARA MOPAR S.A.")</f>
        <v>DISEÑO DE UN SISTEMA DE GESTIÓN DE LA CALIDAD ISO 9001:2000 PARA MOPAR S.A.</v>
      </c>
      <c r="B196" s="58">
        <f>IFERROR(__xludf.DUMMYFUNCTION("""COMPUTED_VALUE"""),1.0)</f>
        <v>1</v>
      </c>
    </row>
    <row r="197">
      <c r="A197" s="58" t="str">
        <f>IFERROR(__xludf.DUMMYFUNCTION("""COMPUTED_VALUE"""),"DISEÑO DE UN SISTEMA DE GESTIÓN DE LA SEGURIDAD Y SALUD EN EL TRABAJO PARA LA EMPRESA DE CONFECCIONES ROMAN JEANS")</f>
        <v>DISEÑO DE UN SISTEMA DE GESTIÓN DE LA SEGURIDAD Y SALUD EN EL TRABAJO PARA LA EMPRESA DE CONFECCIONES ROMAN JEANS</v>
      </c>
      <c r="B197" s="58">
        <f>IFERROR(__xludf.DUMMYFUNCTION("""COMPUTED_VALUE"""),9.0)</f>
        <v>9</v>
      </c>
    </row>
    <row r="198">
      <c r="A198" s="58" t="str">
        <f>IFERROR(__xludf.DUMMYFUNCTION("""COMPUTED_VALUE"""),"DISEÑO DE UN SISTEMA DE GESTIÓN DE LA SEGURIDAD Y SALUD OCUPACIONAL BASADO EN LA NB/OHSAS 18001:2008 PARA EMPRESA METALÚRGICA AYLLON")</f>
        <v>DISEÑO DE UN SISTEMA DE GESTIÓN DE LA SEGURIDAD Y SALUD OCUPACIONAL BASADO EN LA NB/OHSAS 18001:2008 PARA EMPRESA METALÚRGICA AYLLON</v>
      </c>
      <c r="B198" s="58">
        <f>IFERROR(__xludf.DUMMYFUNCTION("""COMPUTED_VALUE"""),4.0)</f>
        <v>4</v>
      </c>
    </row>
    <row r="199">
      <c r="A199" s="58" t="str">
        <f>IFERROR(__xludf.DUMMYFUNCTION("""COMPUTED_VALUE"""),"DISEÑO DE UN SISTEMA DE GESTIÓN DE MANTENIMIENTO DE EQUIPOS PARA LA OBTENCIÓN DE LA MÁXIMA EFICIENCIA EN TELEFONÍA PÚBLICA DE COMTECO")</f>
        <v>DISEÑO DE UN SISTEMA DE GESTIÓN DE MANTENIMIENTO DE EQUIPOS PARA LA OBTENCIÓN DE LA MÁXIMA EFICIENCIA EN TELEFONÍA PÚBLICA DE COMTECO</v>
      </c>
      <c r="B199" s="58">
        <f>IFERROR(__xludf.DUMMYFUNCTION("""COMPUTED_VALUE"""),1.0)</f>
        <v>1</v>
      </c>
    </row>
    <row r="200">
      <c r="A200" s="58" t="str">
        <f>IFERROR(__xludf.DUMMYFUNCTION("""COMPUTED_VALUE"""),"DISEÑO DE UN SISTEMA DE GESTIÓN DE MANTENIMIENTO PARA LA FLOTA DE MIXERS Y LA DOSIFICADORA DE LA PLANTA READY MIX COCHABAMBA DE SOBOCE S.A.")</f>
        <v>DISEÑO DE UN SISTEMA DE GESTIÓN DE MANTENIMIENTO PARA LA FLOTA DE MIXERS Y LA DOSIFICADORA DE LA PLANTA READY MIX COCHABAMBA DE SOBOCE S.A.</v>
      </c>
      <c r="B200" s="58">
        <f>IFERROR(__xludf.DUMMYFUNCTION("""COMPUTED_VALUE"""),2.0)</f>
        <v>2</v>
      </c>
    </row>
    <row r="201">
      <c r="A201" s="58" t="str">
        <f>IFERROR(__xludf.DUMMYFUNCTION("""COMPUTED_VALUE"""),"DISEÑO DE UN SISTEMA DE GESTIÓN DE SEGURIDAD Y SALUD
EN EL TRABAJO EN BASE A LA ISO 45001 PARA EL COMITÉ
NACIONAL DE DESPACHO DE CARGA – CNDC")</f>
        <v>DISEÑO DE UN SISTEMA DE GESTIÓN DE SEGURIDAD Y SALUD
EN EL TRABAJO EN BASE A LA ISO 45001 PARA EL COMITÉ
NACIONAL DE DESPACHO DE CARGA – CNDC</v>
      </c>
      <c r="B201" s="58">
        <f>IFERROR(__xludf.DUMMYFUNCTION("""COMPUTED_VALUE"""),1.0)</f>
        <v>1</v>
      </c>
    </row>
    <row r="202">
      <c r="A202" s="58" t="str">
        <f>IFERROR(__xludf.DUMMYFUNCTION("""COMPUTED_VALUE"""),"DISEÑO DE UN SISTEMA DE GESTIÓN DE SEGURIDAD Y SALUD EN EL TRABAJO EN BASE A LA ISO 45001 PARA EL COMITÉ NACIONAL DE DESPACHO DE CARGA –CNDC")</f>
        <v>DISEÑO DE UN SISTEMA DE GESTIÓN DE SEGURIDAD Y SALUD EN EL TRABAJO EN BASE A LA ISO 45001 PARA EL COMITÉ NACIONAL DE DESPACHO DE CARGA –CNDC</v>
      </c>
      <c r="B202" s="58">
        <f>IFERROR(__xludf.DUMMYFUNCTION("""COMPUTED_VALUE"""),9.0)</f>
        <v>9</v>
      </c>
    </row>
    <row r="203">
      <c r="A203" s="58" t="str">
        <f>IFERROR(__xludf.DUMMYFUNCTION("""COMPUTED_VALUE"""),"DISEÑO DE UN SISTEMA DE GESTIÓN DE SEGURIDAD Y SALUD EN EL TRABAJO SEGÚN LA NORMA ISO 45001:2018 PARA LA EMPRESA         
 “INCERCO LTDA.”
")</f>
        <v>DISEÑO DE UN SISTEMA DE GESTIÓN DE SEGURIDAD Y SALUD EN EL TRABAJO SEGÚN LA NORMA ISO 45001:2018 PARA LA EMPRESA         
 “INCERCO LTDA.”
</v>
      </c>
      <c r="B203" s="58">
        <f>IFERROR(__xludf.DUMMYFUNCTION("""COMPUTED_VALUE"""),26.0)</f>
        <v>26</v>
      </c>
    </row>
    <row r="204">
      <c r="A204" s="58" t="str">
        <f>IFERROR(__xludf.DUMMYFUNCTION("""COMPUTED_VALUE"""),"DISEÑO DE UN SISTEMA DE GESTIÓN DE SEGURIDAD Y SALUD OCUPACIONAL BASADO EN LA NORMA OHSAS 18001: 2008 PARA LA EMPRESA BIOTOP S.R.L.")</f>
        <v>DISEÑO DE UN SISTEMA DE GESTIÓN DE SEGURIDAD Y SALUD OCUPACIONAL BASADO EN LA NORMA OHSAS 18001: 2008 PARA LA EMPRESA BIOTOP S.R.L.</v>
      </c>
      <c r="B204" s="58">
        <f>IFERROR(__xludf.DUMMYFUNCTION("""COMPUTED_VALUE"""),1.0)</f>
        <v>1</v>
      </c>
    </row>
    <row r="205">
      <c r="A205" s="58" t="str">
        <f>IFERROR(__xludf.DUMMYFUNCTION("""COMPUTED_VALUE"""),"DISEÑO DE UN SISTEMA DE GESTIÓN DE SEGURIDAD Y SALUD OCUPACIONAL EN BASE A LA NORMA OHSAS 18001:2007 PARA COBOCE HORMIGÓN EN LA CIUDAD DE COCHABAMBA")</f>
        <v>DISEÑO DE UN SISTEMA DE GESTIÓN DE SEGURIDAD Y SALUD OCUPACIONAL EN BASE A LA NORMA OHSAS 18001:2007 PARA COBOCE HORMIGÓN EN LA CIUDAD DE COCHABAMBA</v>
      </c>
      <c r="B205" s="58">
        <f>IFERROR(__xludf.DUMMYFUNCTION("""COMPUTED_VALUE"""),1.0)</f>
        <v>1</v>
      </c>
    </row>
    <row r="206">
      <c r="A206" s="58" t="str">
        <f>IFERROR(__xludf.DUMMYFUNCTION("""COMPUTED_VALUE"""),"DISEÑO DE UN SISTEMA DE GESTIÓN DE SEGURIDAD Y SALUD OCUPACIONAL PARA LA EMPRESA “CAHOI SRL.” BASADO EN LA NORMA ISO 45001")</f>
        <v>DISEÑO DE UN SISTEMA DE GESTIÓN DE SEGURIDAD Y SALUD OCUPACIONAL PARA LA EMPRESA “CAHOI SRL.” BASADO EN LA NORMA ISO 45001</v>
      </c>
      <c r="B206" s="58">
        <f>IFERROR(__xludf.DUMMYFUNCTION("""COMPUTED_VALUE"""),17.0)</f>
        <v>17</v>
      </c>
    </row>
    <row r="207">
      <c r="A207" s="58" t="str">
        <f>IFERROR(__xludf.DUMMYFUNCTION("""COMPUTED_VALUE"""),"DISEÑO DE UN SISTEMA DE GESTIÓN Y ASEGURAMIENTO DE LA CALIDAD DE LOS RESULTADOS DE CALIBRACIÓN, MEDICIÓN Y ENSAYO PARA EL LABORATORIO DE CALIBRACIÓN DEL LAB S.A. EN CONFORMIDAD A LA NORMA ISO/IEC 17025")</f>
        <v>DISEÑO DE UN SISTEMA DE GESTIÓN Y ASEGURAMIENTO DE LA CALIDAD DE LOS RESULTADOS DE CALIBRACIÓN, MEDICIÓN Y ENSAYO PARA EL LABORATORIO DE CALIBRACIÓN DEL LAB S.A. EN CONFORMIDAD A LA NORMA ISO/IEC 17025</v>
      </c>
      <c r="B207" s="58">
        <f>IFERROR(__xludf.DUMMYFUNCTION("""COMPUTED_VALUE"""),1.0)</f>
        <v>1</v>
      </c>
    </row>
    <row r="208">
      <c r="A208" s="58" t="str">
        <f>IFERROR(__xludf.DUMMYFUNCTION("""COMPUTED_VALUE"""),"DISEÑO DE UN SISTEMA DE INFORMACIÓN DE COSTOS DE MANTENIMIENTO PARA LA PANTA DE HORMIGÓN READY MIX COCHABAMBA DE SOBOCE S.A.")</f>
        <v>DISEÑO DE UN SISTEMA DE INFORMACIÓN DE COSTOS DE MANTENIMIENTO PARA LA PANTA DE HORMIGÓN READY MIX COCHABAMBA DE SOBOCE S.A.</v>
      </c>
      <c r="B208" s="58">
        <f>IFERROR(__xludf.DUMMYFUNCTION("""COMPUTED_VALUE"""),3.0)</f>
        <v>3</v>
      </c>
    </row>
    <row r="209">
      <c r="A209" s="58" t="str">
        <f>IFERROR(__xludf.DUMMYFUNCTION("""COMPUTED_VALUE"""),"DISEÑO DE UN SISTEMA DE INFORMACIÓN PARA LA GESTIÓN ADMINISTRATIVA DE LA DISTRIBUIDORA VILOMA GAS")</f>
        <v>DISEÑO DE UN SISTEMA DE INFORMACIÓN PARA LA GESTIÓN ADMINISTRATIVA DE LA DISTRIBUIDORA VILOMA GAS</v>
      </c>
      <c r="B209" s="58">
        <f>IFERROR(__xludf.DUMMYFUNCTION("""COMPUTED_VALUE"""),1.0)</f>
        <v>1</v>
      </c>
    </row>
    <row r="210">
      <c r="A210" s="58" t="str">
        <f>IFERROR(__xludf.DUMMYFUNCTION("""COMPUTED_VALUE"""),"DISEÑO DE UN SISTEMA DE PLANIFICACIÓN Y CONTROL DE LA PRODUCCIÓN DE LA EMPRESA CALRO")</f>
        <v>DISEÑO DE UN SISTEMA DE PLANIFICACIÓN Y CONTROL DE LA PRODUCCIÓN DE LA EMPRESA CALRO</v>
      </c>
      <c r="B210" s="58">
        <f>IFERROR(__xludf.DUMMYFUNCTION("""COMPUTED_VALUE"""),1.0)</f>
        <v>1</v>
      </c>
    </row>
    <row r="211">
      <c r="A211" s="58" t="str">
        <f>IFERROR(__xludf.DUMMYFUNCTION("""COMPUTED_VALUE"""),"DISEÑO DE UN SISTEMA DE PLANIFICACIÓN Y CONTROL DE MATERIALES EN EL ÁREA DE ALMACENES DE LA EMPRESA ESTRUTEC SRL")</f>
        <v>DISEÑO DE UN SISTEMA DE PLANIFICACIÓN Y CONTROL DE MATERIALES EN EL ÁREA DE ALMACENES DE LA EMPRESA ESTRUTEC SRL</v>
      </c>
      <c r="B211" s="58">
        <f>IFERROR(__xludf.DUMMYFUNCTION("""COMPUTED_VALUE"""),1.0)</f>
        <v>1</v>
      </c>
    </row>
    <row r="212">
      <c r="A212" s="58" t="str">
        <f>IFERROR(__xludf.DUMMYFUNCTION("""COMPUTED_VALUE"""),"DISEÑO DE UN SISTEMA INTEGRADO DE GESTION BASADO EN
OHSAS 18001:2003 E ISO 14001:2004 PARA LA PLANTA DE ENVASES
PLASTICOS “PILPLAST” DE PIL ANDINA S.A.")</f>
        <v>DISEÑO DE UN SISTEMA INTEGRADO DE GESTION BASADO EN
OHSAS 18001:2003 E ISO 14001:2004 PARA LA PLANTA DE ENVASES
PLASTICOS “PILPLAST” DE PIL ANDINA S.A.</v>
      </c>
      <c r="B212" s="58">
        <f>IFERROR(__xludf.DUMMYFUNCTION("""COMPUTED_VALUE"""),2.0)</f>
        <v>2</v>
      </c>
    </row>
    <row r="213">
      <c r="A213"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B213" s="58">
        <f>IFERROR(__xludf.DUMMYFUNCTION("""COMPUTED_VALUE"""),4.0)</f>
        <v>4</v>
      </c>
    </row>
    <row r="214">
      <c r="A214"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B214" s="58">
        <f>IFERROR(__xludf.DUMMYFUNCTION("""COMPUTED_VALUE"""),22.0)</f>
        <v>22</v>
      </c>
    </row>
    <row r="215">
      <c r="A215" s="58" t="str">
        <f>IFERROR(__xludf.DUMMYFUNCTION("""COMPUTED_VALUE"""),"DISEÑO DE UN SISTEMA INTEGRADO DE GESTION EN BASE A LAS NORMAS NB ISO 9001:2015 Y NB OSHAS 18001:2007 PARA LA EMPRESA METALCI S.A.")</f>
        <v>DISEÑO DE UN SISTEMA INTEGRADO DE GESTION EN BASE A LAS NORMAS NB ISO 9001:2015 Y NB OSHAS 18001:2007 PARA LA EMPRESA METALCI S.A.</v>
      </c>
      <c r="B215" s="58">
        <f>IFERROR(__xludf.DUMMYFUNCTION("""COMPUTED_VALUE"""),2.0)</f>
        <v>2</v>
      </c>
    </row>
    <row r="216">
      <c r="A216" s="58" t="str">
        <f>IFERROR(__xludf.DUMMYFUNCTION("""COMPUTED_VALUE"""),"DISEÑO DE UN SISTEMA INTEGRADO DE GESTIÓN PARA LA
EMPRESA METALMECÁNICA MOPAR S.A. BASADO EN LAS
NORMAS ISO 14001:2004 – OHSAS 18001:2007")</f>
        <v>DISEÑO DE UN SISTEMA INTEGRADO DE GESTIÓN PARA LA
EMPRESA METALMECÁNICA MOPAR S.A. BASADO EN LAS
NORMAS ISO 14001:2004 – OHSAS 18001:2007</v>
      </c>
      <c r="B216" s="58">
        <f>IFERROR(__xludf.DUMMYFUNCTION("""COMPUTED_VALUE"""),1.0)</f>
        <v>1</v>
      </c>
    </row>
    <row r="217">
      <c r="A217" s="58" t="str">
        <f>IFERROR(__xludf.DUMMYFUNCTION("""COMPUTED_VALUE"""),"DISEÑO DE UN SISTEMA INTEGRADO DE GESTIÓN PARA LA EMPRESA METALMECÁNICA MOPAR    S.A. BASADO EN LAS NORMAS ISO 14001:2004 – OHSAS 18001:2007")</f>
        <v>DISEÑO DE UN SISTEMA INTEGRADO DE GESTIÓN PARA LA EMPRESA METALMECÁNICA MOPAR    S.A. BASADO EN LAS NORMAS ISO 14001:2004 – OHSAS 18001:2007</v>
      </c>
      <c r="B217" s="58">
        <f>IFERROR(__xludf.DUMMYFUNCTION("""COMPUTED_VALUE"""),4.0)</f>
        <v>4</v>
      </c>
    </row>
    <row r="218">
      <c r="A218" s="58" t="str">
        <f>IFERROR(__xludf.DUMMYFUNCTION("""COMPUTED_VALUE"""),"DISEÑO DE UN SISTEMA INTEGRAL DE INOCUIDAD ALIMENTARIA BASADO EN LA NORMA NB-ISO 22000:2005 PARA LA INDUSTRIA DE ALIMENTOS Y BEBIDAS “FRUTOS DEL SUR")</f>
        <v>DISEÑO DE UN SISTEMA INTEGRAL DE INOCUIDAD ALIMENTARIA BASADO EN LA NORMA NB-ISO 22000:2005 PARA LA INDUSTRIA DE ALIMENTOS Y BEBIDAS “FRUTOS DEL SUR</v>
      </c>
      <c r="B218" s="58">
        <f>IFERROR(__xludf.DUMMYFUNCTION("""COMPUTED_VALUE"""),2.0)</f>
        <v>2</v>
      </c>
    </row>
    <row r="219">
      <c r="A219" s="58" t="str">
        <f>IFERROR(__xludf.DUMMYFUNCTION("""COMPUTED_VALUE"""),"DISEÑO DE UNA PLANTA DE PRODUCCIÓN DE ANHÍDRIDO SULFUROSO EN BOLIVIA")</f>
        <v>DISEÑO DE UNA PLANTA DE PRODUCCIÓN DE ANHÍDRIDO SULFUROSO EN BOLIVIA</v>
      </c>
      <c r="B219" s="58">
        <f>IFERROR(__xludf.DUMMYFUNCTION("""COMPUTED_VALUE"""),3.0)</f>
        <v>3</v>
      </c>
    </row>
    <row r="220">
      <c r="A220" s="58" t="str">
        <f>IFERROR(__xludf.DUMMYFUNCTION("""COMPUTED_VALUE"""),"DISEÑO DEL PLAN DE ANÁLISIS DE PELIGROS Y PUNTOS CRÍTICOS DE CONTROL PARA LA LÍNEA DE FRUTAS DESHIDRATADAS DE LA EMPRESA BOLIVIA'S FRUIT")</f>
        <v>DISEÑO DEL PLAN DE ANÁLISIS DE PELIGROS Y PUNTOS CRÍTICOS DE CONTROL PARA LA LÍNEA DE FRUTAS DESHIDRATADAS DE LA EMPRESA BOLIVIA'S FRUIT</v>
      </c>
      <c r="B220" s="58">
        <f>IFERROR(__xludf.DUMMYFUNCTION("""COMPUTED_VALUE"""),1.0)</f>
        <v>1</v>
      </c>
    </row>
    <row r="221">
      <c r="A221" s="58" t="str">
        <f>IFERROR(__xludf.DUMMYFUNCTION("""COMPUTED_VALUE"""),"DISEÑO DEL PLAN DE SEGURIDAD INDUSTRIAL Y MEDIO AMBIENTE DE LA EMPRESA CALRO EN LA CIUDAD DE COCHABAMBA.")</f>
        <v>DISEÑO DEL PLAN DE SEGURIDAD INDUSTRIAL Y MEDIO AMBIENTE DE LA EMPRESA CALRO EN LA CIUDAD DE COCHABAMBA.</v>
      </c>
      <c r="B221" s="58">
        <f>IFERROR(__xludf.DUMMYFUNCTION("""COMPUTED_VALUE"""),2.0)</f>
        <v>2</v>
      </c>
    </row>
    <row r="222">
      <c r="A222" s="58" t="str">
        <f>IFERROR(__xludf.DUMMYFUNCTION("""COMPUTED_VALUE"""),"DISEÑO DEL PROGRAMA DE SEGURIDAD Y SALUD EN EL TRABAJO PARA EL DEPARTAMENTO DE CURTIEMBRE DE MANUFACTURA BOLIVIANA MANACO S.A.")</f>
        <v>DISEÑO DEL PROGRAMA DE SEGURIDAD Y SALUD EN EL TRABAJO PARA EL DEPARTAMENTO DE CURTIEMBRE DE MANUFACTURA BOLIVIANA MANACO S.A.</v>
      </c>
      <c r="B222" s="58">
        <f>IFERROR(__xludf.DUMMYFUNCTION("""COMPUTED_VALUE"""),9.0)</f>
        <v>9</v>
      </c>
    </row>
    <row r="223">
      <c r="A223" s="58" t="str">
        <f>IFERROR(__xludf.DUMMYFUNCTION("""COMPUTED_VALUE"""),"DISEÑO DEL SISTEMA DE GESTION DE CALIDAD BASADO EN LA NB/ISO 9001:2015 PARA LA EMPRESA QUILOCONS SRL EN LA CIUDAD DE COCHABAMBA")</f>
        <v>DISEÑO DEL SISTEMA DE GESTION DE CALIDAD BASADO EN LA NB/ISO 9001:2015 PARA LA EMPRESA QUILOCONS SRL EN LA CIUDAD DE COCHABAMBA</v>
      </c>
      <c r="B223" s="58">
        <f>IFERROR(__xludf.DUMMYFUNCTION("""COMPUTED_VALUE"""),32.0)</f>
        <v>32</v>
      </c>
    </row>
    <row r="224">
      <c r="A224" s="58" t="str">
        <f>IFERROR(__xludf.DUMMYFUNCTION("""COMPUTED_VALUE"""),"DISEÑO DEL SISTEMA DE GESTIÓN DE CALIDAD BASADO EN LOS REQUISITOS DE LA NORMA ISO 9001:2008 PARA EL TALLER DE MANTENIMIENTO AERONÁUTICO DE ECOJET S.A. (TAME)")</f>
        <v>DISEÑO DEL SISTEMA DE GESTIÓN DE CALIDAD BASADO EN LOS REQUISITOS DE LA NORMA ISO 9001:2008 PARA EL TALLER DE MANTENIMIENTO AERONÁUTICO DE ECOJET S.A. (TAME)</v>
      </c>
      <c r="B224" s="58">
        <f>IFERROR(__xludf.DUMMYFUNCTION("""COMPUTED_VALUE"""),1.0)</f>
        <v>1</v>
      </c>
    </row>
    <row r="225">
      <c r="A225" s="58" t="str">
        <f>IFERROR(__xludf.DUMMYFUNCTION("""COMPUTED_VALUE"""),"DISEÑO DEL SISTEMA DE GESTIÓN DE CALIDAD BASADO EN LOS REQUISITOS DE LA NORMA NB/ISO 9001:2008 PARA LA EMPRESA MAMUT")</f>
        <v>DISEÑO DEL SISTEMA DE GESTIÓN DE CALIDAD BASADO EN LOS REQUISITOS DE LA NORMA NB/ISO 9001:2008 PARA LA EMPRESA MAMUT</v>
      </c>
      <c r="B225" s="58">
        <f>IFERROR(__xludf.DUMMYFUNCTION("""COMPUTED_VALUE"""),3.0)</f>
        <v>3</v>
      </c>
    </row>
    <row r="226">
      <c r="A226" s="58" t="str">
        <f>IFERROR(__xludf.DUMMYFUNCTION("""COMPUTED_VALUE"""),"DISEÑO DEL SISTEMA DE GESTIÓN DE CALIDAD BASADO EN LOS REQUISITOS DE LA NORMA NB/ISO 9001:2008 PARA LA EMPRESA “MAMUT”")</f>
        <v>DISEÑO DEL SISTEMA DE GESTIÓN DE CALIDAD BASADO EN LOS REQUISITOS DE LA NORMA NB/ISO 9001:2008 PARA LA EMPRESA “MAMUT”</v>
      </c>
      <c r="B226" s="58">
        <f>IFERROR(__xludf.DUMMYFUNCTION("""COMPUTED_VALUE"""),1.0)</f>
        <v>1</v>
      </c>
    </row>
    <row r="227">
      <c r="A227" s="58" t="str">
        <f>IFERROR(__xludf.DUMMYFUNCTION("""COMPUTED_VALUE"""),"DISEÑO DEL SISTEMA DE GESTIÓN DE CALIDAD PARA LA ASOCIACIÓN BOLIVIANA DE SOLDADURA ENSAYOS NO DESTRUCTIVOS INSPECCIÓN Y CORROSIÓN - ASBOSENDIC")</f>
        <v>DISEÑO DEL SISTEMA DE GESTIÓN DE CALIDAD PARA LA ASOCIACIÓN BOLIVIANA DE SOLDADURA ENSAYOS NO DESTRUCTIVOS INSPECCIÓN Y CORROSIÓN - ASBOSENDIC</v>
      </c>
      <c r="B227" s="58">
        <f>IFERROR(__xludf.DUMMYFUNCTION("""COMPUTED_VALUE"""),1.0)</f>
        <v>1</v>
      </c>
    </row>
    <row r="228">
      <c r="A228" s="58" t="str">
        <f>IFERROR(__xludf.DUMMYFUNCTION("""COMPUTED_VALUE"""),"DISEÑO DEL SISTEMA DE GESTIÓN EN SEGURIDAD INDUSTRIAL Y SALUD EN EL TRABAJO EN BASE A LA NB/ISO 45001:2018 PARA LA EMPRESA COBOCE HORMIGÓN DE LA CIUDAD DE COCHABAMBA.")</f>
        <v>DISEÑO DEL SISTEMA DE GESTIÓN EN SEGURIDAD INDUSTRIAL Y SALUD EN EL TRABAJO EN BASE A LA NB/ISO 45001:2018 PARA LA EMPRESA COBOCE HORMIGÓN DE LA CIUDAD DE COCHABAMBA.</v>
      </c>
      <c r="B228" s="58">
        <f>IFERROR(__xludf.DUMMYFUNCTION("""COMPUTED_VALUE"""),8.0)</f>
        <v>8</v>
      </c>
    </row>
    <row r="229">
      <c r="A229" s="58" t="str">
        <f>IFERROR(__xludf.DUMMYFUNCTION("""COMPUTED_VALUE"""),"DISEÑO DEL SISTEMA DE SEGURIDAD
INDUSTRIAL E HIGIENE OCUPACIONAL EN
INBOLTECO S.A.")</f>
        <v>DISEÑO DEL SISTEMA DE SEGURIDAD
INDUSTRIAL E HIGIENE OCUPACIONAL EN
INBOLTECO S.A.</v>
      </c>
      <c r="B229" s="58">
        <f>IFERROR(__xludf.DUMMYFUNCTION("""COMPUTED_VALUE"""),1.0)</f>
        <v>1</v>
      </c>
    </row>
    <row r="230">
      <c r="A230" s="58" t="str">
        <f>IFERROR(__xludf.DUMMYFUNCTION("""COMPUTED_VALUE"""),"DISEÑO DEL SISTEMA PRODUCTIVO PARA IMPLEMENTAR UNA PLANTA DESHIDRATADORA DE FRUTAS TROPICALES EN LA EMPRESA CORDILL S.A.")</f>
        <v>DISEÑO DEL SISTEMA PRODUCTIVO PARA IMPLEMENTAR UNA PLANTA DESHIDRATADORA DE FRUTAS TROPICALES EN LA EMPRESA CORDILL S.A.</v>
      </c>
      <c r="B230" s="58">
        <f>IFERROR(__xludf.DUMMYFUNCTION("""COMPUTED_VALUE"""),3.0)</f>
        <v>3</v>
      </c>
    </row>
    <row r="231">
      <c r="A231" s="58" t="str">
        <f>IFERROR(__xludf.DUMMYFUNCTION("""COMPUTED_VALUE"""),"DISEÑO E IMPLEMENTACIÓN DE LAS BUENAS PRÁCTICAS DE MANUFACTURA EN LA LINEA INDUSTRIAL DE CIA ALIMENTOS FOODS COMPANY S.R.L.")</f>
        <v>DISEÑO E IMPLEMENTACIÓN DE LAS BUENAS PRÁCTICAS DE MANUFACTURA EN LA LINEA INDUSTRIAL DE CIA ALIMENTOS FOODS COMPANY S.R.L.</v>
      </c>
      <c r="B231" s="58">
        <f>IFERROR(__xludf.DUMMYFUNCTION("""COMPUTED_VALUE"""),4.0)</f>
        <v>4</v>
      </c>
    </row>
    <row r="232">
      <c r="A232" s="58" t="str">
        <f>IFERROR(__xludf.DUMMYFUNCTION("""COMPUTED_VALUE"""),"DISEÑO E IMPLEMENTACIÓN DE UN MANUAL DE PROCEDIMIENTOS PARA LA EMPRESA SERING S.R.L")</f>
        <v>DISEÑO E IMPLEMENTACIÓN DE UN MANUAL DE PROCEDIMIENTOS PARA LA EMPRESA SERING S.R.L</v>
      </c>
      <c r="B232" s="58">
        <f>IFERROR(__xludf.DUMMYFUNCTION("""COMPUTED_VALUE"""),1.0)</f>
        <v>1</v>
      </c>
    </row>
    <row r="233">
      <c r="A233" s="58" t="str">
        <f>IFERROR(__xludf.DUMMYFUNCTION("""COMPUTED_VALUE"""),"DISEÑO E IMPLEMENTACIÓN DE UN MANUAL DE PROCEDIMIENTOS PARA LA EMPRESA SERING S.R.L.")</f>
        <v>DISEÑO E IMPLEMENTACIÓN DE UN MANUAL DE PROCEDIMIENTOS PARA LA EMPRESA SERING S.R.L.</v>
      </c>
      <c r="B233" s="58">
        <f>IFERROR(__xludf.DUMMYFUNCTION("""COMPUTED_VALUE"""),3.0)</f>
        <v>3</v>
      </c>
    </row>
    <row r="234">
      <c r="A234" s="58" t="str">
        <f>IFERROR(__xludf.DUMMYFUNCTION("""COMPUTED_VALUE"""),"DISEÑO E IMPLEMENTACIÓN DE UN PROGRAMA DE MANTENIMIENTO PREVENTIVO EN MAQUINARIAS Y EQUIPOS PARA CURTIEMBRE ""TAURO""")</f>
        <v>DISEÑO E IMPLEMENTACIÓN DE UN PROGRAMA DE MANTENIMIENTO PREVENTIVO EN MAQUINARIAS Y EQUIPOS PARA CURTIEMBRE "TAURO"</v>
      </c>
      <c r="B234" s="58">
        <f>IFERROR(__xludf.DUMMYFUNCTION("""COMPUTED_VALUE"""),2.0)</f>
        <v>2</v>
      </c>
    </row>
    <row r="235">
      <c r="A235"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B235" s="58">
        <f>IFERROR(__xludf.DUMMYFUNCTION("""COMPUTED_VALUE"""),1.0)</f>
        <v>1</v>
      </c>
    </row>
    <row r="236">
      <c r="A236"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B236" s="58">
        <f>IFERROR(__xludf.DUMMYFUNCTION("""COMPUTED_VALUE"""),1.0)</f>
        <v>1</v>
      </c>
    </row>
    <row r="237">
      <c r="A237" s="58" t="str">
        <f>IFERROR(__xludf.DUMMYFUNCTION("""COMPUTED_VALUE"""),"DISEÑO E IMPLEMENTACIÓN DE UN SISTEMA DE GESTIÓN DE CALIDAD ISO 9001:2015 PARA EL ÁREA DE PRODUCCIÓN DE EPS PARA LA EMPRESA TECNOPOR S.A. – REGIONAL COCHABAMBA")</f>
        <v>DISEÑO E IMPLEMENTACIÓN DE UN SISTEMA DE GESTIÓN DE CALIDAD ISO 9001:2015 PARA EL ÁREA DE PRODUCCIÓN DE EPS PARA LA EMPRESA TECNOPOR S.A. – REGIONAL COCHABAMBA</v>
      </c>
      <c r="B237" s="58">
        <f>IFERROR(__xludf.DUMMYFUNCTION("""COMPUTED_VALUE"""),15.0)</f>
        <v>15</v>
      </c>
    </row>
    <row r="238">
      <c r="A238" s="58" t="str">
        <f>IFERROR(__xludf.DUMMYFUNCTION("""COMPUTED_VALUE"""),"DISEÑO E IMPLEMENTACIÓN DE UN SISTEMA DE GESTIÓN DE LA CALIDAD BASADO EN LA NORMA BOLIVIANA NB/ISO 9001:2008
PARA LA EMPRESA MOBLEFINO")</f>
        <v>DISEÑO E IMPLEMENTACIÓN DE UN SISTEMA DE GESTIÓN DE LA CALIDAD BASADO EN LA NORMA BOLIVIANA NB/ISO 9001:2008
PARA LA EMPRESA MOBLEFINO</v>
      </c>
      <c r="B238" s="58">
        <f>IFERROR(__xludf.DUMMYFUNCTION("""COMPUTED_VALUE"""),1.0)</f>
        <v>1</v>
      </c>
    </row>
    <row r="239">
      <c r="A239" s="58" t="str">
        <f>IFERROR(__xludf.DUMMYFUNCTION("""COMPUTED_VALUE"""),"DISEÑO E IMPLEMENTACIÓN DE UN SISTEMA DE GESTIÓN DE LA CALIDAD BASADO EN LA NORMA BOLIVIANA NB/ISO 9001:2008 PARA LA EMPRESA MOBLEFINO.")</f>
        <v>DISEÑO E IMPLEMENTACIÓN DE UN SISTEMA DE GESTIÓN DE LA CALIDAD BASADO EN LA NORMA BOLIVIANA NB/ISO 9001:2008 PARA LA EMPRESA MOBLEFINO.</v>
      </c>
      <c r="B239" s="58">
        <f>IFERROR(__xludf.DUMMYFUNCTION("""COMPUTED_VALUE"""),6.0)</f>
        <v>6</v>
      </c>
    </row>
    <row r="240">
      <c r="A240" s="58" t="str">
        <f>IFERROR(__xludf.DUMMYFUNCTION("""COMPUTED_VALUE"""),"DISEÑO E IMPLEMENTACIÓN DE UN SISTEMA DE GESTIÓN DE STOCKS PARA UNILEVER ANDINA BOLIVIA S.A. EN ALMACÉN 3D DE LA CIUDAD DE COCHABAMBA")</f>
        <v>DISEÑO E IMPLEMENTACIÓN DE UN SISTEMA DE GESTIÓN DE STOCKS PARA UNILEVER ANDINA BOLIVIA S.A. EN ALMACÉN 3D DE LA CIUDAD DE COCHABAMBA</v>
      </c>
      <c r="B240" s="58">
        <f>IFERROR(__xludf.DUMMYFUNCTION("""COMPUTED_VALUE"""),1.0)</f>
        <v>1</v>
      </c>
    </row>
    <row r="241">
      <c r="A241" s="58" t="str">
        <f>IFERROR(__xludf.DUMMYFUNCTION("""COMPUTED_VALUE"""),"DISEÑO E IMPLEMENTACIÓN DE UN SISTEMA DE SEÑALÉTICA Y SEÑALIZACIÓN DE SEGURIDAD PARA LA FACULTAD DE CIENCIAS Y TECNOLOGÍA")</f>
        <v>DISEÑO E IMPLEMENTACIÓN DE UN SISTEMA DE SEÑALÉTICA Y SEÑALIZACIÓN DE SEGURIDAD PARA LA FACULTAD DE CIENCIAS Y TECNOLOGÍA</v>
      </c>
      <c r="B241" s="58">
        <f>IFERROR(__xludf.DUMMYFUNCTION("""COMPUTED_VALUE"""),2.0)</f>
        <v>2</v>
      </c>
    </row>
    <row r="242">
      <c r="A242" s="58" t="str">
        <f>IFERROR(__xludf.DUMMYFUNCTION("""COMPUTED_VALUE"""),"DISEÑO E IMPLEMENTACIÓN DEL PROYECTO AIRLIFT CON LA APLICACIÓN DE EEM (EARLY EQUIPMENT MANAGEMENT) DENTRO LA METODOLOGÍA DE TPM PARA LA PLANTA DE DETERGENTES DE UNILEVER ANDINA BOLIVIA S.A.")</f>
        <v>DISEÑO E IMPLEMENTACIÓN DEL PROYECTO AIRLIFT CON LA APLICACIÓN DE EEM (EARLY EQUIPMENT MANAGEMENT) DENTRO LA METODOLOGÍA DE TPM PARA LA PLANTA DE DETERGENTES DE UNILEVER ANDINA BOLIVIA S.A.</v>
      </c>
      <c r="B242" s="58">
        <f>IFERROR(__xludf.DUMMYFUNCTION("""COMPUTED_VALUE"""),2.0)</f>
        <v>2</v>
      </c>
    </row>
    <row r="243">
      <c r="A243" s="58" t="str">
        <f>IFERROR(__xludf.DUMMYFUNCTION("""COMPUTED_VALUE"""),"DISEÑO E IMPLEMENTACIÓN DEL SISTEMA DE ANÁLISIS DE PELIGROS Y PUNTOS CRÍTICOS DE CONTROL (HACCP) PARA EL CENTRO NACIONAL DE DISTRIBUCIÓN DE UNILEVER ANDINA BOLIVIA S.A")</f>
        <v>DISEÑO E IMPLEMENTACIÓN DEL SISTEMA DE ANÁLISIS DE PELIGROS Y PUNTOS CRÍTICOS DE CONTROL (HACCP) PARA EL CENTRO NACIONAL DE DISTRIBUCIÓN DE UNILEVER ANDINA BOLIVIA S.A</v>
      </c>
      <c r="B243" s="58">
        <f>IFERROR(__xludf.DUMMYFUNCTION("""COMPUTED_VALUE"""),1.0)</f>
        <v>1</v>
      </c>
    </row>
    <row r="244">
      <c r="A244" s="58" t="str">
        <f>IFERROR(__xludf.DUMMYFUNCTION("""COMPUTED_VALUE"""),"DISEÑO LÓGICO DE UN SISTEMA INFORMÁTICO PARA LA ADMINISTRACIÓN DE RECURSOS HUMANOS DE E.M.S.A.")</f>
        <v>DISEÑO LÓGICO DE UN SISTEMA INFORMÁTICO PARA LA ADMINISTRACIÓN DE RECURSOS HUMANOS DE E.M.S.A.</v>
      </c>
      <c r="B244" s="58">
        <f>IFERROR(__xludf.DUMMYFUNCTION("""COMPUTED_VALUE"""),2.0)</f>
        <v>2</v>
      </c>
    </row>
    <row r="245">
      <c r="A245"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B245" s="58">
        <f>IFERROR(__xludf.DUMMYFUNCTION("""COMPUTED_VALUE"""),9.0)</f>
        <v>9</v>
      </c>
    </row>
    <row r="246">
      <c r="A246" s="58" t="str">
        <f>IFERROR(__xludf.DUMMYFUNCTION("""COMPUTED_VALUE"""),"DISEÑO PARA LA ACTUALIZACION DEL SISTEMA DE GESTION DE CALIDAD, BAJO LOS REQUERIMIENTOS ESTABLECIDOS EN LA NORMA ISO 9001:2015 EN LA EMPRESA DE SERVICIO DE ENVASADO DE BEBIDAS “SEASA S.A.”")</f>
        <v>DISEÑO PARA LA ACTUALIZACION DEL SISTEMA DE GESTION DE CALIDAD, BAJO LOS REQUERIMIENTOS ESTABLECIDOS EN LA NORMA ISO 9001:2015 EN LA EMPRESA DE SERVICIO DE ENVASADO DE BEBIDAS “SEASA S.A.”</v>
      </c>
      <c r="B246" s="58">
        <f>IFERROR(__xludf.DUMMYFUNCTION("""COMPUTED_VALUE"""),4.0)</f>
        <v>4</v>
      </c>
    </row>
    <row r="247">
      <c r="A247" s="58" t="str">
        <f>IFERROR(__xludf.DUMMYFUNCTION("""COMPUTED_VALUE"""),"DISEÑO PARA LA IMPLEMENTACIÓN DE UN PROGRAMA DE SEGURIDAD Y SALUD EN EL TRABAJO SEGÚN LA NTS 009/18")</f>
        <v>DISEÑO PARA LA IMPLEMENTACIÓN DE UN PROGRAMA DE SEGURIDAD Y SALUD EN EL TRABAJO SEGÚN LA NTS 009/18</v>
      </c>
      <c r="B247" s="58">
        <f>IFERROR(__xludf.DUMMYFUNCTION("""COMPUTED_VALUE"""),14.0)</f>
        <v>14</v>
      </c>
    </row>
    <row r="248">
      <c r="A248" s="58" t="str">
        <f>IFERROR(__xludf.DUMMYFUNCTION("""COMPUTED_VALUE"""),"DISEÑO Y DESARROLLO DE UN SISTEMA DE GESTIÓN DE LA CALIDAD BASADO EN LA NORMA NB ISO 9001:2000 PARA CURTIEMBRE Y MANUFACTURA CURMA SRL. (DOCUMENTACIÓN DEL SISTEMA)")</f>
        <v>DISEÑO Y DESARROLLO DE UN SISTEMA DE GESTIÓN DE LA CALIDAD BASADO EN LA NORMA NB ISO 9001:2000 PARA CURTIEMBRE Y MANUFACTURA CURMA SRL. (DOCUMENTACIÓN DEL SISTEMA)</v>
      </c>
      <c r="B248" s="58">
        <f>IFERROR(__xludf.DUMMYFUNCTION("""COMPUTED_VALUE"""),1.0)</f>
        <v>1</v>
      </c>
    </row>
    <row r="249">
      <c r="A249" s="58" t="str">
        <f>IFERROR(__xludf.DUMMYFUNCTION("""COMPUTED_VALUE"""),"DISEÑO Y PLANIFICACIÓN DE UN MODELO DE GESTIÓN Y TRATAMIENTO DE RESÍDUOS SÓLIDOS PARA LA CIUDAD DE PUNATA")</f>
        <v>DISEÑO Y PLANIFICACIÓN DE UN MODELO DE GESTIÓN Y TRATAMIENTO DE RESÍDUOS SÓLIDOS PARA LA CIUDAD DE PUNATA</v>
      </c>
      <c r="B249" s="58">
        <f>IFERROR(__xludf.DUMMYFUNCTION("""COMPUTED_VALUE"""),2.0)</f>
        <v>2</v>
      </c>
    </row>
    <row r="250">
      <c r="A250" s="58" t="str">
        <f>IFERROR(__xludf.DUMMYFUNCTION("""COMPUTED_VALUE"""),"DISEÑO, INGENIERÍA BÁSICA Y EVALUACIÓN DE COSTOS DEL TENDIDO DEL TRAMO ESPECIAL PAROTANI-MILLUKASA DEL POLIDUCTO OCOLP II")</f>
        <v>DISEÑO, INGENIERÍA BÁSICA Y EVALUACIÓN DE COSTOS DEL TENDIDO DEL TRAMO ESPECIAL PAROTANI-MILLUKASA DEL POLIDUCTO OCOLP II</v>
      </c>
      <c r="B250" s="58">
        <f>IFERROR(__xludf.DUMMYFUNCTION("""COMPUTED_VALUE"""),2.0)</f>
        <v>2</v>
      </c>
    </row>
    <row r="251">
      <c r="A251" s="58" t="str">
        <f>IFERROR(__xludf.DUMMYFUNCTION("""COMPUTED_VALUE"""),"ELABORACION DE UN MANUAL DE PROCEDIMIENTOS BASADO EN EL MODELO DE GESTION POR PROCESOS PARA LA PLANTA ENGARRAFADORA DE YPFB VALLEHERMOSO COCHABAMBA")</f>
        <v>ELABORACION DE UN MANUAL DE PROCEDIMIENTOS BASADO EN EL MODELO DE GESTION POR PROCESOS PARA LA PLANTA ENGARRAFADORA DE YPFB VALLEHERMOSO COCHABAMBA</v>
      </c>
      <c r="B251" s="58">
        <f>IFERROR(__xludf.DUMMYFUNCTION("""COMPUTED_VALUE"""),4.0)</f>
        <v>4</v>
      </c>
    </row>
    <row r="252">
      <c r="A252" s="58" t="str">
        <f>IFERROR(__xludf.DUMMYFUNCTION("""COMPUTED_VALUE"""),"ELABORACION DEL PROGRAMA DE SEGURIDAD Y SALUD EN EL TRABAJO EN BASE A LA NORMA NTS 009/18 PARA LA UNIDAD PRODUCTIVA ""COBOCE HORMIGON"" DE LA COOPERATIVA MULTIACTIVA COBOCE RL.")</f>
        <v>ELABORACION DEL PROGRAMA DE SEGURIDAD Y SALUD EN EL TRABAJO EN BASE A LA NORMA NTS 009/18 PARA LA UNIDAD PRODUCTIVA "COBOCE HORMIGON" DE LA COOPERATIVA MULTIACTIVA COBOCE RL.</v>
      </c>
      <c r="B252" s="58">
        <f>IFERROR(__xludf.DUMMYFUNCTION("""COMPUTED_VALUE"""),8.0)</f>
        <v>8</v>
      </c>
    </row>
    <row r="253">
      <c r="A253" s="58" t="str">
        <f>IFERROR(__xludf.DUMMYFUNCTION("""COMPUTED_VALUE"""),"ELABORACIÓN DE PROGRAMA DE SEGURIDAD Y SALUD EN EL TRABAJO SEGÚN NTS-009/18 PARA LA EMPRESA THINK FREE CONSTRUCCIONES S.R.L")</f>
        <v>ELABORACIÓN DE PROGRAMA DE SEGURIDAD Y SALUD EN EL TRABAJO SEGÚN NTS-009/18 PARA LA EMPRESA THINK FREE CONSTRUCCIONES S.R.L</v>
      </c>
      <c r="B253" s="58">
        <f>IFERROR(__xludf.DUMMYFUNCTION("""COMPUTED_VALUE"""),27.0)</f>
        <v>27</v>
      </c>
    </row>
    <row r="254">
      <c r="A254" s="58" t="str">
        <f>IFERROR(__xludf.DUMMYFUNCTION("""COMPUTED_VALUE"""),"ELABORACIÓN DE UN DISEÑO DE MANTENIMIENTO PRODUCTIVO TOTAL (TPM) PARA LA EMPRESA PAPELERA VINTO SRL")</f>
        <v>ELABORACIÓN DE UN DISEÑO DE MANTENIMIENTO PRODUCTIVO TOTAL (TPM) PARA LA EMPRESA PAPELERA VINTO SRL</v>
      </c>
      <c r="B254" s="58">
        <f>IFERROR(__xludf.DUMMYFUNCTION("""COMPUTED_VALUE"""),2.0)</f>
        <v>2</v>
      </c>
    </row>
    <row r="255">
      <c r="A255" s="58" t="str">
        <f>IFERROR(__xludf.DUMMYFUNCTION("""COMPUTED_VALUE"""),"ELABORACIÓN DE UN ESTUDIO ERGONÓMICO Y DETERMINACIÓN DE PROPUESTAS DE MEJORA PARA LA EMPRESA ELFEC S.A.")</f>
        <v>ELABORACIÓN DE UN ESTUDIO ERGONÓMICO Y DETERMINACIÓN DE PROPUESTAS DE MEJORA PARA LA EMPRESA ELFEC S.A.</v>
      </c>
      <c r="B255" s="58">
        <f>IFERROR(__xludf.DUMMYFUNCTION("""COMPUTED_VALUE"""),3.0)</f>
        <v>3</v>
      </c>
    </row>
    <row r="256">
      <c r="A256" s="58" t="str">
        <f>IFERROR(__xludf.DUMMYFUNCTION("""COMPUTED_VALUE"""),"ELABORACIÓN DE UN MANUAL DE PROCEDIMIENTOS BASADO EN EL MODELO DE GESTIÓN POR PROCESOS PARALA PLANTA ENGARRAFADORA DE YPFB-VALLEHERMOSO COCHABAMBA")</f>
        <v>ELABORACIÓN DE UN MANUAL DE PROCEDIMIENTOS BASADO EN EL MODELO DE GESTIÓN POR PROCESOS PARALA PLANTA ENGARRAFADORA DE YPFB-VALLEHERMOSO COCHABAMBA</v>
      </c>
      <c r="B256" s="58">
        <f>IFERROR(__xludf.DUMMYFUNCTION("""COMPUTED_VALUE"""),1.0)</f>
        <v>1</v>
      </c>
    </row>
    <row r="257">
      <c r="A257" s="58" t="str">
        <f>IFERROR(__xludf.DUMMYFUNCTION("""COMPUTED_VALUE"""),"ELABORACIÓN DE UN MANUAL DE PROCEDIMIENTOS PARA EL CENTRO DE OPERACIONES DE REDES (NOC) DE COMTECO.")</f>
        <v>ELABORACIÓN DE UN MANUAL DE PROCEDIMIENTOS PARA EL CENTRO DE OPERACIONES DE REDES (NOC) DE COMTECO.</v>
      </c>
      <c r="B257" s="58">
        <f>IFERROR(__xludf.DUMMYFUNCTION("""COMPUTED_VALUE"""),1.0)</f>
        <v>1</v>
      </c>
    </row>
    <row r="258">
      <c r="A258" s="58" t="str">
        <f>IFERROR(__xludf.DUMMYFUNCTION("""COMPUTED_VALUE"""),"ELABORACIÓN DE UN MODELO DEL PLAN HACCP EN LA EMPRESA AGROINDUSTRIAL DE ALIMENTOS VIGOR PARA LA LÍNEA DE LECHE ENTERA")</f>
        <v>ELABORACIÓN DE UN MODELO DEL PLAN HACCP EN LA EMPRESA AGROINDUSTRIAL DE ALIMENTOS VIGOR PARA LA LÍNEA DE LECHE ENTERA</v>
      </c>
      <c r="B258" s="58">
        <f>IFERROR(__xludf.DUMMYFUNCTION("""COMPUTED_VALUE"""),1.0)</f>
        <v>1</v>
      </c>
    </row>
    <row r="259">
      <c r="A259" s="58" t="str">
        <f>IFERROR(__xludf.DUMMYFUNCTION("""COMPUTED_VALUE"""),"ELABORACIÓN DE UN PLAN DE EMERGENCIAS EN EL EDIFICIO TÉCNICO")</f>
        <v>ELABORACIÓN DE UN PLAN DE EMERGENCIAS EN EL EDIFICIO TÉCNICO</v>
      </c>
      <c r="B259" s="58">
        <f>IFERROR(__xludf.DUMMYFUNCTION("""COMPUTED_VALUE"""),4.0)</f>
        <v>4</v>
      </c>
    </row>
    <row r="260">
      <c r="A260" s="58" t="str">
        <f>IFERROR(__xludf.DUMMYFUNCTION("""COMPUTED_VALUE"""),"ELABORACIÓN DE UN PLAN DE HIGIENE, SEGURIDAD OCUPACIONAL Y BIENESTAR PARA LA EMPRESA PRE PIZZAS LA ROSA")</f>
        <v>ELABORACIÓN DE UN PLAN DE HIGIENE, SEGURIDAD OCUPACIONAL Y BIENESTAR PARA LA EMPRESA PRE PIZZAS LA ROSA</v>
      </c>
      <c r="B260" s="58">
        <f>IFERROR(__xludf.DUMMYFUNCTION("""COMPUTED_VALUE"""),23.0)</f>
        <v>23</v>
      </c>
    </row>
    <row r="261">
      <c r="A261" s="58" t="str">
        <f>IFERROR(__xludf.DUMMYFUNCTION("""COMPUTED_VALUE"""),"ELABORACIÓN DE UN PLAN DE HIGIENE, SEGURIDAD OCUPACIONAL Y BIENESTAR PARA LA PLANTA PROCESADORA DE FRUTAS LACTEOSBOL")</f>
        <v>ELABORACIÓN DE UN PLAN DE HIGIENE, SEGURIDAD OCUPACIONAL Y BIENESTAR PARA LA PLANTA PROCESADORA DE FRUTAS LACTEOSBOL</v>
      </c>
      <c r="B261" s="58">
        <f>IFERROR(__xludf.DUMMYFUNCTION("""COMPUTED_VALUE"""),1.0)</f>
        <v>1</v>
      </c>
    </row>
    <row r="262">
      <c r="A262" s="58" t="str">
        <f>IFERROR(__xludf.DUMMYFUNCTION("""COMPUTED_VALUE"""),"ELABORACIÓN DE UN PLAN ESTRATÉGICO DE MARKETING PARA INDUSTRIAS ALIMENTICIAS LA MODERNA S.R.L")</f>
        <v>ELABORACIÓN DE UN PLAN ESTRATÉGICO DE MARKETING PARA INDUSTRIAS ALIMENTICIAS LA MODERNA S.R.L</v>
      </c>
      <c r="B262" s="58">
        <f>IFERROR(__xludf.DUMMYFUNCTION("""COMPUTED_VALUE"""),1.0)</f>
        <v>1</v>
      </c>
    </row>
    <row r="263">
      <c r="A263" s="58" t="str">
        <f>IFERROR(__xludf.DUMMYFUNCTION("""COMPUTED_VALUE"""),"ELABORACIÓN DE UN PLAN ESTRATÉGICO PARA LA CARRERA DE INGENIERÍA QUÍMICA")</f>
        <v>ELABORACIÓN DE UN PLAN ESTRATÉGICO PARA LA CARRERA DE INGENIERÍA QUÍMICA</v>
      </c>
      <c r="B263" s="58">
        <f>IFERROR(__xludf.DUMMYFUNCTION("""COMPUTED_VALUE"""),1.0)</f>
        <v>1</v>
      </c>
    </row>
    <row r="264">
      <c r="A264" s="58" t="str">
        <f>IFERROR(__xludf.DUMMYFUNCTION("""COMPUTED_VALUE"""),"ELABORACIÓN DE UN PLAN ESTRATÉGICO PARA LA EMPRESA CONSTRUCTORA FERMONT S.R.L. EN EL DEPARTAMENTO DE COCHABAMBA")</f>
        <v>ELABORACIÓN DE UN PLAN ESTRATÉGICO PARA LA EMPRESA CONSTRUCTORA FERMONT S.R.L. EN EL DEPARTAMENTO DE COCHABAMBA</v>
      </c>
      <c r="B264" s="58">
        <f>IFERROR(__xludf.DUMMYFUNCTION("""COMPUTED_VALUE"""),1.0)</f>
        <v>1</v>
      </c>
    </row>
    <row r="265">
      <c r="A265" s="58" t="str">
        <f>IFERROR(__xludf.DUMMYFUNCTION("""COMPUTED_VALUE"""),"ELABORACIÓN DE UN SISTEMA DE CONTROL DE INVENTARIOS PARA EL ALMACÉN DE MATERIA PRIMA Y MATERIAL DE EMPAQUE EN LA EMPRESA ASTRIX S.A. CBBA.")</f>
        <v>ELABORACIÓN DE UN SISTEMA DE CONTROL DE INVENTARIOS PARA EL ALMACÉN DE MATERIA PRIMA Y MATERIAL DE EMPAQUE EN LA EMPRESA ASTRIX S.A. CBBA.</v>
      </c>
      <c r="B265" s="58">
        <f>IFERROR(__xludf.DUMMYFUNCTION("""COMPUTED_VALUE"""),8.0)</f>
        <v>8</v>
      </c>
    </row>
    <row r="266">
      <c r="A266" s="58" t="str">
        <f>IFERROR(__xludf.DUMMYFUNCTION("""COMPUTED_VALUE"""),"ELABORACIÓN DE UN SISTEMA DE GESTIÓN AMBIENTAL BASADO EN LA NORMA ISO 14001 PARA INDUSTRIAS DE ACEITE S.A.")</f>
        <v>ELABORACIÓN DE UN SISTEMA DE GESTIÓN AMBIENTAL BASADO EN LA NORMA ISO 14001 PARA INDUSTRIAS DE ACEITE S.A.</v>
      </c>
      <c r="B266" s="58">
        <f>IFERROR(__xludf.DUMMYFUNCTION("""COMPUTED_VALUE"""),6.0)</f>
        <v>6</v>
      </c>
    </row>
    <row r="267">
      <c r="A267" s="58" t="str">
        <f>IFERROR(__xludf.DUMMYFUNCTION("""COMPUTED_VALUE"""),"ELABORACIÓN DE UN SISTEMA DE GESTIÓN DE LA CALIDAD CON BASE A LA NB/ISO 9001:2008 PARA LA EMPRESA MANUFACTURA Y CURTIEMBRE CURMA S.R.L.")</f>
        <v>ELABORACIÓN DE UN SISTEMA DE GESTIÓN DE LA CALIDAD CON BASE A LA NB/ISO 9001:2008 PARA LA EMPRESA MANUFACTURA Y CURTIEMBRE CURMA S.R.L.</v>
      </c>
      <c r="B267" s="58">
        <f>IFERROR(__xludf.DUMMYFUNCTION("""COMPUTED_VALUE"""),2.0)</f>
        <v>2</v>
      </c>
    </row>
    <row r="268">
      <c r="A268" s="58" t="str">
        <f>IFERROR(__xludf.DUMMYFUNCTION("""COMPUTED_VALUE"""),"ELABORACIÓN DE UN SISTEMA DE GESTIÓN DE PROYECTOS EN BASE A LA NORMA ISO 21500 PARA COBOCE HORMIGÓN COCHABAMBA")</f>
        <v>ELABORACIÓN DE UN SISTEMA DE GESTIÓN DE PROYECTOS EN BASE A LA NORMA ISO 21500 PARA COBOCE HORMIGÓN COCHABAMBA</v>
      </c>
      <c r="B268" s="58">
        <f>IFERROR(__xludf.DUMMYFUNCTION("""COMPUTED_VALUE"""),1.0)</f>
        <v>1</v>
      </c>
    </row>
    <row r="269">
      <c r="A269" s="58" t="str">
        <f>IFERROR(__xludf.DUMMYFUNCTION("""COMPUTED_VALUE"""),"ELABORACIÓN DEL MANUAL DE PRODUCCIÓN DE CURTIEMBRE TAURO LTDA.")</f>
        <v>ELABORACIÓN DEL MANUAL DE PRODUCCIÓN DE CURTIEMBRE TAURO LTDA.</v>
      </c>
      <c r="B269" s="58">
        <f>IFERROR(__xludf.DUMMYFUNCTION("""COMPUTED_VALUE"""),2.0)</f>
        <v>2</v>
      </c>
    </row>
    <row r="270">
      <c r="A270" s="58" t="str">
        <f>IFERROR(__xludf.DUMMYFUNCTION("""COMPUTED_VALUE"""),"ELABORACIÓN MANUAL DEL SISTEMA INTEGRADO DE
GESTIÓN PARA LA EMPRESA MITBOL S.R.L. EN BASE A
NORMAS ISO 9001, ISO 14001 Y OHSAS 18001")</f>
        <v>ELABORACIÓN MANUAL DEL SISTEMA INTEGRADO DE
GESTIÓN PARA LA EMPRESA MITBOL S.R.L. EN BASE A
NORMAS ISO 9001, ISO 14001 Y OHSAS 18001</v>
      </c>
      <c r="B270" s="58">
        <f>IFERROR(__xludf.DUMMYFUNCTION("""COMPUTED_VALUE"""),1.0)</f>
        <v>1</v>
      </c>
    </row>
    <row r="271">
      <c r="A271" s="58" t="str">
        <f>IFERROR(__xludf.DUMMYFUNCTION("""COMPUTED_VALUE"""),"ELABORACIÓN MANUAL DEL SISTEMA INTEGRADO DE GESTIÓN PARA LA EMPRESA MITBOL S.R.L. EN BASE A NORMAS ISO 9001, ISO 14001 Y OHSAS 18001")</f>
        <v>ELABORACIÓN MANUAL DEL SISTEMA INTEGRADO DE GESTIÓN PARA LA EMPRESA MITBOL S.R.L. EN BASE A NORMAS ISO 9001, ISO 14001 Y OHSAS 18001</v>
      </c>
      <c r="B271" s="58">
        <f>IFERROR(__xludf.DUMMYFUNCTION("""COMPUTED_VALUE"""),2.0)</f>
        <v>2</v>
      </c>
    </row>
    <row r="272">
      <c r="A272" s="58" t="str">
        <f>IFERROR(__xludf.DUMMYFUNCTION("""COMPUTED_VALUE"""),"ESTABLECIMIENTO DE UN SISTEMA DE GESTIÓN DE LA CALIDAD EN BASE A LA NORMA ISO 9001:2000, EN LA LÍNEA DE BOLSAS Y SACOS  DE PAPEL PARA LA EMPRESA LA PAPELERA S.A. CBBA")</f>
        <v>ESTABLECIMIENTO DE UN SISTEMA DE GESTIÓN DE LA CALIDAD EN BASE A LA NORMA ISO 9001:2000, EN LA LÍNEA DE BOLSAS Y SACOS  DE PAPEL PARA LA EMPRESA LA PAPELERA S.A. CBBA</v>
      </c>
      <c r="B272" s="58">
        <f>IFERROR(__xludf.DUMMYFUNCTION("""COMPUTED_VALUE"""),1.0)</f>
        <v>1</v>
      </c>
    </row>
    <row r="273">
      <c r="A273" s="58" t="str">
        <f>IFERROR(__xludf.DUMMYFUNCTION("""COMPUTED_VALUE"""),"ESTANDARIZACIÓN DE TIEMPOS - OPERACIONES Y SEGURIDAD INDUSTRIAL EN LA EMPRESA CÓRDOVA")</f>
        <v>ESTANDARIZACIÓN DE TIEMPOS - OPERACIONES Y SEGURIDAD INDUSTRIAL EN LA EMPRESA CÓRDOVA</v>
      </c>
      <c r="B273" s="58">
        <f>IFERROR(__xludf.DUMMYFUNCTION("""COMPUTED_VALUE"""),7.0)</f>
        <v>7</v>
      </c>
    </row>
    <row r="274">
      <c r="A274" s="58" t="str">
        <f>IFERROR(__xludf.DUMMYFUNCTION("""COMPUTED_VALUE"""),"ESTANDARIZACIÓN DE TIEMPOS – OPERACIONES Y SEGURIDAD INDUSTRIAL EN LA EMPRESA CÓRDOVA")</f>
        <v>ESTANDARIZACIÓN DE TIEMPOS – OPERACIONES Y SEGURIDAD INDUSTRIAL EN LA EMPRESA CÓRDOVA</v>
      </c>
      <c r="B274" s="58">
        <f>IFERROR(__xludf.DUMMYFUNCTION("""COMPUTED_VALUE"""),1.0)</f>
        <v>1</v>
      </c>
    </row>
    <row r="275">
      <c r="A275" s="58" t="str">
        <f>IFERROR(__xludf.DUMMYFUNCTION("""COMPUTED_VALUE"""),"ESTRATEGIA DE COMERCIALIZACIÓN PARA LA PLANTA DISTRIBUIDORA DE GAS LICUADO DE PETRÓLEO FERRO GAS EN EL DEPARTAMENTO DE COCHABAMBA")</f>
        <v>ESTRATEGIA DE COMERCIALIZACIÓN PARA LA PLANTA DISTRIBUIDORA DE GAS LICUADO DE PETRÓLEO FERRO GAS EN EL DEPARTAMENTO DE COCHABAMBA</v>
      </c>
      <c r="B275" s="58">
        <f>IFERROR(__xludf.DUMMYFUNCTION("""COMPUTED_VALUE"""),1.0)</f>
        <v>1</v>
      </c>
    </row>
    <row r="276">
      <c r="A276" s="58" t="str">
        <f>IFERROR(__xludf.DUMMYFUNCTION("""COMPUTED_VALUE"""),"ESTRUCTURACIÓN ORGANIZACIONAL DE LA EMPRESA SMART LINK TELECOM")</f>
        <v>ESTRUCTURACIÓN ORGANIZACIONAL DE LA EMPRESA SMART LINK TELECOM</v>
      </c>
      <c r="B276" s="58">
        <f>IFERROR(__xludf.DUMMYFUNCTION("""COMPUTED_VALUE"""),1.0)</f>
        <v>1</v>
      </c>
    </row>
    <row r="277">
      <c r="A277" s="58" t="str">
        <f>IFERROR(__xludf.DUMMYFUNCTION("""COMPUTED_VALUE"""),"ESTUDIO DE *FACTIBILIDAD PARA LA IMPLEMENTACIÓN DE UNA PLANTA PRODUCTORA DE ABONO ORGÁNICO A BASE DE RESIDUOS SÓLIDOS ORGÁNICOS EN EL MUNICIPIO DE SANTIVAÑEZ")</f>
        <v>ESTUDIO DE *FACTIBILIDAD PARA LA IMPLEMENTACIÓN DE UNA PLANTA PRODUCTORA DE ABONO ORGÁNICO A BASE DE RESIDUOS SÓLIDOS ORGÁNICOS EN EL MUNICIPIO DE SANTIVAÑEZ</v>
      </c>
      <c r="B277" s="58">
        <f>IFERROR(__xludf.DUMMYFUNCTION("""COMPUTED_VALUE"""),6.0)</f>
        <v>6</v>
      </c>
    </row>
    <row r="278">
      <c r="A278" s="58" t="str">
        <f>IFERROR(__xludf.DUMMYFUNCTION("""COMPUTED_VALUE"""),"ESTUDIO DE COSTOS, PLANIFICACIÓN Y CONTROL DE LA PRODUCCIÓN PARA LA EMPRESA A R I E L J E A N S")</f>
        <v>ESTUDIO DE COSTOS, PLANIFICACIÓN Y CONTROL DE LA PRODUCCIÓN PARA LA EMPRESA A R I E L J E A N S</v>
      </c>
      <c r="B278" s="58">
        <f>IFERROR(__xludf.DUMMYFUNCTION("""COMPUTED_VALUE"""),1.0)</f>
        <v>1</v>
      </c>
    </row>
    <row r="279">
      <c r="A279" s="58" t="str">
        <f>IFERROR(__xludf.DUMMYFUNCTION("""COMPUTED_VALUE"""),"ESTUDIO DE EVALUACIÓN INTEGRAL PARA LA INSTALACIÓN DE UN MATADERO EN EL MUNICIPIO DE VINTO")</f>
        <v>ESTUDIO DE EVALUACIÓN INTEGRAL PARA LA INSTALACIÓN DE UN MATADERO EN EL MUNICIPIO DE VINTO</v>
      </c>
      <c r="B279" s="58">
        <f>IFERROR(__xludf.DUMMYFUNCTION("""COMPUTED_VALUE"""),1.0)</f>
        <v>1</v>
      </c>
    </row>
    <row r="280">
      <c r="A280" s="58" t="str">
        <f>IFERROR(__xludf.DUMMYFUNCTION("""COMPUTED_VALUE"""),"ESTUDIO DE FACTIBILIDA PARA LA INSTALACION DE UNA PLANTA ELABORADORA DE CARAMBOLA EN ALMIBAR PARA EL MERCADO DE COCHABAMBA")</f>
        <v>ESTUDIO DE FACTIBILIDA PARA LA INSTALACION DE UNA PLANTA ELABORADORA DE CARAMBOLA EN ALMIBAR PARA EL MERCADO DE COCHABAMBA</v>
      </c>
      <c r="B280" s="58">
        <f>IFERROR(__xludf.DUMMYFUNCTION("""COMPUTED_VALUE"""),2.0)</f>
        <v>2</v>
      </c>
    </row>
    <row r="281">
      <c r="A281" s="58" t="str">
        <f>IFERROR(__xludf.DUMMYFUNCTION("""COMPUTED_VALUE"""),"ESTUDIO DE FACTIBILIDAD  PARA LA CREACIÓN DE UNA FÁBRICA DE VIGUETAS PRETENSADAS PARA LA CIUDAD DEL CERCADO DE COCHABAMBA")</f>
        <v>ESTUDIO DE FACTIBILIDAD  PARA LA CREACIÓN DE UNA FÁBRICA DE VIGUETAS PRETENSADAS PARA LA CIUDAD DEL CERCADO DE COCHABAMBA</v>
      </c>
      <c r="B281" s="58">
        <f>IFERROR(__xludf.DUMMYFUNCTION("""COMPUTED_VALUE"""),1.0)</f>
        <v>1</v>
      </c>
    </row>
    <row r="282">
      <c r="A282" s="58" t="str">
        <f>IFERROR(__xludf.DUMMYFUNCTION("""COMPUTED_VALUE"""),"ESTUDIO DE FACTIBILIDAD COMERCIAL Y FINANCIERA PARA LA EXPANCIÓN DE SERVICIOS DE TELEFONÍA Y BANDA ANCHA DE LA CORPORACIÓN COMTECO LTDA. A LAS POBLACIONES DE IVIRGARZAMA, ENTRE RÍOS Y BULO BULO BAJO LA TECNOLOGÍA PLC")</f>
        <v>ESTUDIO DE FACTIBILIDAD COMERCIAL Y FINANCIERA PARA LA EXPANCIÓN DE SERVICIOS DE TELEFONÍA Y BANDA ANCHA DE LA CORPORACIÓN COMTECO LTDA. A LAS POBLACIONES DE IVIRGARZAMA, ENTRE RÍOS Y BULO BULO BAJO LA TECNOLOGÍA PLC</v>
      </c>
      <c r="B282" s="58">
        <f>IFERROR(__xludf.DUMMYFUNCTION("""COMPUTED_VALUE"""),1.0)</f>
        <v>1</v>
      </c>
    </row>
    <row r="283">
      <c r="A283" s="58" t="str">
        <f>IFERROR(__xludf.DUMMYFUNCTION("""COMPUTED_VALUE"""),"ESTUDIO DE FACTIBILIDAD DE UNA BEBIDA ENERGIZANTE A BASE DE EXTRACTO DE COCA")</f>
        <v>ESTUDIO DE FACTIBILIDAD DE UNA BEBIDA ENERGIZANTE A BASE DE EXTRACTO DE COCA</v>
      </c>
      <c r="B283" s="58">
        <f>IFERROR(__xludf.DUMMYFUNCTION("""COMPUTED_VALUE"""),2.0)</f>
        <v>2</v>
      </c>
    </row>
    <row r="284">
      <c r="A284" s="58" t="str">
        <f>IFERROR(__xludf.DUMMYFUNCTION("""COMPUTED_VALUE"""),"ESTUDIO DE FACTIBILIDAD PARA COMERCIALIZACIÓN DE BITTER PALMENIA EN EL DEPARTAMENTO DE COCHABAMBA")</f>
        <v>ESTUDIO DE FACTIBILIDAD PARA COMERCIALIZACIÓN DE BITTER PALMENIA EN EL DEPARTAMENTO DE COCHABAMBA</v>
      </c>
      <c r="B284" s="58">
        <f>IFERROR(__xludf.DUMMYFUNCTION("""COMPUTED_VALUE"""),1.0)</f>
        <v>1</v>
      </c>
    </row>
    <row r="285">
      <c r="A285" s="58" t="str">
        <f>IFERROR(__xludf.DUMMYFUNCTION("""COMPUTED_VALUE"""),"ESTUDIO DE FACTIBILIDAD PARA EL DISEÑO DE UNA PLANTA DE PASTELERÍA INDUSTRIAL SECA Y FRESCA PARA LA COORPORACIÓN INDUSTRIAL DILLMANN S.A")</f>
        <v>ESTUDIO DE FACTIBILIDAD PARA EL DISEÑO DE UNA PLANTA DE PASTELERÍA INDUSTRIAL SECA Y FRESCA PARA LA COORPORACIÓN INDUSTRIAL DILLMANN S.A</v>
      </c>
      <c r="B285" s="58">
        <f>IFERROR(__xludf.DUMMYFUNCTION("""COMPUTED_VALUE"""),1.0)</f>
        <v>1</v>
      </c>
    </row>
    <row r="286">
      <c r="A286" s="58" t="str">
        <f>IFERROR(__xludf.DUMMYFUNCTION("""COMPUTED_VALUE"""),"ESTUDIO DE FACTIBILIDAD PARA EL DISEÑO DE UNA PLANTA PROCESADORA DE ALMIDÓN A PARTIR DE RAÍCES ANDINAS-SUBTROPICALES")</f>
        <v>ESTUDIO DE FACTIBILIDAD PARA EL DISEÑO DE UNA PLANTA PROCESADORA DE ALMIDÓN A PARTIR DE RAÍCES ANDINAS-SUBTROPICALES</v>
      </c>
      <c r="B286" s="58">
        <f>IFERROR(__xludf.DUMMYFUNCTION("""COMPUTED_VALUE"""),1.0)</f>
        <v>1</v>
      </c>
    </row>
    <row r="287">
      <c r="A287" s="58" t="str">
        <f>IFERROR(__xludf.DUMMYFUNCTION("""COMPUTED_VALUE"""),"ESTUDIO DE FACTIBILIDAD PARA EL ESTABLECIMIENTO DE UNA EMPRESA PRODUCTORA Y COMERCIALIZADORA DE BARRAS DE PROTEÍNA CON FRUTOS SECOS PARA EL MERCADO DE LA CIUDAD DE COCHABAMBA")</f>
        <v>ESTUDIO DE FACTIBILIDAD PARA EL ESTABLECIMIENTO DE UNA EMPRESA PRODUCTORA Y COMERCIALIZADORA DE BARRAS DE PROTEÍNA CON FRUTOS SECOS PARA EL MERCADO DE LA CIUDAD DE COCHABAMBA</v>
      </c>
      <c r="B287" s="58">
        <f>IFERROR(__xludf.DUMMYFUNCTION("""COMPUTED_VALUE"""),4.0)</f>
        <v>4</v>
      </c>
    </row>
    <row r="288">
      <c r="A288" s="58" t="str">
        <f>IFERROR(__xludf.DUMMYFUNCTION("""COMPUTED_VALUE"""),"ESTUDIO DE FACTIBILIDAD PARA EL ESTABLECIMIENTO DE UNA FÁBRICA DE GALLETAS NUTRITIVAS DE CAMOTE EN EL DEPARTAMENTO DE COCHABAMBA")</f>
        <v>ESTUDIO DE FACTIBILIDAD PARA EL ESTABLECIMIENTO DE UNA FÁBRICA DE GALLETAS NUTRITIVAS DE CAMOTE EN EL DEPARTAMENTO DE COCHABAMBA</v>
      </c>
      <c r="B288" s="58">
        <f>IFERROR(__xludf.DUMMYFUNCTION("""COMPUTED_VALUE"""),3.0)</f>
        <v>3</v>
      </c>
    </row>
    <row r="289">
      <c r="A289" s="58" t="str">
        <f>IFERROR(__xludf.DUMMYFUNCTION("""COMPUTED_VALUE"""),"ESTUDIO DE FACTIBILIDAD PARA EL TRASLADO Y AMPLIACIÓN DE LA CAPACIDAD DE PRODUCCIÓN EN LA EMPRESA “MADERVAF” S.R.L.")</f>
        <v>ESTUDIO DE FACTIBILIDAD PARA EL TRASLADO Y AMPLIACIÓN DE LA CAPACIDAD DE PRODUCCIÓN EN LA EMPRESA “MADERVAF” S.R.L.</v>
      </c>
      <c r="B289" s="58">
        <f>IFERROR(__xludf.DUMMYFUNCTION("""COMPUTED_VALUE"""),3.0)</f>
        <v>3</v>
      </c>
    </row>
    <row r="290">
      <c r="A290" s="58" t="str">
        <f>IFERROR(__xludf.DUMMYFUNCTION("""COMPUTED_VALUE"""),"ESTUDIO DE FACTIBILIDAD PARA EXPORTACIÓN DE QUÍNUA AL MERCADO DE EUROPA")</f>
        <v>ESTUDIO DE FACTIBILIDAD PARA EXPORTACIÓN DE QUÍNUA AL MERCADO DE EUROPA</v>
      </c>
      <c r="B290" s="58">
        <f>IFERROR(__xludf.DUMMYFUNCTION("""COMPUTED_VALUE"""),2.0)</f>
        <v>2</v>
      </c>
    </row>
    <row r="291">
      <c r="A291" s="58" t="str">
        <f>IFERROR(__xludf.DUMMYFUNCTION("""COMPUTED_VALUE"""),"ESTUDIO DE FACTIBILIDAD PARA IMPLEMENTACIÓN DE UNA EMPRESA CRIADORA DE PERDICES PARA LA PRODUCCIÓN DE HUEVOS (PISACCA – NOTHOPROCTA ORNATA) EN QUILLACOLLO – IRONCOLLO.")</f>
        <v>ESTUDIO DE FACTIBILIDAD PARA IMPLEMENTACIÓN DE UNA EMPRESA CRIADORA DE PERDICES PARA LA PRODUCCIÓN DE HUEVOS (PISACCA – NOTHOPROCTA ORNATA) EN QUILLACOLLO – IRONCOLLO.</v>
      </c>
      <c r="B291" s="58">
        <f>IFERROR(__xludf.DUMMYFUNCTION("""COMPUTED_VALUE"""),1.0)</f>
        <v>1</v>
      </c>
    </row>
    <row r="292">
      <c r="A292" s="58" t="str">
        <f>IFERROR(__xludf.DUMMYFUNCTION("""COMPUTED_VALUE"""),"ESTUDIO DE FACTIBILIDAD PARA IMPLEMENTAR UNA PLANTA PRODUCTORA DE MANGA ROSA EN CONSERVA")</f>
        <v>ESTUDIO DE FACTIBILIDAD PARA IMPLEMENTAR UNA PLANTA PRODUCTORA DE MANGA ROSA EN CONSERVA</v>
      </c>
      <c r="B292" s="58">
        <f>IFERROR(__xludf.DUMMYFUNCTION("""COMPUTED_VALUE"""),1.0)</f>
        <v>1</v>
      </c>
    </row>
    <row r="293">
      <c r="A293" s="58" t="str">
        <f>IFERROR(__xludf.DUMMYFUNCTION("""COMPUTED_VALUE"""),"ESTUDIO DE FACTIBILIDAD PARA LA AMPLIACIÓN Y MEJORA DE LA PLANTA PROCESADORA DE PRODUCTOS LÁCTEOS DEL DEPARTAMENTO DE AGROINDUSTRIAS DE LA FACULTAD DE CIENCIAS AGRÍCOLAS Y PECUARIAS")</f>
        <v>ESTUDIO DE FACTIBILIDAD PARA LA AMPLIACIÓN Y MEJORA DE LA PLANTA PROCESADORA DE PRODUCTOS LÁCTEOS DEL DEPARTAMENTO DE AGROINDUSTRIAS DE LA FACULTAD DE CIENCIAS AGRÍCOLAS Y PECUARIAS</v>
      </c>
      <c r="B293" s="58">
        <f>IFERROR(__xludf.DUMMYFUNCTION("""COMPUTED_VALUE"""),2.0)</f>
        <v>2</v>
      </c>
    </row>
    <row r="294">
      <c r="A294" s="58" t="str">
        <f>IFERROR(__xludf.DUMMYFUNCTION("""COMPUTED_VALUE"""),"ESTUDIO DE FACTIBILIDAD PARA LA APERTURA DE UNA EMPRESA DE DISTRIBUCIÓN Y COMERCIALIZACIÓN DE GLP EN EL VALLE ALTO DE COCHABAMBA")</f>
        <v>ESTUDIO DE FACTIBILIDAD PARA LA APERTURA DE UNA EMPRESA DE DISTRIBUCIÓN Y COMERCIALIZACIÓN DE GLP EN EL VALLE ALTO DE COCHABAMBA</v>
      </c>
      <c r="B294" s="58">
        <f>IFERROR(__xludf.DUMMYFUNCTION("""COMPUTED_VALUE"""),3.0)</f>
        <v>3</v>
      </c>
    </row>
    <row r="295">
      <c r="A295" s="58" t="str">
        <f>IFERROR(__xludf.DUMMYFUNCTION("""COMPUTED_VALUE"""),"ESTUDIO DE FACTIBILIDAD PARA LA COMERCIALIZACIÓN DE AGUA NATURAL EMBOTELLADA Y LA IMPLEMENTACIÓN DE UNA PLANTA DE TRATAMIENTO DE AGUAS")</f>
        <v>ESTUDIO DE FACTIBILIDAD PARA LA COMERCIALIZACIÓN DE AGUA NATURAL EMBOTELLADA Y LA IMPLEMENTACIÓN DE UNA PLANTA DE TRATAMIENTO DE AGUAS</v>
      </c>
      <c r="B295" s="58">
        <f>IFERROR(__xludf.DUMMYFUNCTION("""COMPUTED_VALUE"""),4.0)</f>
        <v>4</v>
      </c>
    </row>
    <row r="296">
      <c r="A296" s="58" t="str">
        <f>IFERROR(__xludf.DUMMYFUNCTION("""COMPUTED_VALUE"""),"ESTUDIO DE FACTIBILIDAD PARA LA COMERCIALIZACIÓN DE CARNE DESHIDRATADA DE LLAMA ENVASADA AL VACÍO EN LA CIUDAD DE COCHABAMBA.")</f>
        <v>ESTUDIO DE FACTIBILIDAD PARA LA COMERCIALIZACIÓN DE CARNE DESHIDRATADA DE LLAMA ENVASADA AL VACÍO EN LA CIUDAD DE COCHABAMBA.</v>
      </c>
      <c r="B296" s="58">
        <f>IFERROR(__xludf.DUMMYFUNCTION("""COMPUTED_VALUE"""),4.0)</f>
        <v>4</v>
      </c>
    </row>
    <row r="297">
      <c r="A297" s="58" t="str">
        <f>IFERROR(__xludf.DUMMYFUNCTION("""COMPUTED_VALUE"""),"ESTUDIO DE FACTIBILIDAD PARA LA CREACION DE UNA EMPRESA                                                                                             DEDICADA A LA PRODUCCION DE ASFALTO FLEXIBLE A PARTIR DE GRANO DE            CAUCHO RECICLADO")</f>
        <v>ESTUDIO DE FACTIBILIDAD PARA LA CREACION DE UNA EMPRESA                                                                                             DEDICADA A LA PRODUCCION DE ASFALTO FLEXIBLE A PARTIR DE GRANO DE            CAUCHO RECICLADO</v>
      </c>
      <c r="B297" s="58">
        <f>IFERROR(__xludf.DUMMYFUNCTION("""COMPUTED_VALUE"""),2.0)</f>
        <v>2</v>
      </c>
    </row>
    <row r="298">
      <c r="A298" s="58" t="str">
        <f>IFERROR(__xludf.DUMMYFUNCTION("""COMPUTED_VALUE"""),"ESTUDIO DE FACTIBILIDAD PARA LA CREACION DE UNA EMPRESA DE VINO DE NARANJA EN LA CIUDAD DE COCHABAMBA")</f>
        <v>ESTUDIO DE FACTIBILIDAD PARA LA CREACION DE UNA EMPRESA DE VINO DE NARANJA EN LA CIUDAD DE COCHABAMBA</v>
      </c>
      <c r="B298" s="58">
        <f>IFERROR(__xludf.DUMMYFUNCTION("""COMPUTED_VALUE"""),1.0)</f>
        <v>1</v>
      </c>
    </row>
    <row r="299">
      <c r="A299" s="58" t="str">
        <f>IFERROR(__xludf.DUMMYFUNCTION("""COMPUTED_VALUE"""),"ESTUDIO DE FACTIBILIDAD PARA LA CREACIÓN DE UN CENTRO DE FORMACIÓN EN SOLDADURA DE ESTRUCTURA Y TUBERÍA PARA EL SECTOR PETROLERO")</f>
        <v>ESTUDIO DE FACTIBILIDAD PARA LA CREACIÓN DE UN CENTRO DE FORMACIÓN EN SOLDADURA DE ESTRUCTURA Y TUBERÍA PARA EL SECTOR PETROLERO</v>
      </c>
      <c r="B299" s="58">
        <f>IFERROR(__xludf.DUMMYFUNCTION("""COMPUTED_VALUE"""),1.0)</f>
        <v>1</v>
      </c>
    </row>
    <row r="300">
      <c r="A300" s="58" t="str">
        <f>IFERROR(__xludf.DUMMYFUNCTION("""COMPUTED_VALUE"""),"ESTUDIO DE FACTIBILIDAD PARA LA CREACIÓN DE UNA EMPRESA DE INSTALACIÓN DE                            REDES Y SEGURIDAD ELECTRÓNICA")</f>
        <v>ESTUDIO DE FACTIBILIDAD PARA LA CREACIÓN DE UNA EMPRESA DE INSTALACIÓN DE                            REDES Y SEGURIDAD ELECTRÓNICA</v>
      </c>
      <c r="B300" s="58">
        <f>IFERROR(__xludf.DUMMYFUNCTION("""COMPUTED_VALUE"""),1.0)</f>
        <v>1</v>
      </c>
    </row>
    <row r="301">
      <c r="A301" s="58" t="str">
        <f>IFERROR(__xludf.DUMMYFUNCTION("""COMPUTED_VALUE"""),"ESTUDIO DE FACTIBILIDAD PARA LA CREACIÓN DE UNA EMPRESA DE VINO DE NARANJA EN LA CIUDAD DE COCHABAMBA")</f>
        <v>ESTUDIO DE FACTIBILIDAD PARA LA CREACIÓN DE UNA EMPRESA DE VINO DE NARANJA EN LA CIUDAD DE COCHABAMBA</v>
      </c>
      <c r="B301" s="58">
        <f>IFERROR(__xludf.DUMMYFUNCTION("""COMPUTED_VALUE"""),4.0)</f>
        <v>4</v>
      </c>
    </row>
    <row r="302">
      <c r="A302" s="58" t="str">
        <f>IFERROR(__xludf.DUMMYFUNCTION("""COMPUTED_VALUE"""),"ESTUDIO DE FACTIBILIDAD PARA LA CREACIÓN DE UNA EMPRESA PRODUCTORA Y COMERCIALIZADORA DE ABONO COMPOST PARA EL APROVECHAMIENTO DE LOS RESTOS VEGETALES DE LAS FLORES COMERCIALES EN LA CIUDAD DE COCHABAMBA")</f>
        <v>ESTUDIO DE FACTIBILIDAD PARA LA CREACIÓN DE UNA EMPRESA PRODUCTORA Y COMERCIALIZADORA DE ABONO COMPOST PARA EL APROVECHAMIENTO DE LOS RESTOS VEGETALES DE LAS FLORES COMERCIALES EN LA CIUDAD DE COCHABAMBA</v>
      </c>
      <c r="B302" s="58">
        <f>IFERROR(__xludf.DUMMYFUNCTION("""COMPUTED_VALUE"""),4.0)</f>
        <v>4</v>
      </c>
    </row>
    <row r="303">
      <c r="A303" s="58" t="str">
        <f>IFERROR(__xludf.DUMMYFUNCTION("""COMPUTED_VALUE"""),"ESTUDIO DE FACTIBILIDAD PARA LA CREACIÓN DE UNA HELADERÍA DEDICADA A LA PRODUCCIÓN Y COMERCIALIZACIÓN DE HELADOS SANOS Y NUTRITIVOS A BASE DE SOYA, QUINUA, AMARANTO Y TARWI EN EL CERCADO DE LA PROVINCIA DE QUILLACOLLO-COCHABAMBA")</f>
        <v>ESTUDIO DE FACTIBILIDAD PARA LA CREACIÓN DE UNA HELADERÍA DEDICADA A LA PRODUCCIÓN Y COMERCIALIZACIÓN DE HELADOS SANOS Y NUTRITIVOS A BASE DE SOYA, QUINUA, AMARANTO Y TARWI EN EL CERCADO DE LA PROVINCIA DE QUILLACOLLO-COCHABAMBA</v>
      </c>
      <c r="B303" s="58">
        <f>IFERROR(__xludf.DUMMYFUNCTION("""COMPUTED_VALUE"""),5.0)</f>
        <v>5</v>
      </c>
    </row>
    <row r="304">
      <c r="A304" s="58" t="str">
        <f>IFERROR(__xludf.DUMMYFUNCTION("""COMPUTED_VALUE"""),"ESTUDIO DE FACTIBILIDAD PARA LA CREACIÓN DE UNA PLANTA PROCESADORA DE LECHE Y SUS DERIVADOS EN EL DEPARTAMENTO DE COCHABAMBA")</f>
        <v>ESTUDIO DE FACTIBILIDAD PARA LA CREACIÓN DE UNA PLANTA PROCESADORA DE LECHE Y SUS DERIVADOS EN EL DEPARTAMENTO DE COCHABAMBA</v>
      </c>
      <c r="B304" s="58">
        <f>IFERROR(__xludf.DUMMYFUNCTION("""COMPUTED_VALUE"""),4.0)</f>
        <v>4</v>
      </c>
    </row>
    <row r="305">
      <c r="A305" s="58" t="str">
        <f>IFERROR(__xludf.DUMMYFUNCTION("""COMPUTED_VALUE"""),"ESTUDIO DE FACTIBILIDAD PARA LA DESHIDRATACIÓN DE LODOS PRIMARIOS DE LA PLANTA DE TRATAMIENTO DE EFLUENTES (P.T.E.) PARA LA EMPRESA PIL ANDINA S.A. DE COCHABAMBA")</f>
        <v>ESTUDIO DE FACTIBILIDAD PARA LA DESHIDRATACIÓN DE LODOS PRIMARIOS DE LA PLANTA DE TRATAMIENTO DE EFLUENTES (P.T.E.) PARA LA EMPRESA PIL ANDINA S.A. DE COCHABAMBA</v>
      </c>
      <c r="B305" s="58">
        <f>IFERROR(__xludf.DUMMYFUNCTION("""COMPUTED_VALUE"""),6.0)</f>
        <v>6</v>
      </c>
    </row>
    <row r="306">
      <c r="A306" s="58" t="str">
        <f>IFERROR(__xludf.DUMMYFUNCTION("""COMPUTED_VALUE"""),"ESTUDIO DE FACTIBILIDAD PARA LA ELABORACION DE ZUMOS EN LA PLANTA PILOTO DE LA CARRERA DE INGENIERIA INDUSTRIAL DESTINADO AL COMEDOR DE LA UMSS")</f>
        <v>ESTUDIO DE FACTIBILIDAD PARA LA ELABORACION DE ZUMOS EN LA PLANTA PILOTO DE LA CARRERA DE INGENIERIA INDUSTRIAL DESTINADO AL COMEDOR DE LA UMSS</v>
      </c>
      <c r="B306" s="58">
        <f>IFERROR(__xludf.DUMMYFUNCTION("""COMPUTED_VALUE"""),2.0)</f>
        <v>2</v>
      </c>
    </row>
    <row r="307">
      <c r="A307" s="58" t="str">
        <f>IFERROR(__xludf.DUMMYFUNCTION("""COMPUTED_VALUE"""),"ESTUDIO DE FACTIBILIDAD PARA LA ELABORACION Y COMERCIALIZACION DE REFRESCOS NATURALES DE COCO Y DE TOSTADA EN CERCADO - COCHABAMBA")</f>
        <v>ESTUDIO DE FACTIBILIDAD PARA LA ELABORACION Y COMERCIALIZACION DE REFRESCOS NATURALES DE COCO Y DE TOSTADA EN CERCADO - COCHABAMBA</v>
      </c>
      <c r="B307" s="58">
        <f>IFERROR(__xludf.DUMMYFUNCTION("""COMPUTED_VALUE"""),25.0)</f>
        <v>25</v>
      </c>
    </row>
    <row r="308">
      <c r="A308" s="58" t="str">
        <f>IFERROR(__xludf.DUMMYFUNCTION("""COMPUTED_VALUE"""),"ESTUDIO DE FACTIBILIDAD PARA LA ELABORACIÓN DE ZUMOS EN LA PLANTA PILOTO DE LA CARRERA DE INGENIERIA INDUSTRIAL DESTINADO AL COMEDOR DE LA UMSS")</f>
        <v>ESTUDIO DE FACTIBILIDAD PARA LA ELABORACIÓN DE ZUMOS EN LA PLANTA PILOTO DE LA CARRERA DE INGENIERIA INDUSTRIAL DESTINADO AL COMEDOR DE LA UMSS</v>
      </c>
      <c r="B308" s="58">
        <f>IFERROR(__xludf.DUMMYFUNCTION("""COMPUTED_VALUE"""),1.0)</f>
        <v>1</v>
      </c>
    </row>
    <row r="309">
      <c r="A309" s="58" t="str">
        <f>IFERROR(__xludf.DUMMYFUNCTION("""COMPUTED_VALUE"""),"ESTUDIO DE FACTIBILIDAD PARA LA EMPRESA DE SERVICIO AUTOMOTRIZ WILLY'S EN EL ÁREA DE SERVICIO DE MANTENIMIENTO PREVENTIVO.")</f>
        <v>ESTUDIO DE FACTIBILIDAD PARA LA EMPRESA DE SERVICIO AUTOMOTRIZ WILLY'S EN EL ÁREA DE SERVICIO DE MANTENIMIENTO PREVENTIVO.</v>
      </c>
      <c r="B309" s="58">
        <f>IFERROR(__xludf.DUMMYFUNCTION("""COMPUTED_VALUE"""),3.0)</f>
        <v>3</v>
      </c>
    </row>
    <row r="310">
      <c r="A310" s="58" t="str">
        <f>IFERROR(__xludf.DUMMYFUNCTION("""COMPUTED_VALUE"""),"ESTUDIO DE FACTIBILIDAD PARA LA EXTRACCIÓN DE ACEITE ESENCIAL DE JENGIBRE PARA LA EXPORTACIÓN.")</f>
        <v>ESTUDIO DE FACTIBILIDAD PARA LA EXTRACCIÓN DE ACEITE ESENCIAL DE JENGIBRE PARA LA EXPORTACIÓN.</v>
      </c>
      <c r="B310" s="58">
        <f>IFERROR(__xludf.DUMMYFUNCTION("""COMPUTED_VALUE"""),2.0)</f>
        <v>2</v>
      </c>
    </row>
    <row r="311">
      <c r="A311" s="58" t="str">
        <f>IFERROR(__xludf.DUMMYFUNCTION("""COMPUTED_VALUE"""),"ESTUDIO DE FACTIBILIDAD PARA LA IMPLEMENTACION DE
UN CRIADERO DE GANADO PORCINO")</f>
        <v>ESTUDIO DE FACTIBILIDAD PARA LA IMPLEMENTACION DE
UN CRIADERO DE GANADO PORCINO</v>
      </c>
      <c r="B311" s="58">
        <f>IFERROR(__xludf.DUMMYFUNCTION("""COMPUTED_VALUE"""),1.0)</f>
        <v>1</v>
      </c>
    </row>
    <row r="312">
      <c r="A312" s="58" t="str">
        <f>IFERROR(__xludf.DUMMYFUNCTION("""COMPUTED_VALUE"""),"ESTUDIO DE FACTIBILIDAD PARA LA IMPLEMENTACION DE UNA NUEVA LINEA DE PRODUCCION DE QUESO DE SOYA PARA LA EMPRESA RAMA SANA")</f>
        <v>ESTUDIO DE FACTIBILIDAD PARA LA IMPLEMENTACION DE UNA NUEVA LINEA DE PRODUCCION DE QUESO DE SOYA PARA LA EMPRESA RAMA SANA</v>
      </c>
      <c r="B312" s="58">
        <f>IFERROR(__xludf.DUMMYFUNCTION("""COMPUTED_VALUE"""),5.0)</f>
        <v>5</v>
      </c>
    </row>
    <row r="313">
      <c r="A313" s="58" t="str">
        <f>IFERROR(__xludf.DUMMYFUNCTION("""COMPUTED_VALUE"""),"ESTUDIO DE FACTIBILIDAD PARA LA IMPLEMENTACION DE UNA PLANTA DE PELLETS A PARTIR DEL RECICLAJE DE PLASTICOS EN LA CIUDAD DE COCHABAMBA")</f>
        <v>ESTUDIO DE FACTIBILIDAD PARA LA IMPLEMENTACION DE UNA PLANTA DE PELLETS A PARTIR DEL RECICLAJE DE PLASTICOS EN LA CIUDAD DE COCHABAMBA</v>
      </c>
      <c r="B313" s="58">
        <f>IFERROR(__xludf.DUMMYFUNCTION("""COMPUTED_VALUE"""),16.0)</f>
        <v>16</v>
      </c>
    </row>
    <row r="314">
      <c r="A314" s="58" t="str">
        <f>IFERROR(__xludf.DUMMYFUNCTION("""COMPUTED_VALUE"""),"ESTUDIO DE FACTIBILIDAD PARA LA IMPLEMENTACION DE UNA PLANTA PROCESADORA DE ACEITE DE MANÍ EN LA LOCALIDAD MIZQUE")</f>
        <v>ESTUDIO DE FACTIBILIDAD PARA LA IMPLEMENTACION DE UNA PLANTA PROCESADORA DE ACEITE DE MANÍ EN LA LOCALIDAD MIZQUE</v>
      </c>
      <c r="B314" s="58">
        <f>IFERROR(__xludf.DUMMYFUNCTION("""COMPUTED_VALUE"""),1.0)</f>
        <v>1</v>
      </c>
    </row>
    <row r="315">
      <c r="A315"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B315" s="58">
        <f>IFERROR(__xludf.DUMMYFUNCTION("""COMPUTED_VALUE"""),1.0)</f>
        <v>1</v>
      </c>
    </row>
    <row r="316">
      <c r="A316" s="58" t="str">
        <f>IFERROR(__xludf.DUMMYFUNCTION("""COMPUTED_VALUE"""),"ESTUDIO DE FACTIBILIDAD PARA LA IMPLEMENTACIÓN DE FORRAJES HIDROPÓNICOS EN EL MUNICIPIO DE TACOBAMBA DEL DEPARTAMENTO DE POTOSÍ")</f>
        <v>ESTUDIO DE FACTIBILIDAD PARA LA IMPLEMENTACIÓN DE FORRAJES HIDROPÓNICOS EN EL MUNICIPIO DE TACOBAMBA DEL DEPARTAMENTO DE POTOSÍ</v>
      </c>
      <c r="B316" s="58">
        <f>IFERROR(__xludf.DUMMYFUNCTION("""COMPUTED_VALUE"""),3.0)</f>
        <v>3</v>
      </c>
    </row>
    <row r="317">
      <c r="A317" s="58" t="str">
        <f>IFERROR(__xludf.DUMMYFUNCTION("""COMPUTED_VALUE"""),"ESTUDIO DE FACTIBILIDAD PARA LA IMPLEMENTACIÓN DE UN ASERRADERO EN BENI BAJO EL CUMPLIMIENTO DE NORMAS DE LA ABT.")</f>
        <v>ESTUDIO DE FACTIBILIDAD PARA LA IMPLEMENTACIÓN DE UN ASERRADERO EN BENI BAJO EL CUMPLIMIENTO DE NORMAS DE LA ABT.</v>
      </c>
      <c r="B317" s="58">
        <f>IFERROR(__xludf.DUMMYFUNCTION("""COMPUTED_VALUE"""),2.0)</f>
        <v>2</v>
      </c>
    </row>
    <row r="318">
      <c r="A318" s="58" t="str">
        <f>IFERROR(__xludf.DUMMYFUNCTION("""COMPUTED_VALUE"""),"ESTUDIO DE FACTIBILIDAD PARA LA IMPLEMENTACIÓN DE UN ESTUDIO DE GRABACIÓN FONOGRÁFICA")</f>
        <v>ESTUDIO DE FACTIBILIDAD PARA LA IMPLEMENTACIÓN DE UN ESTUDIO DE GRABACIÓN FONOGRÁFICA</v>
      </c>
      <c r="B318" s="58">
        <f>IFERROR(__xludf.DUMMYFUNCTION("""COMPUTED_VALUE"""),4.0)</f>
        <v>4</v>
      </c>
    </row>
    <row r="319">
      <c r="A319" s="58" t="str">
        <f>IFERROR(__xludf.DUMMYFUNCTION("""COMPUTED_VALUE"""),"ESTUDIO DE FACTIBILIDAD PARA LA IMPLEMENTACIÓN DE UN PROCESO DE")</f>
        <v>ESTUDIO DE FACTIBILIDAD PARA LA IMPLEMENTACIÓN DE UN PROCESO DE</v>
      </c>
      <c r="B319" s="58">
        <f>IFERROR(__xludf.DUMMYFUNCTION("""COMPUTED_VALUE"""),2.0)</f>
        <v>2</v>
      </c>
    </row>
    <row r="320">
      <c r="A320" s="58" t="str">
        <f>IFERROR(__xludf.DUMMYFUNCTION("""COMPUTED_VALUE"""),"ESTUDIO DE FACTIBILIDAD PARA LA IMPLEMENTACIÓN DE UNA EMPRESA DE CARBÓN HECHO A PARTIR DE LA CASCARA DE COCO EN EL DEPARTAMENTO DE COCHABAMBA")</f>
        <v>ESTUDIO DE FACTIBILIDAD PARA LA IMPLEMENTACIÓN DE UNA EMPRESA DE CARBÓN HECHO A PARTIR DE LA CASCARA DE COCO EN EL DEPARTAMENTO DE COCHABAMBA</v>
      </c>
      <c r="B320" s="58">
        <f>IFERROR(__xludf.DUMMYFUNCTION("""COMPUTED_VALUE"""),1.0)</f>
        <v>1</v>
      </c>
    </row>
    <row r="321">
      <c r="A321" s="58" t="str">
        <f>IFERROR(__xludf.DUMMYFUNCTION("""COMPUTED_VALUE"""),"ESTUDIO DE FACTIBILIDAD PARA LA IMPLEMENTACIÓN DE UNA EMPRESA DE PAPEL ECOLÓGICO A BASE DE PINZOTE DE PLÁTANO")</f>
        <v>ESTUDIO DE FACTIBILIDAD PARA LA IMPLEMENTACIÓN DE UNA EMPRESA DE PAPEL ECOLÓGICO A BASE DE PINZOTE DE PLÁTANO</v>
      </c>
      <c r="B321" s="58">
        <f>IFERROR(__xludf.DUMMYFUNCTION("""COMPUTED_VALUE"""),1.0)</f>
        <v>1</v>
      </c>
    </row>
    <row r="322">
      <c r="A322" s="58" t="str">
        <f>IFERROR(__xludf.DUMMYFUNCTION("""COMPUTED_VALUE"""),"ESTUDIO DE FACTIBILIDAD PARA LA IMPLEMENTACIÓN DE UNA EMPRESA DISTRIBUIDORA  DE AGUA DE MESA Y HIELO EN LA CIUDAD DE COCHABAMBA")</f>
        <v>ESTUDIO DE FACTIBILIDAD PARA LA IMPLEMENTACIÓN DE UNA EMPRESA DISTRIBUIDORA  DE AGUA DE MESA Y HIELO EN LA CIUDAD DE COCHABAMBA</v>
      </c>
      <c r="B322" s="58">
        <f>IFERROR(__xludf.DUMMYFUNCTION("""COMPUTED_VALUE"""),3.0)</f>
        <v>3</v>
      </c>
    </row>
    <row r="323">
      <c r="A323" s="58" t="str">
        <f>IFERROR(__xludf.DUMMYFUNCTION("""COMPUTED_VALUE"""),"ESTUDIO DE FACTIBILIDAD PARA LA IMPLEMENTACIÓN DE UNA FABRICA TEXTIL DE PANTALONES JEANS EN LA ZONA OESTE DE LA CIUDAD DE COCHABAMBA")</f>
        <v>ESTUDIO DE FACTIBILIDAD PARA LA IMPLEMENTACIÓN DE UNA FABRICA TEXTIL DE PANTALONES JEANS EN LA ZONA OESTE DE LA CIUDAD DE COCHABAMBA</v>
      </c>
      <c r="B323" s="58">
        <f>IFERROR(__xludf.DUMMYFUNCTION("""COMPUTED_VALUE"""),1.0)</f>
        <v>1</v>
      </c>
    </row>
    <row r="324">
      <c r="A324" s="58" t="str">
        <f>IFERROR(__xludf.DUMMYFUNCTION("""COMPUTED_VALUE"""),"ESTUDIO DE FACTIBILIDAD PARA LA IMPLEMENTACIÓN DE UNA FÁBRICA  DE TELA DENIM EN BOLIVIA")</f>
        <v>ESTUDIO DE FACTIBILIDAD PARA LA IMPLEMENTACIÓN DE UNA FÁBRICA  DE TELA DENIM EN BOLIVIA</v>
      </c>
      <c r="B324" s="58">
        <f>IFERROR(__xludf.DUMMYFUNCTION("""COMPUTED_VALUE"""),1.0)</f>
        <v>1</v>
      </c>
    </row>
    <row r="325">
      <c r="A325" s="58" t="str">
        <f>IFERROR(__xludf.DUMMYFUNCTION("""COMPUTED_VALUE"""),"ESTUDIO DE FACTIBILIDAD PARA LA IMPLEMENTACIÓN DE UNA FÁBRICA DE JOYAS DE PLATA")</f>
        <v>ESTUDIO DE FACTIBILIDAD PARA LA IMPLEMENTACIÓN DE UNA FÁBRICA DE JOYAS DE PLATA</v>
      </c>
      <c r="B325" s="58">
        <f>IFERROR(__xludf.DUMMYFUNCTION("""COMPUTED_VALUE"""),2.0)</f>
        <v>2</v>
      </c>
    </row>
    <row r="326">
      <c r="A326" s="58" t="str">
        <f>IFERROR(__xludf.DUMMYFUNCTION("""COMPUTED_VALUE"""),"ESTUDIO DE FACTIBILIDAD PARA LA IMPLEMENTACIÓN DE UNA FÁBRICA DE LADRILLO REFRACTARIO")</f>
        <v>ESTUDIO DE FACTIBILIDAD PARA LA IMPLEMENTACIÓN DE UNA FÁBRICA DE LADRILLO REFRACTARIO</v>
      </c>
      <c r="B326" s="58">
        <f>IFERROR(__xludf.DUMMYFUNCTION("""COMPUTED_VALUE"""),2.0)</f>
        <v>2</v>
      </c>
    </row>
    <row r="327">
      <c r="A327" s="58" t="str">
        <f>IFERROR(__xludf.DUMMYFUNCTION("""COMPUTED_VALUE"""),"ESTUDIO DE FACTIBILIDAD PARA LA IMPLEMENTACIÓN DE UNA FÁBRICA DE LADRILLOS ECOLÓGICOS EN EL DEPARTAMENTO DE COCHABAMBA.")</f>
        <v>ESTUDIO DE FACTIBILIDAD PARA LA IMPLEMENTACIÓN DE UNA FÁBRICA DE LADRILLOS ECOLÓGICOS EN EL DEPARTAMENTO DE COCHABAMBA.</v>
      </c>
      <c r="B327" s="58">
        <f>IFERROR(__xludf.DUMMYFUNCTION("""COMPUTED_VALUE"""),6.0)</f>
        <v>6</v>
      </c>
    </row>
    <row r="328">
      <c r="A328" s="58" t="str">
        <f>IFERROR(__xludf.DUMMYFUNCTION("""COMPUTED_VALUE"""),"ESTUDIO DE FACTIBILIDAD PARA LA IMPLEMENTACIÓN DE UNA FÁBRICA DE MOBILIARIOS EN MELAMINA, HIERRO Y ALUMINIO EN LA CIUDAD DE COCHABAMBA")</f>
        <v>ESTUDIO DE FACTIBILIDAD PARA LA IMPLEMENTACIÓN DE UNA FÁBRICA DE MOBILIARIOS EN MELAMINA, HIERRO Y ALUMINIO EN LA CIUDAD DE COCHABAMBA</v>
      </c>
      <c r="B328" s="58">
        <f>IFERROR(__xludf.DUMMYFUNCTION("""COMPUTED_VALUE"""),3.0)</f>
        <v>3</v>
      </c>
    </row>
    <row r="329">
      <c r="A329" s="58" t="str">
        <f>IFERROR(__xludf.DUMMYFUNCTION("""COMPUTED_VALUE"""),"ESTUDIO DE FACTIBILIDAD PARA LA IMPLEMENTACIÓN DE UNA FÁBRICA DE MUEBLES DE BAMBÚ")</f>
        <v>ESTUDIO DE FACTIBILIDAD PARA LA IMPLEMENTACIÓN DE UNA FÁBRICA DE MUEBLES DE BAMBÚ</v>
      </c>
      <c r="B329" s="58">
        <f>IFERROR(__xludf.DUMMYFUNCTION("""COMPUTED_VALUE"""),5.0)</f>
        <v>5</v>
      </c>
    </row>
    <row r="330">
      <c r="A330" s="58" t="str">
        <f>IFERROR(__xludf.DUMMYFUNCTION("""COMPUTED_VALUE"""),"ESTUDIO DE FACTIBILIDAD PARA LA IMPLEMENTACIÓN DE UNA FÁBRICA DE MUEBLES MELAMINICOS EN LA CIUDAD DE COCHABAMBA")</f>
        <v>ESTUDIO DE FACTIBILIDAD PARA LA IMPLEMENTACIÓN DE UNA FÁBRICA DE MUEBLES MELAMINICOS EN LA CIUDAD DE COCHABAMBA</v>
      </c>
      <c r="B330" s="58">
        <f>IFERROR(__xludf.DUMMYFUNCTION("""COMPUTED_VALUE"""),3.0)</f>
        <v>3</v>
      </c>
    </row>
    <row r="331">
      <c r="A331" s="58" t="str">
        <f>IFERROR(__xludf.DUMMYFUNCTION("""COMPUTED_VALUE"""),"ESTUDIO DE FACTIBILIDAD PARA LA IMPLEMENTACIÓN DE UNA GRANJA AVÍCOLA DE CRIANZA DE PATOS")</f>
        <v>ESTUDIO DE FACTIBILIDAD PARA LA IMPLEMENTACIÓN DE UNA GRANJA AVÍCOLA DE CRIANZA DE PATOS</v>
      </c>
      <c r="B331" s="58">
        <f>IFERROR(__xludf.DUMMYFUNCTION("""COMPUTED_VALUE"""),6.0)</f>
        <v>6</v>
      </c>
    </row>
    <row r="332">
      <c r="A332" s="58" t="str">
        <f>IFERROR(__xludf.DUMMYFUNCTION("""COMPUTED_VALUE"""),"ESTUDIO DE FACTIBILIDAD PARA LA IMPLEMENTACIÓN DE UNA LÍNEA DE PRODUCCIÓN DE INFUSIONES EN BOLSITA DE HOJAS DE MORINDA CITRIFOLIA (NONI) PARA LA EMPRESA NONI HEALTH.")</f>
        <v>ESTUDIO DE FACTIBILIDAD PARA LA IMPLEMENTACIÓN DE UNA LÍNEA DE PRODUCCIÓN DE INFUSIONES EN BOLSITA DE HOJAS DE MORINDA CITRIFOLIA (NONI) PARA LA EMPRESA NONI HEALTH.</v>
      </c>
      <c r="B332" s="58">
        <f>IFERROR(__xludf.DUMMYFUNCTION("""COMPUTED_VALUE"""),2.0)</f>
        <v>2</v>
      </c>
    </row>
    <row r="333">
      <c r="A333" s="58" t="str">
        <f>IFERROR(__xludf.DUMMYFUNCTION("""COMPUTED_VALUE"""),"ESTUDIO DE FACTIBILIDAD PARA LA IMPLEMENTACIÓN DE UNA LÍNEA DE PRODUCCIÓN DE JABONES DE TOCADOR PARA LA EMPRESA INDUQUIN")</f>
        <v>ESTUDIO DE FACTIBILIDAD PARA LA IMPLEMENTACIÓN DE UNA LÍNEA DE PRODUCCIÓN DE JABONES DE TOCADOR PARA LA EMPRESA INDUQUIN</v>
      </c>
      <c r="B333" s="58">
        <f>IFERROR(__xludf.DUMMYFUNCTION("""COMPUTED_VALUE"""),14.0)</f>
        <v>14</v>
      </c>
    </row>
    <row r="334">
      <c r="A334" s="58" t="str">
        <f>IFERROR(__xludf.DUMMYFUNCTION("""COMPUTED_VALUE"""),"ESTUDIO DE FACTIBILIDAD PARA LA IMPLEMENTACIÓN DE UNA LÍNEA PRODUCTIVA DE SUCEDÁNEO DE JUGO DE LIMÓN PARA LA EMPRESA CORDILL S.A.")</f>
        <v>ESTUDIO DE FACTIBILIDAD PARA LA IMPLEMENTACIÓN DE UNA LÍNEA PRODUCTIVA DE SUCEDÁNEO DE JUGO DE LIMÓN PARA LA EMPRESA CORDILL S.A.</v>
      </c>
      <c r="B334" s="58">
        <f>IFERROR(__xludf.DUMMYFUNCTION("""COMPUTED_VALUE"""),1.0)</f>
        <v>1</v>
      </c>
    </row>
    <row r="335">
      <c r="A335" s="58" t="str">
        <f>IFERROR(__xludf.DUMMYFUNCTION("""COMPUTED_VALUE"""),"ESTUDIO DE FACTIBILIDAD PARA LA IMPLEMENTACIÓN DE UNA MICROEMPRESA DE CHOCOLATES ARTESANALES PARA LA ONG AYNI RUWAY")</f>
        <v>ESTUDIO DE FACTIBILIDAD PARA LA IMPLEMENTACIÓN DE UNA MICROEMPRESA DE CHOCOLATES ARTESANALES PARA LA ONG AYNI RUWAY</v>
      </c>
      <c r="B335" s="58">
        <f>IFERROR(__xludf.DUMMYFUNCTION("""COMPUTED_VALUE"""),1.0)</f>
        <v>1</v>
      </c>
    </row>
    <row r="336">
      <c r="A336" s="58" t="str">
        <f>IFERROR(__xludf.DUMMYFUNCTION("""COMPUTED_VALUE"""),"ESTUDIO DE FACTIBILIDAD PARA LA IMPLEMENTACIÓN DE UNA NUEVA PLANTA PRODUCTIVA CON CAPACIDAD 500.000 M2/MES DE CERAMICA COBOCE LTDA.")</f>
        <v>ESTUDIO DE FACTIBILIDAD PARA LA IMPLEMENTACIÓN DE UNA NUEVA PLANTA PRODUCTIVA CON CAPACIDAD 500.000 M2/MES DE CERAMICA COBOCE LTDA.</v>
      </c>
      <c r="B336" s="58">
        <f>IFERROR(__xludf.DUMMYFUNCTION("""COMPUTED_VALUE"""),6.0)</f>
        <v>6</v>
      </c>
    </row>
    <row r="337">
      <c r="A337" s="58" t="str">
        <f>IFERROR(__xludf.DUMMYFUNCTION("""COMPUTED_VALUE"""),"ESTUDIO DE FACTIBILIDAD PARA LA IMPLEMENTACIÓN DE UNA PLANTA   PROCESADORA DE PAPAS FRITAS Y PAPAS PREFRITAS CONGELADAS EN EL MUNICIPIO DE TOTORA")</f>
        <v>ESTUDIO DE FACTIBILIDAD PARA LA IMPLEMENTACIÓN DE UNA PLANTA   PROCESADORA DE PAPAS FRITAS Y PAPAS PREFRITAS CONGELADAS EN EL MUNICIPIO DE TOTORA</v>
      </c>
      <c r="B337" s="58">
        <f>IFERROR(__xludf.DUMMYFUNCTION("""COMPUTED_VALUE"""),3.0)</f>
        <v>3</v>
      </c>
    </row>
    <row r="338">
      <c r="A338" s="58" t="str">
        <f>IFERROR(__xludf.DUMMYFUNCTION("""COMPUTED_VALUE"""),"ESTUDIO DE FACTIBILIDAD PARA LA IMPLEMENTACIÓN DE UNA PLANTA  DE CONFECCIÓN TEXTIL “PANTALONES-JEANS”")</f>
        <v>ESTUDIO DE FACTIBILIDAD PARA LA IMPLEMENTACIÓN DE UNA PLANTA  DE CONFECCIÓN TEXTIL “PANTALONES-JEANS”</v>
      </c>
      <c r="B338" s="58">
        <f>IFERROR(__xludf.DUMMYFUNCTION("""COMPUTED_VALUE"""),5.0)</f>
        <v>5</v>
      </c>
    </row>
    <row r="339">
      <c r="A339" s="58" t="str">
        <f>IFERROR(__xludf.DUMMYFUNCTION("""COMPUTED_VALUE"""),"ESTUDIO DE FACTIBILIDAD PARA LA IMPLEMENTACIÓN DE UNA PLANTA DE BIODIGESTORES EN KARA KARA")</f>
        <v>ESTUDIO DE FACTIBILIDAD PARA LA IMPLEMENTACIÓN DE UNA PLANTA DE BIODIGESTORES EN KARA KARA</v>
      </c>
      <c r="B339" s="58">
        <f>IFERROR(__xludf.DUMMYFUNCTION("""COMPUTED_VALUE"""),1.0)</f>
        <v>1</v>
      </c>
    </row>
    <row r="340">
      <c r="A340" s="58" t="str">
        <f>IFERROR(__xludf.DUMMYFUNCTION("""COMPUTED_VALUE"""),"ESTUDIO DE FACTIBILIDAD PARA LA IMPLEMENTACIÓN DE UNA PLANTA DE CERVEZA ARTESANAL ENVASADA EN BARRILES EN COCHABAMBA")</f>
        <v>ESTUDIO DE FACTIBILIDAD PARA LA IMPLEMENTACIÓN DE UNA PLANTA DE CERVEZA ARTESANAL ENVASADA EN BARRILES EN COCHABAMBA</v>
      </c>
      <c r="B340" s="58">
        <f>IFERROR(__xludf.DUMMYFUNCTION("""COMPUTED_VALUE"""),5.0)</f>
        <v>5</v>
      </c>
    </row>
    <row r="341">
      <c r="A341" s="58" t="str">
        <f>IFERROR(__xludf.DUMMYFUNCTION("""COMPUTED_VALUE"""),"ESTUDIO DE FACTIBILIDAD PARA LA IMPLEMENTACIÓN DE UNA PLANTA DE EMPAQUES PLÁSTICOS BIODEGRADABLES")</f>
        <v>ESTUDIO DE FACTIBILIDAD PARA LA IMPLEMENTACIÓN DE UNA PLANTA DE EMPAQUES PLÁSTICOS BIODEGRADABLES</v>
      </c>
      <c r="B341" s="58">
        <f>IFERROR(__xludf.DUMMYFUNCTION("""COMPUTED_VALUE"""),3.0)</f>
        <v>3</v>
      </c>
    </row>
    <row r="342">
      <c r="A342" s="58" t="str">
        <f>IFERROR(__xludf.DUMMYFUNCTION("""COMPUTED_VALUE"""),"ESTUDIO DE FACTIBILIDAD PARA LA IMPLEMENTACIÓN DE UNA PLANTA DE FABRICACIÓN DE TUBOS PET A PARTIR DE MATERIAL RECICLABLE EN LA CIUDAD DE COCHABAMBA PARA LA EMPRESA TERMOPLASTIC S.R.L")</f>
        <v>ESTUDIO DE FACTIBILIDAD PARA LA IMPLEMENTACIÓN DE UNA PLANTA DE FABRICACIÓN DE TUBOS PET A PARTIR DE MATERIAL RECICLABLE EN LA CIUDAD DE COCHABAMBA PARA LA EMPRESA TERMOPLASTIC S.R.L</v>
      </c>
      <c r="B342" s="58">
        <f>IFERROR(__xludf.DUMMYFUNCTION("""COMPUTED_VALUE"""),4.0)</f>
        <v>4</v>
      </c>
    </row>
    <row r="343">
      <c r="A343" s="58" t="str">
        <f>IFERROR(__xludf.DUMMYFUNCTION("""COMPUTED_VALUE"""),"ESTUDIO DE FACTIBILIDAD PARA LA IMPLEMENTACIÓN DE UNA PLANTA DE JABÓN LÍQUIDO")</f>
        <v>ESTUDIO DE FACTIBILIDAD PARA LA IMPLEMENTACIÓN DE UNA PLANTA DE JABÓN LÍQUIDO</v>
      </c>
      <c r="B343" s="58">
        <f>IFERROR(__xludf.DUMMYFUNCTION("""COMPUTED_VALUE"""),6.0)</f>
        <v>6</v>
      </c>
    </row>
    <row r="344">
      <c r="A344" s="58" t="str">
        <f>IFERROR(__xludf.DUMMYFUNCTION("""COMPUTED_VALUE"""),"ESTUDIO DE FACTIBILIDAD PARA LA IMPLEMENTACIÓN DE UNA PLANTA DE PROCESAMIENTO Y COMERCIALIZACIÓN DE HARINA INSTANTÁNEA PARA REFRESCO DE LINAZA")</f>
        <v>ESTUDIO DE FACTIBILIDAD PARA LA IMPLEMENTACIÓN DE UNA PLANTA DE PROCESAMIENTO Y COMERCIALIZACIÓN DE HARINA INSTANTÁNEA PARA REFRESCO DE LINAZA</v>
      </c>
      <c r="B344" s="58">
        <f>IFERROR(__xludf.DUMMYFUNCTION("""COMPUTED_VALUE"""),3.0)</f>
        <v>3</v>
      </c>
    </row>
    <row r="345">
      <c r="A345" s="58" t="str">
        <f>IFERROR(__xludf.DUMMYFUNCTION("""COMPUTED_VALUE"""),"ESTUDIO DE FACTIBILIDAD PARA LA IMPLEMENTACIÓN DE UNA PLANTA DE PRODUCCIÓN DE SACOS MULTIPLIEGOS PARA LOS PRODUCTOS DE COBOCE I R P A I R P A")</f>
        <v>ESTUDIO DE FACTIBILIDAD PARA LA IMPLEMENTACIÓN DE UNA PLANTA DE PRODUCCIÓN DE SACOS MULTIPLIEGOS PARA LOS PRODUCTOS DE COBOCE I R P A I R P A</v>
      </c>
      <c r="B345" s="58">
        <f>IFERROR(__xludf.DUMMYFUNCTION("""COMPUTED_VALUE"""),1.0)</f>
        <v>1</v>
      </c>
    </row>
    <row r="346">
      <c r="A346" s="58" t="str">
        <f>IFERROR(__xludf.DUMMYFUNCTION("""COMPUTED_VALUE"""),"ESTUDIO DE FACTIBILIDAD PARA LA IMPLEMENTACIÓN DE UNA PLANTA DE PRODUCCIÓN DE YOGUR MIX CON GRANOLA")</f>
        <v>ESTUDIO DE FACTIBILIDAD PARA LA IMPLEMENTACIÓN DE UNA PLANTA DE PRODUCCIÓN DE YOGUR MIX CON GRANOLA</v>
      </c>
      <c r="B346" s="58">
        <f>IFERROR(__xludf.DUMMYFUNCTION("""COMPUTED_VALUE"""),1.0)</f>
        <v>1</v>
      </c>
    </row>
    <row r="347">
      <c r="A347" s="58" t="str">
        <f>IFERROR(__xludf.DUMMYFUNCTION("""COMPUTED_VALUE"""),"ESTUDIO DE FACTIBILIDAD PARA LA IMPLEMENTACIÓN DE UNA PLANTA DESHIDRATADORA DE HABA DESTINADA PARA LA EXPORTACIÓN")</f>
        <v>ESTUDIO DE FACTIBILIDAD PARA LA IMPLEMENTACIÓN DE UNA PLANTA DESHIDRATADORA DE HABA DESTINADA PARA LA EXPORTACIÓN</v>
      </c>
      <c r="B347" s="58">
        <f>IFERROR(__xludf.DUMMYFUNCTION("""COMPUTED_VALUE"""),1.0)</f>
        <v>1</v>
      </c>
    </row>
    <row r="348">
      <c r="A348" s="58" t="str">
        <f>IFERROR(__xludf.DUMMYFUNCTION("""COMPUTED_VALUE"""),"ESTUDIO DE FACTIBILIDAD PARA LA IMPLEMENTACIÓN DE UNA PLANTA EXTRACTORA DE ACEITE EXTRA VIRGEN DE SACHA INCHI EN IVIRGARZAMA")</f>
        <v>ESTUDIO DE FACTIBILIDAD PARA LA IMPLEMENTACIÓN DE UNA PLANTA EXTRACTORA DE ACEITE EXTRA VIRGEN DE SACHA INCHI EN IVIRGARZAMA</v>
      </c>
      <c r="B348" s="58">
        <f>IFERROR(__xludf.DUMMYFUNCTION("""COMPUTED_VALUE"""),3.0)</f>
        <v>3</v>
      </c>
    </row>
    <row r="349">
      <c r="A349" s="58" t="str">
        <f>IFERROR(__xludf.DUMMYFUNCTION("""COMPUTED_VALUE"""),"ESTUDIO DE FACTIBILIDAD PARA LA IMPLEMENTACIÓN DE UNA PLANTA INDUSTRIAL DE HUEVO LÍQUIDO PASTEURIZADO EN AVÍCOLA ROLÓN")</f>
        <v>ESTUDIO DE FACTIBILIDAD PARA LA IMPLEMENTACIÓN DE UNA PLANTA INDUSTRIAL DE HUEVO LÍQUIDO PASTEURIZADO EN AVÍCOLA ROLÓN</v>
      </c>
      <c r="B349" s="58">
        <f>IFERROR(__xludf.DUMMYFUNCTION("""COMPUTED_VALUE"""),3.0)</f>
        <v>3</v>
      </c>
    </row>
    <row r="350">
      <c r="A350" s="58" t="str">
        <f>IFERROR(__xludf.DUMMYFUNCTION("""COMPUTED_VALUE"""),"ESTUDIO DE FACTIBILIDAD PARA LA IMPLEMENTACIÓN DE UNA PLANTA INDUSTRIAL DE LECHE DE QUINUA.")</f>
        <v>ESTUDIO DE FACTIBILIDAD PARA LA IMPLEMENTACIÓN DE UNA PLANTA INDUSTRIAL DE LECHE DE QUINUA.</v>
      </c>
      <c r="B350" s="58">
        <f>IFERROR(__xludf.DUMMYFUNCTION("""COMPUTED_VALUE"""),2.0)</f>
        <v>2</v>
      </c>
    </row>
    <row r="351">
      <c r="A351" s="58" t="str">
        <f>IFERROR(__xludf.DUMMYFUNCTION("""COMPUTED_VALUE"""),"ESTUDIO DE FACTIBILIDAD PARA LA IMPLEMENTACIÓN DE UNA PLANTA INDUSTRIAL DE LECHE DE TARWI, DIRIGIDO AL MERCADO DE COCHABAMBA.")</f>
        <v>ESTUDIO DE FACTIBILIDAD PARA LA IMPLEMENTACIÓN DE UNA PLANTA INDUSTRIAL DE LECHE DE TARWI, DIRIGIDO AL MERCADO DE COCHABAMBA.</v>
      </c>
      <c r="B351" s="58">
        <f>IFERROR(__xludf.DUMMYFUNCTION("""COMPUTED_VALUE"""),4.0)</f>
        <v>4</v>
      </c>
    </row>
    <row r="352">
      <c r="A352" s="58" t="str">
        <f>IFERROR(__xludf.DUMMYFUNCTION("""COMPUTED_VALUE"""),"ESTUDIO DE FACTIBILIDAD PARA LA IMPLEMENTACIÓN DE UNA PLANTA INDUSTRIAL DE PAPAS FRITAS CHIPS DESARROLLANDO U SISTEMA DE BUENA PRÁCTICAS DE MANUFACTURA")</f>
        <v>ESTUDIO DE FACTIBILIDAD PARA LA IMPLEMENTACIÓN DE UNA PLANTA INDUSTRIAL DE PAPAS FRITAS CHIPS DESARROLLANDO U SISTEMA DE BUENA PRÁCTICAS DE MANUFACTURA</v>
      </c>
      <c r="B352" s="58">
        <f>IFERROR(__xludf.DUMMYFUNCTION("""COMPUTED_VALUE"""),4.0)</f>
        <v>4</v>
      </c>
    </row>
    <row r="353">
      <c r="A353" s="58" t="str">
        <f>IFERROR(__xludf.DUMMYFUNCTION("""COMPUTED_VALUE"""),"ESTUDIO DE FACTIBILIDAD PARA LA IMPLEMENTACIÓN DE UNA PLANTA INDUSTRIAL PARA LA EMPRESA KORIGOMA LTDA.")</f>
        <v>ESTUDIO DE FACTIBILIDAD PARA LA IMPLEMENTACIÓN DE UNA PLANTA INDUSTRIAL PARA LA EMPRESA KORIGOMA LTDA.</v>
      </c>
      <c r="B353" s="58">
        <f>IFERROR(__xludf.DUMMYFUNCTION("""COMPUTED_VALUE"""),1.0)</f>
        <v>1</v>
      </c>
    </row>
    <row r="354">
      <c r="A354" s="58" t="str">
        <f>IFERROR(__xludf.DUMMYFUNCTION("""COMPUTED_VALUE"""),"ESTUDIO DE FACTIBILIDAD PARA LA IMPLEMENTACIÓN DE UNA PLANTA INDUSTRIALIZADORA DE LECHE PARA LA ASOCIACIÓN DEPARTAMENTAL DE PRODUCTORES LECHEROS DE COCHABAMBA “ADEPLEC”")</f>
        <v>ESTUDIO DE FACTIBILIDAD PARA LA IMPLEMENTACIÓN DE UNA PLANTA INDUSTRIALIZADORA DE LECHE PARA LA ASOCIACIÓN DEPARTAMENTAL DE PRODUCTORES LECHEROS DE COCHABAMBA “ADEPLEC”</v>
      </c>
      <c r="B354" s="58">
        <f>IFERROR(__xludf.DUMMYFUNCTION("""COMPUTED_VALUE"""),1.0)</f>
        <v>1</v>
      </c>
    </row>
    <row r="355">
      <c r="A355" s="58" t="str">
        <f>IFERROR(__xludf.DUMMYFUNCTION("""COMPUTED_VALUE"""),"ESTUDIO DE FACTIBILIDAD PARA LA IMPLEMENTACIÓN DE UNA PLANTA INDUSTRIALIZADORA DE LECHE VEGETAL EN COCHABAMBA")</f>
        <v>ESTUDIO DE FACTIBILIDAD PARA LA IMPLEMENTACIÓN DE UNA PLANTA INDUSTRIALIZADORA DE LECHE VEGETAL EN COCHABAMBA</v>
      </c>
      <c r="B355" s="58">
        <f>IFERROR(__xludf.DUMMYFUNCTION("""COMPUTED_VALUE"""),6.0)</f>
        <v>6</v>
      </c>
    </row>
    <row r="356">
      <c r="A356" s="58" t="str">
        <f>IFERROR(__xludf.DUMMYFUNCTION("""COMPUTED_VALUE"""),"ESTUDIO DE FACTIBILIDAD PARA LA IMPLEMENTACIÓN DE UNA PLANTA INDUSTRIALIZADORA DE MANZANA EN ALMÍBAR EN EL VALLE ALTO DE COCHABAMBA.")</f>
        <v>ESTUDIO DE FACTIBILIDAD PARA LA IMPLEMENTACIÓN DE UNA PLANTA INDUSTRIALIZADORA DE MANZANA EN ALMÍBAR EN EL VALLE ALTO DE COCHABAMBA.</v>
      </c>
      <c r="B356" s="58">
        <f>IFERROR(__xludf.DUMMYFUNCTION("""COMPUTED_VALUE"""),2.0)</f>
        <v>2</v>
      </c>
    </row>
    <row r="357">
      <c r="A357" s="58" t="str">
        <f>IFERROR(__xludf.DUMMYFUNCTION("""COMPUTED_VALUE"""),"ESTUDIO DE FACTIBILIDAD PARA LA IMPLEMENTACIÓN DE UNA PLANTA PARA LA ELABORACIÓN DE PASTAS EN BASE A TRIGO QUINUA Y MAÍZ EN LA CIUDAD DE COCHABAMBA.")</f>
        <v>ESTUDIO DE FACTIBILIDAD PARA LA IMPLEMENTACIÓN DE UNA PLANTA PARA LA ELABORACIÓN DE PASTAS EN BASE A TRIGO QUINUA Y MAÍZ EN LA CIUDAD DE COCHABAMBA.</v>
      </c>
      <c r="B357" s="58">
        <f>IFERROR(__xludf.DUMMYFUNCTION("""COMPUTED_VALUE"""),5.0)</f>
        <v>5</v>
      </c>
    </row>
    <row r="358">
      <c r="A358" s="58" t="str">
        <f>IFERROR(__xludf.DUMMYFUNCTION("""COMPUTED_VALUE"""),"ESTUDIO DE FACTIBILIDAD PARA LA IMPLEMENTACIÓN DE UNA PLANTA PILOTO DE FIAMBRES Y EMBUTIDOS PARA LA CARRERA DE INGENIERÍA DE ALIMENTOS DE LA UMSS.")</f>
        <v>ESTUDIO DE FACTIBILIDAD PARA LA IMPLEMENTACIÓN DE UNA PLANTA PILOTO DE FIAMBRES Y EMBUTIDOS PARA LA CARRERA DE INGENIERÍA DE ALIMENTOS DE LA UMSS.</v>
      </c>
      <c r="B358" s="58">
        <f>IFERROR(__xludf.DUMMYFUNCTION("""COMPUTED_VALUE"""),1.0)</f>
        <v>1</v>
      </c>
    </row>
    <row r="359">
      <c r="A359" s="58" t="str">
        <f>IFERROR(__xludf.DUMMYFUNCTION("""COMPUTED_VALUE"""),"ESTUDIO DE FACTIBILIDAD PARA LA IMPLEMENTACIÓN DE UNA PLANTA PROCESADORA DE ACEITE DE MANÍ EN LA LOCALIDAD DE MIZQUE")</f>
        <v>ESTUDIO DE FACTIBILIDAD PARA LA IMPLEMENTACIÓN DE UNA PLANTA PROCESADORA DE ACEITE DE MANÍ EN LA LOCALIDAD DE MIZQUE</v>
      </c>
      <c r="B359" s="58">
        <f>IFERROR(__xludf.DUMMYFUNCTION("""COMPUTED_VALUE"""),8.0)</f>
        <v>8</v>
      </c>
    </row>
    <row r="360">
      <c r="A360" s="58" t="str">
        <f>IFERROR(__xludf.DUMMYFUNCTION("""COMPUTED_VALUE"""),"ESTUDIO DE FACTIBILIDAD PARA LA IMPLEMENTACIÓN DE UNA PLANTA PROCESADORA DE ASFALTO MODIFICADO A BASE DE POLÍMERO EN LA CIUDAD DE COCHABAMBA")</f>
        <v>ESTUDIO DE FACTIBILIDAD PARA LA IMPLEMENTACIÓN DE UNA PLANTA PROCESADORA DE ASFALTO MODIFICADO A BASE DE POLÍMERO EN LA CIUDAD DE COCHABAMBA</v>
      </c>
      <c r="B360" s="58">
        <f>IFERROR(__xludf.DUMMYFUNCTION("""COMPUTED_VALUE"""),2.0)</f>
        <v>2</v>
      </c>
    </row>
    <row r="361">
      <c r="A361" s="58" t="str">
        <f>IFERROR(__xludf.DUMMYFUNCTION("""COMPUTED_VALUE"""),"ESTUDIO DE FACTIBILIDAD PARA LA IMPLEMENTACIÓN DE UNA PLANTA PROCESADORA DE HOJUELAS A BASE DE GRANO ANDINO (CAÑAHUA)")</f>
        <v>ESTUDIO DE FACTIBILIDAD PARA LA IMPLEMENTACIÓN DE UNA PLANTA PROCESADORA DE HOJUELAS A BASE DE GRANO ANDINO (CAÑAHUA)</v>
      </c>
      <c r="B361" s="58">
        <f>IFERROR(__xludf.DUMMYFUNCTION("""COMPUTED_VALUE"""),5.0)</f>
        <v>5</v>
      </c>
    </row>
    <row r="362">
      <c r="A362" s="58" t="str">
        <f>IFERROR(__xludf.DUMMYFUNCTION("""COMPUTED_VALUE"""),"ESTUDIO DE FACTIBILIDAD PARA LA IMPLEMENTACIÓN DE UNA PLANTA PROCESADORA DE JUGO DE CAÑA DE AZÚCAR EN EL DEPARTAMENTO DE COCHABAMBA")</f>
        <v>ESTUDIO DE FACTIBILIDAD PARA LA IMPLEMENTACIÓN DE UNA PLANTA PROCESADORA DE JUGO DE CAÑA DE AZÚCAR EN EL DEPARTAMENTO DE COCHABAMBA</v>
      </c>
      <c r="B362" s="58">
        <f>IFERROR(__xludf.DUMMYFUNCTION("""COMPUTED_VALUE"""),1.0)</f>
        <v>1</v>
      </c>
    </row>
    <row r="363">
      <c r="A363" s="58" t="str">
        <f>IFERROR(__xludf.DUMMYFUNCTION("""COMPUTED_VALUE"""),"ESTUDIO DE FACTIBILIDAD PARA LA IMPLEMENTACIÓN DE UNA PLANTA PROCESADORA DE LECHE DE MANÍ EN EL DEPARTAMENTO DE COCHABAMBA")</f>
        <v>ESTUDIO DE FACTIBILIDAD PARA LA IMPLEMENTACIÓN DE UNA PLANTA PROCESADORA DE LECHE DE MANÍ EN EL DEPARTAMENTO DE COCHABAMBA</v>
      </c>
      <c r="B363" s="58">
        <f>IFERROR(__xludf.DUMMYFUNCTION("""COMPUTED_VALUE"""),2.0)</f>
        <v>2</v>
      </c>
    </row>
    <row r="364">
      <c r="A364" s="58" t="str">
        <f>IFERROR(__xludf.DUMMYFUNCTION("""COMPUTED_VALUE"""),"ESTUDIO DE FACTIBILIDAD PARA LA IMPLEMENTACIÓN DE UNA PLANTA PROCESADORA DE LECHE VEGETAL A BASE DE ALMENDRAS EN EL DEPARTAMENTO DE COCHABAMBA.")</f>
        <v>ESTUDIO DE FACTIBILIDAD PARA LA IMPLEMENTACIÓN DE UNA PLANTA PROCESADORA DE LECHE VEGETAL A BASE DE ALMENDRAS EN EL DEPARTAMENTO DE COCHABAMBA.</v>
      </c>
      <c r="B364" s="58">
        <f>IFERROR(__xludf.DUMMYFUNCTION("""COMPUTED_VALUE"""),6.0)</f>
        <v>6</v>
      </c>
    </row>
    <row r="365">
      <c r="A365" s="58" t="str">
        <f>IFERROR(__xludf.DUMMYFUNCTION("""COMPUTED_VALUE"""),"ESTUDIO DE FACTIBILIDAD PARA LA IMPLEMENTACIÓN DE UNA PLANTA PROCESADORA DE LECHE, YOGURT Y QUESO EN LA PROVINCIA DE CAPINOTA")</f>
        <v>ESTUDIO DE FACTIBILIDAD PARA LA IMPLEMENTACIÓN DE UNA PLANTA PROCESADORA DE LECHE, YOGURT Y QUESO EN LA PROVINCIA DE CAPINOTA</v>
      </c>
      <c r="B365" s="58">
        <f>IFERROR(__xludf.DUMMYFUNCTION("""COMPUTED_VALUE"""),9.0)</f>
        <v>9</v>
      </c>
    </row>
    <row r="366">
      <c r="A366" s="58" t="str">
        <f>IFERROR(__xludf.DUMMYFUNCTION("""COMPUTED_VALUE"""),"ESTUDIO DE FACTIBILIDAD PARA LA IMPLEMENTACIÓN DE UNA PLANTA PROCESADORA DE MANTEQUILLA CON CANELA Y MIEL PARA COCHABAMBA.")</f>
        <v>ESTUDIO DE FACTIBILIDAD PARA LA IMPLEMENTACIÓN DE UNA PLANTA PROCESADORA DE MANTEQUILLA CON CANELA Y MIEL PARA COCHABAMBA.</v>
      </c>
      <c r="B366" s="58">
        <f>IFERROR(__xludf.DUMMYFUNCTION("""COMPUTED_VALUE"""),2.0)</f>
        <v>2</v>
      </c>
    </row>
    <row r="367">
      <c r="A367" s="58" t="str">
        <f>IFERROR(__xludf.DUMMYFUNCTION("""COMPUTED_VALUE"""),"ESTUDIO DE FACTIBILIDAD PARA LA IMPLEMENTACIÓN DE UNA PLANTA PROCESADORA DE PAPAS PREFRITAS CONGELADAS")</f>
        <v>ESTUDIO DE FACTIBILIDAD PARA LA IMPLEMENTACIÓN DE UNA PLANTA PROCESADORA DE PAPAS PREFRITAS CONGELADAS</v>
      </c>
      <c r="B367" s="58">
        <f>IFERROR(__xludf.DUMMYFUNCTION("""COMPUTED_VALUE"""),6.0)</f>
        <v>6</v>
      </c>
    </row>
    <row r="368">
      <c r="A368" s="58" t="str">
        <f>IFERROR(__xludf.DUMMYFUNCTION("""COMPUTED_VALUE"""),"ESTUDIO DE FACTIBILIDAD PARA LA IMPLEMENTACIÓN DE UNA PLANTA PROCESADORA DE PLÁSTICOS BIODEGRADABLES A PARTIR DEL MICROORGANISMO HALOMONAS BOLIVIENSIS EN EL DEPARTAMENTO DE COCHABAMBA")</f>
        <v>ESTUDIO DE FACTIBILIDAD PARA LA IMPLEMENTACIÓN DE UNA PLANTA PROCESADORA DE PLÁSTICOS BIODEGRADABLES A PARTIR DEL MICROORGANISMO HALOMONAS BOLIVIENSIS EN EL DEPARTAMENTO DE COCHABAMBA</v>
      </c>
      <c r="B368" s="58">
        <f>IFERROR(__xludf.DUMMYFUNCTION("""COMPUTED_VALUE"""),3.0)</f>
        <v>3</v>
      </c>
    </row>
    <row r="369">
      <c r="A369" s="58" t="str">
        <f>IFERROR(__xludf.DUMMYFUNCTION("""COMPUTED_VALUE"""),"ESTUDIO DE FACTIBILIDAD PARA LA IMPLEMENTACIÓN DE UNA PLANTA PROCESADORA DE PULPA DE TUMBO EN EL DEPARTAMENTO DE COCHABAMBA.")</f>
        <v>ESTUDIO DE FACTIBILIDAD PARA LA IMPLEMENTACIÓN DE UNA PLANTA PROCESADORA DE PULPA DE TUMBO EN EL DEPARTAMENTO DE COCHABAMBA.</v>
      </c>
      <c r="B369" s="58">
        <f>IFERROR(__xludf.DUMMYFUNCTION("""COMPUTED_VALUE"""),1.0)</f>
        <v>1</v>
      </c>
    </row>
    <row r="370">
      <c r="A370" s="58" t="str">
        <f>IFERROR(__xludf.DUMMYFUNCTION("""COMPUTED_VALUE"""),"ESTUDIO DE FACTIBILIDAD PARA LA IMPLEMENTACIÓN DE UNA PLANTA PROCESADORA DE SALSA DE LOCOTO EN EL DEPARTAMENTO DE COCHABAMBA")</f>
        <v>ESTUDIO DE FACTIBILIDAD PARA LA IMPLEMENTACIÓN DE UNA PLANTA PROCESADORA DE SALSA DE LOCOTO EN EL DEPARTAMENTO DE COCHABAMBA</v>
      </c>
      <c r="B370" s="58">
        <f>IFERROR(__xludf.DUMMYFUNCTION("""COMPUTED_VALUE"""),2.0)</f>
        <v>2</v>
      </c>
    </row>
    <row r="371">
      <c r="A371" s="58" t="str">
        <f>IFERROR(__xludf.DUMMYFUNCTION("""COMPUTED_VALUE"""),"ESTUDIO DE FACTIBILIDAD PARA LA IMPLEMENTACIÓN DE UNA PLANTA PROCESADORA DE YOGURT ESTILO GRIEGO CON VEGETALES Y FRUTAS EN LA PROVINCIA CERCADO DEL DEPARTAMENTO DE COCHABAMBA")</f>
        <v>ESTUDIO DE FACTIBILIDAD PARA LA IMPLEMENTACIÓN DE UNA PLANTA PROCESADORA DE YOGURT ESTILO GRIEGO CON VEGETALES Y FRUTAS EN LA PROVINCIA CERCADO DEL DEPARTAMENTO DE COCHABAMBA</v>
      </c>
      <c r="B371" s="58">
        <f>IFERROR(__xludf.DUMMYFUNCTION("""COMPUTED_VALUE"""),9.0)</f>
        <v>9</v>
      </c>
    </row>
    <row r="372">
      <c r="A372" s="58" t="str">
        <f>IFERROR(__xludf.DUMMYFUNCTION("""COMPUTED_VALUE"""),"ESTUDIO DE FACTIBILIDAD PARA LA IMPLEMENTACIÓN DE UNA PLANTA PRODUCTORA DE ABONO EN BASE A RESIDUOS ORGANICOS DEL DISTRITO 3 DE LA CIUDAD DE CERCADO")</f>
        <v>ESTUDIO DE FACTIBILIDAD PARA LA IMPLEMENTACIÓN DE UNA PLANTA PRODUCTORA DE ABONO EN BASE A RESIDUOS ORGANICOS DEL DISTRITO 3 DE LA CIUDAD DE CERCADO</v>
      </c>
      <c r="B372" s="58">
        <f>IFERROR(__xludf.DUMMYFUNCTION("""COMPUTED_VALUE"""),1.0)</f>
        <v>1</v>
      </c>
    </row>
    <row r="373">
      <c r="A373"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B373" s="58">
        <f>IFERROR(__xludf.DUMMYFUNCTION("""COMPUTED_VALUE"""),1.0)</f>
        <v>1</v>
      </c>
    </row>
    <row r="374">
      <c r="A374" s="58" t="str">
        <f>IFERROR(__xludf.DUMMYFUNCTION("""COMPUTED_VALUE"""),"ESTUDIO DE FACTIBILIDAD PARA LA IMPLEMENTACIÓN DE UNA PLANTA PRODUCTORA DE ABONO VEGETAL A PARTIR DE RESIDUOS SÓLIDOS, EN EL RELLENO SANITARIO DEL MUNICIPIO DE SACABA")</f>
        <v>ESTUDIO DE FACTIBILIDAD PARA LA IMPLEMENTACIÓN DE UNA PLANTA PRODUCTORA DE ABONO VEGETAL A PARTIR DE RESIDUOS SÓLIDOS, EN EL RELLENO SANITARIO DEL MUNICIPIO DE SACABA</v>
      </c>
      <c r="B374" s="58">
        <f>IFERROR(__xludf.DUMMYFUNCTION("""COMPUTED_VALUE"""),3.0)</f>
        <v>3</v>
      </c>
    </row>
    <row r="375">
      <c r="A375" s="58" t="str">
        <f>IFERROR(__xludf.DUMMYFUNCTION("""COMPUTED_VALUE"""),"ESTUDIO DE FACTIBILIDAD PARA LA IMPLEMENTACIÓN DE UNA PLANTA PRODUCTORA DE ALMIDÓN DULCE DE YUCA Y SU EXPORTACIÓN")</f>
        <v>ESTUDIO DE FACTIBILIDAD PARA LA IMPLEMENTACIÓN DE UNA PLANTA PRODUCTORA DE ALMIDÓN DULCE DE YUCA Y SU EXPORTACIÓN</v>
      </c>
      <c r="B375" s="58">
        <f>IFERROR(__xludf.DUMMYFUNCTION("""COMPUTED_VALUE"""),10.0)</f>
        <v>10</v>
      </c>
    </row>
    <row r="376">
      <c r="A376" s="58" t="str">
        <f>IFERROR(__xludf.DUMMYFUNCTION("""COMPUTED_VALUE"""),"ESTUDIO DE FACTIBILIDAD PARA LA IMPLEMENTACIÓN DE UNA PLANTA PRODUCTORA DE QUESO EN LA COMUNA ITOCTA.")</f>
        <v>ESTUDIO DE FACTIBILIDAD PARA LA IMPLEMENTACIÓN DE UNA PLANTA PRODUCTORA DE QUESO EN LA COMUNA ITOCTA.</v>
      </c>
      <c r="B376" s="58">
        <f>IFERROR(__xludf.DUMMYFUNCTION("""COMPUTED_VALUE"""),2.0)</f>
        <v>2</v>
      </c>
    </row>
    <row r="377">
      <c r="A377" s="58" t="str">
        <f>IFERROR(__xludf.DUMMYFUNCTION("""COMPUTED_VALUE"""),"ESTUDIO DE FACTIBILIDAD PARA LA IMPLEMENTACIÓN DE UNA PLANTA PRODUCTORA Y COMERCIALIZADORA DE SNACKS DE YUCA.")</f>
        <v>ESTUDIO DE FACTIBILIDAD PARA LA IMPLEMENTACIÓN DE UNA PLANTA PRODUCTORA Y COMERCIALIZADORA DE SNACKS DE YUCA.</v>
      </c>
      <c r="B377" s="58">
        <f>IFERROR(__xludf.DUMMYFUNCTION("""COMPUTED_VALUE"""),3.0)</f>
        <v>3</v>
      </c>
    </row>
    <row r="378">
      <c r="A378" s="58" t="str">
        <f>IFERROR(__xludf.DUMMYFUNCTION("""COMPUTED_VALUE"""),"ESTUDIO DE FACTIBILIDAD PARA LA IMPLEMENTACIÓN DE UNA PROCESADORA DE ALIMENTO        BALANCEADO PARA LAS ZONAS LECHERAS DE LA PROVINCIA CERCADO DEL DEPARTAMENTO DE  COCHABAMBA.")</f>
        <v>ESTUDIO DE FACTIBILIDAD PARA LA IMPLEMENTACIÓN DE UNA PROCESADORA DE ALIMENTO        BALANCEADO PARA LAS ZONAS LECHERAS DE LA PROVINCIA CERCADO DEL DEPARTAMENTO DE  COCHABAMBA.</v>
      </c>
      <c r="B378" s="58">
        <f>IFERROR(__xludf.DUMMYFUNCTION("""COMPUTED_VALUE"""),1.0)</f>
        <v>1</v>
      </c>
    </row>
    <row r="379">
      <c r="A379" s="58" t="str">
        <f>IFERROR(__xludf.DUMMYFUNCTION("""COMPUTED_VALUE"""),"ESTUDIO DE FACTIBILIDAD PARA LA INSTALACION DE UNA
LÍNEA PROCESADORA DE CEREALES EXTRUIDOS PARA LA
EMPRESA PATUJÚ DEL CLUSTER DE ALIMENTOS")</f>
        <v>ESTUDIO DE FACTIBILIDAD PARA LA INSTALACION DE UNA
LÍNEA PROCESADORA DE CEREALES EXTRUIDOS PARA LA
EMPRESA PATUJÚ DEL CLUSTER DE ALIMENTOS</v>
      </c>
      <c r="B379" s="58">
        <f>IFERROR(__xludf.DUMMYFUNCTION("""COMPUTED_VALUE"""),1.0)</f>
        <v>1</v>
      </c>
    </row>
    <row r="380">
      <c r="A380" s="58" t="str">
        <f>IFERROR(__xludf.DUMMYFUNCTION("""COMPUTED_VALUE"""),"ESTUDIO DE FACTIBILIDAD PARA LA INSTALACION DE UNA PLANTA DE ENVASADO DE TÉ, PARA LA INDUSTRIA “AGROTE”")</f>
        <v>ESTUDIO DE FACTIBILIDAD PARA LA INSTALACION DE UNA PLANTA DE ENVASADO DE TÉ, PARA LA INDUSTRIA “AGROTE”</v>
      </c>
      <c r="B380" s="58">
        <f>IFERROR(__xludf.DUMMYFUNCTION("""COMPUTED_VALUE"""),2.0)</f>
        <v>2</v>
      </c>
    </row>
    <row r="381">
      <c r="A381" s="58" t="str">
        <f>IFERROR(__xludf.DUMMYFUNCTION("""COMPUTED_VALUE"""),"ESTUDIO DE FACTIBILIDAD PARA LA INSTALACION DE UNA PLANTA DE PRODUCCIÓN DE ALEVINES DE TRUCHA EN COCHABAMBA")</f>
        <v>ESTUDIO DE FACTIBILIDAD PARA LA INSTALACION DE UNA PLANTA DE PRODUCCIÓN DE ALEVINES DE TRUCHA EN COCHABAMBA</v>
      </c>
      <c r="B381" s="58">
        <f>IFERROR(__xludf.DUMMYFUNCTION("""COMPUTED_VALUE"""),1.0)</f>
        <v>1</v>
      </c>
    </row>
    <row r="382">
      <c r="A382" s="58" t="str">
        <f>IFERROR(__xludf.DUMMYFUNCTION("""COMPUTED_VALUE"""),"ESTUDIO DE FACTIBILIDAD PARA LA INSTALACION DE UNA PLANTA PROCESADORA DE REBOZADOR PARA ALIMENTOS LIBRE DE GLUTEN EN BASE A HARINA DE YUCA")</f>
        <v>ESTUDIO DE FACTIBILIDAD PARA LA INSTALACION DE UNA PLANTA PROCESADORA DE REBOZADOR PARA ALIMENTOS LIBRE DE GLUTEN EN BASE A HARINA DE YUCA</v>
      </c>
      <c r="B382" s="58">
        <f>IFERROR(__xludf.DUMMYFUNCTION("""COMPUTED_VALUE"""),2.0)</f>
        <v>2</v>
      </c>
    </row>
    <row r="383">
      <c r="A383" s="58" t="str">
        <f>IFERROR(__xludf.DUMMYFUNCTION("""COMPUTED_VALUE"""),"ESTUDIO DE FACTIBILIDAD PARA LA INSTALACION DE UNA PLANTA PRODUCTORA DE HARINA DE PULPA DE PLATANO (MUSA PARADISIACA) Y BIO ENVASES A PARTIR DE LA CASCARA EN CERCADO COCHABAMBA")</f>
        <v>ESTUDIO DE FACTIBILIDAD PARA LA INSTALACION DE UNA PLANTA PRODUCTORA DE HARINA DE PULPA DE PLATANO (MUSA PARADISIACA) Y BIO ENVASES A PARTIR DE LA CASCARA EN CERCADO COCHABAMBA</v>
      </c>
      <c r="B383" s="58">
        <f>IFERROR(__xludf.DUMMYFUNCTION("""COMPUTED_VALUE"""),18.0)</f>
        <v>18</v>
      </c>
    </row>
    <row r="384">
      <c r="A384" s="58" t="str">
        <f>IFERROR(__xludf.DUMMYFUNCTION("""COMPUTED_VALUE"""),"ESTUDIO DE FACTIBILIDAD PARA LA INSTALACIÓN DE
UNA PLANTA INDUSTRIALIZADORA DE ARVEJA EN LA
CIUDAD DE COCHABAMBA")</f>
        <v>ESTUDIO DE FACTIBILIDAD PARA LA INSTALACIÓN DE
UNA PLANTA INDUSTRIALIZADORA DE ARVEJA EN LA
CIUDAD DE COCHABAMBA</v>
      </c>
      <c r="B384" s="58">
        <f>IFERROR(__xludf.DUMMYFUNCTION("""COMPUTED_VALUE"""),1.0)</f>
        <v>1</v>
      </c>
    </row>
    <row r="385">
      <c r="A385" s="58" t="str">
        <f>IFERROR(__xludf.DUMMYFUNCTION("""COMPUTED_VALUE"""),"ESTUDIO DE FACTIBILIDAD PARA LA INSTALACIÓN DE UN CENTRO DE CAPACITACIÓN Y FORMACIÓN TÉCNICA EN MECANICA INDUSTRIAL EN COCHABAMBA A TRAVÉS DE LA PREFECTURA DE DEPARTAMENTO")</f>
        <v>ESTUDIO DE FACTIBILIDAD PARA LA INSTALACIÓN DE UN CENTRO DE CAPACITACIÓN Y FORMACIÓN TÉCNICA EN MECANICA INDUSTRIAL EN COCHABAMBA A TRAVÉS DE LA PREFECTURA DE DEPARTAMENTO</v>
      </c>
      <c r="B385" s="58">
        <f>IFERROR(__xludf.DUMMYFUNCTION("""COMPUTED_VALUE"""),1.0)</f>
        <v>1</v>
      </c>
    </row>
    <row r="386">
      <c r="A386" s="58" t="str">
        <f>IFERROR(__xludf.DUMMYFUNCTION("""COMPUTED_VALUE"""),"ESTUDIO DE FACTIBILIDAD PARA LA INSTALACIÓN DE UN CENTRO DE CAPACITACIÓN Y FORMACIÓN TÉCNICA EN MECÁNICA INDUSTRIAL EN COCHABAMBA A TRAVÉS DE LA PREFECTURA DEL DEPARTAMENTO")</f>
        <v>ESTUDIO DE FACTIBILIDAD PARA LA INSTALACIÓN DE UN CENTRO DE CAPACITACIÓN Y FORMACIÓN TÉCNICA EN MECÁNICA INDUSTRIAL EN COCHABAMBA A TRAVÉS DE LA PREFECTURA DEL DEPARTAMENTO</v>
      </c>
      <c r="B386" s="58">
        <f>IFERROR(__xludf.DUMMYFUNCTION("""COMPUTED_VALUE"""),1.0)</f>
        <v>1</v>
      </c>
    </row>
    <row r="387">
      <c r="A387" s="58" t="str">
        <f>IFERROR(__xludf.DUMMYFUNCTION("""COMPUTED_VALUE"""),"ESTUDIO DE FACTIBILIDAD PARA LA INSTALACIÓN DE UN TALLER DE CONVERSIÓN DE VEHÍCULOS A GAS NATURAL VEHICULAR")</f>
        <v>ESTUDIO DE FACTIBILIDAD PARA LA INSTALACIÓN DE UN TALLER DE CONVERSIÓN DE VEHÍCULOS A GAS NATURAL VEHICULAR</v>
      </c>
      <c r="B387" s="58">
        <f>IFERROR(__xludf.DUMMYFUNCTION("""COMPUTED_VALUE"""),1.0)</f>
        <v>1</v>
      </c>
    </row>
    <row r="388">
      <c r="A388" s="58" t="str">
        <f>IFERROR(__xludf.DUMMYFUNCTION("""COMPUTED_VALUE"""),"ESTUDIO DE FACTIBILIDAD PARA LA INSTALACIÓN DE UNA FÁBRICA DE LADRILLOS EN EL DEPARTAMENTO DE TARIJA")</f>
        <v>ESTUDIO DE FACTIBILIDAD PARA LA INSTALACIÓN DE UNA FÁBRICA DE LADRILLOS EN EL DEPARTAMENTO DE TARIJA</v>
      </c>
      <c r="B388" s="58">
        <f>IFERROR(__xludf.DUMMYFUNCTION("""COMPUTED_VALUE"""),1.0)</f>
        <v>1</v>
      </c>
    </row>
    <row r="389">
      <c r="A389" s="58" t="str">
        <f>IFERROR(__xludf.DUMMYFUNCTION("""COMPUTED_VALUE"""),"ESTUDIO DE FACTIBILIDAD PARA LA INSTALACIÓN DE UNA LÍNEA PROCESADORA DE CEREALES EXTRUIDOS PARA LA EMPRESA PATUJÚ DEL CLÚSTER DE ALIMENTOS")</f>
        <v>ESTUDIO DE FACTIBILIDAD PARA LA INSTALACIÓN DE UNA LÍNEA PROCESADORA DE CEREALES EXTRUIDOS PARA LA EMPRESA PATUJÚ DEL CLÚSTER DE ALIMENTOS</v>
      </c>
      <c r="B389" s="58">
        <f>IFERROR(__xludf.DUMMYFUNCTION("""COMPUTED_VALUE"""),1.0)</f>
        <v>1</v>
      </c>
    </row>
    <row r="390">
      <c r="A390" s="58" t="str">
        <f>IFERROR(__xludf.DUMMYFUNCTION("""COMPUTED_VALUE"""),"ESTUDIO DE FACTIBILIDAD PARA LA INSTALACIÓN DE UNA PLANTA DE PROCESAMIENTO DE ACEITE COMESTIBLE Y HAMBURGUESAS VEGANAS EN BASE A SACHA INCHI")</f>
        <v>ESTUDIO DE FACTIBILIDAD PARA LA INSTALACIÓN DE UNA PLANTA DE PROCESAMIENTO DE ACEITE COMESTIBLE Y HAMBURGUESAS VEGANAS EN BASE A SACHA INCHI</v>
      </c>
      <c r="B390" s="58">
        <f>IFERROR(__xludf.DUMMYFUNCTION("""COMPUTED_VALUE"""),1.0)</f>
        <v>1</v>
      </c>
    </row>
    <row r="391">
      <c r="A391" s="58" t="str">
        <f>IFERROR(__xludf.DUMMYFUNCTION("""COMPUTED_VALUE"""),"ESTUDIO DE FACTIBILIDAD PARA LA INSTALACIÓN DE UNA PLANTA DE PRODUCCIÓN DE LECHE Y DULCE DE LECHE DE SOJA")</f>
        <v>ESTUDIO DE FACTIBILIDAD PARA LA INSTALACIÓN DE UNA PLANTA DE PRODUCCIÓN DE LECHE Y DULCE DE LECHE DE SOJA</v>
      </c>
      <c r="B391" s="58">
        <f>IFERROR(__xludf.DUMMYFUNCTION("""COMPUTED_VALUE"""),2.0)</f>
        <v>2</v>
      </c>
    </row>
    <row r="392">
      <c r="A392" s="58" t="str">
        <f>IFERROR(__xludf.DUMMYFUNCTION("""COMPUTED_VALUE"""),"ESTUDIO DE FACTIBILIDAD PARA LA INSTALACIÓN DE UNA PLANTA DE PRODUCCIÓN DE SILLAS, MESAS Y TABURETES DE PLÁSTICO A BASE DE POLIPROPILENO POR INYECCIÓN")</f>
        <v>ESTUDIO DE FACTIBILIDAD PARA LA INSTALACIÓN DE UNA PLANTA DE PRODUCCIÓN DE SILLAS, MESAS Y TABURETES DE PLÁSTICO A BASE DE POLIPROPILENO POR INYECCIÓN</v>
      </c>
      <c r="B392" s="58">
        <f>IFERROR(__xludf.DUMMYFUNCTION("""COMPUTED_VALUE"""),13.0)</f>
        <v>13</v>
      </c>
    </row>
    <row r="393">
      <c r="A393" s="58" t="str">
        <f>IFERROR(__xludf.DUMMYFUNCTION("""COMPUTED_VALUE"""),"ESTUDIO DE FACTIBILIDAD PARA LA INSTALACIÓN DE UNA PLANTA DE PRODUCCIÓN DE VINO A PARTIR DE CIRUELA EN COCHABAMBA.")</f>
        <v>ESTUDIO DE FACTIBILIDAD PARA LA INSTALACIÓN DE UNA PLANTA DE PRODUCCIÓN DE VINO A PARTIR DE CIRUELA EN COCHABAMBA.</v>
      </c>
      <c r="B393" s="58">
        <f>IFERROR(__xludf.DUMMYFUNCTION("""COMPUTED_VALUE"""),18.0)</f>
        <v>18</v>
      </c>
    </row>
    <row r="394">
      <c r="A394" s="58" t="str">
        <f>IFERROR(__xludf.DUMMYFUNCTION("""COMPUTED_VALUE"""),"ESTUDIO DE FACTIBILIDAD PARA LA INSTALACIÓN DE UNA PLANTA DESHIDRATADORA DE FRUTILLA EN COCHABAMBA.")</f>
        <v>ESTUDIO DE FACTIBILIDAD PARA LA INSTALACIÓN DE UNA PLANTA DESHIDRATADORA DE FRUTILLA EN COCHABAMBA.</v>
      </c>
      <c r="B394" s="58">
        <f>IFERROR(__xludf.DUMMYFUNCTION("""COMPUTED_VALUE"""),2.0)</f>
        <v>2</v>
      </c>
    </row>
    <row r="395">
      <c r="A395" s="58" t="str">
        <f>IFERROR(__xludf.DUMMYFUNCTION("""COMPUTED_VALUE"""),"ESTUDIO DE FACTIBILIDAD PARA LA INSTALACIÓN DE UNA PLANTA PROCESADORA DE CROQUETAS A PARTIR DE YUCA.")</f>
        <v>ESTUDIO DE FACTIBILIDAD PARA LA INSTALACIÓN DE UNA PLANTA PROCESADORA DE CROQUETAS A PARTIR DE YUCA.</v>
      </c>
      <c r="B395" s="58">
        <f>IFERROR(__xludf.DUMMYFUNCTION("""COMPUTED_VALUE"""),6.0)</f>
        <v>6</v>
      </c>
    </row>
    <row r="396">
      <c r="A396" s="58" t="str">
        <f>IFERROR(__xludf.DUMMYFUNCTION("""COMPUTED_VALUE"""),"ESTUDIO DE FACTIBILIDAD PARA LA INSTALACIÓN DE UNA PLANTA PRODUCTORA DE MERMELADA Y HARINA DE QUINUA EN COCHABAMBA CON ALTO CONTENIDO EN PROTEÍNAS Y VITAMINAS.")</f>
        <v>ESTUDIO DE FACTIBILIDAD PARA LA INSTALACIÓN DE UNA PLANTA PRODUCTORA DE MERMELADA Y HARINA DE QUINUA EN COCHABAMBA CON ALTO CONTENIDO EN PROTEÍNAS Y VITAMINAS.</v>
      </c>
      <c r="B396" s="58">
        <f>IFERROR(__xludf.DUMMYFUNCTION("""COMPUTED_VALUE"""),1.0)</f>
        <v>1</v>
      </c>
    </row>
    <row r="397">
      <c r="A397" s="58" t="str">
        <f>IFERROR(__xludf.DUMMYFUNCTION("""COMPUTED_VALUE"""),"ESTUDIO DE FACTIBILIDAD PARA LA INSTALACIÓN Y FUNCIONAMIENTO DE UNA PLANTA DE CAL EN LA PROVINCIA EDUARDO AVAROA DEL DEPARTAMENTO DE ORURO")</f>
        <v>ESTUDIO DE FACTIBILIDAD PARA LA INSTALACIÓN Y FUNCIONAMIENTO DE UNA PLANTA DE CAL EN LA PROVINCIA EDUARDO AVAROA DEL DEPARTAMENTO DE ORURO</v>
      </c>
      <c r="B397" s="58">
        <f>IFERROR(__xludf.DUMMYFUNCTION("""COMPUTED_VALUE"""),1.0)</f>
        <v>1</v>
      </c>
    </row>
    <row r="398">
      <c r="A398" s="58" t="str">
        <f>IFERROR(__xludf.DUMMYFUNCTION("""COMPUTED_VALUE"""),"ESTUDIO DE FACTIBILIDAD PARA LA INTRODUCCIÓN DE UNA MARCA EN EL MERCADO DE JUGO DE FRUTAS A BASE DE PULPA")</f>
        <v>ESTUDIO DE FACTIBILIDAD PARA LA INTRODUCCIÓN DE UNA MARCA EN EL MERCADO DE JUGO DE FRUTAS A BASE DE PULPA</v>
      </c>
      <c r="B398" s="58">
        <f>IFERROR(__xludf.DUMMYFUNCTION("""COMPUTED_VALUE"""),4.0)</f>
        <v>4</v>
      </c>
    </row>
    <row r="399">
      <c r="A399" s="58" t="str">
        <f>IFERROR(__xludf.DUMMYFUNCTION("""COMPUTED_VALUE"""),"ESTUDIO DE FACTIBILIDAD PARA LA OBTENCIÓN DE HARINA DE ZAPALLO ENRIQUECIDA CON QUINUA EN EL MUNICIPIO DE CERCADO.")</f>
        <v>ESTUDIO DE FACTIBILIDAD PARA LA OBTENCIÓN DE HARINA DE ZAPALLO ENRIQUECIDA CON QUINUA EN EL MUNICIPIO DE CERCADO.</v>
      </c>
      <c r="B399" s="58">
        <f>IFERROR(__xludf.DUMMYFUNCTION("""COMPUTED_VALUE"""),2.0)</f>
        <v>2</v>
      </c>
    </row>
    <row r="400">
      <c r="A400" s="58" t="str">
        <f>IFERROR(__xludf.DUMMYFUNCTION("""COMPUTED_VALUE"""),"ESTUDIO DE FACTIBILIDAD PARA LA PRODUCCIÓN
DE HUEVO Y CARNE DE CODORNIZ EN LA CIUDAD
DE SANTA CRUZ DE LA SIERRA")</f>
        <v>ESTUDIO DE FACTIBILIDAD PARA LA PRODUCCIÓN
DE HUEVO Y CARNE DE CODORNIZ EN LA CIUDAD
DE SANTA CRUZ DE LA SIERRA</v>
      </c>
      <c r="B400" s="58">
        <f>IFERROR(__xludf.DUMMYFUNCTION("""COMPUTED_VALUE"""),1.0)</f>
        <v>1</v>
      </c>
    </row>
    <row r="401">
      <c r="A401" s="58" t="str">
        <f>IFERROR(__xludf.DUMMYFUNCTION("""COMPUTED_VALUE"""),"ESTUDIO DE FACTIBILIDAD PARA LA PRODUCCIÓN DE BIODIESEL A PARTIR DE ACEITE VEGETAL USADO")</f>
        <v>ESTUDIO DE FACTIBILIDAD PARA LA PRODUCCIÓN DE BIODIESEL A PARTIR DE ACEITE VEGETAL USADO</v>
      </c>
      <c r="B401" s="58">
        <f>IFERROR(__xludf.DUMMYFUNCTION("""COMPUTED_VALUE"""),2.0)</f>
        <v>2</v>
      </c>
    </row>
    <row r="402">
      <c r="A402" s="58" t="str">
        <f>IFERROR(__xludf.DUMMYFUNCTION("""COMPUTED_VALUE"""),"ESTUDIO DE FACTIBILIDAD PARA LA PRODUCCIÓN DE CAFÉ DE HIGO PARA EL DEPARTAMENTO DE COCHABAMBA")</f>
        <v>ESTUDIO DE FACTIBILIDAD PARA LA PRODUCCIÓN DE CAFÉ DE HIGO PARA EL DEPARTAMENTO DE COCHABAMBA</v>
      </c>
      <c r="B402" s="58">
        <f>IFERROR(__xludf.DUMMYFUNCTION("""COMPUTED_VALUE"""),8.0)</f>
        <v>8</v>
      </c>
    </row>
    <row r="403">
      <c r="A403" s="58" t="str">
        <f>IFERROR(__xludf.DUMMYFUNCTION("""COMPUTED_VALUE"""),"ESTUDIO DE FACTIBILIDAD PARA LA PRODUCCIÓN DE COMPOSTADORAS DOMICILIARIAS EN EL   MUNICIPIO DE TIQUIPAYA")</f>
        <v>ESTUDIO DE FACTIBILIDAD PARA LA PRODUCCIÓN DE COMPOSTADORAS DOMICILIARIAS EN EL   MUNICIPIO DE TIQUIPAYA</v>
      </c>
      <c r="B403" s="58">
        <f>IFERROR(__xludf.DUMMYFUNCTION("""COMPUTED_VALUE"""),1.0)</f>
        <v>1</v>
      </c>
    </row>
    <row r="404">
      <c r="A404" s="58" t="str">
        <f>IFERROR(__xludf.DUMMYFUNCTION("""COMPUTED_VALUE"""),"ESTUDIO DE FACTIBILIDAD PARA LA PRODUCCIÓN DE HUEVO Y CARNE DE CODORNIZ EN LA CIUDAD DE SANTA CRUZ DE LA SIERRA.")</f>
        <v>ESTUDIO DE FACTIBILIDAD PARA LA PRODUCCIÓN DE HUEVO Y CARNE DE CODORNIZ EN LA CIUDAD DE SANTA CRUZ DE LA SIERRA.</v>
      </c>
      <c r="B404" s="58">
        <f>IFERROR(__xludf.DUMMYFUNCTION("""COMPUTED_VALUE"""),2.0)</f>
        <v>2</v>
      </c>
    </row>
    <row r="405">
      <c r="A405" s="58" t="str">
        <f>IFERROR(__xludf.DUMMYFUNCTION("""COMPUTED_VALUE"""),"ESTUDIO DE FACTIBILIDAD PARA LA PRODUCCIÓN DE UNA LÍNEA DE EDREDONES EN BASE A PLUMA DE PATO PARA LA EMPRESA “A.C. ASOCIADOS S.R.L.”
")</f>
        <v>ESTUDIO DE FACTIBILIDAD PARA LA PRODUCCIÓN DE UNA LÍNEA DE EDREDONES EN BASE A PLUMA DE PATO PARA LA EMPRESA “A.C. ASOCIADOS S.R.L.”
</v>
      </c>
      <c r="B405" s="58">
        <f>IFERROR(__xludf.DUMMYFUNCTION("""COMPUTED_VALUE"""),2.0)</f>
        <v>2</v>
      </c>
    </row>
    <row r="406">
      <c r="A406" s="58" t="str">
        <f>IFERROR(__xludf.DUMMYFUNCTION("""COMPUTED_VALUE"""),"ESTUDIO DE FACTIBILIDAD PARA LA PRODUCCIÓN INDUSTRIAL DE CREMA CORPORAL A BASE DE CASCARA DE PLÁTANO EN EL DEPARTAMENTO DE COCHABAMBA")</f>
        <v>ESTUDIO DE FACTIBILIDAD PARA LA PRODUCCIÓN INDUSTRIAL DE CREMA CORPORAL A BASE DE CASCARA DE PLÁTANO EN EL DEPARTAMENTO DE COCHABAMBA</v>
      </c>
      <c r="B406" s="58">
        <f>IFERROR(__xludf.DUMMYFUNCTION("""COMPUTED_VALUE"""),10.0)</f>
        <v>10</v>
      </c>
    </row>
    <row r="407">
      <c r="A407" s="58" t="str">
        <f>IFERROR(__xludf.DUMMYFUNCTION("""COMPUTED_VALUE"""),"ESTUDIO DE FACTIBILIDAD PARA LA PRODUCCIÓN Y COMERCIALIZACION DE “GALLETAS DE QUINUA” DIRIGIDO AL MERCADO DE COCHABAMBA PARA LA EMPRESA “CORONILLA S.A.”")</f>
        <v>ESTUDIO DE FACTIBILIDAD PARA LA PRODUCCIÓN Y COMERCIALIZACION DE “GALLETAS DE QUINUA” DIRIGIDO AL MERCADO DE COCHABAMBA PARA LA EMPRESA “CORONILLA S.A.”</v>
      </c>
      <c r="B407" s="58">
        <f>IFERROR(__xludf.DUMMYFUNCTION("""COMPUTED_VALUE"""),2.0)</f>
        <v>2</v>
      </c>
    </row>
    <row r="408">
      <c r="A408" s="58" t="str">
        <f>IFERROR(__xludf.DUMMYFUNCTION("""COMPUTED_VALUE"""),"ESTUDIO DE FACTIBILIDAD PARA LA PRODUCCIÓN Y COMERCIALIZACIÓN DE CAFÉ DEL FRUTO
                  DE CHAÑAR EN EL EJE METROPOLITANO DE COCHABAMBA")</f>
        <v>ESTUDIO DE FACTIBILIDAD PARA LA PRODUCCIÓN Y COMERCIALIZACIÓN DE CAFÉ DEL FRUTO
                  DE CHAÑAR EN EL EJE METROPOLITANO DE COCHABAMBA</v>
      </c>
      <c r="B408" s="58">
        <f>IFERROR(__xludf.DUMMYFUNCTION("""COMPUTED_VALUE"""),37.0)</f>
        <v>37</v>
      </c>
    </row>
    <row r="409">
      <c r="A409" s="58" t="str">
        <f>IFERROR(__xludf.DUMMYFUNCTION("""COMPUTED_VALUE"""),"ESTUDIO DE FACTIBILIDAD PARA LA PRODUCCIÓN Y COMERCIALIZACIÓN DE HUMUS DE LOMBRIZ “EISENIA FOÉTIDA” A PARTIR DE RESIDUOS ORGÁNICOS GENERADOS EN EL MUNICIPIO DE VINTO”")</f>
        <v>ESTUDIO DE FACTIBILIDAD PARA LA PRODUCCIÓN Y COMERCIALIZACIÓN DE HUMUS DE LOMBRIZ “EISENIA FOÉTIDA” A PARTIR DE RESIDUOS ORGÁNICOS GENERADOS EN EL MUNICIPIO DE VINTO”</v>
      </c>
      <c r="B409" s="58">
        <f>IFERROR(__xludf.DUMMYFUNCTION("""COMPUTED_VALUE"""),4.0)</f>
        <v>4</v>
      </c>
    </row>
    <row r="410">
      <c r="A410" s="58" t="str">
        <f>IFERROR(__xludf.DUMMYFUNCTION("""COMPUTED_VALUE"""),"ESTUDIO DE FACTIBILIDAD PARA LA PRODUCCIÓN Y COMERCIALIZACIÓN DE “GALLETAS DE QUINUA” DIRIGIDO AL MERCADO DE COCHABAMBA PARA LA EMPRESA “CORONILLA S.A.”")</f>
        <v>ESTUDIO DE FACTIBILIDAD PARA LA PRODUCCIÓN Y COMERCIALIZACIÓN DE “GALLETAS DE QUINUA” DIRIGIDO AL MERCADO DE COCHABAMBA PARA LA EMPRESA “CORONILLA S.A.”</v>
      </c>
      <c r="B410" s="58">
        <f>IFERROR(__xludf.DUMMYFUNCTION("""COMPUTED_VALUE"""),3.0)</f>
        <v>3</v>
      </c>
    </row>
    <row r="411">
      <c r="A411" s="58" t="str">
        <f>IFERROR(__xludf.DUMMYFUNCTION("""COMPUTED_VALUE"""),"ESTUDIO DE FACTIBILIDAD PARA LA REACTIVACIÓN DE LA LÍNEA DE CEMENTO DE LA FÁBRICA SIMSA")</f>
        <v>ESTUDIO DE FACTIBILIDAD PARA LA REACTIVACIÓN DE LA LÍNEA DE CEMENTO DE LA FÁBRICA SIMSA</v>
      </c>
      <c r="B411" s="58">
        <f>IFERROR(__xludf.DUMMYFUNCTION("""COMPUTED_VALUE"""),2.0)</f>
        <v>2</v>
      </c>
    </row>
    <row r="412">
      <c r="A412" s="58" t="str">
        <f>IFERROR(__xludf.DUMMYFUNCTION("""COMPUTED_VALUE"""),"ESTUDIO DE FACTIBILIDAD PARA LA “APERTURA DE GABINETES DE NUTRICION Y VENTA DE PRODUCTOS SALUDABLES”.")</f>
        <v>ESTUDIO DE FACTIBILIDAD PARA LA “APERTURA DE GABINETES DE NUTRICION Y VENTA DE PRODUCTOS SALUDABLES”.</v>
      </c>
      <c r="B412" s="58">
        <f>IFERROR(__xludf.DUMMYFUNCTION("""COMPUTED_VALUE"""),1.0)</f>
        <v>1</v>
      </c>
    </row>
    <row r="413">
      <c r="A413" s="58" t="str">
        <f>IFERROR(__xludf.DUMMYFUNCTION("""COMPUTED_VALUE"""),"ESTUDIO DE FACTIBILIDAD PARA UNA PLANTA DE PRODUCCIÓN DE CREMA FACIAL A BASE DE SACHA INCHI.")</f>
        <v>ESTUDIO DE FACTIBILIDAD PARA UNA PLANTA DE PRODUCCIÓN DE CREMA FACIAL A BASE DE SACHA INCHI.</v>
      </c>
      <c r="B413" s="58">
        <f>IFERROR(__xludf.DUMMYFUNCTION("""COMPUTED_VALUE"""),10.0)</f>
        <v>10</v>
      </c>
    </row>
    <row r="414">
      <c r="A414" s="58" t="str">
        <f>IFERROR(__xludf.DUMMYFUNCTION("""COMPUTED_VALUE"""),"ESTUDIO DE FACTIBILIDAD PARA UNA PLANTA PRODUCTORA DE BANANO Y PIÑA DESHIDRATADA EN EL TRÓPICO DE COCHABAMBA.")</f>
        <v>ESTUDIO DE FACTIBILIDAD PARA UNA PLANTA PRODUCTORA DE BANANO Y PIÑA DESHIDRATADA EN EL TRÓPICO DE COCHABAMBA.</v>
      </c>
      <c r="B414" s="58">
        <f>IFERROR(__xludf.DUMMYFUNCTION("""COMPUTED_VALUE"""),1.0)</f>
        <v>1</v>
      </c>
    </row>
    <row r="415">
      <c r="A415" s="58" t="str">
        <f>IFERROR(__xludf.DUMMYFUNCTION("""COMPUTED_VALUE"""),"ESTUDIO DE FACTIBILIDAD PARA UNA PLANTA RECICLADORA DE PAPEL DENTRO LA U.M.S.S.")</f>
        <v>ESTUDIO DE FACTIBILIDAD PARA UNA PLANTA RECICLADORA DE PAPEL DENTRO LA U.M.S.S.</v>
      </c>
      <c r="B415" s="58">
        <f>IFERROR(__xludf.DUMMYFUNCTION("""COMPUTED_VALUE"""),3.0)</f>
        <v>3</v>
      </c>
    </row>
    <row r="416">
      <c r="A416" s="58" t="str">
        <f>IFERROR(__xludf.DUMMYFUNCTION("""COMPUTED_VALUE"""),"ESTUDIO DE FACTIBILIDAD PLANTA DE ELECTROLITO")</f>
        <v>ESTUDIO DE FACTIBILIDAD PLANTA DE ELECTROLITO</v>
      </c>
      <c r="B416" s="58">
        <f>IFERROR(__xludf.DUMMYFUNCTION("""COMPUTED_VALUE"""),1.0)</f>
        <v>1</v>
      </c>
    </row>
    <row r="417">
      <c r="A417" s="58" t="str">
        <f>IFERROR(__xludf.DUMMYFUNCTION("""COMPUTED_VALUE"""),"ESTUDIO DE FACTIBILIDAD SOCIO-ECONÓMICO PARA LA CRIANZA Y COMERCIALIZACIÓN DE LA CARNE DE CERDO REALIZADO POR ORGANIZACIONES DE MUJERES PARA CINCO MUNICIPIOS DEL CONO SUR DEL DEPARTAMENTO DE COCHABAMBA")</f>
        <v>ESTUDIO DE FACTIBILIDAD SOCIO-ECONÓMICO PARA LA CRIANZA Y COMERCIALIZACIÓN DE LA CARNE DE CERDO REALIZADO POR ORGANIZACIONES DE MUJERES PARA CINCO MUNICIPIOS DEL CONO SUR DEL DEPARTAMENTO DE COCHABAMBA</v>
      </c>
      <c r="B417" s="58">
        <f>IFERROR(__xludf.DUMMYFUNCTION("""COMPUTED_VALUE"""),1.0)</f>
        <v>1</v>
      </c>
    </row>
    <row r="418">
      <c r="A418" s="58" t="str">
        <f>IFERROR(__xludf.DUMMYFUNCTION("""COMPUTED_VALUE"""),"ESTUDIO DE FACTIBILIDAD TECNICA Y ECONOMICA PARA LA INSTALACION DE UNA LINEA DE PRODUCCION DE TOMATE HIDROPONICO PARA LA EMPRESA PEACH-COCHABAMBA")</f>
        <v>ESTUDIO DE FACTIBILIDAD TECNICA Y ECONOMICA PARA LA INSTALACION DE UNA LINEA DE PRODUCCION DE TOMATE HIDROPONICO PARA LA EMPRESA PEACH-COCHABAMBA</v>
      </c>
      <c r="B418" s="58">
        <f>IFERROR(__xludf.DUMMYFUNCTION("""COMPUTED_VALUE"""),2.0)</f>
        <v>2</v>
      </c>
    </row>
    <row r="419">
      <c r="A419" s="58" t="str">
        <f>IFERROR(__xludf.DUMMYFUNCTION("""COMPUTED_VALUE"""),"ESTUDIO DE FACTIBILIDAD TECNICA Y ECONOMICA PARA LA INSTALACION DE UNA LINEA DE PRODUCCION DE TOMATE HIDROPONICO PARA LA “EMPRESA IITAM-PEACH COCHABAMBA”")</f>
        <v>ESTUDIO DE FACTIBILIDAD TECNICA Y ECONOMICA PARA LA INSTALACION DE UNA LINEA DE PRODUCCION DE TOMATE HIDROPONICO PARA LA “EMPRESA IITAM-PEACH COCHABAMBA”</v>
      </c>
      <c r="B419" s="58">
        <f>IFERROR(__xludf.DUMMYFUNCTION("""COMPUTED_VALUE"""),1.0)</f>
        <v>1</v>
      </c>
    </row>
    <row r="420">
      <c r="A420" s="58" t="str">
        <f>IFERROR(__xludf.DUMMYFUNCTION("""COMPUTED_VALUE"""),"ESTUDIO DE FACTIBILIDAD TECNICA Y ECONOMICA PARA LA INSTALACION DE UNA PLANTA PROCESADORA DE JUGOS CON PULPA DE FRUTAS PARA LA EMPRESA “MANANTIAL LOS ANDES”")</f>
        <v>ESTUDIO DE FACTIBILIDAD TECNICA Y ECONOMICA PARA LA INSTALACION DE UNA PLANTA PROCESADORA DE JUGOS CON PULPA DE FRUTAS PARA LA EMPRESA “MANANTIAL LOS ANDES”</v>
      </c>
      <c r="B420" s="58">
        <f>IFERROR(__xludf.DUMMYFUNCTION("""COMPUTED_VALUE"""),28.0)</f>
        <v>28</v>
      </c>
    </row>
    <row r="421">
      <c r="A421" s="58" t="str">
        <f>IFERROR(__xludf.DUMMYFUNCTION("""COMPUTED_VALUE"""),"ESTUDIO DE FACTIBILIDAD TECNICA Y FINANCIERA PARA LA INSTALACION DE UNA EMPRESA DE BEBIDAS ENERGÉTICAS A BASE DE CHÍA Y FRUTAS EN COCHABAMBA METROPOLITANA”.")</f>
        <v>ESTUDIO DE FACTIBILIDAD TECNICA Y FINANCIERA PARA LA INSTALACION DE UNA EMPRESA DE BEBIDAS ENERGÉTICAS A BASE DE CHÍA Y FRUTAS EN COCHABAMBA METROPOLITANA”.</v>
      </c>
      <c r="B421" s="58">
        <f>IFERROR(__xludf.DUMMYFUNCTION("""COMPUTED_VALUE"""),2.0)</f>
        <v>2</v>
      </c>
    </row>
    <row r="422">
      <c r="A422" s="58" t="str">
        <f>IFERROR(__xludf.DUMMYFUNCTION("""COMPUTED_VALUE"""),"ESTUDIO DE FACTIBILIDAD TECNICA Y FINANCIERA PARA PRODUCIR ALCOHOL CARBURANTE A PARTIR DE CAÑA DE AZUCAR")</f>
        <v>ESTUDIO DE FACTIBILIDAD TECNICA Y FINANCIERA PARA PRODUCIR ALCOHOL CARBURANTE A PARTIR DE CAÑA DE AZUCAR</v>
      </c>
      <c r="B422" s="58">
        <f>IFERROR(__xludf.DUMMYFUNCTION("""COMPUTED_VALUE"""),1.0)</f>
        <v>1</v>
      </c>
    </row>
    <row r="423">
      <c r="A423" s="58" t="str">
        <f>IFERROR(__xludf.DUMMYFUNCTION("""COMPUTED_VALUE"""),"ESTUDIO DE FACTIBILIDAD TECNICO, ECONOMICO Y FINANCIERO PARA DESARROLLAR LOS SISTEMAS DE PRODUCCION HIDROPONICOS PARA EL CULTIVO DE FLORES EN TIQUIPAYA")</f>
        <v>ESTUDIO DE FACTIBILIDAD TECNICO, ECONOMICO Y FINANCIERO PARA DESARROLLAR LOS SISTEMAS DE PRODUCCION HIDROPONICOS PARA EL CULTIVO DE FLORES EN TIQUIPAYA</v>
      </c>
      <c r="B423" s="58">
        <f>IFERROR(__xludf.DUMMYFUNCTION("""COMPUTED_VALUE"""),1.0)</f>
        <v>1</v>
      </c>
    </row>
    <row r="424">
      <c r="A424" s="58" t="str">
        <f>IFERROR(__xludf.DUMMYFUNCTION("""COMPUTED_VALUE"""),"ESTUDIO DE FACTIBILIDAD TÉCNICA Y COMERCIAL PARA LA CREACIÓN DE UNA PLANTA INDUSTRIALIZADORA DE CERVEZA A BASE DE QUINUA EN COCHABAMBA")</f>
        <v>ESTUDIO DE FACTIBILIDAD TÉCNICA Y COMERCIAL PARA LA CREACIÓN DE UNA PLANTA INDUSTRIALIZADORA DE CERVEZA A BASE DE QUINUA EN COCHABAMBA</v>
      </c>
      <c r="B424" s="58">
        <f>IFERROR(__xludf.DUMMYFUNCTION("""COMPUTED_VALUE"""),14.0)</f>
        <v>14</v>
      </c>
    </row>
    <row r="425">
      <c r="A425" s="58" t="str">
        <f>IFERROR(__xludf.DUMMYFUNCTION("""COMPUTED_VALUE"""),"ESTUDIO DE FACTIBILIDAD TÉCNICA Y ECONÓMICA PARA LA ELABORACIÓN DE SOPAS Y CREMAS PRE COCIDAS A BASE DE QUINUA EN LA CIUDAD DE COCHABAMBA")</f>
        <v>ESTUDIO DE FACTIBILIDAD TÉCNICA Y ECONÓMICA PARA LA ELABORACIÓN DE SOPAS Y CREMAS PRE COCIDAS A BASE DE QUINUA EN LA CIUDAD DE COCHABAMBA</v>
      </c>
      <c r="B425" s="58">
        <f>IFERROR(__xludf.DUMMYFUNCTION("""COMPUTED_VALUE"""),4.0)</f>
        <v>4</v>
      </c>
    </row>
    <row r="426">
      <c r="A426" s="58" t="str">
        <f>IFERROR(__xludf.DUMMYFUNCTION("""COMPUTED_VALUE"""),"ESTUDIO DE FACTIBILIDAD TÉCNICA Y ECONÓMICA PARA LA INSTALACIÓN DE UNA ESTACIÓN DE SERVICIO EN EL DISTRITO DE BULO BULO")</f>
        <v>ESTUDIO DE FACTIBILIDAD TÉCNICA Y ECONÓMICA PARA LA INSTALACIÓN DE UNA ESTACIÓN DE SERVICIO EN EL DISTRITO DE BULO BULO</v>
      </c>
      <c r="B426" s="58">
        <f>IFERROR(__xludf.DUMMYFUNCTION("""COMPUTED_VALUE"""),1.0)</f>
        <v>1</v>
      </c>
    </row>
    <row r="427">
      <c r="A427" s="58" t="str">
        <f>IFERROR(__xludf.DUMMYFUNCTION("""COMPUTED_VALUE"""),"ESTUDIO DE FACTIBILIDAD TÉCNICA Y FINANCIERA PARA LA IMPLEMENTACIÓN DE UNA FÁBRICA DE ACCESORIOS PARA COLCHÓN: RESORTES, ESPIRAL Y ALGODÓN ARTIFICIAL PARA LA EMPRESA OMOFLEX")</f>
        <v>ESTUDIO DE FACTIBILIDAD TÉCNICA Y FINANCIERA PARA LA IMPLEMENTACIÓN DE UNA FÁBRICA DE ACCESORIOS PARA COLCHÓN: RESORTES, ESPIRAL Y ALGODÓN ARTIFICIAL PARA LA EMPRESA OMOFLEX</v>
      </c>
      <c r="B427" s="58">
        <f>IFERROR(__xludf.DUMMYFUNCTION("""COMPUTED_VALUE"""),2.0)</f>
        <v>2</v>
      </c>
    </row>
    <row r="428">
      <c r="A428" s="58" t="str">
        <f>IFERROR(__xludf.DUMMYFUNCTION("""COMPUTED_VALUE"""),"ESTUDIO DE FACTIBILIDAD TÉCNICA Y FINANCIERA PARA LA IMPLEMENTACIÓN DE UNA LÍNEA PRODUCTIVA DE MERMELADA DE FRUTAS A PARTIR DE RESIDUOS EN LACTEOSBOL VALLE SACTA-COCHABAMBA")</f>
        <v>ESTUDIO DE FACTIBILIDAD TÉCNICA Y FINANCIERA PARA LA IMPLEMENTACIÓN DE UNA LÍNEA PRODUCTIVA DE MERMELADA DE FRUTAS A PARTIR DE RESIDUOS EN LACTEOSBOL VALLE SACTA-COCHABAMBA</v>
      </c>
      <c r="B428" s="58">
        <f>IFERROR(__xludf.DUMMYFUNCTION("""COMPUTED_VALUE"""),8.0)</f>
        <v>8</v>
      </c>
    </row>
    <row r="429">
      <c r="A429" s="58" t="str">
        <f>IFERROR(__xludf.DUMMYFUNCTION("""COMPUTED_VALUE"""),"ESTUDIO DE FACTIBILIDAD TÉCNICA Y FINANCIERA PARA PRODUCIR ALCOHOL CARBURANTE A PARTIR DE CAÑA DE AZÚCAR")</f>
        <v>ESTUDIO DE FACTIBILIDAD TÉCNICA Y FINANCIERA PARA PRODUCIR ALCOHOL CARBURANTE A PARTIR DE CAÑA DE AZÚCAR</v>
      </c>
      <c r="B429" s="58">
        <f>IFERROR(__xludf.DUMMYFUNCTION("""COMPUTED_VALUE"""),1.0)</f>
        <v>1</v>
      </c>
    </row>
    <row r="430">
      <c r="A430" s="58" t="str">
        <f>IFERROR(__xludf.DUMMYFUNCTION("""COMPUTED_VALUE"""),"ESTUDIO DE FACTIBILIDAD TÉCNICO - FINANCIERO PARA LA IMPLEMENTACIÓN DE UNA PLANTA DE RECICLAJE PARA LA RECUPERACIÓN DE POLIETILENO DE BAJA DENSIDAD Y TERMOCONTRAIBLE PARA LA EMPRESA INMAPLAST SRL")</f>
        <v>ESTUDIO DE FACTIBILIDAD TÉCNICO - FINANCIERO PARA LA IMPLEMENTACIÓN DE UNA PLANTA DE RECICLAJE PARA LA RECUPERACIÓN DE POLIETILENO DE BAJA DENSIDAD Y TERMOCONTRAIBLE PARA LA EMPRESA INMAPLAST SRL</v>
      </c>
      <c r="B430" s="58">
        <f>IFERROR(__xludf.DUMMYFUNCTION("""COMPUTED_VALUE"""),2.0)</f>
        <v>2</v>
      </c>
    </row>
    <row r="431">
      <c r="A431" s="58" t="str">
        <f>IFERROR(__xludf.DUMMYFUNCTION("""COMPUTED_VALUE"""),"ESTUDIO DE FACTIBILIDAD TÉCNICO ECONÓMICO PARA LA IMPLEMENTACIÓN DE UNA GRANJA AVÍCOLA PRODUCTORA DE HUEVOS ENRIQUECIDOS CON OMEGA 3")</f>
        <v>ESTUDIO DE FACTIBILIDAD TÉCNICO ECONÓMICO PARA LA IMPLEMENTACIÓN DE UNA GRANJA AVÍCOLA PRODUCTORA DE HUEVOS ENRIQUECIDOS CON OMEGA 3</v>
      </c>
      <c r="B431" s="58">
        <f>IFERROR(__xludf.DUMMYFUNCTION("""COMPUTED_VALUE"""),6.0)</f>
        <v>6</v>
      </c>
    </row>
    <row r="432">
      <c r="A432" s="58" t="str">
        <f>IFERROR(__xludf.DUMMYFUNCTION("""COMPUTED_VALUE"""),"ESTUDIO DE FACTIBILIDAD TÉCNICO ECONÓMICO PARA LA PRODUCCIÓN DE VINO ESPUMANTE")</f>
        <v>ESTUDIO DE FACTIBILIDAD TÉCNICO ECONÓMICO PARA LA PRODUCCIÓN DE VINO ESPUMANTE</v>
      </c>
      <c r="B432" s="58">
        <f>IFERROR(__xludf.DUMMYFUNCTION("""COMPUTED_VALUE"""),1.0)</f>
        <v>1</v>
      </c>
    </row>
    <row r="433">
      <c r="A433" s="58" t="str">
        <f>IFERROR(__xludf.DUMMYFUNCTION("""COMPUTED_VALUE"""),"ESTUDIO DE FACTIBILIDAD TÉCNICO ECONÓMICO Y FINANCIERO PARA LA CREACIÓN DE UNA     EMPRESA PRODUCTORA DE LADRILLOS Y PLACAS PREFABRICADAS CON PLÁSTICOS RECICLADOS EN TIQUIPAYA")</f>
        <v>ESTUDIO DE FACTIBILIDAD TÉCNICO ECONÓMICO Y FINANCIERO PARA LA CREACIÓN DE UNA     EMPRESA PRODUCTORA DE LADRILLOS Y PLACAS PREFABRICADAS CON PLÁSTICOS RECICLADOS EN TIQUIPAYA</v>
      </c>
      <c r="B433" s="58">
        <f>IFERROR(__xludf.DUMMYFUNCTION("""COMPUTED_VALUE"""),2.0)</f>
        <v>2</v>
      </c>
    </row>
    <row r="434">
      <c r="A434" s="58" t="str">
        <f>IFERROR(__xludf.DUMMYFUNCTION("""COMPUTED_VALUE"""),"ESTUDIO DE FACTIBILIDAD TÉCNICO ECONÓMICO Y FINANCIERO PARA UNA PLANTA PROCESADORA DE MANÍ")</f>
        <v>ESTUDIO DE FACTIBILIDAD TÉCNICO ECONÓMICO Y FINANCIERO PARA UNA PLANTA PROCESADORA DE MANÍ</v>
      </c>
      <c r="B434" s="58">
        <f>IFERROR(__xludf.DUMMYFUNCTION("""COMPUTED_VALUE"""),6.0)</f>
        <v>6</v>
      </c>
    </row>
    <row r="435">
      <c r="A435" s="58" t="str">
        <f>IFERROR(__xludf.DUMMYFUNCTION("""COMPUTED_VALUE"""),"ESTUDIO DE FACTIBILIDAD TÉCNICO – ECONÓMICO PARA LA
FABRICACIÓN DE CEMENTO COLA")</f>
        <v>ESTUDIO DE FACTIBILIDAD TÉCNICO – ECONÓMICO PARA LA
FABRICACIÓN DE CEMENTO COLA</v>
      </c>
      <c r="B435" s="58">
        <f>IFERROR(__xludf.DUMMYFUNCTION("""COMPUTED_VALUE"""),1.0)</f>
        <v>1</v>
      </c>
    </row>
    <row r="436">
      <c r="A436" s="58" t="str">
        <f>IFERROR(__xludf.DUMMYFUNCTION("""COMPUTED_VALUE"""),"ESTUDIO DE FACTIBILIDAD TÉCNICO, ECONÓMICO Y FINANCIERO PARA DESARROLLAR LOS SISTEMAS DE PRODUCCIÓN HIDROPÓNICOS PARA EL CULTIVO DE FLORES EN TIQUIPAYA")</f>
        <v>ESTUDIO DE FACTIBILIDAD TÉCNICO, ECONÓMICO Y FINANCIERO PARA DESARROLLAR LOS SISTEMAS DE PRODUCCIÓN HIDROPÓNICOS PARA EL CULTIVO DE FLORES EN TIQUIPAYA</v>
      </c>
      <c r="B436" s="58">
        <f>IFERROR(__xludf.DUMMYFUNCTION("""COMPUTED_VALUE"""),4.0)</f>
        <v>4</v>
      </c>
    </row>
    <row r="437">
      <c r="A437" s="58" t="str">
        <f>IFERROR(__xludf.DUMMYFUNCTION("""COMPUTED_VALUE"""),"ESTUDIO DE FACTIBILIDAD TÉCNICO-ECONÓMICO PARA LA FABRICACIÓN DE CEMENTO COLA")</f>
        <v>ESTUDIO DE FACTIBILIDAD TÉCNICO-ECONÓMICO PARA LA FABRICACIÓN DE CEMENTO COLA</v>
      </c>
      <c r="B437" s="58">
        <f>IFERROR(__xludf.DUMMYFUNCTION("""COMPUTED_VALUE"""),8.0)</f>
        <v>8</v>
      </c>
    </row>
    <row r="438">
      <c r="A438" s="58" t="str">
        <f>IFERROR(__xludf.DUMMYFUNCTION("""COMPUTED_VALUE"""),"ESTUDIO DE FACTIBILIDAD TÉCNICO-ECONÓMICO PARA LA IMPLEMENTACIÓN DE UNA PLANTA PROCESADORA DE LOS DERIVADOS DE ALMENDRA (BERTHOLLETIA EXCELSA) EN COCHABAMBA.")</f>
        <v>ESTUDIO DE FACTIBILIDAD TÉCNICO-ECONÓMICO PARA LA IMPLEMENTACIÓN DE UNA PLANTA PROCESADORA DE LOS DERIVADOS DE ALMENDRA (BERTHOLLETIA EXCELSA) EN COCHABAMBA.</v>
      </c>
      <c r="B438" s="58">
        <f>IFERROR(__xludf.DUMMYFUNCTION("""COMPUTED_VALUE"""),2.0)</f>
        <v>2</v>
      </c>
    </row>
    <row r="439">
      <c r="A439" s="58" t="str">
        <f>IFERROR(__xludf.DUMMYFUNCTION("""COMPUTED_VALUE"""),"ESTUDIO DE IMPLEMENTACIÓN DE UNA PLANTA PROCESADORA DE AZÚCAR MORENA EN EL VALLE DE SAIPINA.")</f>
        <v>ESTUDIO DE IMPLEMENTACIÓN DE UNA PLANTA PROCESADORA DE AZÚCAR MORENA EN EL VALLE DE SAIPINA.</v>
      </c>
      <c r="B439" s="58">
        <f>IFERROR(__xludf.DUMMYFUNCTION("""COMPUTED_VALUE"""),1.0)</f>
        <v>1</v>
      </c>
    </row>
    <row r="440">
      <c r="A440" s="58" t="str">
        <f>IFERROR(__xludf.DUMMYFUNCTION("""COMPUTED_VALUE"""),"ESTUDIO DE INGENIERÍA DE MÉTODOS EN LOS PROCESOS DE IMPRESIÓN, CORTE Y EMPAQUETADO DE LA EMPRESA FLEXO PRINT S.R.L.")</f>
        <v>ESTUDIO DE INGENIERÍA DE MÉTODOS EN LOS PROCESOS DE IMPRESIÓN, CORTE Y EMPAQUETADO DE LA EMPRESA FLEXO PRINT S.R.L.</v>
      </c>
      <c r="B440" s="58">
        <f>IFERROR(__xludf.DUMMYFUNCTION("""COMPUTED_VALUE"""),13.0)</f>
        <v>13</v>
      </c>
    </row>
    <row r="441">
      <c r="A441" s="58" t="str">
        <f>IFERROR(__xludf.DUMMYFUNCTION("""COMPUTED_VALUE"""),"ESTUDIO DE INGENIERÍA DE MÉTODOS PARA EL ANÁLISIS DE LA EFICIENCIA Y ECONOMÍA DE LOS PROCESOS PRODUCTIVOS DE LA LÍNEA DE PRODUCCIÓN DE PANADERÍA EN LA INDUSTRIA PANIFICADORA ZELADA.")</f>
        <v>ESTUDIO DE INGENIERÍA DE MÉTODOS PARA EL ANÁLISIS DE LA EFICIENCIA Y ECONOMÍA DE LOS PROCESOS PRODUCTIVOS DE LA LÍNEA DE PRODUCCIÓN DE PANADERÍA EN LA INDUSTRIA PANIFICADORA ZELADA.</v>
      </c>
      <c r="B441" s="58">
        <f>IFERROR(__xludf.DUMMYFUNCTION("""COMPUTED_VALUE"""),10.0)</f>
        <v>10</v>
      </c>
    </row>
    <row r="442">
      <c r="A442" s="58" t="str">
        <f>IFERROR(__xludf.DUMMYFUNCTION("""COMPUTED_VALUE"""),"ESTUDIO DE INGENIERÍA DE MÉTODOS PARA LA OPTIMIZACIÓN DEL PROCESO PRODUCTIVO EN EL ÁREA DE RECUPERADO DE MATERIA PRIMA DE LA FÁBRICA ECOLÓGICA DE PLÁSTICOS “ECOPLASTIC S.R.L.")</f>
        <v>ESTUDIO DE INGENIERÍA DE MÉTODOS PARA LA OPTIMIZACIÓN DEL PROCESO PRODUCTIVO EN EL ÁREA DE RECUPERADO DE MATERIA PRIMA DE LA FÁBRICA ECOLÓGICA DE PLÁSTICOS “ECOPLASTIC S.R.L.</v>
      </c>
      <c r="B442" s="58">
        <f>IFERROR(__xludf.DUMMYFUNCTION("""COMPUTED_VALUE"""),6.0)</f>
        <v>6</v>
      </c>
    </row>
    <row r="443">
      <c r="A443" s="58" t="str">
        <f>IFERROR(__xludf.DUMMYFUNCTION("""COMPUTED_VALUE"""),"ESTUDIO DE INGENIERÍA DE MÉTODOS PARA LA OPTIMIZACIÓN DEL ÁREA DE CARGA EN LA INDUSTRIA CERÁMICA INBOLTECO S.A")</f>
        <v>ESTUDIO DE INGENIERÍA DE MÉTODOS PARA LA OPTIMIZACIÓN DEL ÁREA DE CARGA EN LA INDUSTRIA CERÁMICA INBOLTECO S.A</v>
      </c>
      <c r="B443" s="58">
        <f>IFERROR(__xludf.DUMMYFUNCTION("""COMPUTED_VALUE"""),6.0)</f>
        <v>6</v>
      </c>
    </row>
    <row r="444">
      <c r="A444" s="58" t="str">
        <f>IFERROR(__xludf.DUMMYFUNCTION("""COMPUTED_VALUE"""),"ESTUDIO DE INGENIERÍA DE MÉTODOS PARA LA PRODUCCIÓN DE MADEJAS DE HILADO DE LANA DE ALPACA EN LA EMPRESA FOTRAMA LTDA.")</f>
        <v>ESTUDIO DE INGENIERÍA DE MÉTODOS PARA LA PRODUCCIÓN DE MADEJAS DE HILADO DE LANA DE ALPACA EN LA EMPRESA FOTRAMA LTDA.</v>
      </c>
      <c r="B444" s="58">
        <f>IFERROR(__xludf.DUMMYFUNCTION("""COMPUTED_VALUE"""),3.0)</f>
        <v>3</v>
      </c>
    </row>
    <row r="445">
      <c r="A445" s="58" t="str">
        <f>IFERROR(__xludf.DUMMYFUNCTION("""COMPUTED_VALUE"""),"ESTUDIO DE INGENIERÍA DE MÉTODOS PARA MEJORAR LA PRODUCTIVIDAD EN LA EMPRESA FRUTIJUGO DE COCHABAMBA.")</f>
        <v>ESTUDIO DE INGENIERÍA DE MÉTODOS PARA MEJORAR LA PRODUCTIVIDAD EN LA EMPRESA FRUTIJUGO DE COCHABAMBA.</v>
      </c>
      <c r="B445" s="58">
        <f>IFERROR(__xludf.DUMMYFUNCTION("""COMPUTED_VALUE"""),22.0)</f>
        <v>22</v>
      </c>
    </row>
    <row r="446">
      <c r="A446" s="58" t="str">
        <f>IFERROR(__xludf.DUMMYFUNCTION("""COMPUTED_VALUE"""),"ESTUDIO DE INGENIERÍA DE MÉTODOS PARA MEJORARLA PRODUCTIVIDAD EN LA PRODUCCIÓN DE CALCITA DE LA EMPRESA CALMUS – TRAS COCHABAMBA")</f>
        <v>ESTUDIO DE INGENIERÍA DE MÉTODOS PARA MEJORARLA PRODUCTIVIDAD EN LA PRODUCCIÓN DE CALCITA DE LA EMPRESA CALMUS – TRAS COCHABAMBA</v>
      </c>
      <c r="B446" s="58">
        <f>IFERROR(__xludf.DUMMYFUNCTION("""COMPUTED_VALUE"""),12.0)</f>
        <v>12</v>
      </c>
    </row>
    <row r="447">
      <c r="A447" s="58" t="str">
        <f>IFERROR(__xludf.DUMMYFUNCTION("""COMPUTED_VALUE"""),"ESTUDIO DE MERCADO PARA CONOCER LA DEMANDA DE FORMACIÓN POS-GRADUAL EN EL ÁREA DE LA SALUD PARA LA UNIDAD DE POSGRADO DE LA FACULTAD DE CS. FARMACÉUTICAS Y BIOQUÍMICAS DE LA UMSS")</f>
        <v>ESTUDIO DE MERCADO PARA CONOCER LA DEMANDA DE FORMACIÓN POS-GRADUAL EN EL ÁREA DE LA SALUD PARA LA UNIDAD DE POSGRADO DE LA FACULTAD DE CS. FARMACÉUTICAS Y BIOQUÍMICAS DE LA UMSS</v>
      </c>
      <c r="B447" s="58">
        <f>IFERROR(__xludf.DUMMYFUNCTION("""COMPUTED_VALUE"""),2.0)</f>
        <v>2</v>
      </c>
    </row>
    <row r="448">
      <c r="A448" s="58" t="str">
        <f>IFERROR(__xludf.DUMMYFUNCTION("""COMPUTED_VALUE"""),"ESTUDIO DE MERCADO PARA EL ANÁLISIS Y CONTROL DE PLAGUICIDAS EN ALIMENTOS ELABORADO PARA EL CENTRO DE TECNOLOGÍA AGROINDUSTRIAL DE LA UMSS")</f>
        <v>ESTUDIO DE MERCADO PARA EL ANÁLISIS Y CONTROL DE PLAGUICIDAS EN ALIMENTOS ELABORADO PARA EL CENTRO DE TECNOLOGÍA AGROINDUSTRIAL DE LA UMSS</v>
      </c>
      <c r="B448" s="58">
        <f>IFERROR(__xludf.DUMMYFUNCTION("""COMPUTED_VALUE"""),1.0)</f>
        <v>1</v>
      </c>
    </row>
    <row r="449">
      <c r="A449" s="58" t="str">
        <f>IFERROR(__xludf.DUMMYFUNCTION("""COMPUTED_VALUE"""),"ESTUDIO DE MERCADO PARA LA COMERCIALIZACIÓN DE VITAMINAS Y SUPLEMENTOS NUTRICIONALES DE LA LÍNEA TERBONOVA DE LABORATORIOS TERBOL S.A. EN LA DISTRIBUIDORA L &amp; S")</f>
        <v>ESTUDIO DE MERCADO PARA LA COMERCIALIZACIÓN DE VITAMINAS Y SUPLEMENTOS NUTRICIONALES DE LA LÍNEA TERBONOVA DE LABORATORIOS TERBOL S.A. EN LA DISTRIBUIDORA L &amp; S</v>
      </c>
      <c r="B449" s="58">
        <f>IFERROR(__xludf.DUMMYFUNCTION("""COMPUTED_VALUE"""),3.0)</f>
        <v>3</v>
      </c>
    </row>
    <row r="450">
      <c r="A450" s="58" t="str">
        <f>IFERROR(__xludf.DUMMYFUNCTION("""COMPUTED_VALUE"""),"ESTUDIO DE MERCADO PARA LA IMPLEMENTACIÓN DEL SERVICIO DE TELEVISIÓN SATELITAL EN EL DEPARTAMENTO DE COCHABAMBA")</f>
        <v>ESTUDIO DE MERCADO PARA LA IMPLEMENTACIÓN DEL SERVICIO DE TELEVISIÓN SATELITAL EN EL DEPARTAMENTO DE COCHABAMBA</v>
      </c>
      <c r="B450" s="58">
        <f>IFERROR(__xludf.DUMMYFUNCTION("""COMPUTED_VALUE"""),1.0)</f>
        <v>1</v>
      </c>
    </row>
    <row r="451">
      <c r="A451" s="58" t="str">
        <f>IFERROR(__xludf.DUMMYFUNCTION("""COMPUTED_VALUE"""),"ESTUDIO DE MERCADO Y DISEÑO DE UN PLAN ESTRATÉGICO DE MARKETING PARA LA COMERCIALIZACIÓN DE SAPONINAS OBTENIDAS DEL ESCARIFICADO DE QUÍNUA")</f>
        <v>ESTUDIO DE MERCADO Y DISEÑO DE UN PLAN ESTRATÉGICO DE MARKETING PARA LA COMERCIALIZACIÓN DE SAPONINAS OBTENIDAS DEL ESCARIFICADO DE QUÍNUA</v>
      </c>
      <c r="B451" s="58">
        <f>IFERROR(__xludf.DUMMYFUNCTION("""COMPUTED_VALUE"""),1.0)</f>
        <v>1</v>
      </c>
    </row>
    <row r="452">
      <c r="A452" s="58" t="str">
        <f>IFERROR(__xludf.DUMMYFUNCTION("""COMPUTED_VALUE"""),"ESTUDIO DE METODOS PARA LA MEJORA DE LA PRODUCTIVIDAD DE LA SECCION DE MONTACARGAS DE LAS LINEAS DE PRODUCCION DE LA EMPRESA EMBOL S.A")</f>
        <v>ESTUDIO DE METODOS PARA LA MEJORA DE LA PRODUCTIVIDAD DE LA SECCION DE MONTACARGAS DE LAS LINEAS DE PRODUCCION DE LA EMPRESA EMBOL S.A</v>
      </c>
      <c r="B452" s="58">
        <f>IFERROR(__xludf.DUMMYFUNCTION("""COMPUTED_VALUE"""),5.0)</f>
        <v>5</v>
      </c>
    </row>
    <row r="453">
      <c r="A453" s="58" t="str">
        <f>IFERROR(__xludf.DUMMYFUNCTION("""COMPUTED_VALUE"""),"ESTUDIO DE METODOS PARA LA OPTIMIZACIÓN DE LA PRODUCCION EN EL ÁREA DE RECICLADO DE PLASTICO EN INMAPLAST S.R.L.")</f>
        <v>ESTUDIO DE METODOS PARA LA OPTIMIZACIÓN DE LA PRODUCCION EN EL ÁREA DE RECICLADO DE PLASTICO EN INMAPLAST S.R.L.</v>
      </c>
      <c r="B453" s="58">
        <f>IFERROR(__xludf.DUMMYFUNCTION("""COMPUTED_VALUE"""),26.0)</f>
        <v>26</v>
      </c>
    </row>
    <row r="454">
      <c r="A454" s="58" t="str">
        <f>IFERROR(__xludf.DUMMYFUNCTION("""COMPUTED_VALUE"""),"ESTUDIO DE MÉTODOS PARA EL MEJORAMIENTO DEL SISTEMA PRODUCTIVO DE LA EMPRESA DE MOBILIARIO MOBISTAR BOLIVIA")</f>
        <v>ESTUDIO DE MÉTODOS PARA EL MEJORAMIENTO DEL SISTEMA PRODUCTIVO DE LA EMPRESA DE MOBILIARIO MOBISTAR BOLIVIA</v>
      </c>
      <c r="B454" s="58">
        <f>IFERROR(__xludf.DUMMYFUNCTION("""COMPUTED_VALUE"""),4.0)</f>
        <v>4</v>
      </c>
    </row>
    <row r="455">
      <c r="A455" s="58" t="str">
        <f>IFERROR(__xludf.DUMMYFUNCTION("""COMPUTED_VALUE"""),"ESTUDIO DE MÉTODOS Y TIEMPOS DE LA CURTIEMBRE Y MANUFACTURA CURMA S.R.L.")</f>
        <v>ESTUDIO DE MÉTODOS Y TIEMPOS DE LA CURTIEMBRE Y MANUFACTURA CURMA S.R.L.</v>
      </c>
      <c r="B455" s="58">
        <f>IFERROR(__xludf.DUMMYFUNCTION("""COMPUTED_VALUE"""),7.0)</f>
        <v>7</v>
      </c>
    </row>
    <row r="456">
      <c r="A456" s="58" t="str">
        <f>IFERROR(__xludf.DUMMYFUNCTION("""COMPUTED_VALUE"""),"ESTUDIO DE MÉTODOS Y TIEMPOS PARA EL INCREMENTO DE LA PRODUCCIÓN DE LA PLANTA DE EPS DE LA EMPRESA TECNOPOR")</f>
        <v>ESTUDIO DE MÉTODOS Y TIEMPOS PARA EL INCREMENTO DE LA PRODUCCIÓN DE LA PLANTA DE EPS DE LA EMPRESA TECNOPOR</v>
      </c>
      <c r="B456" s="58">
        <f>IFERROR(__xludf.DUMMYFUNCTION("""COMPUTED_VALUE"""),1.0)</f>
        <v>1</v>
      </c>
    </row>
    <row r="457">
      <c r="A457" s="58" t="str">
        <f>IFERROR(__xludf.DUMMYFUNCTION("""COMPUTED_VALUE"""),"ESTUDIO DE MÉTODOS Y TIEMPOS PARA EL INCREMENTO DE LA PRODUCCIÓN EN LA PLANTA DE EXTRUSIÓN DE PEAD Y PVC PARA LA FABRICACIÓN DE SOGAS Y MANGUERAS DE LA EMPRESA BLEICHNER INDUSTRIA Y COMERCIO S.A.")</f>
        <v>ESTUDIO DE MÉTODOS Y TIEMPOS PARA EL INCREMENTO DE LA PRODUCCIÓN EN LA PLANTA DE EXTRUSIÓN DE PEAD Y PVC PARA LA FABRICACIÓN DE SOGAS Y MANGUERAS DE LA EMPRESA BLEICHNER INDUSTRIA Y COMERCIO S.A.</v>
      </c>
      <c r="B457" s="58">
        <f>IFERROR(__xludf.DUMMYFUNCTION("""COMPUTED_VALUE"""),11.0)</f>
        <v>11</v>
      </c>
    </row>
    <row r="458">
      <c r="A458" s="58" t="str">
        <f>IFERROR(__xludf.DUMMYFUNCTION("""COMPUTED_VALUE"""),"ESTUDIO DE PRE-FACTIBILIDAD PARA LA CREACIÓN DE UN CENTRO PARA EL ADULTO MAYOR")</f>
        <v>ESTUDIO DE PRE-FACTIBILIDAD PARA LA CREACIÓN DE UN CENTRO PARA EL ADULTO MAYOR</v>
      </c>
      <c r="B458" s="58">
        <f>IFERROR(__xludf.DUMMYFUNCTION("""COMPUTED_VALUE"""),1.0)</f>
        <v>1</v>
      </c>
    </row>
    <row r="459">
      <c r="A459" s="58" t="str">
        <f>IFERROR(__xludf.DUMMYFUNCTION("""COMPUTED_VALUE"""),"ESTUDIO DE PREFACTIBILIDAD PARA LA IMPLEMENTACIÓN DE UNA INCUBADORA DE EMPRESAS DE BASE TECNOLÓGICA EN LA FCYT DE LA UMSS.")</f>
        <v>ESTUDIO DE PREFACTIBILIDAD PARA LA IMPLEMENTACIÓN DE UNA INCUBADORA DE EMPRESAS DE BASE TECNOLÓGICA EN LA FCYT DE LA UMSS.</v>
      </c>
      <c r="B459" s="58">
        <f>IFERROR(__xludf.DUMMYFUNCTION("""COMPUTED_VALUE"""),1.0)</f>
        <v>1</v>
      </c>
    </row>
    <row r="460">
      <c r="A460" s="58" t="str">
        <f>IFERROR(__xludf.DUMMYFUNCTION("""COMPUTED_VALUE"""),"ESTUDIO DE PREFACTIBILIDAD PARA LA INSTALACIÓN DE UNA PLANTA PILOTO PROCESADORA DE ALIMENTOS EN POLVO.")</f>
        <v>ESTUDIO DE PREFACTIBILIDAD PARA LA INSTALACIÓN DE UNA PLANTA PILOTO PROCESADORA DE ALIMENTOS EN POLVO.</v>
      </c>
      <c r="B460" s="58">
        <f>IFERROR(__xludf.DUMMYFUNCTION("""COMPUTED_VALUE"""),2.0)</f>
        <v>2</v>
      </c>
    </row>
    <row r="461">
      <c r="A461" s="58" t="str">
        <f>IFERROR(__xludf.DUMMYFUNCTION("""COMPUTED_VALUE"""),"ESTUDIO DE PREFACTIBILIDAD PARA LA PRODUCCIÓN DE CHAMPIÑÓN")</f>
        <v>ESTUDIO DE PREFACTIBILIDAD PARA LA PRODUCCIÓN DE CHAMPIÑÓN</v>
      </c>
      <c r="B461" s="58">
        <f>IFERROR(__xludf.DUMMYFUNCTION("""COMPUTED_VALUE"""),2.0)</f>
        <v>2</v>
      </c>
    </row>
    <row r="462">
      <c r="A462" s="58" t="str">
        <f>IFERROR(__xludf.DUMMYFUNCTION("""COMPUTED_VALUE"""),"ESTUDIO DE REINGENIERÍA APLICADA A LA REORGANIZACIÓN DE ALMACÉN DE MATERIALES DE FABE S.A.")</f>
        <v>ESTUDIO DE REINGENIERÍA APLICADA A LA REORGANIZACIÓN DE ALMACÉN DE MATERIALES DE FABE S.A.</v>
      </c>
      <c r="B462" s="58">
        <f>IFERROR(__xludf.DUMMYFUNCTION("""COMPUTED_VALUE"""),8.0)</f>
        <v>8</v>
      </c>
    </row>
    <row r="463">
      <c r="A463" s="58" t="str">
        <f>IFERROR(__xludf.DUMMYFUNCTION("""COMPUTED_VALUE"""),"ESTUDIO DE REINGENIERÍA PARA EL MEJORAMIENTO DE LA EFICIENCIA ADMINISTRATIVA DE COMTECO LTDA.")</f>
        <v>ESTUDIO DE REINGENIERÍA PARA EL MEJORAMIENTO DE LA EFICIENCIA ADMINISTRATIVA DE COMTECO LTDA.</v>
      </c>
      <c r="B463" s="58">
        <f>IFERROR(__xludf.DUMMYFUNCTION("""COMPUTED_VALUE"""),7.0)</f>
        <v>7</v>
      </c>
    </row>
    <row r="464">
      <c r="A464" s="58" t="str">
        <f>IFERROR(__xludf.DUMMYFUNCTION("""COMPUTED_VALUE"""),"ESTUDIO DE REUBICACIÓN Y REORGANIZACIÓN DE INDUSTRIAS NOBLEZA")</f>
        <v>ESTUDIO DE REUBICACIÓN Y REORGANIZACIÓN DE INDUSTRIAS NOBLEZA</v>
      </c>
      <c r="B464" s="58">
        <f>IFERROR(__xludf.DUMMYFUNCTION("""COMPUTED_VALUE"""),1.0)</f>
        <v>1</v>
      </c>
    </row>
    <row r="465">
      <c r="A465" s="58" t="str">
        <f>IFERROR(__xludf.DUMMYFUNCTION("""COMPUTED_VALUE"""),"ESTUDIO DE UN SISTEMA DE GESTIÓN DE LA CALIDAD  PARA  LA IMPLEMENTACIÓN  DE LA  NORMA ISO 9001: 2000 EN LA EMPRESA “IRBA LTDA.”")</f>
        <v>ESTUDIO DE UN SISTEMA DE GESTIÓN DE LA CALIDAD  PARA  LA IMPLEMENTACIÓN  DE LA  NORMA ISO 9001: 2000 EN LA EMPRESA “IRBA LTDA.”</v>
      </c>
      <c r="B465" s="58">
        <f>IFERROR(__xludf.DUMMYFUNCTION("""COMPUTED_VALUE"""),1.0)</f>
        <v>1</v>
      </c>
    </row>
    <row r="466">
      <c r="A466" s="58" t="str">
        <f>IFERROR(__xludf.DUMMYFUNCTION("""COMPUTED_VALUE"""),"ESTUDIO DE VIABILIDAD PARA LA IMPLEMENTACIÓN DE UN PLAN DE NEGOCIOS EN LA PRODUCCIÓN DE HORTALIZAS EN INVIERNO PARA EL SINDICATO “VILLA ROSARIO” DE YAPACANÍ-SANTA CRUZ")</f>
        <v>ESTUDIO DE VIABILIDAD PARA LA IMPLEMENTACIÓN DE UN PLAN DE NEGOCIOS EN LA PRODUCCIÓN DE HORTALIZAS EN INVIERNO PARA EL SINDICATO “VILLA ROSARIO” DE YAPACANÍ-SANTA CRUZ</v>
      </c>
      <c r="B466" s="58">
        <f>IFERROR(__xludf.DUMMYFUNCTION("""COMPUTED_VALUE"""),2.0)</f>
        <v>2</v>
      </c>
    </row>
    <row r="467">
      <c r="A467" s="58" t="str">
        <f>IFERROR(__xludf.DUMMYFUNCTION("""COMPUTED_VALUE"""),"ESTUDIO DE VIABILIDAD PARA LA IMPLEMENTACIÓN DE UNA PLANTA PROCESADORA DE EMBUTIDOS A PARTIR DE LA CARNE DE LLAMA Y PAVO, DIRIGIDO AL MERCADO DE COCHABAMBA")</f>
        <v>ESTUDIO DE VIABILIDAD PARA LA IMPLEMENTACIÓN DE UNA PLANTA PROCESADORA DE EMBUTIDOS A PARTIR DE LA CARNE DE LLAMA Y PAVO, DIRIGIDO AL MERCADO DE COCHABAMBA</v>
      </c>
      <c r="B467" s="58">
        <f>IFERROR(__xludf.DUMMYFUNCTION("""COMPUTED_VALUE"""),2.0)</f>
        <v>2</v>
      </c>
    </row>
    <row r="468">
      <c r="A468" s="58" t="str">
        <f>IFERROR(__xludf.DUMMYFUNCTION("""COMPUTED_VALUE"""),"ESTUDIO DE VIABILIDAD PARA LA IMPLEMENTACIÓN DE UNA PLANTA PROCESADORA DE HARINA DE ARROZ INTEGRAL, DIRIGIDO AL MERCADO DE COCHABAMBA.")</f>
        <v>ESTUDIO DE VIABILIDAD PARA LA IMPLEMENTACIÓN DE UNA PLANTA PROCESADORA DE HARINA DE ARROZ INTEGRAL, DIRIGIDO AL MERCADO DE COCHABAMBA.</v>
      </c>
      <c r="B468" s="58">
        <f>IFERROR(__xludf.DUMMYFUNCTION("""COMPUTED_VALUE"""),1.0)</f>
        <v>1</v>
      </c>
    </row>
    <row r="469">
      <c r="A469" s="58" t="str">
        <f>IFERROR(__xludf.DUMMYFUNCTION("""COMPUTED_VALUE"""),"ESTUDIO DE VIABILIDAD PARA LA IMPLEMENTACIÓN DE UNA PLANTA PROCESADORA DE LECHE DE ALMENDRA, DIRIGIDO AL MERCADO DE COCHABAMBA")</f>
        <v>ESTUDIO DE VIABILIDAD PARA LA IMPLEMENTACIÓN DE UNA PLANTA PROCESADORA DE LECHE DE ALMENDRA, DIRIGIDO AL MERCADO DE COCHABAMBA</v>
      </c>
      <c r="B469" s="58">
        <f>IFERROR(__xludf.DUMMYFUNCTION("""COMPUTED_VALUE"""),2.0)</f>
        <v>2</v>
      </c>
    </row>
    <row r="470">
      <c r="A470" s="58" t="str">
        <f>IFERROR(__xludf.DUMMYFUNCTION("""COMPUTED_VALUE"""),"ESTUDIO DE VIABILIDAD TÉCNICA PARA LA IMPLEMENTACIÓN DE UNA PLANTA RECICLADORA DE RESIDUOS SÓLIDOS INORGÁNICOS (PET) EN EL RELLENO SANITARIO DE JARKA LOMA - SACABA")</f>
        <v>ESTUDIO DE VIABILIDAD TÉCNICA PARA LA IMPLEMENTACIÓN DE UNA PLANTA RECICLADORA DE RESIDUOS SÓLIDOS INORGÁNICOS (PET) EN EL RELLENO SANITARIO DE JARKA LOMA - SACABA</v>
      </c>
      <c r="B470" s="58">
        <f>IFERROR(__xludf.DUMMYFUNCTION("""COMPUTED_VALUE"""),6.0)</f>
        <v>6</v>
      </c>
    </row>
    <row r="471">
      <c r="A471" s="58" t="str">
        <f>IFERROR(__xludf.DUMMYFUNCTION("""COMPUTED_VALUE"""),"ESTUDIO DEL TRABAJO DEL CICLO PRODUCTIVO DE LA CBB S.A")</f>
        <v>ESTUDIO DEL TRABAJO DEL CICLO PRODUCTIVO DE LA CBB S.A</v>
      </c>
      <c r="B471" s="58">
        <f>IFERROR(__xludf.DUMMYFUNCTION("""COMPUTED_VALUE"""),5.0)</f>
        <v>5</v>
      </c>
    </row>
    <row r="472">
      <c r="A472" s="58" t="str">
        <f>IFERROR(__xludf.DUMMYFUNCTION("""COMPUTED_VALUE"""),"ESTUDIO DEL TRABAJO PARA LA MEJORA DE LA PRODUCCIÓN EN LA FÁBRICA DE JEANS COTEXCO")</f>
        <v>ESTUDIO DEL TRABAJO PARA LA MEJORA DE LA PRODUCCIÓN EN LA FÁBRICA DE JEANS COTEXCO</v>
      </c>
      <c r="B472" s="58">
        <f>IFERROR(__xludf.DUMMYFUNCTION("""COMPUTED_VALUE"""),2.0)</f>
        <v>2</v>
      </c>
    </row>
    <row r="473">
      <c r="A473" s="58" t="str">
        <f>IFERROR(__xludf.DUMMYFUNCTION("""COMPUTED_VALUE"""),"ESTUDIO DEL TRABAJO PARA LA MEJORA DE LA PRODUCCIÓNDE LA FABRICA DE JEANS COTEXCO")</f>
        <v>ESTUDIO DEL TRABAJO PARA LA MEJORA DE LA PRODUCCIÓNDE LA FABRICA DE JEANS COTEXCO</v>
      </c>
      <c r="B473" s="58">
        <f>IFERROR(__xludf.DUMMYFUNCTION("""COMPUTED_VALUE"""),1.0)</f>
        <v>1</v>
      </c>
    </row>
    <row r="474">
      <c r="A474" s="58" t="str">
        <f>IFERROR(__xludf.DUMMYFUNCTION("""COMPUTED_VALUE"""),"ESTUDIO E INVESTIGACIÓN DE MERCADO PARA COMERCIALIZAR EL PAN DE ARANI EN LA CIUDAD DE COCHABAMBA, ESTUDIO PARA LAS PANIFICADORAS DE LA PROVINCIA DE ARANI")</f>
        <v>ESTUDIO E INVESTIGACIÓN DE MERCADO PARA COMERCIALIZAR EL PAN DE ARANI EN LA CIUDAD DE COCHABAMBA, ESTUDIO PARA LAS PANIFICADORAS DE LA PROVINCIA DE ARANI</v>
      </c>
      <c r="B474" s="58">
        <f>IFERROR(__xludf.DUMMYFUNCTION("""COMPUTED_VALUE"""),4.0)</f>
        <v>4</v>
      </c>
    </row>
    <row r="475">
      <c r="A475" s="58" t="str">
        <f>IFERROR(__xludf.DUMMYFUNCTION("""COMPUTED_VALUE"""),"ESTUDIO FACTIBILIDAD PARA LA INDUSTRIALIZACIÓN Y COMERCIALIZACIÓN DEL LICOR DE GUINDA Y CEREZA EN COCHBAMBA")</f>
        <v>ESTUDIO FACTIBILIDAD PARA LA INDUSTRIALIZACIÓN Y COMERCIALIZACIÓN DEL LICOR DE GUINDA Y CEREZA EN COCHBAMBA</v>
      </c>
      <c r="B475" s="58">
        <f>IFERROR(__xludf.DUMMYFUNCTION("""COMPUTED_VALUE"""),13.0)</f>
        <v>13</v>
      </c>
    </row>
    <row r="476">
      <c r="A476" s="58" t="str">
        <f>IFERROR(__xludf.DUMMYFUNCTION("""COMPUTED_VALUE"""),"ESTUDIO PARA EL MEJORAMIENTO DE MÉTODOS Y DETERMINACIÓN DE LOS TIEMPOS ESTÁNDAR DEL  PROCESO DE PRODUCCIÓN DE LA EMPRESA “NATU CASAS” S.R.L.")</f>
        <v>ESTUDIO PARA EL MEJORAMIENTO DE MÉTODOS Y DETERMINACIÓN DE LOS TIEMPOS ESTÁNDAR DEL  PROCESO DE PRODUCCIÓN DE LA EMPRESA “NATU CASAS” S.R.L.</v>
      </c>
      <c r="B476" s="58">
        <f>IFERROR(__xludf.DUMMYFUNCTION("""COMPUTED_VALUE"""),2.0)</f>
        <v>2</v>
      </c>
    </row>
    <row r="477">
      <c r="A477" s="58" t="str">
        <f>IFERROR(__xludf.DUMMYFUNCTION("""COMPUTED_VALUE"""),"ESTUDIO PARA LA IMPLEMENTACIÓN DE LA NORMA ISO 9001:2000 EN LA FÁBRICA DE CHOMPAS DE LANA DE ALPACA ASARTI")</f>
        <v>ESTUDIO PARA LA IMPLEMENTACIÓN DE LA NORMA ISO 9001:2000 EN LA FÁBRICA DE CHOMPAS DE LANA DE ALPACA ASARTI</v>
      </c>
      <c r="B477" s="58">
        <f>IFERROR(__xludf.DUMMYFUNCTION("""COMPUTED_VALUE"""),8.0)</f>
        <v>8</v>
      </c>
    </row>
    <row r="478">
      <c r="A478" s="58" t="str">
        <f>IFERROR(__xludf.DUMMYFUNCTION("""COMPUTED_VALUE"""),"ESTUDIO PARA LA MEJORA DEL INDICADOR DE MERMA MEDIANTE LA RECUPERACIÓN DE LEVADURA CBN - TAQUIÑA")</f>
        <v>ESTUDIO PARA LA MEJORA DEL INDICADOR DE MERMA MEDIANTE LA RECUPERACIÓN DE LEVADURA CBN - TAQUIÑA</v>
      </c>
      <c r="B478" s="58">
        <f>IFERROR(__xludf.DUMMYFUNCTION("""COMPUTED_VALUE"""),6.0)</f>
        <v>6</v>
      </c>
    </row>
    <row r="479">
      <c r="A479" s="58" t="str">
        <f>IFERROR(__xludf.DUMMYFUNCTION("""COMPUTED_VALUE"""),"ESTUDIO PARA LA MEJORA DEL INDICADOR DE MERMA MEDIANTE LA RECUPERACIÓN DE LEVADURA CBN-TAQUIÑA")</f>
        <v>ESTUDIO PARA LA MEJORA DEL INDICADOR DE MERMA MEDIANTE LA RECUPERACIÓN DE LEVADURA CBN-TAQUIÑA</v>
      </c>
      <c r="B479" s="58">
        <f>IFERROR(__xludf.DUMMYFUNCTION("""COMPUTED_VALUE"""),1.0)</f>
        <v>1</v>
      </c>
    </row>
    <row r="480">
      <c r="A480" s="58" t="str">
        <f>IFERROR(__xludf.DUMMYFUNCTION("""COMPUTED_VALUE"""),"ESTUDIO PARA LA OPTIMIZACIÓN DEL PROCESO PRODUCTIVO EN LA EMPRESA CARPINTERA TELLEZ")</f>
        <v>ESTUDIO PARA LA OPTIMIZACIÓN DEL PROCESO PRODUCTIVO EN LA EMPRESA CARPINTERA TELLEZ</v>
      </c>
      <c r="B480" s="58">
        <f>IFERROR(__xludf.DUMMYFUNCTION("""COMPUTED_VALUE"""),2.0)</f>
        <v>2</v>
      </c>
    </row>
    <row r="481">
      <c r="A481" s="58" t="str">
        <f>IFERROR(__xludf.DUMMYFUNCTION("""COMPUTED_VALUE"""),"ESTUDIO PARA LA REFORMULACIÓN DE LA NORMA BOLIVIANA PARA CEMENTO")</f>
        <v>ESTUDIO PARA LA REFORMULACIÓN DE LA NORMA BOLIVIANA PARA CEMENTO</v>
      </c>
      <c r="B481" s="58">
        <f>IFERROR(__xludf.DUMMYFUNCTION("""COMPUTED_VALUE"""),1.0)</f>
        <v>1</v>
      </c>
    </row>
    <row r="482">
      <c r="A482" s="58" t="str">
        <f>IFERROR(__xludf.DUMMYFUNCTION("""COMPUTED_VALUE"""),"ESTUDIO PARA MEJORAR LA CALIDAD Y LA PRODUCTIVIDAD EN LA EMPRESA NUEVA ERA, CON LA APLICACIÓN DE LAS HERRAMIENTAS DE MANUFACTURA ESBELTA")</f>
        <v>ESTUDIO PARA MEJORAR LA CALIDAD Y LA PRODUCTIVIDAD EN LA EMPRESA NUEVA ERA, CON LA APLICACIÓN DE LAS HERRAMIENTAS DE MANUFACTURA ESBELTA</v>
      </c>
      <c r="B482" s="58">
        <f>IFERROR(__xludf.DUMMYFUNCTION("""COMPUTED_VALUE"""),9.0)</f>
        <v>9</v>
      </c>
    </row>
    <row r="483">
      <c r="A483" s="58" t="str">
        <f>IFERROR(__xludf.DUMMYFUNCTION("""COMPUTED_VALUE"""),"ESTUDIO PARA MEJORAR LA CALIDAD Y LA PRODUCTIVIDAD EN LA EMPRESA NUEVA ERA, CON LA APLICACIÓN DE LAS HERRAMIENTAS DE MANUFACTURA ESBELTA.")</f>
        <v>ESTUDIO PARA MEJORAR LA CALIDAD Y LA PRODUCTIVIDAD EN LA EMPRESA NUEVA ERA, CON LA APLICACIÓN DE LAS HERRAMIENTAS DE MANUFACTURA ESBELTA.</v>
      </c>
      <c r="B483" s="58">
        <f>IFERROR(__xludf.DUMMYFUNCTION("""COMPUTED_VALUE"""),2.0)</f>
        <v>2</v>
      </c>
    </row>
    <row r="484">
      <c r="A484" s="58" t="str">
        <f>IFERROR(__xludf.DUMMYFUNCTION("""COMPUTED_VALUE"""),"ESTUDIO SOBRE LAS CONDICIONES EXISTENTES EN BOLIVIA PARA LA CONSTITUCIÓN DE CENTROS DE INVESTIGACIÓN CIENTÍFICA (CIC)")</f>
        <v>ESTUDIO SOBRE LAS CONDICIONES EXISTENTES EN BOLIVIA PARA LA CONSTITUCIÓN DE CENTROS DE INVESTIGACIÓN CIENTÍFICA (CIC)</v>
      </c>
      <c r="B484" s="58">
        <f>IFERROR(__xludf.DUMMYFUNCTION("""COMPUTED_VALUE"""),1.0)</f>
        <v>1</v>
      </c>
    </row>
    <row r="485">
      <c r="A485" s="58" t="str">
        <f>IFERROR(__xludf.DUMMYFUNCTION("""COMPUTED_VALUE"""),"ESTUDIO TECNICO PARA EL DESARROLLO DE UNA ALTERNATIVA DE MITIGACION DE IMPACTO AMBIENTAL DE LOS RIL EN LA SECCION DE LITOGRAFIA DE LA FABRICA BOLIVIANA DE ENVASES")</f>
        <v>ESTUDIO TECNICO PARA EL DESARROLLO DE UNA ALTERNATIVA DE MITIGACION DE IMPACTO AMBIENTAL DE LOS RIL EN LA SECCION DE LITOGRAFIA DE LA FABRICA BOLIVIANA DE ENVASES</v>
      </c>
      <c r="B485" s="58">
        <f>IFERROR(__xludf.DUMMYFUNCTION("""COMPUTED_VALUE"""),1.0)</f>
        <v>1</v>
      </c>
    </row>
    <row r="486">
      <c r="A486" s="58" t="str">
        <f>IFERROR(__xludf.DUMMYFUNCTION("""COMPUTED_VALUE"""),"ESTUDIO TÉCNICO - FINANCIERO PARA LA AMPLIACIÓN DE LA PRODUCCIÓN DE JEANS EN CONFECCIONES “CALVILL`S”")</f>
        <v>ESTUDIO TÉCNICO - FINANCIERO PARA LA AMPLIACIÓN DE LA PRODUCCIÓN DE JEANS EN CONFECCIONES “CALVILL`S”</v>
      </c>
      <c r="B486" s="58">
        <f>IFERROR(__xludf.DUMMYFUNCTION("""COMPUTED_VALUE"""),1.0)</f>
        <v>1</v>
      </c>
    </row>
    <row r="487">
      <c r="A487" s="58" t="str">
        <f>IFERROR(__xludf.DUMMYFUNCTION("""COMPUTED_VALUE"""),"ESTUDIO TÉCNICO DEL CEMENTO ESTRUCTURADO EN LA LÍNEA DURAFLEX DE INDUSTRIAS DURALIT S.A.")</f>
        <v>ESTUDIO TÉCNICO DEL CEMENTO ESTRUCTURADO EN LA LÍNEA DURAFLEX DE INDUSTRIAS DURALIT S.A.</v>
      </c>
      <c r="B487" s="58">
        <f>IFERROR(__xludf.DUMMYFUNCTION("""COMPUTED_VALUE"""),3.0)</f>
        <v>3</v>
      </c>
    </row>
    <row r="488">
      <c r="A488" s="58" t="str">
        <f>IFERROR(__xludf.DUMMYFUNCTION("""COMPUTED_VALUE"""),"ESTUDIO TÉCNICO ECONÓMICO DE LA PRODUCCIÓN DE LEVADURA EN POLVO A PARTIR DE LA LEVADURA RESIDUAL DE CERVEZA, PARA SU COMERCIALIZACIÓN COMO INSUMO EN LA PREPARACIÓN DE ALIMENTO BALANCEADO PARA CULTIVO")</f>
        <v>ESTUDIO TÉCNICO ECONÓMICO DE LA PRODUCCIÓN DE LEVADURA EN POLVO A PARTIR DE LA LEVADURA RESIDUAL DE CERVEZA, PARA SU COMERCIALIZACIÓN COMO INSUMO EN LA PREPARACIÓN DE ALIMENTO BALANCEADO PARA CULTIVO</v>
      </c>
      <c r="B488" s="58">
        <f>IFERROR(__xludf.DUMMYFUNCTION("""COMPUTED_VALUE"""),2.0)</f>
        <v>2</v>
      </c>
    </row>
    <row r="489">
      <c r="A489" s="58" t="str">
        <f>IFERROR(__xludf.DUMMYFUNCTION("""COMPUTED_VALUE"""),"ESTUDIO TÉCNICO ECONÓMICO PARA LA EXPLOTACIÓN INTENSIVA DE MIEL DE ABEJA EN LA LOCALIDAD DE BELLA VISTA")</f>
        <v>ESTUDIO TÉCNICO ECONÓMICO PARA LA EXPLOTACIÓN INTENSIVA DE MIEL DE ABEJA EN LA LOCALIDAD DE BELLA VISTA</v>
      </c>
      <c r="B489" s="58">
        <f>IFERROR(__xludf.DUMMYFUNCTION("""COMPUTED_VALUE"""),1.0)</f>
        <v>1</v>
      </c>
    </row>
    <row r="490">
      <c r="A490" s="58" t="str">
        <f>IFERROR(__xludf.DUMMYFUNCTION("""COMPUTED_VALUE"""),"ESTUDIO TÉCNICO ECONÓMICO PARA LA IMPLEMENTACIÓN DE UNA PLANTA INDUSTRIAL DE POLITUBO.")</f>
        <v>ESTUDIO TÉCNICO ECONÓMICO PARA LA IMPLEMENTACIÓN DE UNA PLANTA INDUSTRIAL DE POLITUBO.</v>
      </c>
      <c r="B490" s="58">
        <f>IFERROR(__xludf.DUMMYFUNCTION("""COMPUTED_VALUE"""),1.0)</f>
        <v>1</v>
      </c>
    </row>
    <row r="491">
      <c r="A491" s="58" t="str">
        <f>IFERROR(__xludf.DUMMYFUNCTION("""COMPUTED_VALUE"""),"ESTUDIO TÉCNICO ECONÓMICO PARA LA INSTALACIÓN DE UN LABORATORIO DE MANUFACTURA BASADA EN LA INDUSTRIA 4.0 PARA EL DEPARTAMENTO DE INDUSTRIAS DE LA FCYT – UMSS.")</f>
        <v>ESTUDIO TÉCNICO ECONÓMICO PARA LA INSTALACIÓN DE UN LABORATORIO DE MANUFACTURA BASADA EN LA INDUSTRIA 4.0 PARA EL DEPARTAMENTO DE INDUSTRIAS DE LA FCYT – UMSS.</v>
      </c>
      <c r="B491" s="58">
        <f>IFERROR(__xludf.DUMMYFUNCTION("""COMPUTED_VALUE"""),9.0)</f>
        <v>9</v>
      </c>
    </row>
    <row r="492">
      <c r="A492" s="58" t="str">
        <f>IFERROR(__xludf.DUMMYFUNCTION("""COMPUTED_VALUE"""),"ESTUDIO TÉCNICO ECONÓMICO PARA LA PRODUCCIÓN Y EXPORTACIÓN DE PRENDAS DE VESTIR ELABORADAS CON FIBRA DE ALPACA")</f>
        <v>ESTUDIO TÉCNICO ECONÓMICO PARA LA PRODUCCIÓN Y EXPORTACIÓN DE PRENDAS DE VESTIR ELABORADAS CON FIBRA DE ALPACA</v>
      </c>
      <c r="B492" s="58">
        <f>IFERROR(__xludf.DUMMYFUNCTION("""COMPUTED_VALUE"""),2.0)</f>
        <v>2</v>
      </c>
    </row>
    <row r="493">
      <c r="A493" s="58" t="str">
        <f>IFERROR(__xludf.DUMMYFUNCTION("""COMPUTED_VALUE"""),"ESTUDIO TÉCNICO FINANCIERO PARA EL LANZAMIENTO AL MERCADO DE JUGO ZANAHORIA NARANJA PARA LA EMPRESA PIL ANDINA S.A.")</f>
        <v>ESTUDIO TÉCNICO FINANCIERO PARA EL LANZAMIENTO AL MERCADO DE JUGO ZANAHORIA NARANJA PARA LA EMPRESA PIL ANDINA S.A.</v>
      </c>
      <c r="B493" s="58">
        <f>IFERROR(__xludf.DUMMYFUNCTION("""COMPUTED_VALUE"""),2.0)</f>
        <v>2</v>
      </c>
    </row>
    <row r="494">
      <c r="A494" s="58" t="str">
        <f>IFERROR(__xludf.DUMMYFUNCTION("""COMPUTED_VALUE"""),"ESTUDIO TÉCNICO FINANCIERO PARA EL MANEJO DE RESIDUOS SÓLIDOS DOMICILIARIOS POR MEDIO DE LA SEGREGACIÓN EN EL MUNICIPIO DE COLCAPIRHUA")</f>
        <v>ESTUDIO TÉCNICO FINANCIERO PARA EL MANEJO DE RESIDUOS SÓLIDOS DOMICILIARIOS POR MEDIO DE LA SEGREGACIÓN EN EL MUNICIPIO DE COLCAPIRHUA</v>
      </c>
      <c r="B494" s="58">
        <f>IFERROR(__xludf.DUMMYFUNCTION("""COMPUTED_VALUE"""),3.0)</f>
        <v>3</v>
      </c>
    </row>
    <row r="495">
      <c r="A495" s="58" t="str">
        <f>IFERROR(__xludf.DUMMYFUNCTION("""COMPUTED_VALUE"""),"ESTUDIO TÉCNICO FINANCIERO PARA IMPLEMENTACIÓN DE UNA PLANTA DEDICADA A LA PRODUCCIÓN DE BOLSAS DE PAPEL")</f>
        <v>ESTUDIO TÉCNICO FINANCIERO PARA IMPLEMENTACIÓN DE UNA PLANTA DEDICADA A LA PRODUCCIÓN DE BOLSAS DE PAPEL</v>
      </c>
      <c r="B495" s="58">
        <f>IFERROR(__xludf.DUMMYFUNCTION("""COMPUTED_VALUE"""),3.0)</f>
        <v>3</v>
      </c>
    </row>
    <row r="496">
      <c r="A496" s="58" t="str">
        <f>IFERROR(__xludf.DUMMYFUNCTION("""COMPUTED_VALUE"""),"ESTUDIO TÉCNICO FINANCIERO PARA LA
IMPLEMENTACIÓN DE UNA PLANTA PROCESADORA DE
MERMELADA Y NÉCTAR DE CAMU CAMU (MYRCIARIA
DUBIA) EN EL TRÓPICO DE COCHABAMBA")</f>
        <v>ESTUDIO TÉCNICO FINANCIERO PARA LA
IMPLEMENTACIÓN DE UNA PLANTA PROCESADORA DE
MERMELADA Y NÉCTAR DE CAMU CAMU (MYRCIARIA
DUBIA) EN EL TRÓPICO DE COCHABAMBA</v>
      </c>
      <c r="B496" s="58">
        <f>IFERROR(__xludf.DUMMYFUNCTION("""COMPUTED_VALUE"""),1.0)</f>
        <v>1</v>
      </c>
    </row>
    <row r="497">
      <c r="A497" s="58" t="str">
        <f>IFERROR(__xludf.DUMMYFUNCTION("""COMPUTED_VALUE"""),"ESTUDIO TÉCNICO FINANCIERO PARA LA AMPLIACIÓN DE LA PLANTA PROCESADORA DE CARBONATO DE CALCIO (CACO3) DE DURALIT S.A.")</f>
        <v>ESTUDIO TÉCNICO FINANCIERO PARA LA AMPLIACIÓN DE LA PLANTA PROCESADORA DE CARBONATO DE CALCIO (CACO3) DE DURALIT S.A.</v>
      </c>
      <c r="B497" s="58">
        <f>IFERROR(__xludf.DUMMYFUNCTION("""COMPUTED_VALUE"""),2.0)</f>
        <v>2</v>
      </c>
    </row>
    <row r="498">
      <c r="A498" s="58" t="str">
        <f>IFERROR(__xludf.DUMMYFUNCTION("""COMPUTED_VALUE"""),"ESTUDIO TÉCNICO FINANCIERO PARA LA AMPLIACIÓN DE LA PLANTA PROCESADORA DE CARBONATO DE CALCIO (CACO3) DE LA EMPRESA DURALIT S.A.")</f>
        <v>ESTUDIO TÉCNICO FINANCIERO PARA LA AMPLIACIÓN DE LA PLANTA PROCESADORA DE CARBONATO DE CALCIO (CACO3) DE LA EMPRESA DURALIT S.A.</v>
      </c>
      <c r="B498" s="58">
        <f>IFERROR(__xludf.DUMMYFUNCTION("""COMPUTED_VALUE"""),1.0)</f>
        <v>1</v>
      </c>
    </row>
    <row r="499">
      <c r="A499" s="58" t="str">
        <f>IFERROR(__xludf.DUMMYFUNCTION("""COMPUTED_VALUE"""),"ESTUDIO TÉCNICO FINANCIERO PARA LA IMPLEMENTACIÓN DE UNA PLANTA PROCESADORA DE NÉCTAR Y MERMELADA DE CAMU CAMU (MYRCIARIA DUBIA) EN EL TRÓPICO DE COCHABAMBA")</f>
        <v>ESTUDIO TÉCNICO FINANCIERO PARA LA IMPLEMENTACIÓN DE UNA PLANTA PROCESADORA DE NÉCTAR Y MERMELADA DE CAMU CAMU (MYRCIARIA DUBIA) EN EL TRÓPICO DE COCHABAMBA</v>
      </c>
      <c r="B499" s="58">
        <f>IFERROR(__xludf.DUMMYFUNCTION("""COMPUTED_VALUE"""),2.0)</f>
        <v>2</v>
      </c>
    </row>
    <row r="500">
      <c r="A500" s="58" t="str">
        <f>IFERROR(__xludf.DUMMYFUNCTION("""COMPUTED_VALUE"""),"ESTUDIO TÉCNICO Y ECONÓMICO PARA LA AMPLIACIÓN Y OPTIMIZACIÓN DE LA PRODUCCIÓN CON NUEVOS DISEÑOS EN MUEBLES COMEDORES DE HOGAR PARA LA MUEBLERÍA FABEUG.")</f>
        <v>ESTUDIO TÉCNICO Y ECONÓMICO PARA LA AMPLIACIÓN Y OPTIMIZACIÓN DE LA PRODUCCIÓN CON NUEVOS DISEÑOS EN MUEBLES COMEDORES DE HOGAR PARA LA MUEBLERÍA FABEUG.</v>
      </c>
      <c r="B500" s="58">
        <f>IFERROR(__xludf.DUMMYFUNCTION("""COMPUTED_VALUE"""),3.0)</f>
        <v>3</v>
      </c>
    </row>
    <row r="501">
      <c r="A501" s="58" t="str">
        <f>IFERROR(__xludf.DUMMYFUNCTION("""COMPUTED_VALUE"""),"ESTUDIO TÉCNICO, ECONÓMICO Y FINANCIERO PARA LA AMPLIACIÓN DE LA EMPRESA SOLIPLAST S.R.L., PROCESADORA DE ENVASES Y TAPAS PLÁSTICAS")</f>
        <v>ESTUDIO TÉCNICO, ECONÓMICO Y FINANCIERO PARA LA AMPLIACIÓN DE LA EMPRESA SOLIPLAST S.R.L., PROCESADORA DE ENVASES Y TAPAS PLÁSTICAS</v>
      </c>
      <c r="B501" s="58">
        <f>IFERROR(__xludf.DUMMYFUNCTION("""COMPUTED_VALUE"""),1.0)</f>
        <v>1</v>
      </c>
    </row>
    <row r="502">
      <c r="A502" s="58" t="str">
        <f>IFERROR(__xludf.DUMMYFUNCTION("""COMPUTED_VALUE"""),"ESTUDIO TÉCNICO-ECONÓMICO PARA LA IMPLEMENTACIÓN DE UNA EMPRESA PRODUCTORA DE PAN, PRODUCTOS DE REPOSTERÍA Y COMERCIALIZADORA DE PRODUCTOS DE CONSUMO MASIVO")</f>
        <v>ESTUDIO TÉCNICO-ECONÓMICO PARA LA IMPLEMENTACIÓN DE UNA EMPRESA PRODUCTORA DE PAN, PRODUCTOS DE REPOSTERÍA Y COMERCIALIZADORA DE PRODUCTOS DE CONSUMO MASIVO</v>
      </c>
      <c r="B502" s="58">
        <f>IFERROR(__xludf.DUMMYFUNCTION("""COMPUTED_VALUE"""),2.0)</f>
        <v>2</v>
      </c>
    </row>
    <row r="503">
      <c r="A503" s="58" t="str">
        <f>IFERROR(__xludf.DUMMYFUNCTION("""COMPUTED_VALUE"""),"EVALUACIÓN Y DESARROLLO DE MEJORAS DE LOS PROCESOS OPERACIONALES EN ”YPFB LOGÍSTICA-PLANTA COCHABAMBA”")</f>
        <v>EVALUACIÓN Y DESARROLLO DE MEJORAS DE LOS PROCESOS OPERACIONALES EN ”YPFB LOGÍSTICA-PLANTA COCHABAMBA”</v>
      </c>
      <c r="B503" s="58">
        <f>IFERROR(__xludf.DUMMYFUNCTION("""COMPUTED_VALUE"""),2.0)</f>
        <v>2</v>
      </c>
    </row>
    <row r="504">
      <c r="A504" s="58" t="str">
        <f>IFERROR(__xludf.DUMMYFUNCTION("""COMPUTED_VALUE"""),"EVALUACIÓN, PROPUESTA E IMPLEMENTACIÓN DE MEJORAS EN EL SISTEMA INTEGRADO DE GESTIÓN DE INDUSTRIAS LUJAN S.R.L. PARA AFRONTAR EL PROCESO DE RE-CERTIFICACIÓN CONFORME A LAS NORMAS ISO 9001 E ISO 14001.")</f>
        <v>EVALUACIÓN, PROPUESTA E IMPLEMENTACIÓN DE MEJORAS EN EL SISTEMA INTEGRADO DE GESTIÓN DE INDUSTRIAS LUJAN S.R.L. PARA AFRONTAR EL PROCESO DE RE-CERTIFICACIÓN CONFORME A LAS NORMAS ISO 9001 E ISO 14001.</v>
      </c>
      <c r="B504" s="58">
        <f>IFERROR(__xludf.DUMMYFUNCTION("""COMPUTED_VALUE"""),9.0)</f>
        <v>9</v>
      </c>
    </row>
    <row r="505">
      <c r="A505" s="58" t="str">
        <f>IFERROR(__xludf.DUMMYFUNCTION("""COMPUTED_VALUE"""),"FACTIBILIDAD PARA LA INSTALACIÓN DE UNA PLANTA PILOTO DE PROCESOS INDUSTRIALES EN LA CARRERA DE ING. INDUSTRIAL DE LA UMSS")</f>
        <v>FACTIBILIDAD PARA LA INSTALACIÓN DE UNA PLANTA PILOTO DE PROCESOS INDUSTRIALES EN LA CARRERA DE ING. INDUSTRIAL DE LA UMSS</v>
      </c>
      <c r="B505" s="58">
        <f>IFERROR(__xludf.DUMMYFUNCTION("""COMPUTED_VALUE"""),1.0)</f>
        <v>1</v>
      </c>
    </row>
    <row r="506">
      <c r="A506" s="58" t="str">
        <f>IFERROR(__xludf.DUMMYFUNCTION("""COMPUTED_VALUE"""),"FACTIBILIDAD PARA LA INSTALACIÓN DE UNA PLANTA PILOTO PROCESOS INDUSTRIALES EN LA CARRERA DE INGENIERÍA INDUSTRIAL DE LA UMSS FACTIBILIDAD PARA LA INSTALACIÓN DE UNA PLANTA PILOTO PROCESOS INDUSTRIALES EN LA CARRERA DE INGENIERÍA INDUSTRIAL DE LA UMSS")</f>
        <v>FACTIBILIDAD PARA LA INSTALACIÓN DE UNA PLANTA PILOTO PROCESOS INDUSTRIALES EN LA CARRERA DE INGENIERÍA INDUSTRIAL DE LA UMSS FACTIBILIDAD PARA LA INSTALACIÓN DE UNA PLANTA PILOTO PROCESOS INDUSTRIALES EN LA CARRERA DE INGENIERÍA INDUSTRIAL DE LA UMSS</v>
      </c>
      <c r="B506" s="58">
        <f>IFERROR(__xludf.DUMMYFUNCTION("""COMPUTED_VALUE"""),1.0)</f>
        <v>1</v>
      </c>
    </row>
    <row r="507">
      <c r="A507" s="58" t="str">
        <f>IFERROR(__xludf.DUMMYFUNCTION("""COMPUTED_VALUE"""),"FACTIBILIDAD TÉCNICA-FINANCIERA PARA LA INSTALACIÓN
DE UNA PLANTA PILOTO DE COLORANTES NATURALES EN EL
CENTRO DE TECNOLOGÍA AGROINDUSTRIAL")</f>
        <v>FACTIBILIDAD TÉCNICA-FINANCIERA PARA LA INSTALACIÓN
DE UNA PLANTA PILOTO DE COLORANTES NATURALES EN EL
CENTRO DE TECNOLOGÍA AGROINDUSTRIAL</v>
      </c>
      <c r="B507" s="58">
        <f>IFERROR(__xludf.DUMMYFUNCTION("""COMPUTED_VALUE"""),1.0)</f>
        <v>1</v>
      </c>
    </row>
    <row r="508">
      <c r="A508" s="58" t="str">
        <f>IFERROR(__xludf.DUMMYFUNCTION("""COMPUTED_VALUE"""),"GESTION ESTRATEGICA BAJO EL ENFOQUE SISTEMICO PARA LA EMPRESA CEAB S.R.L. CENTRO DE ELABORACION DE ALIMENTOS BOLIVIA")</f>
        <v>GESTION ESTRATEGICA BAJO EL ENFOQUE SISTEMICO PARA LA EMPRESA CEAB S.R.L. CENTRO DE ELABORACION DE ALIMENTOS BOLIVIA</v>
      </c>
      <c r="B508" s="58">
        <f>IFERROR(__xludf.DUMMYFUNCTION("""COMPUTED_VALUE"""),1.0)</f>
        <v>1</v>
      </c>
    </row>
    <row r="509">
      <c r="A509" s="58" t="str">
        <f>IFERROR(__xludf.DUMMYFUNCTION("""COMPUTED_VALUE"""),"GESTIÓN DE PROYECTOS DE INVESTIGACIÓN CONCURSABLES EN LA DIRECCIÓN DE INVESTIGACIÓN CIENTÍFICA Y TECNOLÓGICA")</f>
        <v>GESTIÓN DE PROYECTOS DE INVESTIGACIÓN CONCURSABLES EN LA DIRECCIÓN DE INVESTIGACIÓN CIENTÍFICA Y TECNOLÓGICA</v>
      </c>
      <c r="B509" s="58">
        <f>IFERROR(__xludf.DUMMYFUNCTION("""COMPUTED_VALUE"""),2.0)</f>
        <v>2</v>
      </c>
    </row>
    <row r="510">
      <c r="A510" s="58" t="str">
        <f>IFERROR(__xludf.DUMMYFUNCTION("""COMPUTED_VALUE"""),"GESTIÓN EMPRESARIAL PARA MEJORAR LA COMPETITIVIDAD DE LA FÁBRICA HIELO “CRISTAL”")</f>
        <v>GESTIÓN EMPRESARIAL PARA MEJORAR LA COMPETITIVIDAD DE LA FÁBRICA HIELO “CRISTAL”</v>
      </c>
      <c r="B510" s="58">
        <f>IFERROR(__xludf.DUMMYFUNCTION("""COMPUTED_VALUE"""),1.0)</f>
        <v>1</v>
      </c>
    </row>
    <row r="511">
      <c r="A511" s="58" t="str">
        <f>IFERROR(__xludf.DUMMYFUNCTION("""COMPUTED_VALUE"""),"GESTIÓN ESTRATÉGICA BAJO EL ENFOQUE SISTÉMICO PARA LA EMPRESA CEAB SRL. CENTRO DE ELABORACIÓN DE ALIMENTOS BOLIVIA")</f>
        <v>GESTIÓN ESTRATÉGICA BAJO EL ENFOQUE SISTÉMICO PARA LA EMPRESA CEAB SRL. CENTRO DE ELABORACIÓN DE ALIMENTOS BOLIVIA</v>
      </c>
      <c r="B511" s="58">
        <f>IFERROR(__xludf.DUMMYFUNCTION("""COMPUTED_VALUE"""),7.0)</f>
        <v>7</v>
      </c>
    </row>
    <row r="512">
      <c r="A512" s="58" t="str">
        <f>IFERROR(__xludf.DUMMYFUNCTION("""COMPUTED_VALUE"""),"GESTIÓN ESTRATÉGICA PARA LA EMPRESA FRIGAL")</f>
        <v>GESTIÓN ESTRATÉGICA PARA LA EMPRESA FRIGAL</v>
      </c>
      <c r="B512" s="58">
        <f>IFERROR(__xludf.DUMMYFUNCTION("""COMPUTED_VALUE"""),3.0)</f>
        <v>3</v>
      </c>
    </row>
    <row r="513">
      <c r="A513" s="58" t="str">
        <f>IFERROR(__xludf.DUMMYFUNCTION("""COMPUTED_VALUE"""),"GESTIÓN ESTRATÉGICA PARA LA EMPRESA RECICLADORA DE CARTÓN CERPA S.R.L.")</f>
        <v>GESTIÓN ESTRATÉGICA PARA LA EMPRESA RECICLADORA DE CARTÓN CERPA S.R.L.</v>
      </c>
      <c r="B513" s="58">
        <f>IFERROR(__xludf.DUMMYFUNCTION("""COMPUTED_VALUE"""),3.0)</f>
        <v>3</v>
      </c>
    </row>
    <row r="514">
      <c r="A514" s="58" t="str">
        <f>IFERROR(__xludf.DUMMYFUNCTION("""COMPUTED_VALUE"""),"GESTIÓN Y PLANIFICACIÓN ESTRATÉGICA APLICADA A LA EMPRESA ¨STUDIO PÉREZ CONSTRUCCIONES")</f>
        <v>GESTIÓN Y PLANIFICACIÓN ESTRATÉGICA APLICADA A LA EMPRESA ¨STUDIO PÉREZ CONSTRUCCIONES</v>
      </c>
      <c r="B514" s="58">
        <f>IFERROR(__xludf.DUMMYFUNCTION("""COMPUTED_VALUE"""),2.0)</f>
        <v>2</v>
      </c>
    </row>
    <row r="515">
      <c r="A515" s="58" t="str">
        <f>IFERROR(__xludf.DUMMYFUNCTION("""COMPUTED_VALUE"""),"GUÍA TÉCNICA DE SEGURIDAD Y SALUD OCUPACIONAL PARA LAS CURTIEMBRES DEL CLUSTER CUERO COCHABAMBA")</f>
        <v>GUÍA TÉCNICA DE SEGURIDAD Y SALUD OCUPACIONAL PARA LAS CURTIEMBRES DEL CLUSTER CUERO COCHABAMBA</v>
      </c>
      <c r="B515" s="58">
        <f>IFERROR(__xludf.DUMMYFUNCTION("""COMPUTED_VALUE"""),3.0)</f>
        <v>3</v>
      </c>
    </row>
    <row r="516">
      <c r="A516" s="58" t="str">
        <f>IFERROR(__xludf.DUMMYFUNCTION("""COMPUTED_VALUE"""),"IDENTIFICACIÓN DE PELIGROS, EVALUACIÓN DE RIESGOS Y DETERMINACIÓN DE CONTROLES SEGÚN NORMA OHSAS 18001:2007 PARA ELFEC S.A.")</f>
        <v>IDENTIFICACIÓN DE PELIGROS, EVALUACIÓN DE RIESGOS Y DETERMINACIÓN DE CONTROLES SEGÚN NORMA OHSAS 18001:2007 PARA ELFEC S.A.</v>
      </c>
      <c r="B516" s="58">
        <f>IFERROR(__xludf.DUMMYFUNCTION("""COMPUTED_VALUE"""),1.0)</f>
        <v>1</v>
      </c>
    </row>
    <row r="517">
      <c r="A517"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B517" s="58">
        <f>IFERROR(__xludf.DUMMYFUNCTION("""COMPUTED_VALUE"""),2.0)</f>
        <v>2</v>
      </c>
    </row>
    <row r="518">
      <c r="A518" s="58" t="str">
        <f>IFERROR(__xludf.DUMMYFUNCTION("""COMPUTED_VALUE"""),"IDENTIFICACIÓN Y EVALUACIÓN DE RIESGOS LABORALES PARA LA EMPRESA DE SERVICIO MUNICIPAL DE AGUA POTABLE Y ALCANTARILLADO SEMAPA.")</f>
        <v>IDENTIFICACIÓN Y EVALUACIÓN DE RIESGOS LABORALES PARA LA EMPRESA DE SERVICIO MUNICIPAL DE AGUA POTABLE Y ALCANTARILLADO SEMAPA.</v>
      </c>
      <c r="B518" s="58">
        <f>IFERROR(__xludf.DUMMYFUNCTION("""COMPUTED_VALUE"""),2.0)</f>
        <v>2</v>
      </c>
    </row>
    <row r="519">
      <c r="A519" s="58" t="str">
        <f>IFERROR(__xludf.DUMMYFUNCTION("""COMPUTED_VALUE"""),"IDENTIFICACIÓN, MAPEO Y ANÁLISIS COMPETITIVO DEL CLÚSTER INFORMÁTICO EN COCHABAMBA.")</f>
        <v>IDENTIFICACIÓN, MAPEO Y ANÁLISIS COMPETITIVO DEL CLÚSTER INFORMÁTICO EN COCHABAMBA.</v>
      </c>
      <c r="B519" s="58">
        <f>IFERROR(__xludf.DUMMYFUNCTION("""COMPUTED_VALUE"""),2.0)</f>
        <v>2</v>
      </c>
    </row>
    <row r="520">
      <c r="A520" s="58" t="str">
        <f>IFERROR(__xludf.DUMMYFUNCTION("""COMPUTED_VALUE"""),"IIDENTIFICACIÓN DE PELIGROS, EVALUACIÓN DE RIESGOS Y DETERMINACIÓN DE CONTROLES SEGÚN NORMA OHSAS 18001:2007 PARA ELFEC S.A.")</f>
        <v>IIDENTIFICACIÓN DE PELIGROS, EVALUACIÓN DE RIESGOS Y DETERMINACIÓN DE CONTROLES SEGÚN NORMA OHSAS 18001:2007 PARA ELFEC S.A.</v>
      </c>
      <c r="B520" s="58">
        <f>IFERROR(__xludf.DUMMYFUNCTION("""COMPUTED_VALUE"""),5.0)</f>
        <v>5</v>
      </c>
    </row>
    <row r="521">
      <c r="A521" s="58" t="str">
        <f>IFERROR(__xludf.DUMMYFUNCTION("""COMPUTED_VALUE"""),"IMPLEMENTACION DE LA FILOSOFIA JUSTO A TIEMPO (JAT) EN LA ELABORACION  DE MESONES DE MARMOL Y GRANITO EN LA EMPRESA MAJOBOL")</f>
        <v>IMPLEMENTACION DE LA FILOSOFIA JUSTO A TIEMPO (JAT) EN LA ELABORACION  DE MESONES DE MARMOL Y GRANITO EN LA EMPRESA MAJOBOL</v>
      </c>
      <c r="B521" s="58">
        <f>IFERROR(__xludf.DUMMYFUNCTION("""COMPUTED_VALUE"""),4.0)</f>
        <v>4</v>
      </c>
    </row>
    <row r="522">
      <c r="A522" s="58" t="str">
        <f>IFERROR(__xludf.DUMMYFUNCTION("""COMPUTED_VALUE"""),"IMPLEMENTACION Y DISEÑO DEL PROGRAMA DE LAS 5´S, DENTRO EL CENTRO DE DISTRIBUCION LOGISTICO DE INDUSTRIAS DE ACEITE FINO S.A.")</f>
        <v>IMPLEMENTACION Y DISEÑO DEL PROGRAMA DE LAS 5´S, DENTRO EL CENTRO DE DISTRIBUCION LOGISTICO DE INDUSTRIAS DE ACEITE FINO S.A.</v>
      </c>
      <c r="B522" s="58">
        <f>IFERROR(__xludf.DUMMYFUNCTION("""COMPUTED_VALUE"""),14.0)</f>
        <v>14</v>
      </c>
    </row>
    <row r="523">
      <c r="A523" s="58" t="str">
        <f>IFERROR(__xludf.DUMMYFUNCTION("""COMPUTED_VALUE"""),"IMPLEMENTACIÓN DE HERRAMIENTAS DE SUSTENTABILIDAD Y MEJORA CONTINUA DE RESULTADOS EN EL ÁREA DE ENVASADO DE PLANTA PEPSI CBN S.A BASADA EN EL PROGRAMA VOYAGER PLANT OPTIMIZATION.")</f>
        <v>IMPLEMENTACIÓN DE HERRAMIENTAS DE SUSTENTABILIDAD Y MEJORA CONTINUA DE RESULTADOS EN EL ÁREA DE ENVASADO DE PLANTA PEPSI CBN S.A BASADA EN EL PROGRAMA VOYAGER PLANT OPTIMIZATION.</v>
      </c>
      <c r="B523" s="58">
        <f>IFERROR(__xludf.DUMMYFUNCTION("""COMPUTED_VALUE"""),7.0)</f>
        <v>7</v>
      </c>
    </row>
    <row r="524">
      <c r="A524" s="58" t="str">
        <f>IFERROR(__xludf.DUMMYFUNCTION("""COMPUTED_VALUE"""),"IMPLEMENTACIÓN DE HERRAMIENTAS DEL “SISTEMA DE PRODUCCIÓN TOYOTA” EN EL DEPARTAMENTO DE PRODUCCIÓN DE CALZADOS DE CUERO DE LA EMPRESA MANACO S.A.")</f>
        <v>IMPLEMENTACIÓN DE HERRAMIENTAS DEL “SISTEMA DE PRODUCCIÓN TOYOTA” EN EL DEPARTAMENTO DE PRODUCCIÓN DE CALZADOS DE CUERO DE LA EMPRESA MANACO S.A.</v>
      </c>
      <c r="B524" s="58">
        <f>IFERROR(__xludf.DUMMYFUNCTION("""COMPUTED_VALUE"""),1.0)</f>
        <v>1</v>
      </c>
    </row>
    <row r="525">
      <c r="A525" s="58" t="str">
        <f>IFERROR(__xludf.DUMMYFUNCTION("""COMPUTED_VALUE"""),"IMPLEMENTACIÓN DE UN PROGRAMA DE OPTIMIZACIÓN DE PLANTA “V.P.O.” EN EL PILAR DE LOGÍSTICA BAJO REQUERIMIENTO DE LA TRANSNACIONAL AB INBEV EN LA EMPRESA C.B.N. S.A. - SD SACABA – PEPSI.")</f>
        <v>IMPLEMENTACIÓN DE UN PROGRAMA DE OPTIMIZACIÓN DE PLANTA “V.P.O.” EN EL PILAR DE LOGÍSTICA BAJO REQUERIMIENTO DE LA TRANSNACIONAL AB INBEV EN LA EMPRESA C.B.N. S.A. - SD SACABA – PEPSI.</v>
      </c>
      <c r="B525" s="58">
        <f>IFERROR(__xludf.DUMMYFUNCTION("""COMPUTED_VALUE"""),1.0)</f>
        <v>1</v>
      </c>
    </row>
    <row r="526">
      <c r="A526" s="58" t="str">
        <f>IFERROR(__xludf.DUMMYFUNCTION("""COMPUTED_VALUE"""),"IMPLEMENTACIÓN DE UN SISTEMA DE GESTIÓN DE CALIDAD Y BUENAS PRÁCTICAS DE ALMACENAMIENTO EN BASE A LOS ESTÁNDARES DE CALIDAD DE UNILEVER ANDINA BOLIVIA S.A. Y LA NORMA ISO 9001:2008 EN EL ALMACÉN 3D")</f>
        <v>IMPLEMENTACIÓN DE UN SISTEMA DE GESTIÓN DE CALIDAD Y BUENAS PRÁCTICAS DE ALMACENAMIENTO EN BASE A LOS ESTÁNDARES DE CALIDAD DE UNILEVER ANDINA BOLIVIA S.A. Y LA NORMA ISO 9001:2008 EN EL ALMACÉN 3D</v>
      </c>
      <c r="B526" s="58">
        <f>IFERROR(__xludf.DUMMYFUNCTION("""COMPUTED_VALUE"""),2.0)</f>
        <v>2</v>
      </c>
    </row>
    <row r="527">
      <c r="A527" s="58" t="str">
        <f>IFERROR(__xludf.DUMMYFUNCTION("""COMPUTED_VALUE"""),"IMPLEMENTACIÓN DE UN SISTEMA DE GESTIÓN DE LA CALIDAD EN BASE A LA NORMA ISO 9001:2000 EN LOS
PROCESOS: PRODUCCIÓN DE PRETENSADOS, PLASTOFORM Y
CONTROL DE LA CALIDAD EN LA EMPRESA
I.S.S.A. - CONCRETEC”")</f>
        <v>IMPLEMENTACIÓN DE UN SISTEMA DE GESTIÓN DE LA CALIDAD EN BASE A LA NORMA ISO 9001:2000 EN LOS
PROCESOS: PRODUCCIÓN DE PRETENSADOS, PLASTOFORM Y
CONTROL DE LA CALIDAD EN LA EMPRESA
I.S.S.A. - CONCRETEC”</v>
      </c>
      <c r="B527" s="58">
        <f>IFERROR(__xludf.DUMMYFUNCTION("""COMPUTED_VALUE"""),1.0)</f>
        <v>1</v>
      </c>
    </row>
    <row r="528">
      <c r="A528" s="58" t="str">
        <f>IFERROR(__xludf.DUMMYFUNCTION("""COMPUTED_VALUE"""),"IMPLEMENTACIÓN DE UN SISTEMA DE MANEJO DE INVENTARIOS PARA LOS   ALMACENES DEL CENTRO DE TECNOLOGÍA AGROINDUSTRIAL (CTA).")</f>
        <v>IMPLEMENTACIÓN DE UN SISTEMA DE MANEJO DE INVENTARIOS PARA LOS   ALMACENES DEL CENTRO DE TECNOLOGÍA AGROINDUSTRIAL (CTA).</v>
      </c>
      <c r="B528" s="58">
        <f>IFERROR(__xludf.DUMMYFUNCTION("""COMPUTED_VALUE"""),6.0)</f>
        <v>6</v>
      </c>
    </row>
    <row r="529">
      <c r="A529" s="58" t="str">
        <f>IFERROR(__xludf.DUMMYFUNCTION("""COMPUTED_VALUE"""),"IMPLEMENTACIÓN DE UN SISTEMA DE RECUPERACIÓN DE CALOR DE HUMOS DE CALDEROS DE LA PLANTA UNILEVER ANDINA BOLIVIA S.A. A TRAVÉS DE LAS HERRAMIENTAS DE PILAR EEM DE WCM (EARLY EQUIPMENT MANAGEMENT DE WORLD CLASS MANUFACTURING")</f>
        <v>IMPLEMENTACIÓN DE UN SISTEMA DE RECUPERACIÓN DE CALOR DE HUMOS DE CALDEROS DE LA PLANTA UNILEVER ANDINA BOLIVIA S.A. A TRAVÉS DE LAS HERRAMIENTAS DE PILAR EEM DE WCM (EARLY EQUIPMENT MANAGEMENT DE WORLD CLASS MANUFACTURING</v>
      </c>
      <c r="B529" s="58">
        <f>IFERROR(__xludf.DUMMYFUNCTION("""COMPUTED_VALUE"""),1.0)</f>
        <v>1</v>
      </c>
    </row>
    <row r="530">
      <c r="A530" s="58" t="str">
        <f>IFERROR(__xludf.DUMMYFUNCTION("""COMPUTED_VALUE"""),"IMPLEMENTACIÓN DE UNA LÍNEA DE ARTÍCULOS DE CUERO EN LA EMPRESA “ANGIMAR” PARA LA EXPORTACIÓN A LA UNIÓN EUROPEA.")</f>
        <v>IMPLEMENTACIÓN DE UNA LÍNEA DE ARTÍCULOS DE CUERO EN LA EMPRESA “ANGIMAR” PARA LA EXPORTACIÓN A LA UNIÓN EUROPEA.</v>
      </c>
      <c r="B530" s="58">
        <f>IFERROR(__xludf.DUMMYFUNCTION("""COMPUTED_VALUE"""),1.0)</f>
        <v>1</v>
      </c>
    </row>
    <row r="531">
      <c r="A531" s="58" t="str">
        <f>IFERROR(__xludf.DUMMYFUNCTION("""COMPUTED_VALUE"""),"IMPLEMENTACIÓN DE UNA PLANTA DESHIDRATADORA DE FRUTAS EN LA UNIBOL QUECHUA  “CASIMIRO HUANCA”, PARA FORTALECER EL PROCESO DE ENSEÑANZA-APRENDIZAJE")</f>
        <v>IMPLEMENTACIÓN DE UNA PLANTA DESHIDRATADORA DE FRUTAS EN LA UNIBOL QUECHUA  “CASIMIRO HUANCA”, PARA FORTALECER EL PROCESO DE ENSEÑANZA-APRENDIZAJE</v>
      </c>
      <c r="B531" s="58">
        <f>IFERROR(__xludf.DUMMYFUNCTION("""COMPUTED_VALUE"""),1.0)</f>
        <v>1</v>
      </c>
    </row>
    <row r="532">
      <c r="A532" s="58" t="str">
        <f>IFERROR(__xludf.DUMMYFUNCTION("""COMPUTED_VALUE"""),"IMPLEMENTACIÓN DE UNA PLANTA ELABORADORA DE HARINA DE SOYA INTEGRAL COMO INSUMO PARA LA ELABORACIÓN DE ALIMENTO BALANCEADO PARA AVES EN EL SECTOR DEL VALLE BAJO DE COCHABAMBA")</f>
        <v>IMPLEMENTACIÓN DE UNA PLANTA ELABORADORA DE HARINA DE SOYA INTEGRAL COMO INSUMO PARA LA ELABORACIÓN DE ALIMENTO BALANCEADO PARA AVES EN EL SECTOR DEL VALLE BAJO DE COCHABAMBA</v>
      </c>
      <c r="B532" s="58">
        <f>IFERROR(__xludf.DUMMYFUNCTION("""COMPUTED_VALUE"""),5.0)</f>
        <v>5</v>
      </c>
    </row>
    <row r="533">
      <c r="A533" s="58" t="str">
        <f>IFERROR(__xludf.DUMMYFUNCTION("""COMPUTED_VALUE"""),"IMPLEMENTACIÓN DE UNA SALA DE VÁLVULAS PARA EL MANTENIMIENTO AUTÓNOMO (TPM) DE LAS VÁLVULAS DE LLENADO PARA LA MEJORA DE LA EFICIENCIA Y REDUCCIÓN DE MERMA DE BEBIDA EN LA LÍNEA DE PRODUCCIÓN EN PLANTA SOFT - DRINKS SACABA - PEPSI")</f>
        <v>IMPLEMENTACIÓN DE UNA SALA DE VÁLVULAS PARA EL MANTENIMIENTO AUTÓNOMO (TPM) DE LAS VÁLVULAS DE LLENADO PARA LA MEJORA DE LA EFICIENCIA Y REDUCCIÓN DE MERMA DE BEBIDA EN LA LÍNEA DE PRODUCCIÓN EN PLANTA SOFT - DRINKS SACABA - PEPSI</v>
      </c>
      <c r="B533" s="58">
        <f>IFERROR(__xludf.DUMMYFUNCTION("""COMPUTED_VALUE"""),7.0)</f>
        <v>7</v>
      </c>
    </row>
    <row r="534">
      <c r="A534" s="58" t="str">
        <f>IFERROR(__xludf.DUMMYFUNCTION("""COMPUTED_VALUE"""),"IMPLEMENTACIÓN DEL PILAR DE MANTENIMIENTO AUTÓNOMO DE LA METODOLOGÍA TPM EN EL SECTOR DE ENVASADO DE LA PLANTA DE DETERGENTES DE UNILEVER ANDINA BOLIVIA S.A.")</f>
        <v>IMPLEMENTACIÓN DEL PILAR DE MANTENIMIENTO AUTÓNOMO DE LA METODOLOGÍA TPM EN EL SECTOR DE ENVASADO DE LA PLANTA DE DETERGENTES DE UNILEVER ANDINA BOLIVIA S.A.</v>
      </c>
      <c r="B534" s="58">
        <f>IFERROR(__xludf.DUMMYFUNCTION("""COMPUTED_VALUE"""),1.0)</f>
        <v>1</v>
      </c>
    </row>
    <row r="535">
      <c r="A535" s="58" t="str">
        <f>IFERROR(__xludf.DUMMYFUNCTION("""COMPUTED_VALUE"""),"IMPLEMENTACIÓN DEL SISTEMA DE PLANIFICACIÓN DE LOS RECURSOS EMPRESARIALES ERP-TEOWIN PARA LA EMPRESA NAHI INDUSTRIAS S.R.L")</f>
        <v>IMPLEMENTACIÓN DEL SISTEMA DE PLANIFICACIÓN DE LOS RECURSOS EMPRESARIALES ERP-TEOWIN PARA LA EMPRESA NAHI INDUSTRIAS S.R.L</v>
      </c>
      <c r="B535" s="58">
        <f>IFERROR(__xludf.DUMMYFUNCTION("""COMPUTED_VALUE"""),1.0)</f>
        <v>1</v>
      </c>
    </row>
    <row r="536">
      <c r="A536" s="58" t="str">
        <f>IFERROR(__xludf.DUMMYFUNCTION("""COMPUTED_VALUE"""),"IMPLEMENTACIÓN DEL SISTEMA FOS Y 5’S PARA LOS PILARES DE MEJORA ENFOCADA Y MANTENIMIENTO AUTÓNOMO DE LA FILOSOFÍA TPM EN LA EMPRESA UNILEVER ANDINA BOLIVIA S.A.")</f>
        <v>IMPLEMENTACIÓN DEL SISTEMA FOS Y 5’S PARA LOS PILARES DE MEJORA ENFOCADA Y MANTENIMIENTO AUTÓNOMO DE LA FILOSOFÍA TPM EN LA EMPRESA UNILEVER ANDINA BOLIVIA S.A.</v>
      </c>
      <c r="B536" s="58">
        <f>IFERROR(__xludf.DUMMYFUNCTION("""COMPUTED_VALUE"""),4.0)</f>
        <v>4</v>
      </c>
    </row>
    <row r="537">
      <c r="A537" s="58" t="str">
        <f>IFERROR(__xludf.DUMMYFUNCTION("""COMPUTED_VALUE"""),"INCERPAZ LTDA")</f>
        <v>INCERPAZ LTDA</v>
      </c>
      <c r="B537" s="58">
        <f>IFERROR(__xludf.DUMMYFUNCTION("""COMPUTED_VALUE"""),1.0)</f>
        <v>1</v>
      </c>
    </row>
    <row r="538">
      <c r="A538" s="58" t="str">
        <f>IFERROR(__xludf.DUMMYFUNCTION("""COMPUTED_VALUE"""),"INGENIERÍA DE MÉTODOS APLICADA A LA INDUSTRIA DE LA CERÁMICA ROJA")</f>
        <v>INGENIERÍA DE MÉTODOS APLICADA A LA INDUSTRIA DE LA CERÁMICA ROJA</v>
      </c>
      <c r="B538" s="58">
        <f>IFERROR(__xludf.DUMMYFUNCTION("""COMPUTED_VALUE"""),2.0)</f>
        <v>2</v>
      </c>
    </row>
    <row r="539">
      <c r="A539" s="58" t="str">
        <f>IFERROR(__xludf.DUMMYFUNCTION("""COMPUTED_VALUE"""),"INGENIERÍA DE MÉTODOS APLICADA A LA INDUSTRIA DE LA CERÁMICA ROJA (COBOCE - CERAMIL)")</f>
        <v>INGENIERÍA DE MÉTODOS APLICADA A LA INDUSTRIA DE LA CERÁMICA ROJA (COBOCE - CERAMIL)</v>
      </c>
      <c r="B539" s="58">
        <f>IFERROR(__xludf.DUMMYFUNCTION("""COMPUTED_VALUE"""),4.0)</f>
        <v>4</v>
      </c>
    </row>
    <row r="540">
      <c r="A540" s="58" t="str">
        <f>IFERROR(__xludf.DUMMYFUNCTION("""COMPUTED_VALUE"""),"INGENIERÍA DE MÉTODOS EN EL PROCESO DE PRODUCCIÓN DE LA LÍNEA PET-SFRU DE LA EMPRESA DE BEBIDAS SEASA S.A.")</f>
        <v>INGENIERÍA DE MÉTODOS EN EL PROCESO DE PRODUCCIÓN DE LA LÍNEA PET-SFRU DE LA EMPRESA DE BEBIDAS SEASA S.A.</v>
      </c>
      <c r="B540" s="58">
        <f>IFERROR(__xludf.DUMMYFUNCTION("""COMPUTED_VALUE"""),7.0)</f>
        <v>7</v>
      </c>
    </row>
    <row r="541">
      <c r="A541" s="58" t="str">
        <f>IFERROR(__xludf.DUMMYFUNCTION("""COMPUTED_VALUE"""),"INNOVACIÓN EN EL DISEÑO Y LA CONSTRUCCIÓN DE HORNOS
PARA OPTIMIZAR EL PROCESO DE TOSTACIÓN DE MANÍ EN
VAINA")</f>
        <v>INNOVACIÓN EN EL DISEÑO Y LA CONSTRUCCIÓN DE HORNOS
PARA OPTIMIZAR EL PROCESO DE TOSTACIÓN DE MANÍ EN
VAINA</v>
      </c>
      <c r="B541" s="58">
        <f>IFERROR(__xludf.DUMMYFUNCTION("""COMPUTED_VALUE"""),2.0)</f>
        <v>2</v>
      </c>
    </row>
    <row r="542">
      <c r="A542" s="58" t="str">
        <f>IFERROR(__xludf.DUMMYFUNCTION("""COMPUTED_VALUE"""),"INNOVACIÓN EN EL DISEÑO Y LA CONSTRUCCIÓN DE HORNOS PARA OPTIMIZAR EL PROCESO DE TOSTACIÓN DE MANÍ EN VAINA")</f>
        <v>INNOVACIÓN EN EL DISEÑO Y LA CONSTRUCCIÓN DE HORNOS PARA OPTIMIZAR EL PROCESO DE TOSTACIÓN DE MANÍ EN VAINA</v>
      </c>
      <c r="B542" s="58">
        <f>IFERROR(__xludf.DUMMYFUNCTION("""COMPUTED_VALUE"""),2.0)</f>
        <v>2</v>
      </c>
    </row>
    <row r="543">
      <c r="A543" s="58" t="str">
        <f>IFERROR(__xludf.DUMMYFUNCTION("""COMPUTED_VALUE"""),"INVESTIGACIÓN PARA LA PRODUCCIÓN DE HARINA DE HOJA
DE COCA")</f>
        <v>INVESTIGACIÓN PARA LA PRODUCCIÓN DE HARINA DE HOJA
DE COCA</v>
      </c>
      <c r="B543" s="58">
        <f>IFERROR(__xludf.DUMMYFUNCTION("""COMPUTED_VALUE"""),1.0)</f>
        <v>1</v>
      </c>
    </row>
    <row r="544">
      <c r="A544" s="58" t="str">
        <f>IFERROR(__xludf.DUMMYFUNCTION("""COMPUTED_VALUE"""),"INVESTIGACIÓN PARA LA PRODUCCIÓN DE HARINA DE HOJA DE COCA")</f>
        <v>INVESTIGACIÓN PARA LA PRODUCCIÓN DE HARINA DE HOJA DE COCA</v>
      </c>
      <c r="B544" s="58">
        <f>IFERROR(__xludf.DUMMYFUNCTION("""COMPUTED_VALUE"""),1.0)</f>
        <v>1</v>
      </c>
    </row>
    <row r="545">
      <c r="A545" s="58" t="str">
        <f>IFERROR(__xludf.DUMMYFUNCTION("""COMPUTED_VALUE"""),"LA GESTIÓN ESTRATÉGICA EN MUNICIPIOS INTERMEDIOS: PROPUESTA DE TÉCNICAS Y HERRAMIENTAS DE GESTIÓN ESTRATÉGICA PARA UNO DE LOS COMPONENTES DEL MODELO DE GESTIÓN MUNICIPAL PARTICIPATIVA")</f>
        <v>LA GESTIÓN ESTRATÉGICA EN MUNICIPIOS INTERMEDIOS: PROPUESTA DE TÉCNICAS Y HERRAMIENTAS DE GESTIÓN ESTRATÉGICA PARA UNO DE LOS COMPONENTES DEL MODELO DE GESTIÓN MUNICIPAL PARTICIPATIVA</v>
      </c>
      <c r="B545" s="58">
        <f>IFERROR(__xludf.DUMMYFUNCTION("""COMPUTED_VALUE"""),1.0)</f>
        <v>1</v>
      </c>
    </row>
    <row r="546">
      <c r="A546" s="58" t="str">
        <f>IFERROR(__xludf.DUMMYFUNCTION("""COMPUTED_VALUE"""),"MANUAL DE PREVENCIÓN DE RIESGOS EN LA CONSTRUCCIÓN DE SISTEMAS DE AGUA POTABLE Y ALCANTARILLADO PARA LA EMPRESA  CONSTRUCTORA BALCOS")</f>
        <v>MANUAL DE PREVENCIÓN DE RIESGOS EN LA CONSTRUCCIÓN DE SISTEMAS DE AGUA POTABLE Y ALCANTARILLADO PARA LA EMPRESA  CONSTRUCTORA BALCOS</v>
      </c>
      <c r="B546" s="58">
        <f>IFERROR(__xludf.DUMMYFUNCTION("""COMPUTED_VALUE"""),2.0)</f>
        <v>2</v>
      </c>
    </row>
    <row r="547">
      <c r="A547" s="58" t="str">
        <f>IFERROR(__xludf.DUMMYFUNCTION("""COMPUTED_VALUE"""),"MANUAL PARA MEJORAR LA SEGURIDAD EN LOS PROCESOS DE SOLDADURA ASÍ COMO LA SALUD Y LA CAPACITACIÓN DE LOS SOLDADORES EN LAS MYPES DEDICADAS AL RUBRO DE LA METALMECÁNICA")</f>
        <v>MANUAL PARA MEJORAR LA SEGURIDAD EN LOS PROCESOS DE SOLDADURA ASÍ COMO LA SALUD Y LA CAPACITACIÓN DE LOS SOLDADORES EN LAS MYPES DEDICADAS AL RUBRO DE LA METALMECÁNICA</v>
      </c>
      <c r="B547" s="58">
        <f>IFERROR(__xludf.DUMMYFUNCTION("""COMPUTED_VALUE"""),3.0)</f>
        <v>3</v>
      </c>
    </row>
    <row r="548">
      <c r="A548" s="58" t="str">
        <f>IFERROR(__xludf.DUMMYFUNCTION("""COMPUTED_VALUE"""),"MATERIAL DE APOYO DIDÁCTICO PARA EL APRENDIZAJE DE LA ASIGNATURA PROCESOS INDUSTRIALES II")</f>
        <v>MATERIAL DE APOYO DIDÁCTICO PARA EL APRENDIZAJE DE LA ASIGNATURA PROCESOS INDUSTRIALES II</v>
      </c>
      <c r="B548" s="58">
        <f>IFERROR(__xludf.DUMMYFUNCTION("""COMPUTED_VALUE"""),3.0)</f>
        <v>3</v>
      </c>
    </row>
    <row r="549">
      <c r="A549" s="58" t="str">
        <f>IFERROR(__xludf.DUMMYFUNCTION("""COMPUTED_VALUE"""),"MEDICIÓN DEL TRABAJO PARA MEJORAR LA PRODUCTIVIDAD EN LA LÍNEA DE SOPLADO DE LA FÁBRICA PLASTOFORM LTDA. DIVISIÓN ROTAPLAST")</f>
        <v>MEDICIÓN DEL TRABAJO PARA MEJORAR LA PRODUCTIVIDAD EN LA LÍNEA DE SOPLADO DE LA FÁBRICA PLASTOFORM LTDA. DIVISIÓN ROTAPLAST</v>
      </c>
      <c r="B549" s="58">
        <f>IFERROR(__xludf.DUMMYFUNCTION("""COMPUTED_VALUE"""),1.0)</f>
        <v>1</v>
      </c>
    </row>
    <row r="550">
      <c r="A550" s="58" t="str">
        <f>IFERROR(__xludf.DUMMYFUNCTION("""COMPUTED_VALUE"""),"MEJORA DE LA PLANIFICACIÓN Y CONTROL DE LA PRODUCCIÓN DE LA LÍNEA DE PRODUCCIÓN DE ESPUMA DE POLIESTIRENO EXPANDIDO (EPS) PARA LA EMPRESA TECNOPOR S.A")</f>
        <v>MEJORA DE LA PLANIFICACIÓN Y CONTROL DE LA PRODUCCIÓN DE LA LÍNEA DE PRODUCCIÓN DE ESPUMA DE POLIESTIRENO EXPANDIDO (EPS) PARA LA EMPRESA TECNOPOR S.A</v>
      </c>
      <c r="B550" s="58">
        <f>IFERROR(__xludf.DUMMYFUNCTION("""COMPUTED_VALUE"""),3.0)</f>
        <v>3</v>
      </c>
    </row>
    <row r="551">
      <c r="A551" s="58" t="str">
        <f>IFERROR(__xludf.DUMMYFUNCTION("""COMPUTED_VALUE"""),"MEJORA DE LA PRODUCCIÓN MEDIANTE INGENIERÍA DE MÉTODOS Y PROPUESTA PARA LA TRAZABILIDAD EN LA LÍNEA DE HIDROGELES (RIOMAX), DE LA EMPRESA MAXAM FANEXA S.A.M.")</f>
        <v>MEJORA DE LA PRODUCCIÓN MEDIANTE INGENIERÍA DE MÉTODOS Y PROPUESTA PARA LA TRAZABILIDAD EN LA LÍNEA DE HIDROGELES (RIOMAX), DE LA EMPRESA MAXAM FANEXA S.A.M.</v>
      </c>
      <c r="B551" s="58">
        <f>IFERROR(__xludf.DUMMYFUNCTION("""COMPUTED_VALUE"""),2.0)</f>
        <v>2</v>
      </c>
    </row>
    <row r="552">
      <c r="A552" s="58" t="str">
        <f>IFERROR(__xludf.DUMMYFUNCTION("""COMPUTED_VALUE"""),"MEJORA DE LA PRODUCTIVIDAD PARA EL CAMBIO DE PRODUCTO A DETERGENTE BLANCO DE EXPORTACIÓN AL PARAGUAY EN LA PLANTA DE ELABORACIÓN DE DETERGENTES DE UNILEVER ANDINA BOLIVIA S.A.-COCHABAMBA.")</f>
        <v>MEJORA DE LA PRODUCTIVIDAD PARA EL CAMBIO DE PRODUCTO A DETERGENTE BLANCO DE EXPORTACIÓN AL PARAGUAY EN LA PLANTA DE ELABORACIÓN DE DETERGENTES DE UNILEVER ANDINA BOLIVIA S.A.-COCHABAMBA.</v>
      </c>
      <c r="B552" s="58">
        <f>IFERROR(__xludf.DUMMYFUNCTION("""COMPUTED_VALUE"""),5.0)</f>
        <v>5</v>
      </c>
    </row>
    <row r="553">
      <c r="A553" s="58" t="str">
        <f>IFERROR(__xludf.DUMMYFUNCTION("""COMPUTED_VALUE"""),"MEJORAMIENTO DE LA GESTIÓN POR PROCESOS EN UNA EMPRESA DE TRANSMISIÓN ELÉCTRICA")</f>
        <v>MEJORAMIENTO DE LA GESTIÓN POR PROCESOS EN UNA EMPRESA DE TRANSMISIÓN ELÉCTRICA</v>
      </c>
      <c r="B553" s="58">
        <f>IFERROR(__xludf.DUMMYFUNCTION("""COMPUTED_VALUE"""),1.0)</f>
        <v>1</v>
      </c>
    </row>
    <row r="554">
      <c r="A554" s="58" t="str">
        <f>IFERROR(__xludf.DUMMYFUNCTION("""COMPUTED_VALUE"""),"MEJORAMIENTO DE LAS OPERACIONES SEGÚN HERRAMIENTAS JIT PARA LA EMPRESA RECTIFICADORA DE MOTORES “ACTROS”")</f>
        <v>MEJORAMIENTO DE LAS OPERACIONES SEGÚN HERRAMIENTAS JIT PARA LA EMPRESA RECTIFICADORA DE MOTORES “ACTROS”</v>
      </c>
      <c r="B554" s="58">
        <f>IFERROR(__xludf.DUMMYFUNCTION("""COMPUTED_VALUE"""),1.0)</f>
        <v>1</v>
      </c>
    </row>
    <row r="555">
      <c r="A555" s="58" t="str">
        <f>IFERROR(__xludf.DUMMYFUNCTION("""COMPUTED_VALUE"""),"MEJORAMIENTO DE LOS PROCESOS DE INSTALACIÓN Y ATENCIÓN DE RECLAMOS REFERIDO AL SERVICIO DE TELEFONÍA BÁSICA DE LA EMPRESA COMTECO")</f>
        <v>MEJORAMIENTO DE LOS PROCESOS DE INSTALACIÓN Y ATENCIÓN DE RECLAMOS REFERIDO AL SERVICIO DE TELEFONÍA BÁSICA DE LA EMPRESA COMTECO</v>
      </c>
      <c r="B555" s="58">
        <f>IFERROR(__xludf.DUMMYFUNCTION("""COMPUTED_VALUE"""),1.0)</f>
        <v>1</v>
      </c>
    </row>
    <row r="556">
      <c r="A556" s="58" t="str">
        <f>IFERROR(__xludf.DUMMYFUNCTION("""COMPUTED_VALUE"""),"MEJORAMIENTO DEL SISTEMA PRODUCTIVO EN PLÁSTICOS DERQUI S.R.L.")</f>
        <v>MEJORAMIENTO DEL SISTEMA PRODUCTIVO EN PLÁSTICOS DERQUI S.R.L.</v>
      </c>
      <c r="B556" s="58">
        <f>IFERROR(__xludf.DUMMYFUNCTION("""COMPUTED_VALUE"""),3.0)</f>
        <v>3</v>
      </c>
    </row>
    <row r="557">
      <c r="A557" s="58" t="str">
        <f>IFERROR(__xludf.DUMMYFUNCTION("""COMPUTED_VALUE"""),"MEJORAS TECNOLÓGICAS PARA LA PLANTA DE FABRICACIÓN DE LA CERÁMICA ROJA DIPAFEX.")</f>
        <v>MEJORAS TECNOLÓGICAS PARA LA PLANTA DE FABRICACIÓN DE LA CERÁMICA ROJA DIPAFEX.</v>
      </c>
      <c r="B557" s="58">
        <f>IFERROR(__xludf.DUMMYFUNCTION("""COMPUTED_VALUE"""),2.0)</f>
        <v>2</v>
      </c>
    </row>
    <row r="558">
      <c r="A558" s="58" t="str">
        <f>IFERROR(__xludf.DUMMYFUNCTION("""COMPUTED_VALUE"""),"MODELACIÓN MATEMÁTICA DEL PROCESO DE TRANSPORTE DEL PLAGUICIDA ATRAZINA EN SUELO AGRÍCOLA")</f>
        <v>MODELACIÓN MATEMÁTICA DEL PROCESO DE TRANSPORTE DEL PLAGUICIDA ATRAZINA EN SUELO AGRÍCOLA</v>
      </c>
      <c r="B558" s="58">
        <f>IFERROR(__xludf.DUMMYFUNCTION("""COMPUTED_VALUE"""),1.0)</f>
        <v>1</v>
      </c>
    </row>
    <row r="559">
      <c r="A559" s="58" t="str">
        <f>IFERROR(__xludf.DUMMYFUNCTION("""COMPUTED_VALUE"""),"MODELAMIENTO DE UN SISTEMA DE INFORMACIÓN PARA LAS LÍNEAS DE PRODUCCIÓN DE EMBOL S.A.")</f>
        <v>MODELAMIENTO DE UN SISTEMA DE INFORMACIÓN PARA LAS LÍNEAS DE PRODUCCIÓN DE EMBOL S.A.</v>
      </c>
      <c r="B559" s="58">
        <f>IFERROR(__xludf.DUMMYFUNCTION("""COMPUTED_VALUE"""),1.0)</f>
        <v>1</v>
      </c>
    </row>
    <row r="560">
      <c r="A560" s="58" t="str">
        <f>IFERROR(__xludf.DUMMYFUNCTION("""COMPUTED_VALUE"""),"MODELO DE  RECOLECCIÓN TRANSPORTE Y DISPOSICIÓN FINAL DE LOS RESIDUOS SÓLIDOS EN EL CENTRO POBLADO DEL MUNICIPIO DE OMEREQUE.")</f>
        <v>MODELO DE  RECOLECCIÓN TRANSPORTE Y DISPOSICIÓN FINAL DE LOS RESIDUOS SÓLIDOS EN EL CENTRO POBLADO DEL MUNICIPIO DE OMEREQUE.</v>
      </c>
      <c r="B560" s="58">
        <f>IFERROR(__xludf.DUMMYFUNCTION("""COMPUTED_VALUE"""),1.0)</f>
        <v>1</v>
      </c>
    </row>
    <row r="561">
      <c r="A561" s="58" t="str">
        <f>IFERROR(__xludf.DUMMYFUNCTION("""COMPUTED_VALUE"""),"MODELO DE CLIMA ORGANIZACIONAL PARA EL SECTOR ADMINISTRATIVO DE LA FACULTAD DE CIENCIAS Y TECNOLOGÍA")</f>
        <v>MODELO DE CLIMA ORGANIZACIONAL PARA EL SECTOR ADMINISTRATIVO DE LA FACULTAD DE CIENCIAS Y TECNOLOGÍA</v>
      </c>
      <c r="B561" s="58">
        <f>IFERROR(__xludf.DUMMYFUNCTION("""COMPUTED_VALUE"""),9.0)</f>
        <v>9</v>
      </c>
    </row>
    <row r="562">
      <c r="A562" s="58" t="str">
        <f>IFERROR(__xludf.DUMMYFUNCTION("""COMPUTED_VALUE"""),"MODELO DE CONTROL ESTADÍSTICO DE CALIDAD
EN BASE A SOFTWARE MINITAB PARA EL PROCESO DE
FABRICACIÓN DE LA MUNICIÓN 7.62 X 51 MM.
DE LA “FABRICA BOLIVIANA DE MUNICIÓN”")</f>
        <v>MODELO DE CONTROL ESTADÍSTICO DE CALIDAD
EN BASE A SOFTWARE MINITAB PARA EL PROCESO DE
FABRICACIÓN DE LA MUNICIÓN 7.62 X 51 MM.
DE LA “FABRICA BOLIVIANA DE MUNICIÓN”</v>
      </c>
      <c r="B562" s="58">
        <f>IFERROR(__xludf.DUMMYFUNCTION("""COMPUTED_VALUE"""),1.0)</f>
        <v>1</v>
      </c>
    </row>
    <row r="563">
      <c r="A563" s="58" t="str">
        <f>IFERROR(__xludf.DUMMYFUNCTION("""COMPUTED_VALUE"""),"MODELO DE CONTROL ESTADÍSTICO DE CALIDAD EN BASE AL SOFTWARE MINITAB PARA EL PROCESO DE FABRICACIÓN DE LA MUNICIÓN 7.62 X 51MM. DE LA FÁBRICA BOLIVIANA DE MUNICIÓN")</f>
        <v>MODELO DE CONTROL ESTADÍSTICO DE CALIDAD EN BASE AL SOFTWARE MINITAB PARA EL PROCESO DE FABRICACIÓN DE LA MUNICIÓN 7.62 X 51MM. DE LA FÁBRICA BOLIVIANA DE MUNICIÓN</v>
      </c>
      <c r="B563" s="58">
        <f>IFERROR(__xludf.DUMMYFUNCTION("""COMPUTED_VALUE"""),4.0)</f>
        <v>4</v>
      </c>
    </row>
    <row r="564">
      <c r="A564" s="58" t="str">
        <f>IFERROR(__xludf.DUMMYFUNCTION("""COMPUTED_VALUE"""),"MODELO DE GESTIÓN ORGANIZACIONAL PARA LA EMPRESA COINMAR")</f>
        <v>MODELO DE GESTIÓN ORGANIZACIONAL PARA LA EMPRESA COINMAR</v>
      </c>
      <c r="B564" s="58">
        <f>IFERROR(__xludf.DUMMYFUNCTION("""COMPUTED_VALUE"""),2.0)</f>
        <v>2</v>
      </c>
    </row>
    <row r="565">
      <c r="A565" s="58" t="str">
        <f>IFERROR(__xludf.DUMMYFUNCTION("""COMPUTED_VALUE"""),"MODELO DE GESTIÓN OSHA PARA LA PLANTA DE
COBOCE - CERAMICA.”")</f>
        <v>MODELO DE GESTIÓN OSHA PARA LA PLANTA DE
COBOCE - CERAMICA.”</v>
      </c>
      <c r="B565" s="58">
        <f>IFERROR(__xludf.DUMMYFUNCTION("""COMPUTED_VALUE"""),1.0)</f>
        <v>1</v>
      </c>
    </row>
    <row r="566">
      <c r="A566" s="58" t="str">
        <f>IFERROR(__xludf.DUMMYFUNCTION("""COMPUTED_VALUE"""),"MODELO DE GESTIÓN PARA MEJORAR LA PRODUCCIÓN DE ALIMENTO BALANCEADO PARA TRUCHA EN LA UNIDAD PRODCUCTIVA CARITAS")</f>
        <v>MODELO DE GESTIÓN PARA MEJORAR LA PRODUCCIÓN DE ALIMENTO BALANCEADO PARA TRUCHA EN LA UNIDAD PRODCUCTIVA CARITAS</v>
      </c>
      <c r="B566" s="58">
        <f>IFERROR(__xludf.DUMMYFUNCTION("""COMPUTED_VALUE"""),2.0)</f>
        <v>2</v>
      </c>
    </row>
    <row r="567">
      <c r="A567" s="58" t="str">
        <f>IFERROR(__xludf.DUMMYFUNCTION("""COMPUTED_VALUE"""),"MODELO DE GESTIÓN PARA MEJORAR LA SECCIÓN 424 TALLER DE LA LÍNEA DE PRODUCCIÓN DE CALZADOS INDUSTRIALES “MANACO”")</f>
        <v>MODELO DE GESTIÓN PARA MEJORAR LA SECCIÓN 424 TALLER DE LA LÍNEA DE PRODUCCIÓN DE CALZADOS INDUSTRIALES “MANACO”</v>
      </c>
      <c r="B567" s="58">
        <f>IFERROR(__xludf.DUMMYFUNCTION("""COMPUTED_VALUE"""),2.0)</f>
        <v>2</v>
      </c>
    </row>
    <row r="568">
      <c r="A568" s="58" t="str">
        <f>IFERROR(__xludf.DUMMYFUNCTION("""COMPUTED_VALUE"""),"MODELO DE PLANIFICACION Y CONTROL DE LA PRODUCCION PARA INDUSTRIAS LUJAN S. R. L.")</f>
        <v>MODELO DE PLANIFICACION Y CONTROL DE LA PRODUCCION PARA INDUSTRIAS LUJAN S. R. L.</v>
      </c>
      <c r="B568" s="58">
        <f>IFERROR(__xludf.DUMMYFUNCTION("""COMPUTED_VALUE"""),1.0)</f>
        <v>1</v>
      </c>
    </row>
    <row r="569">
      <c r="A569" s="58" t="str">
        <f>IFERROR(__xludf.DUMMYFUNCTION("""COMPUTED_VALUE"""),"MODELO DE PLANIFICACIÓN Y CONTROL DE LA PRODUCCIÓN PARA LA EMPRESA “DRESS”")</f>
        <v>MODELO DE PLANIFICACIÓN Y CONTROL DE LA PRODUCCIÓN PARA LA EMPRESA “DRESS”</v>
      </c>
      <c r="B569" s="58">
        <f>IFERROR(__xludf.DUMMYFUNCTION("""COMPUTED_VALUE"""),2.0)</f>
        <v>2</v>
      </c>
    </row>
    <row r="570">
      <c r="A570" s="58" t="str">
        <f>IFERROR(__xludf.DUMMYFUNCTION("""COMPUTED_VALUE"""),"MODELO DE PLANIFICACIÓN Y CONTROL DE LA PRODUCCIÓN PARA LA EMPRESA “PRODUCTOS NATURALES ANDES”")</f>
        <v>MODELO DE PLANIFICACIÓN Y CONTROL DE LA PRODUCCIÓN PARA LA EMPRESA “PRODUCTOS NATURALES ANDES”</v>
      </c>
      <c r="B570" s="58">
        <f>IFERROR(__xludf.DUMMYFUNCTION("""COMPUTED_VALUE"""),1.0)</f>
        <v>1</v>
      </c>
    </row>
    <row r="571">
      <c r="A571" s="58" t="str">
        <f>IFERROR(__xludf.DUMMYFUNCTION("""COMPUTED_VALUE"""),"MODELO DE PLANIFICACIÓN Y CONTROL DE LAPRODUCCIÓN PARA LA EMPRESA P.A.I.A. PLÁSTICOS Y ANEXOS S.R.L.")</f>
        <v>MODELO DE PLANIFICACIÓN Y CONTROL DE LAPRODUCCIÓN PARA LA EMPRESA P.A.I.A. PLÁSTICOS Y ANEXOS S.R.L.</v>
      </c>
      <c r="B571" s="58">
        <f>IFERROR(__xludf.DUMMYFUNCTION("""COMPUTED_VALUE"""),4.0)</f>
        <v>4</v>
      </c>
    </row>
    <row r="572">
      <c r="A572" s="58" t="str">
        <f>IFERROR(__xludf.DUMMYFUNCTION("""COMPUTED_VALUE"""),"MODELO DE PLANIFICACIÓN Y CONTROL DE PRODUCCIÓN PARA LA EMPRESA MOPAR S.A.")</f>
        <v>MODELO DE PLANIFICACIÓN Y CONTROL DE PRODUCCIÓN PARA LA EMPRESA MOPAR S.A.</v>
      </c>
      <c r="B572" s="58">
        <f>IFERROR(__xludf.DUMMYFUNCTION("""COMPUTED_VALUE"""),2.0)</f>
        <v>2</v>
      </c>
    </row>
    <row r="573">
      <c r="A573" s="58" t="str">
        <f>IFERROR(__xludf.DUMMYFUNCTION("""COMPUTED_VALUE"""),"MODELO DE PLANIFICACIÓN Y CONTROL EN LA PRODUCCIÓN PARA LA LÍNEA DE CUERO DE LAGARTO DE LA EMPRESA CIENSA LTDA.")</f>
        <v>MODELO DE PLANIFICACIÓN Y CONTROL EN LA PRODUCCIÓN PARA LA LÍNEA DE CUERO DE LAGARTO DE LA EMPRESA CIENSA LTDA.</v>
      </c>
      <c r="B573" s="58">
        <f>IFERROR(__xludf.DUMMYFUNCTION("""COMPUTED_VALUE"""),3.0)</f>
        <v>3</v>
      </c>
    </row>
    <row r="574">
      <c r="A574" s="58" t="str">
        <f>IFERROR(__xludf.DUMMYFUNCTION("""COMPUTED_VALUE"""),"MODELO DE PLANIFICACIÓN Y CONTROL PARA LA EMPRESA TINABOL")</f>
        <v>MODELO DE PLANIFICACIÓN Y CONTROL PARA LA EMPRESA TINABOL</v>
      </c>
      <c r="B574" s="58">
        <f>IFERROR(__xludf.DUMMYFUNCTION("""COMPUTED_VALUE"""),1.0)</f>
        <v>1</v>
      </c>
    </row>
    <row r="575">
      <c r="A575" s="58" t="str">
        <f>IFERROR(__xludf.DUMMYFUNCTION("""COMPUTED_VALUE"""),"MODELO DE PROGRAMA DE GESTION DE SEGURIDAD INTEGRAL EN EL PARQUE INDUSTRIAL SANTIVAÑEZ EN LOS RUBROS ASERRADEROS-BARRACAS-PROCESADORAS DE MADERA")</f>
        <v>MODELO DE PROGRAMA DE GESTION DE SEGURIDAD INTEGRAL EN EL PARQUE INDUSTRIAL SANTIVAÑEZ EN LOS RUBROS ASERRADEROS-BARRACAS-PROCESADORAS DE MADERA</v>
      </c>
      <c r="B575" s="58">
        <f>IFERROR(__xludf.DUMMYFUNCTION("""COMPUTED_VALUE"""),5.0)</f>
        <v>5</v>
      </c>
    </row>
    <row r="576">
      <c r="A576" s="58" t="str">
        <f>IFERROR(__xludf.DUMMYFUNCTION("""COMPUTED_VALUE"""),"MODELO DE SEGURIDAD INDUSTRIAL PARA LA EMPRESA MEGHER SRL.")</f>
        <v>MODELO DE SEGURIDAD INDUSTRIAL PARA LA EMPRESA MEGHER SRL.</v>
      </c>
      <c r="B576" s="58">
        <f>IFERROR(__xludf.DUMMYFUNCTION("""COMPUTED_VALUE"""),2.0)</f>
        <v>2</v>
      </c>
    </row>
    <row r="577">
      <c r="A577" s="58" t="str">
        <f>IFERROR(__xludf.DUMMYFUNCTION("""COMPUTED_VALUE"""),"MODELO DE SEGURIDAD INDUSTRIAL PARA LAS INSTALACIONES DE LA HONORABLE ALCALDÍA MUNICIPAL DE COCHABAMBA DEL PASAJE SUCRE Y LA PLAZA PRINCIPAL")</f>
        <v>MODELO DE SEGURIDAD INDUSTRIAL PARA LAS INSTALACIONES DE LA HONORABLE ALCALDÍA MUNICIPAL DE COCHABAMBA DEL PASAJE SUCRE Y LA PLAZA PRINCIPAL</v>
      </c>
      <c r="B577" s="58">
        <f>IFERROR(__xludf.DUMMYFUNCTION("""COMPUTED_VALUE"""),3.0)</f>
        <v>3</v>
      </c>
    </row>
    <row r="578">
      <c r="A578" s="58" t="str">
        <f>IFERROR(__xludf.DUMMYFUNCTION("""COMPUTED_VALUE"""),"MODELO DE UN SISTEMA DE GESTIÓN PROACTIVO PARA LA PREVENCIÓN Y CONTROL DE RIESGOS LABORALES EN EMPRESAS MANUFACTURERAS")</f>
        <v>MODELO DE UN SISTEMA DE GESTIÓN PROACTIVO PARA LA PREVENCIÓN Y CONTROL DE RIESGOS LABORALES EN EMPRESAS MANUFACTURERAS</v>
      </c>
      <c r="B578" s="58">
        <f>IFERROR(__xludf.DUMMYFUNCTION("""COMPUTED_VALUE"""),1.0)</f>
        <v>1</v>
      </c>
    </row>
    <row r="579">
      <c r="A579" s="58" t="str">
        <f>IFERROR(__xludf.DUMMYFUNCTION("""COMPUTED_VALUE"""),"MODELO HABITACIONAL FABRIL")</f>
        <v>MODELO HABITACIONAL FABRIL</v>
      </c>
      <c r="B579" s="58">
        <f>IFERROR(__xludf.DUMMYFUNCTION("""COMPUTED_VALUE"""),1.0)</f>
        <v>1</v>
      </c>
    </row>
    <row r="580">
      <c r="A580" s="58" t="str">
        <f>IFERROR(__xludf.DUMMYFUNCTION("""COMPUTED_VALUE"""),"MODELO MARKOVIANO  PARA EL ESTUDIO DE LA EVOLUCIÓN DE COHORTES  DE ESTUDIANTES DE LA CARRERA DE INGENIERÍA INDUSTRIAL DE LA  FACULTAD DE CIENCIAS Y TECNOLOGÍA  DE LA UNIVERSIDAD MAYOR DE SAN SIMÓN")</f>
        <v>MODELO MARKOVIANO  PARA EL ESTUDIO DE LA EVOLUCIÓN DE COHORTES  DE ESTUDIANTES DE LA CARRERA DE INGENIERÍA INDUSTRIAL DE LA  FACULTAD DE CIENCIAS Y TECNOLOGÍA  DE LA UNIVERSIDAD MAYOR DE SAN SIMÓN</v>
      </c>
      <c r="B580" s="58">
        <f>IFERROR(__xludf.DUMMYFUNCTION("""COMPUTED_VALUE"""),8.0)</f>
        <v>8</v>
      </c>
    </row>
    <row r="581">
      <c r="A581" s="58" t="str">
        <f>IFERROR(__xludf.DUMMYFUNCTION("""COMPUTED_VALUE"""),"OPTIMIZACION DEL PROCESO DE MOLIENDA DE ENGOBES Y ESMALTES PARA CERAMICAS COBOCE")</f>
        <v>OPTIMIZACION DEL PROCESO DE MOLIENDA DE ENGOBES Y ESMALTES PARA CERAMICAS COBOCE</v>
      </c>
      <c r="B581" s="58">
        <f>IFERROR(__xludf.DUMMYFUNCTION("""COMPUTED_VALUE"""),4.0)</f>
        <v>4</v>
      </c>
    </row>
    <row r="582">
      <c r="A582" s="58" t="str">
        <f>IFERROR(__xludf.DUMMYFUNCTION("""COMPUTED_VALUE"""),"OPTIMIZACION DEL PROCESO DE MOLIENDA DE ENGOBES Y ESMALTES PARA “CERAMICAS COBOCE.”")</f>
        <v>OPTIMIZACION DEL PROCESO DE MOLIENDA DE ENGOBES Y ESMALTES PARA “CERAMICAS COBOCE.”</v>
      </c>
      <c r="B582" s="58">
        <f>IFERROR(__xludf.DUMMYFUNCTION("""COMPUTED_VALUE"""),1.0)</f>
        <v>1</v>
      </c>
    </row>
    <row r="583">
      <c r="A583" s="58" t="str">
        <f>IFERROR(__xludf.DUMMYFUNCTION("""COMPUTED_VALUE"""),"OPTIMIZACIÓN DE LA PRODUCCIÓN EN EL ÁREA DE CONVERSIÓN DE LA EMPRESA COPELME S.A. MEDIANTE LA INGENIERÍA DE MÉTODOS")</f>
        <v>OPTIMIZACIÓN DE LA PRODUCCIÓN EN EL ÁREA DE CONVERSIÓN DE LA EMPRESA COPELME S.A. MEDIANTE LA INGENIERÍA DE MÉTODOS</v>
      </c>
      <c r="B583" s="58">
        <f>IFERROR(__xludf.DUMMYFUNCTION("""COMPUTED_VALUE"""),9.0)</f>
        <v>9</v>
      </c>
    </row>
    <row r="584">
      <c r="A584" s="58" t="str">
        <f>IFERROR(__xludf.DUMMYFUNCTION("""COMPUTED_VALUE"""),"OPTIMIZACIÓN DE LA PRODUCCIÓN MEDIANTE LA INGENIERÍA DE MÉTODOS PARA LA LÍNEA DE PLÁSTICOS EN INDUSTRIAS LUJAN S.R.L.")</f>
        <v>OPTIMIZACIÓN DE LA PRODUCCIÓN MEDIANTE LA INGENIERÍA DE MÉTODOS PARA LA LÍNEA DE PLÁSTICOS EN INDUSTRIAS LUJAN S.R.L.</v>
      </c>
      <c r="B584" s="58">
        <f>IFERROR(__xludf.DUMMYFUNCTION("""COMPUTED_VALUE"""),18.0)</f>
        <v>18</v>
      </c>
    </row>
    <row r="585">
      <c r="A585" s="58" t="str">
        <f>IFERROR(__xludf.DUMMYFUNCTION("""COMPUTED_VALUE"""),"OPTIMIZACIÓN DE LOS PROCESOS DE INSTALACIÓN Y ATENCIÓN DE RECLAMOS DEL SERVICIO DE INTERNET BANDA ANCHA PARA LA COOPERATIVA DE TELECOMUNICACIONES CBBA. COMTECO LTDA.")</f>
        <v>OPTIMIZACIÓN DE LOS PROCESOS DE INSTALACIÓN Y ATENCIÓN DE RECLAMOS DEL SERVICIO DE INTERNET BANDA ANCHA PARA LA COOPERATIVA DE TELECOMUNICACIONES CBBA. COMTECO LTDA.</v>
      </c>
      <c r="B585" s="58">
        <f>IFERROR(__xludf.DUMMYFUNCTION("""COMPUTED_VALUE"""),2.0)</f>
        <v>2</v>
      </c>
    </row>
    <row r="586">
      <c r="A586" s="58" t="str">
        <f>IFERROR(__xludf.DUMMYFUNCTION("""COMPUTED_VALUE"""),"OPTIMIZACIÓN DE LOS PROCESOS PRODUCTIVOS DE LA EMPRESA TEKNOLIFT S.R.L.")</f>
        <v>OPTIMIZACIÓN DE LOS PROCESOS PRODUCTIVOS DE LA EMPRESA TEKNOLIFT S.R.L.</v>
      </c>
      <c r="B586" s="58">
        <f>IFERROR(__xludf.DUMMYFUNCTION("""COMPUTED_VALUE"""),11.0)</f>
        <v>11</v>
      </c>
    </row>
    <row r="587">
      <c r="A587" s="58" t="str">
        <f>IFERROR(__xludf.DUMMYFUNCTION("""COMPUTED_VALUE"""),"OPTIMIZACIÓN DE MÉTODOS DE PRODUCCIÓN DE ENVASADO DE GLP PARA LA EMPRESA PECA GAS CON UN ENFOQUE DE REINGENIERÍA")</f>
        <v>OPTIMIZACIÓN DE MÉTODOS DE PRODUCCIÓN DE ENVASADO DE GLP PARA LA EMPRESA PECA GAS CON UN ENFOQUE DE REINGENIERÍA</v>
      </c>
      <c r="B587" s="58">
        <f>IFERROR(__xludf.DUMMYFUNCTION("""COMPUTED_VALUE"""),1.0)</f>
        <v>1</v>
      </c>
    </row>
    <row r="588">
      <c r="A588" s="58" t="str">
        <f>IFERROR(__xludf.DUMMYFUNCTION("""COMPUTED_VALUE"""),"OPTIMIZACIÓN DEL CONTROL DE CALIDAD DEL PROCESO DE FORMADO DE PRODUCTOS EN LA FÁBRICA CIMCO LTDA.")</f>
        <v>OPTIMIZACIÓN DEL CONTROL DE CALIDAD DEL PROCESO DE FORMADO DE PRODUCTOS EN LA FÁBRICA CIMCO LTDA.</v>
      </c>
      <c r="B588" s="58">
        <f>IFERROR(__xludf.DUMMYFUNCTION("""COMPUTED_VALUE"""),1.0)</f>
        <v>1</v>
      </c>
    </row>
    <row r="589">
      <c r="A589" s="58" t="str">
        <f>IFERROR(__xludf.DUMMYFUNCTION("""COMPUTED_VALUE"""),"OPTIMIZACIÓN DEL ESTÁNDAR DE LOTO BLOQUEO-ETIQUETADO PARA EL CONTROL DE ENERGÍAS DURANTE EL MANTENIMIENTO INDUSTRIAL EN LA PLANTA DE MANUFACTURA UNILEVER ANDINA BOLIVIA S.A.")</f>
        <v>OPTIMIZACIÓN DEL ESTÁNDAR DE LOTO BLOQUEO-ETIQUETADO PARA EL CONTROL DE ENERGÍAS DURANTE EL MANTENIMIENTO INDUSTRIAL EN LA PLANTA DE MANUFACTURA UNILEVER ANDINA BOLIVIA S.A.</v>
      </c>
      <c r="B589" s="58">
        <f>IFERROR(__xludf.DUMMYFUNCTION("""COMPUTED_VALUE"""),1.0)</f>
        <v>1</v>
      </c>
    </row>
    <row r="590">
      <c r="A590" s="58" t="str">
        <f>IFERROR(__xludf.DUMMYFUNCTION("""COMPUTED_VALUE"""),"OPTIMIZACIÓN DEL MANEJO DE AGUAS UTILIZADAS EN EL PROCESO PRODUCTIVO DEL INGENIO AZUCARERO GUABIRÁ S.A.")</f>
        <v>OPTIMIZACIÓN DEL MANEJO DE AGUAS UTILIZADAS EN EL PROCESO PRODUCTIVO DEL INGENIO AZUCARERO GUABIRÁ S.A.</v>
      </c>
      <c r="B590" s="58">
        <f>IFERROR(__xludf.DUMMYFUNCTION("""COMPUTED_VALUE"""),2.0)</f>
        <v>2</v>
      </c>
    </row>
    <row r="591">
      <c r="A591" s="58" t="str">
        <f>IFERROR(__xludf.DUMMYFUNCTION("""COMPUTED_VALUE"""),"OPTIMIZACIÓN DEL MANEJO DE MÁQUINAS HERRAMIENTAS MEDIANTE EL ESTUDIO DE MÉTODOS Y REINGENIERÍA PARA LA “RECTIFICADORA ACTROS”.")</f>
        <v>OPTIMIZACIÓN DEL MANEJO DE MÁQUINAS HERRAMIENTAS MEDIANTE EL ESTUDIO DE MÉTODOS Y REINGENIERÍA PARA LA “RECTIFICADORA ACTROS”.</v>
      </c>
      <c r="B591" s="58">
        <f>IFERROR(__xludf.DUMMYFUNCTION("""COMPUTED_VALUE"""),2.0)</f>
        <v>2</v>
      </c>
    </row>
    <row r="592">
      <c r="A592" s="58" t="str">
        <f>IFERROR(__xludf.DUMMYFUNCTION("""COMPUTED_VALUE"""),"OPTIMIZACIÓN DEL MATADERO MUNICIPAL DE COLCAPIRHUA ORIENTADO HACIA UN MEJOR DESEMPEÑO AMBIENTAL")</f>
        <v>OPTIMIZACIÓN DEL MATADERO MUNICIPAL DE COLCAPIRHUA ORIENTADO HACIA UN MEJOR DESEMPEÑO AMBIENTAL</v>
      </c>
      <c r="B592" s="58">
        <f>IFERROR(__xludf.DUMMYFUNCTION("""COMPUTED_VALUE"""),1.0)</f>
        <v>1</v>
      </c>
    </row>
    <row r="593">
      <c r="A593" s="58" t="str">
        <f>IFERROR(__xludf.DUMMYFUNCTION("""COMPUTED_VALUE"""),"OPTIMIZACIÓN DEL PROCESO DE FABRICACIÓN DE FRAZADAS EN POLAR TEXTIL S.A. A TRAVÉS DEL USO DE ALGUNAS HERRAMIENTAS DEL LEAN MANUFACTURING Y LA ADMINISTRACIÓN POR OBJETIVOS")</f>
        <v>OPTIMIZACIÓN DEL PROCESO DE FABRICACIÓN DE FRAZADAS EN POLAR TEXTIL S.A. A TRAVÉS DEL USO DE ALGUNAS HERRAMIENTAS DEL LEAN MANUFACTURING Y LA ADMINISTRACIÓN POR OBJETIVOS</v>
      </c>
      <c r="B593" s="58">
        <f>IFERROR(__xludf.DUMMYFUNCTION("""COMPUTED_VALUE"""),49.0)</f>
        <v>49</v>
      </c>
    </row>
    <row r="594">
      <c r="A594" s="58" t="str">
        <f>IFERROR(__xludf.DUMMYFUNCTION("""COMPUTED_VALUE"""),"OPTIMIZACIÓN DEL PROCESO DE PRODUCCIÓN DE LA EMPRESA PAPELERA VINTO S.R.L")</f>
        <v>OPTIMIZACIÓN DEL PROCESO DE PRODUCCIÓN DE LA EMPRESA PAPELERA VINTO S.R.L</v>
      </c>
      <c r="B594" s="58">
        <f>IFERROR(__xludf.DUMMYFUNCTION("""COMPUTED_VALUE"""),4.0)</f>
        <v>4</v>
      </c>
    </row>
    <row r="595">
      <c r="A595" s="58" t="str">
        <f>IFERROR(__xludf.DUMMYFUNCTION("""COMPUTED_VALUE"""),"OPTIMIZACIÓN DEL PROCESO PRODUCTIVO DE FABRICACIÓN DE MUEBLES MODULARES DE LA EMPRESA NAHI INDUSTRIAS S.R.L.")</f>
        <v>OPTIMIZACIÓN DEL PROCESO PRODUCTIVO DE FABRICACIÓN DE MUEBLES MODULARES DE LA EMPRESA NAHI INDUSTRIAS S.R.L.</v>
      </c>
      <c r="B595" s="58">
        <f>IFERROR(__xludf.DUMMYFUNCTION("""COMPUTED_VALUE"""),1.0)</f>
        <v>1</v>
      </c>
    </row>
    <row r="596">
      <c r="A596" s="58" t="str">
        <f>IFERROR(__xludf.DUMMYFUNCTION("""COMPUTED_VALUE"""),"OPTIMIZACIÓN DEL PROCESO PRODUCTIVO DE LADRILLO GAMBOTE MEDIANTE LA ADMINISTRACIÓN DE OPERACIONES PARA LOS PRODUCTORES DE LA ZONA SUD")</f>
        <v>OPTIMIZACIÓN DEL PROCESO PRODUCTIVO DE LADRILLO GAMBOTE MEDIANTE LA ADMINISTRACIÓN DE OPERACIONES PARA LOS PRODUCTORES DE LA ZONA SUD</v>
      </c>
      <c r="B596" s="58">
        <f>IFERROR(__xludf.DUMMYFUNCTION("""COMPUTED_VALUE"""),2.0)</f>
        <v>2</v>
      </c>
    </row>
    <row r="597">
      <c r="A597" s="58" t="str">
        <f>IFERROR(__xludf.DUMMYFUNCTION("""COMPUTED_VALUE"""),"OPTIMIZACIÓN DEL PROCESO PRODUCTIVO EN MODULARES DE LIVING ""MUEBLES A. MURIEL C.""")</f>
        <v>OPTIMIZACIÓN DEL PROCESO PRODUCTIVO EN MODULARES DE LIVING "MUEBLES A. MURIEL C."</v>
      </c>
      <c r="B597" s="58">
        <f>IFERROR(__xludf.DUMMYFUNCTION("""COMPUTED_VALUE"""),3.0)</f>
        <v>3</v>
      </c>
    </row>
    <row r="598">
      <c r="A598" s="58" t="str">
        <f>IFERROR(__xludf.DUMMYFUNCTION("""COMPUTED_VALUE"""),"OPTIMIZACIÓN DEL PROCESO PRODUCTIVO Y ADMINISTRATIVO DE LA EMPRESA PURIFICADORA DE AGUA  AQUA NUESTRA")</f>
        <v>OPTIMIZACIÓN DEL PROCESO PRODUCTIVO Y ADMINISTRATIVO DE LA EMPRESA PURIFICADORA DE AGUA  AQUA NUESTRA</v>
      </c>
      <c r="B598" s="58">
        <f>IFERROR(__xludf.DUMMYFUNCTION("""COMPUTED_VALUE"""),2.0)</f>
        <v>2</v>
      </c>
    </row>
    <row r="599">
      <c r="A599" s="58" t="str">
        <f>IFERROR(__xludf.DUMMYFUNCTION("""COMPUTED_VALUE"""),"OPTIMIZACIÓN DEL PROCESO PRODUCTIVO Y MEJORA DE LAS CONDICIONES OCUPACIONALES EN LA LÍNEA DE PRODUCCIÓN DE GARRAFAS DE GLP EN LA FÁBRICA FANACIM SRL.")</f>
        <v>OPTIMIZACIÓN DEL PROCESO PRODUCTIVO Y MEJORA DE LAS CONDICIONES OCUPACIONALES EN LA LÍNEA DE PRODUCCIÓN DE GARRAFAS DE GLP EN LA FÁBRICA FANACIM SRL.</v>
      </c>
      <c r="B599" s="58">
        <f>IFERROR(__xludf.DUMMYFUNCTION("""COMPUTED_VALUE"""),1.0)</f>
        <v>1</v>
      </c>
    </row>
    <row r="600">
      <c r="A600" s="58" t="str">
        <f>IFERROR(__xludf.DUMMYFUNCTION("""COMPUTED_VALUE"""),"OPTIMIZACIÓN EN EL ÁREA DE METALMECÁNICA DE LOS PROCESOS DE FABRICACIÓN DE LA LÍNEA CRAZY EN LA EMPRESA MOPAR S.A.")</f>
        <v>OPTIMIZACIÓN EN EL ÁREA DE METALMECÁNICA DE LOS PROCESOS DE FABRICACIÓN DE LA LÍNEA CRAZY EN LA EMPRESA MOPAR S.A.</v>
      </c>
      <c r="B600" s="58">
        <f>IFERROR(__xludf.DUMMYFUNCTION("""COMPUTED_VALUE"""),1.0)</f>
        <v>1</v>
      </c>
    </row>
    <row r="601">
      <c r="A601" s="58" t="str">
        <f>IFERROR(__xludf.DUMMYFUNCTION("""COMPUTED_VALUE"""),"PLAN DE CAPACITACIÓN EN LA PRODUCCIÓN DE MARROQUINERÍA PARA MUJERES AUSPICIADO POR LA CURTIEMBRE TAURO LTDA.")</f>
        <v>PLAN DE CAPACITACIÓN EN LA PRODUCCIÓN DE MARROQUINERÍA PARA MUJERES AUSPICIADO POR LA CURTIEMBRE TAURO LTDA.</v>
      </c>
      <c r="B601" s="58">
        <f>IFERROR(__xludf.DUMMYFUNCTION("""COMPUTED_VALUE"""),1.0)</f>
        <v>1</v>
      </c>
    </row>
    <row r="602">
      <c r="A602" s="58" t="str">
        <f>IFERROR(__xludf.DUMMYFUNCTION("""COMPUTED_VALUE"""),"PLAN DE CAPACITACIÓN EN SEGURIDAD INDUSTRIAL PARA LA
EMPRESA EMBOL S.A.")</f>
        <v>PLAN DE CAPACITACIÓN EN SEGURIDAD INDUSTRIAL PARA LA
EMPRESA EMBOL S.A.</v>
      </c>
      <c r="B602" s="58">
        <f>IFERROR(__xludf.DUMMYFUNCTION("""COMPUTED_VALUE"""),1.0)</f>
        <v>1</v>
      </c>
    </row>
    <row r="603">
      <c r="A603" s="58" t="str">
        <f>IFERROR(__xludf.DUMMYFUNCTION("""COMPUTED_VALUE"""),"PLAN DE CAPACITACIÓN EN SEGURIDAD INDUSTRIAL PARA LA EMPRESA EMBOL S.A.")</f>
        <v>PLAN DE CAPACITACIÓN EN SEGURIDAD INDUSTRIAL PARA LA EMPRESA EMBOL S.A.</v>
      </c>
      <c r="B603" s="58">
        <f>IFERROR(__xludf.DUMMYFUNCTION("""COMPUTED_VALUE"""),2.0)</f>
        <v>2</v>
      </c>
    </row>
    <row r="604">
      <c r="A604" s="58" t="str">
        <f>IFERROR(__xludf.DUMMYFUNCTION("""COMPUTED_VALUE"""),"PLAN DE CAPACITACIÓN EN SEGURIDAD INDUSTRIAL Y SALUD OCUPACIONAL PARA LA CURTIEMBRE TOMY LLDA.")</f>
        <v>PLAN DE CAPACITACIÓN EN SEGURIDAD INDUSTRIAL Y SALUD OCUPACIONAL PARA LA CURTIEMBRE TOMY LLDA.</v>
      </c>
      <c r="B604" s="58">
        <f>IFERROR(__xludf.DUMMYFUNCTION("""COMPUTED_VALUE"""),1.0)</f>
        <v>1</v>
      </c>
    </row>
    <row r="605">
      <c r="A605" s="58" t="str">
        <f>IFERROR(__xludf.DUMMYFUNCTION("""COMPUTED_VALUE"""),"PLAN DE DESARROLLO ACADÉMICO DE LA CARRERA DE INGENIERÍA ELECTROMECÁNICA 2019 – 2023")</f>
        <v>PLAN DE DESARROLLO ACADÉMICO DE LA CARRERA DE INGENIERÍA ELECTROMECÁNICA 2019 – 2023</v>
      </c>
      <c r="B605" s="58">
        <f>IFERROR(__xludf.DUMMYFUNCTION("""COMPUTED_VALUE"""),10.0)</f>
        <v>10</v>
      </c>
    </row>
    <row r="606">
      <c r="A606" s="58" t="str">
        <f>IFERROR(__xludf.DUMMYFUNCTION("""COMPUTED_VALUE"""),"PLAN DE EMERGENCIAS Y CONTINGENCIAS EN LA COMPAÑÍA PAPELERA MENDOZA “COPELME S.A.")</f>
        <v>PLAN DE EMERGENCIAS Y CONTINGENCIAS EN LA COMPAÑÍA PAPELERA MENDOZA “COPELME S.A.</v>
      </c>
      <c r="B606" s="58">
        <f>IFERROR(__xludf.DUMMYFUNCTION("""COMPUTED_VALUE"""),8.0)</f>
        <v>8</v>
      </c>
    </row>
    <row r="607">
      <c r="A607" s="58" t="str">
        <f>IFERROR(__xludf.DUMMYFUNCTION("""COMPUTED_VALUE"""),"PLAN DE GESTIÓN DE PROCESOS PARA EL DISEÑO DE UN SISTEMA ENFOCADO A LA TRIPLE HÉLICE DEL CLÚSTER DE ALIMENTOS COCHABAMBA")</f>
        <v>PLAN DE GESTIÓN DE PROCESOS PARA EL DISEÑO DE UN SISTEMA ENFOCADO A LA TRIPLE HÉLICE DEL CLÚSTER DE ALIMENTOS COCHABAMBA</v>
      </c>
      <c r="B607" s="58">
        <f>IFERROR(__xludf.DUMMYFUNCTION("""COMPUTED_VALUE"""),6.0)</f>
        <v>6</v>
      </c>
    </row>
    <row r="608">
      <c r="A608" s="58" t="str">
        <f>IFERROR(__xludf.DUMMYFUNCTION("""COMPUTED_VALUE"""),"PLAN DE GESTIÓN EN SEGURIDAD E HIGIENE OCUPACIONAL PARA EL FONDO DE LA COMUNIDAD S.A. FFP")</f>
        <v>PLAN DE GESTIÓN EN SEGURIDAD E HIGIENE OCUPACIONAL PARA EL FONDO DE LA COMUNIDAD S.A. FFP</v>
      </c>
      <c r="B608" s="58">
        <f>IFERROR(__xludf.DUMMYFUNCTION("""COMPUTED_VALUE"""),2.0)</f>
        <v>2</v>
      </c>
    </row>
    <row r="609">
      <c r="A609" s="58" t="str">
        <f>IFERROR(__xludf.DUMMYFUNCTION("""COMPUTED_VALUE"""),"PLAN DE HIGIENE, SEGURIDAD OCUPACIONAL, BIENESTAR E IMPACTO AMBIENTAL DE LA PLANTA DE TRATAMIENTO DE AGUAS RESIDUALES ALBA RANCHO - SEMAPA.")</f>
        <v>PLAN DE HIGIENE, SEGURIDAD OCUPACIONAL, BIENESTAR E IMPACTO AMBIENTAL DE LA PLANTA DE TRATAMIENTO DE AGUAS RESIDUALES ALBA RANCHO - SEMAPA.</v>
      </c>
      <c r="B609" s="58">
        <f>IFERROR(__xludf.DUMMYFUNCTION("""COMPUTED_VALUE"""),3.0)</f>
        <v>3</v>
      </c>
    </row>
    <row r="610">
      <c r="A610" s="58" t="str">
        <f>IFERROR(__xludf.DUMMYFUNCTION("""COMPUTED_VALUE"""),"PLAN DE MARKETING PARA LA COMERCIALIZACIÓN DE PASTA DE PALMITO CASO: AGROINDUSTRIAS DE LA SELVA S.R.L.")</f>
        <v>PLAN DE MARKETING PARA LA COMERCIALIZACIÓN DE PASTA DE PALMITO CASO: AGROINDUSTRIAS DE LA SELVA S.R.L.</v>
      </c>
      <c r="B610" s="58">
        <f>IFERROR(__xludf.DUMMYFUNCTION("""COMPUTED_VALUE"""),5.0)</f>
        <v>5</v>
      </c>
    </row>
    <row r="611">
      <c r="A611" s="58" t="str">
        <f>IFERROR(__xludf.DUMMYFUNCTION("""COMPUTED_VALUE"""),"PLAN DE MARKETING PARA LA DISTRIBUCIÓN DE PRODUCTOS POR EL CANAL TIENDAS DE BARRIO (T.A.T). CASO: EMPRESA HANSA LTDA.")</f>
        <v>PLAN DE MARKETING PARA LA DISTRIBUCIÓN DE PRODUCTOS POR EL CANAL TIENDAS DE BARRIO (T.A.T). CASO: EMPRESA HANSA LTDA.</v>
      </c>
      <c r="B611" s="58">
        <f>IFERROR(__xludf.DUMMYFUNCTION("""COMPUTED_VALUE"""),1.0)</f>
        <v>1</v>
      </c>
    </row>
    <row r="612">
      <c r="A612" s="58" t="str">
        <f>IFERROR(__xludf.DUMMYFUNCTION("""COMPUTED_VALUE"""),"PLAN DE MARKETING PARA LA EMPRESA EL ELYON")</f>
        <v>PLAN DE MARKETING PARA LA EMPRESA EL ELYON</v>
      </c>
      <c r="B612" s="58">
        <f>IFERROR(__xludf.DUMMYFUNCTION("""COMPUTED_VALUE"""),2.0)</f>
        <v>2</v>
      </c>
    </row>
    <row r="613">
      <c r="A613" s="58" t="str">
        <f>IFERROR(__xludf.DUMMYFUNCTION("""COMPUTED_VALUE"""),"PLAN DE MEJORAMIENTO DE LA PRODUCTIVIDAD APLICANDO LAS HERRAMIENTAS DEL JUSTO A TIEMPO EN LA PRODUCCIÓN DE BALONES DE FÚTBOL PARA LA FÁBRICA DE BALONES LITORAL")</f>
        <v>PLAN DE MEJORAMIENTO DE LA PRODUCTIVIDAD APLICANDO LAS HERRAMIENTAS DEL JUSTO A TIEMPO EN LA PRODUCCIÓN DE BALONES DE FÚTBOL PARA LA FÁBRICA DE BALONES LITORAL</v>
      </c>
      <c r="B613" s="58">
        <f>IFERROR(__xludf.DUMMYFUNCTION("""COMPUTED_VALUE"""),5.0)</f>
        <v>5</v>
      </c>
    </row>
    <row r="614">
      <c r="A614" s="58" t="str">
        <f>IFERROR(__xludf.DUMMYFUNCTION("""COMPUTED_VALUE"""),"PLAN DE MEJORAMIENTO DE LOS PROCESOS DE CARGA Y ENCOMIENDA, VENTA DE PASAJES Y MANTENIMIENTO DE LOS BUSES DE LA EMPRESA “TRANS COPACABANA S.A.")</f>
        <v>PLAN DE MEJORAMIENTO DE LOS PROCESOS DE CARGA Y ENCOMIENDA, VENTA DE PASAJES Y MANTENIMIENTO DE LOS BUSES DE LA EMPRESA “TRANS COPACABANA S.A.</v>
      </c>
      <c r="B614" s="58">
        <f>IFERROR(__xludf.DUMMYFUNCTION("""COMPUTED_VALUE"""),2.0)</f>
        <v>2</v>
      </c>
    </row>
    <row r="615">
      <c r="A615" s="58" t="str">
        <f>IFERROR(__xludf.DUMMYFUNCTION("""COMPUTED_VALUE"""),"PLAN DE MEJORAMIENTO DEL ÁREA DE PRODUCCIÓN PARA LA EMPRESA METAL MECÁNICA ÁLVAREZ.")</f>
        <v>PLAN DE MEJORAMIENTO DEL ÁREA DE PRODUCCIÓN PARA LA EMPRESA METAL MECÁNICA ÁLVAREZ.</v>
      </c>
      <c r="B615" s="58">
        <f>IFERROR(__xludf.DUMMYFUNCTION("""COMPUTED_VALUE"""),4.0)</f>
        <v>4</v>
      </c>
    </row>
    <row r="616">
      <c r="A616" s="58" t="str">
        <f>IFERROR(__xludf.DUMMYFUNCTION("""COMPUTED_VALUE"""),"PLAN DE MEJORAMIENTO EN LAS ÁREAS DE PRODUCCIÓN Y COMERCIALIZACIÓN CON UN ENFOQUE ESTRATÉGICO PARA LA EMPRESA QUALITECH SRL.")</f>
        <v>PLAN DE MEJORAMIENTO EN LAS ÁREAS DE PRODUCCIÓN Y COMERCIALIZACIÓN CON UN ENFOQUE ESTRATÉGICO PARA LA EMPRESA QUALITECH SRL.</v>
      </c>
      <c r="B616" s="58">
        <f>IFERROR(__xludf.DUMMYFUNCTION("""COMPUTED_VALUE"""),3.0)</f>
        <v>3</v>
      </c>
    </row>
    <row r="617">
      <c r="A617" s="58" t="str">
        <f>IFERROR(__xludf.DUMMYFUNCTION("""COMPUTED_VALUE"""),"PLAN DE MINIMIZACIÓN DE RIESGOS EN LAS ÁREAS DE REDES AÉREAS Y SUBTERRÁNEAS Y FIBRA ÓPTICA PARA COMTECO LTDA.")</f>
        <v>PLAN DE MINIMIZACIÓN DE RIESGOS EN LAS ÁREAS DE REDES AÉREAS Y SUBTERRÁNEAS Y FIBRA ÓPTICA PARA COMTECO LTDA.</v>
      </c>
      <c r="B617" s="58">
        <f>IFERROR(__xludf.DUMMYFUNCTION("""COMPUTED_VALUE"""),1.0)</f>
        <v>1</v>
      </c>
    </row>
    <row r="618">
      <c r="A618" s="58" t="str">
        <f>IFERROR(__xludf.DUMMYFUNCTION("""COMPUTED_VALUE"""),"PLAN DE MODERNIZACIÓN DE LA PANADERÍA QUIROZ")</f>
        <v>PLAN DE MODERNIZACIÓN DE LA PANADERÍA QUIROZ</v>
      </c>
      <c r="B618" s="58">
        <f>IFERROR(__xludf.DUMMYFUNCTION("""COMPUTED_VALUE"""),5.0)</f>
        <v>5</v>
      </c>
    </row>
    <row r="619">
      <c r="A619" s="58" t="str">
        <f>IFERROR(__xludf.DUMMYFUNCTION("""COMPUTED_VALUE"""),"PLAN DE NEGOCIOS - CONSULTORA LUIZAGA")</f>
        <v>PLAN DE NEGOCIOS - CONSULTORA LUIZAGA</v>
      </c>
      <c r="B619" s="58">
        <f>IFERROR(__xludf.DUMMYFUNCTION("""COMPUTED_VALUE"""),6.0)</f>
        <v>6</v>
      </c>
    </row>
    <row r="620">
      <c r="A620" s="58" t="str">
        <f>IFERROR(__xludf.DUMMYFUNCTION("""COMPUTED_VALUE"""),"PLAN DE NEGOCIOS PARA EL DESARROLLO Y POSICIONAMIENTO DE LA EMPRESA PRODUCTORA DE SAL “SAN JOAQUÍN”.")</f>
        <v>PLAN DE NEGOCIOS PARA EL DESARROLLO Y POSICIONAMIENTO DE LA EMPRESA PRODUCTORA DE SAL “SAN JOAQUÍN”.</v>
      </c>
      <c r="B620" s="58">
        <f>IFERROR(__xludf.DUMMYFUNCTION("""COMPUTED_VALUE"""),2.0)</f>
        <v>2</v>
      </c>
    </row>
    <row r="621">
      <c r="A621" s="58" t="str">
        <f>IFERROR(__xludf.DUMMYFUNCTION("""COMPUTED_VALUE"""),"PLAN DE NEGOCIOS PARA EL JUGO DE CAMU CAMU")</f>
        <v>PLAN DE NEGOCIOS PARA EL JUGO DE CAMU CAMU</v>
      </c>
      <c r="B621" s="58">
        <f>IFERROR(__xludf.DUMMYFUNCTION("""COMPUTED_VALUE"""),1.0)</f>
        <v>1</v>
      </c>
    </row>
    <row r="622">
      <c r="A622" s="58" t="str">
        <f>IFERROR(__xludf.DUMMYFUNCTION("""COMPUTED_VALUE"""),"PLAN DE NEGOCIOS PARA LA AMPLIACION DE SERVICIOS DE REPARACION Y           MANTENIMIENTO DE EQUIPOS ELECTRONICOS Y DIGITALES DEL HOGAR PARA LA EMPRESA SISTEC (SISTEMAS TÉCNICOS ELÉCTRICOS).")</f>
        <v>PLAN DE NEGOCIOS PARA LA AMPLIACION DE SERVICIOS DE REPARACION Y           MANTENIMIENTO DE EQUIPOS ELECTRONICOS Y DIGITALES DEL HOGAR PARA LA EMPRESA SISTEC (SISTEMAS TÉCNICOS ELÉCTRICOS).</v>
      </c>
      <c r="B622" s="58">
        <f>IFERROR(__xludf.DUMMYFUNCTION("""COMPUTED_VALUE"""),1.0)</f>
        <v>1</v>
      </c>
    </row>
    <row r="623">
      <c r="A623" s="58" t="str">
        <f>IFERROR(__xludf.DUMMYFUNCTION("""COMPUTED_VALUE"""),"PLAN DE NEGOCIOS PARA LA EMPRESA GESMAQ – GESTIÓN DE SOLUCIONES EN MAQUINARIA")</f>
        <v>PLAN DE NEGOCIOS PARA LA EMPRESA GESMAQ – GESTIÓN DE SOLUCIONES EN MAQUINARIA</v>
      </c>
      <c r="B623" s="58">
        <f>IFERROR(__xludf.DUMMYFUNCTION("""COMPUTED_VALUE"""),1.0)</f>
        <v>1</v>
      </c>
    </row>
    <row r="624">
      <c r="A624" s="58" t="str">
        <f>IFERROR(__xludf.DUMMYFUNCTION("""COMPUTED_VALUE"""),"PLAN DE NEGOCIOS PARA LA FACTIBILIDAD DE UNA LÍNEA DE REFRESCOS EN BASE A TÉ VERDE PARA LA EMPRESA PATUJÚ DEL CLÚSTER DE ALIMENTOS")</f>
        <v>PLAN DE NEGOCIOS PARA LA FACTIBILIDAD DE UNA LÍNEA DE REFRESCOS EN BASE A TÉ VERDE PARA LA EMPRESA PATUJÚ DEL CLÚSTER DE ALIMENTOS</v>
      </c>
      <c r="B624" s="58">
        <f>IFERROR(__xludf.DUMMYFUNCTION("""COMPUTED_VALUE"""),1.0)</f>
        <v>1</v>
      </c>
    </row>
    <row r="625">
      <c r="A625" s="58" t="str">
        <f>IFERROR(__xludf.DUMMYFUNCTION("""COMPUTED_VALUE"""),"PLAN DE PREVENCIÓN DE RIESGOS LABORALES BASADO EN UN MAPA DE RIESGOS PARA LA DIVISIÓN DE PLANTA INTERNA EN COMTECO LTDA.")</f>
        <v>PLAN DE PREVENCIÓN DE RIESGOS LABORALES BASADO EN UN MAPA DE RIESGOS PARA LA DIVISIÓN DE PLANTA INTERNA EN COMTECO LTDA.</v>
      </c>
      <c r="B625" s="58">
        <f>IFERROR(__xludf.DUMMYFUNCTION("""COMPUTED_VALUE"""),1.0)</f>
        <v>1</v>
      </c>
    </row>
    <row r="626">
      <c r="A626" s="58" t="str">
        <f>IFERROR(__xludf.DUMMYFUNCTION("""COMPUTED_VALUE"""),"PLAN DE SANEAMIENTO BÁSICO Y DISEÑO DE UN SISTEMA DE BUENAS PRÁCTICAS DE MANUFACTURA PARA LA EMPRESA INPROFE (INDUSTRIA PROCESADORA DE FRUTA EXÓTICA)")</f>
        <v>PLAN DE SANEAMIENTO BÁSICO Y DISEÑO DE UN SISTEMA DE BUENAS PRÁCTICAS DE MANUFACTURA PARA LA EMPRESA INPROFE (INDUSTRIA PROCESADORA DE FRUTA EXÓTICA)</v>
      </c>
      <c r="B626" s="58">
        <f>IFERROR(__xludf.DUMMYFUNCTION("""COMPUTED_VALUE"""),1.0)</f>
        <v>1</v>
      </c>
    </row>
    <row r="627">
      <c r="A627" s="58" t="str">
        <f>IFERROR(__xludf.DUMMYFUNCTION("""COMPUTED_VALUE"""),"PLAN DE SEGURIDAD E HIGIENE INDUSTRIAL PARA
COBOCE-CERAMIL")</f>
        <v>PLAN DE SEGURIDAD E HIGIENE INDUSTRIAL PARA
COBOCE-CERAMIL</v>
      </c>
      <c r="B627" s="58">
        <f>IFERROR(__xludf.DUMMYFUNCTION("""COMPUTED_VALUE"""),1.0)</f>
        <v>1</v>
      </c>
    </row>
    <row r="628">
      <c r="A628" s="58" t="str">
        <f>IFERROR(__xludf.DUMMYFUNCTION("""COMPUTED_VALUE"""),"PLAN DE SEGURIDAD E HIGIENE INDUSTRIAL PARA COBOCE - CERAMIL")</f>
        <v>PLAN DE SEGURIDAD E HIGIENE INDUSTRIAL PARA COBOCE - CERAMIL</v>
      </c>
      <c r="B628" s="58">
        <f>IFERROR(__xludf.DUMMYFUNCTION("""COMPUTED_VALUE"""),7.0)</f>
        <v>7</v>
      </c>
    </row>
    <row r="629">
      <c r="A629" s="58" t="str">
        <f>IFERROR(__xludf.DUMMYFUNCTION("""COMPUTED_VALUE"""),"PLAN DE SEGURIDAD E HIGIENE INDUSTRIAL PARA EL TALLER DE ZAPATOS SENZANO")</f>
        <v>PLAN DE SEGURIDAD E HIGIENE INDUSTRIAL PARA EL TALLER DE ZAPATOS SENZANO</v>
      </c>
      <c r="B629" s="58">
        <f>IFERROR(__xludf.DUMMYFUNCTION("""COMPUTED_VALUE"""),1.0)</f>
        <v>1</v>
      </c>
    </row>
    <row r="630">
      <c r="A630" s="58" t="str">
        <f>IFERROR(__xludf.DUMMYFUNCTION("""COMPUTED_VALUE"""),"PLAN DE SEGURIDAD E HIGIENE INDUSTRIAL PARA LA CARPINTERÍA LYRAKI")</f>
        <v>PLAN DE SEGURIDAD E HIGIENE INDUSTRIAL PARA LA CARPINTERÍA LYRAKI</v>
      </c>
      <c r="B630" s="58">
        <f>IFERROR(__xludf.DUMMYFUNCTION("""COMPUTED_VALUE"""),1.0)</f>
        <v>1</v>
      </c>
    </row>
    <row r="631">
      <c r="A631" s="58" t="str">
        <f>IFERROR(__xludf.DUMMYFUNCTION("""COMPUTED_VALUE"""),"PLAN DE SEGURIDAD E HIGIENE INDUSTRIAL PARA LA CENTRAL DE ESTERILIZACIÓN DEL HOSPITAL MATERNO INFANTIL GERMÁN URQUIDI")</f>
        <v>PLAN DE SEGURIDAD E HIGIENE INDUSTRIAL PARA LA CENTRAL DE ESTERILIZACIÓN DEL HOSPITAL MATERNO INFANTIL GERMÁN URQUIDI</v>
      </c>
      <c r="B631" s="58">
        <f>IFERROR(__xludf.DUMMYFUNCTION("""COMPUTED_VALUE"""),1.0)</f>
        <v>1</v>
      </c>
    </row>
    <row r="632">
      <c r="A632" s="58" t="str">
        <f>IFERROR(__xludf.DUMMYFUNCTION("""COMPUTED_VALUE"""),"PLAN DE SEGURIDAD E HIGIENE INDUSTRIAL PARA LA EMPRESA DE PLÁSTICOS INALPLAS S.R.L.")</f>
        <v>PLAN DE SEGURIDAD E HIGIENE INDUSTRIAL PARA LA EMPRESA DE PLÁSTICOS INALPLAS S.R.L.</v>
      </c>
      <c r="B632" s="58">
        <f>IFERROR(__xludf.DUMMYFUNCTION("""COMPUTED_VALUE"""),3.0)</f>
        <v>3</v>
      </c>
    </row>
    <row r="633">
      <c r="A633" s="58" t="str">
        <f>IFERROR(__xludf.DUMMYFUNCTION("""COMPUTED_VALUE"""),"PLAN DE SEGURIDAD E HIGIENE INDUSTRIAL PARA LA FABRICA DE PLÁSTICOS F+E LTDA.")</f>
        <v>PLAN DE SEGURIDAD E HIGIENE INDUSTRIAL PARA LA FABRICA DE PLÁSTICOS F+E LTDA.</v>
      </c>
      <c r="B633" s="58">
        <f>IFERROR(__xludf.DUMMYFUNCTION("""COMPUTED_VALUE"""),1.0)</f>
        <v>1</v>
      </c>
    </row>
    <row r="634">
      <c r="A634" s="58" t="str">
        <f>IFERROR(__xludf.DUMMYFUNCTION("""COMPUTED_VALUE"""),"PLAN DE SEGURIDAD E HIGIENE INDUSTRIAL PARA LA FÁBRICA DE PLÁSTICOS DERQUI S.R.L.")</f>
        <v>PLAN DE SEGURIDAD E HIGIENE INDUSTRIAL PARA LA FÁBRICA DE PLÁSTICOS DERQUI S.R.L.</v>
      </c>
      <c r="B634" s="58">
        <f>IFERROR(__xludf.DUMMYFUNCTION("""COMPUTED_VALUE"""),10.0)</f>
        <v>10</v>
      </c>
    </row>
    <row r="635">
      <c r="A635" s="58" t="str">
        <f>IFERROR(__xludf.DUMMYFUNCTION("""COMPUTED_VALUE"""),"PLAN DE SEGURIDAD E HIGIENE INDUSTRIAL Y BUENAS PRÁCTICAS DE MANUFACTURA")</f>
        <v>PLAN DE SEGURIDAD E HIGIENE INDUSTRIAL Y BUENAS PRÁCTICAS DE MANUFACTURA</v>
      </c>
      <c r="B635" s="58">
        <f>IFERROR(__xludf.DUMMYFUNCTION("""COMPUTED_VALUE"""),1.0)</f>
        <v>1</v>
      </c>
    </row>
    <row r="636">
      <c r="A636" s="58" t="str">
        <f>IFERROR(__xludf.DUMMYFUNCTION("""COMPUTED_VALUE"""),"PLAN DE SEGURIDAD E HIGIENE OCUPACIONAL PARA LA CONSTRUCTORA “ROWCOR”")</f>
        <v>PLAN DE SEGURIDAD E HIGIENE OCUPACIONAL PARA LA CONSTRUCTORA “ROWCOR”</v>
      </c>
      <c r="B636" s="58">
        <f>IFERROR(__xludf.DUMMYFUNCTION("""COMPUTED_VALUE"""),9.0)</f>
        <v>9</v>
      </c>
    </row>
    <row r="637">
      <c r="A637" s="58" t="str">
        <f>IFERROR(__xludf.DUMMYFUNCTION("""COMPUTED_VALUE"""),"PLAN DE SEGURIDAD E HIGIENE OCUPACIONAL PARA LA EMPRESA CONSTRUCTORA TÉCNICA ARANIBAR GARCÍA S.R.L.")</f>
        <v>PLAN DE SEGURIDAD E HIGIENE OCUPACIONAL PARA LA EMPRESA CONSTRUCTORA TÉCNICA ARANIBAR GARCÍA S.R.L.</v>
      </c>
      <c r="B637" s="58">
        <f>IFERROR(__xludf.DUMMYFUNCTION("""COMPUTED_VALUE"""),2.0)</f>
        <v>2</v>
      </c>
    </row>
    <row r="638">
      <c r="A638" s="58" t="str">
        <f>IFERROR(__xludf.DUMMYFUNCTION("""COMPUTED_VALUE"""),"PLAN DE SEGURIDAD E HIGIENE OCUPACIONAL PARA LA EMPRESA SATELICAR LOGÍSTICA Y SERVICIOS S.A.")</f>
        <v>PLAN DE SEGURIDAD E HIGIENE OCUPACIONAL PARA LA EMPRESA SATELICAR LOGÍSTICA Y SERVICIOS S.A.</v>
      </c>
      <c r="B638" s="58">
        <f>IFERROR(__xludf.DUMMYFUNCTION("""COMPUTED_VALUE"""),1.0)</f>
        <v>1</v>
      </c>
    </row>
    <row r="639">
      <c r="A639" s="58" t="str">
        <f>IFERROR(__xludf.DUMMYFUNCTION("""COMPUTED_VALUE"""),"PLAN DE SEGURIDAD INDUSTRIAL E HIGIENE OCUPACIONAL PARA LA CONSTRUCTORA COSSIO")</f>
        <v>PLAN DE SEGURIDAD INDUSTRIAL E HIGIENE OCUPACIONAL PARA LA CONSTRUCTORA COSSIO</v>
      </c>
      <c r="B639" s="58">
        <f>IFERROR(__xludf.DUMMYFUNCTION("""COMPUTED_VALUE"""),4.0)</f>
        <v>4</v>
      </c>
    </row>
    <row r="640">
      <c r="A640" s="58" t="str">
        <f>IFERROR(__xludf.DUMMYFUNCTION("""COMPUTED_VALUE"""),"PLAN DE SEGURIDAD INDUSTRIAL E HIGIENE OCUPACIONAL PARA LA CURTIEMBRE F.M.")</f>
        <v>PLAN DE SEGURIDAD INDUSTRIAL E HIGIENE OCUPACIONAL PARA LA CURTIEMBRE F.M.</v>
      </c>
      <c r="B640" s="58">
        <f>IFERROR(__xludf.DUMMYFUNCTION("""COMPUTED_VALUE"""),2.0)</f>
        <v>2</v>
      </c>
    </row>
    <row r="641">
      <c r="A641" s="58" t="str">
        <f>IFERROR(__xludf.DUMMYFUNCTION("""COMPUTED_VALUE"""),"PLAN DE SEGURIDAD INDUSTRIAL E HIGIENE OCUPACIONAL PARA LA EMBOTELLADORA CASCADA S.A.")</f>
        <v>PLAN DE SEGURIDAD INDUSTRIAL E HIGIENE OCUPACIONAL PARA LA EMBOTELLADORA CASCADA S.A.</v>
      </c>
      <c r="B641" s="58">
        <f>IFERROR(__xludf.DUMMYFUNCTION("""COMPUTED_VALUE"""),2.0)</f>
        <v>2</v>
      </c>
    </row>
    <row r="642">
      <c r="A642" s="58" t="str">
        <f>IFERROR(__xludf.DUMMYFUNCTION("""COMPUTED_VALUE"""),"PLAN DE SEGURIDAD INDUSTRIAL E HIGIENE OCUPACIONAL PARA LA EMPRESA AMIPROCAL")</f>
        <v>PLAN DE SEGURIDAD INDUSTRIAL E HIGIENE OCUPACIONAL PARA LA EMPRESA AMIPROCAL</v>
      </c>
      <c r="B642" s="58">
        <f>IFERROR(__xludf.DUMMYFUNCTION("""COMPUTED_VALUE"""),1.0)</f>
        <v>1</v>
      </c>
    </row>
    <row r="643">
      <c r="A643" s="58" t="str">
        <f>IFERROR(__xludf.DUMMYFUNCTION("""COMPUTED_VALUE"""),"PLAN DE SEGURIDAD INDUSTRIAL E HIGIENE OCUPACIONAL PARA LA EMPRESA DE PLASTICOS ECOPLASTIC S.R.L.”.")</f>
        <v>PLAN DE SEGURIDAD INDUSTRIAL E HIGIENE OCUPACIONAL PARA LA EMPRESA DE PLASTICOS ECOPLASTIC S.R.L.”.</v>
      </c>
      <c r="B643" s="58">
        <f>IFERROR(__xludf.DUMMYFUNCTION("""COMPUTED_VALUE"""),5.0)</f>
        <v>5</v>
      </c>
    </row>
    <row r="644">
      <c r="A644" s="58" t="str">
        <f>IFERROR(__xludf.DUMMYFUNCTION("""COMPUTED_VALUE"""),"PLAN DE SEGURIDAD INDUSTRIAL E HIGIENE OCUPACIONAL PARA LA FÁBRICA DE PRODUCTOS DE PLÁSTICO ALCÓCER S.R.L.")</f>
        <v>PLAN DE SEGURIDAD INDUSTRIAL E HIGIENE OCUPACIONAL PARA LA FÁBRICA DE PRODUCTOS DE PLÁSTICO ALCÓCER S.R.L.</v>
      </c>
      <c r="B644" s="58">
        <f>IFERROR(__xludf.DUMMYFUNCTION("""COMPUTED_VALUE"""),1.0)</f>
        <v>1</v>
      </c>
    </row>
    <row r="645">
      <c r="A645" s="58" t="str">
        <f>IFERROR(__xludf.DUMMYFUNCTION("""COMPUTED_VALUE"""),"PLAN DE SEGURIDAD INDUSTRIAL PARA EL COLEGIO AGUA VIVA DE ROCA")</f>
        <v>PLAN DE SEGURIDAD INDUSTRIAL PARA EL COLEGIO AGUA VIVA DE ROCA</v>
      </c>
      <c r="B645" s="58">
        <f>IFERROR(__xludf.DUMMYFUNCTION("""COMPUTED_VALUE"""),3.0)</f>
        <v>3</v>
      </c>
    </row>
    <row r="646">
      <c r="A646" s="58" t="str">
        <f>IFERROR(__xludf.DUMMYFUNCTION("""COMPUTED_VALUE"""),"PLAN DE SEGURIDAD INDUSTRIAL Y SALUD EN EL TRABAJO PARA LA EMPRESA
“CONSTRUCTORA WIFERA S.R.L”
SEGÚN NORMA ISO 45001:2016
DE LA CIUDAD DE COCHABAMBA")</f>
        <v>PLAN DE SEGURIDAD INDUSTRIAL Y SALUD EN EL TRABAJO PARA LA EMPRESA
“CONSTRUCTORA WIFERA S.R.L”
SEGÚN NORMA ISO 45001:2016
DE LA CIUDAD DE COCHABAMBA</v>
      </c>
      <c r="B646" s="58">
        <f>IFERROR(__xludf.DUMMYFUNCTION("""COMPUTED_VALUE"""),1.0)</f>
        <v>1</v>
      </c>
    </row>
    <row r="647">
      <c r="A647" s="58" t="str">
        <f>IFERROR(__xludf.DUMMYFUNCTION("""COMPUTED_VALUE"""),"PLAN DE SEGURIDAD INDUSTRIAL Y SALUD EN EL TRABAJO PARA LA EMPRESA CONSTRUCTORA WIFERA S.R.L SEGÚN LA NORMA ISO 45001:2016 DE LA CIUDAD DE COCHABAMBA")</f>
        <v>PLAN DE SEGURIDAD INDUSTRIAL Y SALUD EN EL TRABAJO PARA LA EMPRESA CONSTRUCTORA WIFERA S.R.L SEGÚN LA NORMA ISO 45001:2016 DE LA CIUDAD DE COCHABAMBA</v>
      </c>
      <c r="B647" s="58">
        <f>IFERROR(__xludf.DUMMYFUNCTION("""COMPUTED_VALUE"""),13.0)</f>
        <v>13</v>
      </c>
    </row>
    <row r="648">
      <c r="A648" s="58" t="str">
        <f>IFERROR(__xludf.DUMMYFUNCTION("""COMPUTED_VALUE"""),"PLAN DE SEGURIDAD INDUSTRIAL Y SALUD OCUPACIONAL PARA LA CURTIEMBRE SAN ANTONIO PUNATA")</f>
        <v>PLAN DE SEGURIDAD INDUSTRIAL Y SALUD OCUPACIONAL PARA LA CURTIEMBRE SAN ANTONIO PUNATA</v>
      </c>
      <c r="B648" s="58">
        <f>IFERROR(__xludf.DUMMYFUNCTION("""COMPUTED_VALUE"""),4.0)</f>
        <v>4</v>
      </c>
    </row>
    <row r="649">
      <c r="A649" s="58" t="str">
        <f>IFERROR(__xludf.DUMMYFUNCTION("""COMPUTED_VALUE"""),"PLAN DE SEGURIDAD INDUSTRIAL Y SALUD OCUPACIONAL PARA LA EMPRESA METAL MECÁNICA MARQUEZ")</f>
        <v>PLAN DE SEGURIDAD INDUSTRIAL Y SALUD OCUPACIONAL PARA LA EMPRESA METAL MECÁNICA MARQUEZ</v>
      </c>
      <c r="B649" s="58">
        <f>IFERROR(__xludf.DUMMYFUNCTION("""COMPUTED_VALUE"""),1.0)</f>
        <v>1</v>
      </c>
    </row>
    <row r="650">
      <c r="A650" s="58" t="str">
        <f>IFERROR(__xludf.DUMMYFUNCTION("""COMPUTED_VALUE"""),"PLAN DE SEGURIDAD INDUSTRIAL Y SALUD OCUPACIONAL PARA LA INDUSTRIA FACER S.R.L. EN EL MARCO DEL DECRETO LEY 16998")</f>
        <v>PLAN DE SEGURIDAD INDUSTRIAL Y SALUD OCUPACIONAL PARA LA INDUSTRIA FACER S.R.L. EN EL MARCO DEL DECRETO LEY 16998</v>
      </c>
      <c r="B650" s="58">
        <f>IFERROR(__xludf.DUMMYFUNCTION("""COMPUTED_VALUE"""),8.0)</f>
        <v>8</v>
      </c>
    </row>
    <row r="651">
      <c r="A651" s="58" t="str">
        <f>IFERROR(__xludf.DUMMYFUNCTION("""COMPUTED_VALUE"""),"PLAN DE SEGURIDAD INDUSTRIAL, SALUD E HIGIENE OCUPACIONAL Y GESTIÓN MEDIO AMBIENTAL PARA LA “CURTIEMBRE JAZMÍN”")</f>
        <v>PLAN DE SEGURIDAD INDUSTRIAL, SALUD E HIGIENE OCUPACIONAL Y GESTIÓN MEDIO AMBIENTAL PARA LA “CURTIEMBRE JAZMÍN”</v>
      </c>
      <c r="B651" s="58">
        <f>IFERROR(__xludf.DUMMYFUNCTION("""COMPUTED_VALUE"""),1.0)</f>
        <v>1</v>
      </c>
    </row>
    <row r="652">
      <c r="A652" s="58" t="str">
        <f>IFERROR(__xludf.DUMMYFUNCTION("""COMPUTED_VALUE"""),"PLAN DE SEGURIDAD Y SALUD OCUPACIONAL PARA LA EMPRESA FLORALEX")</f>
        <v>PLAN DE SEGURIDAD Y SALUD OCUPACIONAL PARA LA EMPRESA FLORALEX</v>
      </c>
      <c r="B652" s="58">
        <f>IFERROR(__xludf.DUMMYFUNCTION("""COMPUTED_VALUE"""),2.0)</f>
        <v>2</v>
      </c>
    </row>
    <row r="653">
      <c r="A653" s="58" t="str">
        <f>IFERROR(__xludf.DUMMYFUNCTION("""COMPUTED_VALUE"""),"PLAN DE SEGURIDAD Y SALUD OCUPACIONAL PARA LA EMPRESA “EL SOL” BASADO EN LA NORMA OHSAS 18001:2008")</f>
        <v>PLAN DE SEGURIDAD Y SALUD OCUPACIONAL PARA LA EMPRESA “EL SOL” BASADO EN LA NORMA OHSAS 18001:2008</v>
      </c>
      <c r="B653" s="58">
        <f>IFERROR(__xludf.DUMMYFUNCTION("""COMPUTED_VALUE"""),1.0)</f>
        <v>1</v>
      </c>
    </row>
    <row r="654">
      <c r="A654" s="58" t="str">
        <f>IFERROR(__xludf.DUMMYFUNCTION("""COMPUTED_VALUE"""),"PLAN DE SEGURIDAD Y SALUD OCUPACIONAL PARA LA INDUSTRIA DE MANEJO DE RESIDUOS “RX”")</f>
        <v>PLAN DE SEGURIDAD Y SALUD OCUPACIONAL PARA LA INDUSTRIA DE MANEJO DE RESIDUOS “RX”</v>
      </c>
      <c r="B654" s="58">
        <f>IFERROR(__xludf.DUMMYFUNCTION("""COMPUTED_VALUE"""),1.0)</f>
        <v>1</v>
      </c>
    </row>
    <row r="655">
      <c r="A655" s="58" t="str">
        <f>IFERROR(__xludf.DUMMYFUNCTION("""COMPUTED_VALUE"""),"PLAN ESTRATEGICO PARA LA FEDERACION DE LA MICRO Y PEQUEÑA EMPRESA (FEDEMYPE) DEL RUBRO TEXTIL Y CONFECCIONES DEL DEPARTAMENTO DE COCHABAMBA PARA LAS GESTIONES 2019- 2023.")</f>
        <v>PLAN ESTRATEGICO PARA LA FEDERACION DE LA MICRO Y PEQUEÑA EMPRESA (FEDEMYPE) DEL RUBRO TEXTIL Y CONFECCIONES DEL DEPARTAMENTO DE COCHABAMBA PARA LAS GESTIONES 2019- 2023.</v>
      </c>
      <c r="B655" s="58">
        <f>IFERROR(__xludf.DUMMYFUNCTION("""COMPUTED_VALUE"""),1.0)</f>
        <v>1</v>
      </c>
    </row>
    <row r="656">
      <c r="A656" s="58" t="str">
        <f>IFERROR(__xludf.DUMMYFUNCTION("""COMPUTED_VALUE"""),"PLAN ESTRATEGICO Y OPERATIVO PARA LA INICIATIVA DE INNOVACION EN LA INDUSTRIA DE PSEUDOCEREALES ANDINOS DESARROLLADA EN EL CAPN-UMSS")</f>
        <v>PLAN ESTRATEGICO Y OPERATIVO PARA LA INICIATIVA DE INNOVACION EN LA INDUSTRIA DE PSEUDOCEREALES ANDINOS DESARROLLADA EN EL CAPN-UMSS</v>
      </c>
      <c r="B656" s="58">
        <f>IFERROR(__xludf.DUMMYFUNCTION("""COMPUTED_VALUE"""),1.0)</f>
        <v>1</v>
      </c>
    </row>
    <row r="657">
      <c r="A657" s="58" t="str">
        <f>IFERROR(__xludf.DUMMYFUNCTION("""COMPUTED_VALUE"""),"PLAN ESTRATÉGICO DE DESARROLLO PARA LA CARRERA DE INGENIERÍA CIVIL DE LA UNIVERSIDAD MAYOR DE SAN SIMÓN")</f>
        <v>PLAN ESTRATÉGICO DE DESARROLLO PARA LA CARRERA DE INGENIERÍA CIVIL DE LA UNIVERSIDAD MAYOR DE SAN SIMÓN</v>
      </c>
      <c r="B657" s="58">
        <f>IFERROR(__xludf.DUMMYFUNCTION("""COMPUTED_VALUE"""),5.0)</f>
        <v>5</v>
      </c>
    </row>
    <row r="658">
      <c r="A658" s="58" t="str">
        <f>IFERROR(__xludf.DUMMYFUNCTION("""COMPUTED_VALUE"""),"PLAN ESTRATÉGICO DE DESARROLLO PARA LA CARRERA DE INGENIERÍA DE SISTEMAS DE LA FACULTAD DE CIENCIAS Y TECNOLOGÍA DE LA UNIVERSIDAD MAYOR DE SAN SIMÓN   2019-2023")</f>
        <v>PLAN ESTRATÉGICO DE DESARROLLO PARA LA CARRERA DE INGENIERÍA DE SISTEMAS DE LA FACULTAD DE CIENCIAS Y TECNOLOGÍA DE LA UNIVERSIDAD MAYOR DE SAN SIMÓN   2019-2023</v>
      </c>
      <c r="B658" s="58">
        <f>IFERROR(__xludf.DUMMYFUNCTION("""COMPUTED_VALUE"""),7.0)</f>
        <v>7</v>
      </c>
    </row>
    <row r="659">
      <c r="A659" s="58" t="str">
        <f>IFERROR(__xludf.DUMMYFUNCTION("""COMPUTED_VALUE"""),"PLAN ESTRATÉGICO DE LA EMPRESA EBANOR S.R.L.")</f>
        <v>PLAN ESTRATÉGICO DE LA EMPRESA EBANOR S.R.L.</v>
      </c>
      <c r="B659" s="58">
        <f>IFERROR(__xludf.DUMMYFUNCTION("""COMPUTED_VALUE"""),1.0)</f>
        <v>1</v>
      </c>
    </row>
    <row r="660">
      <c r="A660" s="58" t="str">
        <f>IFERROR(__xludf.DUMMYFUNCTION("""COMPUTED_VALUE"""),"PLAN ESTRATÉGICO DE MARKETING  PARA LA TIENDA DEL CLUSTER DE  ALIMENTOS COCHABAMBA DE LA UNIVERSIDAD MAYOR DE SAN SIMÓN")</f>
        <v>PLAN ESTRATÉGICO DE MARKETING  PARA LA TIENDA DEL CLUSTER DE  ALIMENTOS COCHABAMBA DE LA UNIVERSIDAD MAYOR DE SAN SIMÓN</v>
      </c>
      <c r="B660" s="58">
        <f>IFERROR(__xludf.DUMMYFUNCTION("""COMPUTED_VALUE"""),1.0)</f>
        <v>1</v>
      </c>
    </row>
    <row r="661">
      <c r="A661" s="58" t="str">
        <f>IFERROR(__xludf.DUMMYFUNCTION("""COMPUTED_VALUE"""),"PLAN ESTRATÉGICO DE MARKETING PARA EL CENTRO DE CAPACITACIÓN INTEGRAL PRONOIA S.R.L")</f>
        <v>PLAN ESTRATÉGICO DE MARKETING PARA EL CENTRO DE CAPACITACIÓN INTEGRAL PRONOIA S.R.L</v>
      </c>
      <c r="B661" s="58">
        <f>IFERROR(__xludf.DUMMYFUNCTION("""COMPUTED_VALUE"""),2.0)</f>
        <v>2</v>
      </c>
    </row>
    <row r="662">
      <c r="A662" s="58" t="str">
        <f>IFERROR(__xludf.DUMMYFUNCTION("""COMPUTED_VALUE"""),"PLAN ESTRATÉGICO DE MARKETING PARA EL LANZAMIENTO DE CARNE DE MEMBRILLO PARA LA EMPRESA CORDILL S.A.")</f>
        <v>PLAN ESTRATÉGICO DE MARKETING PARA EL LANZAMIENTO DE CARNE DE MEMBRILLO PARA LA EMPRESA CORDILL S.A.</v>
      </c>
      <c r="B662" s="58">
        <f>IFERROR(__xludf.DUMMYFUNCTION("""COMPUTED_VALUE"""),1.0)</f>
        <v>1</v>
      </c>
    </row>
    <row r="663">
      <c r="A663" s="58" t="str">
        <f>IFERROR(__xludf.DUMMYFUNCTION("""COMPUTED_VALUE"""),"PLAN ESTRATÉGICO DE MARKETING PARA EL POSICIONAMIENTO EN EL MERCADO Y APERTURA DE SUCURSALES EN SACABA Y QUILLACOLLO PARA LA EMPRESA TRANSFER ANDINA S.R.L.")</f>
        <v>PLAN ESTRATÉGICO DE MARKETING PARA EL POSICIONAMIENTO EN EL MERCADO Y APERTURA DE SUCURSALES EN SACABA Y QUILLACOLLO PARA LA EMPRESA TRANSFER ANDINA S.R.L.</v>
      </c>
      <c r="B663" s="58">
        <f>IFERROR(__xludf.DUMMYFUNCTION("""COMPUTED_VALUE"""),3.0)</f>
        <v>3</v>
      </c>
    </row>
    <row r="664">
      <c r="A664" s="58" t="str">
        <f>IFERROR(__xludf.DUMMYFUNCTION("""COMPUTED_VALUE"""),"PLAN ESTRATÉGICO DE MARKETING PARA INCREMENTAR LA VENTA DE POLERAS DE VESTIR CASUALES DE LA EMPRESA ROSS – CONFECCIONES")</f>
        <v>PLAN ESTRATÉGICO DE MARKETING PARA INCREMENTAR LA VENTA DE POLERAS DE VESTIR CASUALES DE LA EMPRESA ROSS – CONFECCIONES</v>
      </c>
      <c r="B664" s="58">
        <f>IFERROR(__xludf.DUMMYFUNCTION("""COMPUTED_VALUE"""),1.0)</f>
        <v>1</v>
      </c>
    </row>
    <row r="665">
      <c r="A665" s="58" t="str">
        <f>IFERROR(__xludf.DUMMYFUNCTION("""COMPUTED_VALUE"""),"PLAN ESTRATÉGICO DE MARKETING PARA LA COMERCIALIZACIÓN DE HELADOS DE LA FÁBRICA DE HIELOS “CRISTAL")</f>
        <v>PLAN ESTRATÉGICO DE MARKETING PARA LA COMERCIALIZACIÓN DE HELADOS DE LA FÁBRICA DE HIELOS “CRISTAL</v>
      </c>
      <c r="B665" s="58">
        <f>IFERROR(__xludf.DUMMYFUNCTION("""COMPUTED_VALUE"""),2.0)</f>
        <v>2</v>
      </c>
    </row>
    <row r="666">
      <c r="A666" s="58" t="str">
        <f>IFERROR(__xludf.DUMMYFUNCTION("""COMPUTED_VALUE"""),"PLAN ESTRATÉGICO DE MARKETING PARA LA COMERCIALIZACIÓN DE QUESOS PARA INDUSTRIAS LÁCTEAS DEL VALLE ALTO ILVA")</f>
        <v>PLAN ESTRATÉGICO DE MARKETING PARA LA COMERCIALIZACIÓN DE QUESOS PARA INDUSTRIAS LÁCTEAS DEL VALLE ALTO ILVA</v>
      </c>
      <c r="B666" s="58">
        <f>IFERROR(__xludf.DUMMYFUNCTION("""COMPUTED_VALUE"""),1.0)</f>
        <v>1</v>
      </c>
    </row>
    <row r="667">
      <c r="A667" s="58" t="str">
        <f>IFERROR(__xludf.DUMMYFUNCTION("""COMPUTED_VALUE"""),"PLAN ESTRATÉGICO DE MARKETING PARA LA EMPRESA DE MARKETING DIGITAL “SOCIAL BRAND” PARA PYMES EN LA CIUDAD DE COCHABAMBA”.")</f>
        <v>PLAN ESTRATÉGICO DE MARKETING PARA LA EMPRESA DE MARKETING DIGITAL “SOCIAL BRAND” PARA PYMES EN LA CIUDAD DE COCHABAMBA”.</v>
      </c>
      <c r="B667" s="58">
        <f>IFERROR(__xludf.DUMMYFUNCTION("""COMPUTED_VALUE"""),9.0)</f>
        <v>9</v>
      </c>
    </row>
    <row r="668">
      <c r="A668" s="58" t="str">
        <f>IFERROR(__xludf.DUMMYFUNCTION("""COMPUTED_VALUE"""),"PLAN ESTRATÉGICO DE MARKETING PARA LA EMPRESA IMPORTADORA DE GRIFERÍA Y EQUIPOS SANITARIOS “IMEXTRAN SRL")</f>
        <v>PLAN ESTRATÉGICO DE MARKETING PARA LA EMPRESA IMPORTADORA DE GRIFERÍA Y EQUIPOS SANITARIOS “IMEXTRAN SRL</v>
      </c>
      <c r="B668" s="58">
        <f>IFERROR(__xludf.DUMMYFUNCTION("""COMPUTED_VALUE"""),1.0)</f>
        <v>1</v>
      </c>
    </row>
    <row r="669">
      <c r="A669" s="58" t="str">
        <f>IFERROR(__xludf.DUMMYFUNCTION("""COMPUTED_VALUE"""),"PLAN ESTRATÉGICO DE MARKETING PARA LA EMPRESA VANGUARDIA")</f>
        <v>PLAN ESTRATÉGICO DE MARKETING PARA LA EMPRESA VANGUARDIA</v>
      </c>
      <c r="B669" s="58">
        <f>IFERROR(__xludf.DUMMYFUNCTION("""COMPUTED_VALUE"""),2.0)</f>
        <v>2</v>
      </c>
    </row>
    <row r="670">
      <c r="A670" s="58" t="str">
        <f>IFERROR(__xludf.DUMMYFUNCTION("""COMPUTED_VALUE"""),"PLAN ESTRATÉGICO DE MARKETING PARA LA INTRODUCCIÓN DEL PRODUCTO ROPA JUVENIL PARA CONFECCIONES ALCON FREE PARA EL MERCADO DE COCHABAMBA CERCADO")</f>
        <v>PLAN ESTRATÉGICO DE MARKETING PARA LA INTRODUCCIÓN DEL PRODUCTO ROPA JUVENIL PARA CONFECCIONES ALCON FREE PARA EL MERCADO DE COCHABAMBA CERCADO</v>
      </c>
      <c r="B670" s="58">
        <f>IFERROR(__xludf.DUMMYFUNCTION("""COMPUTED_VALUE"""),4.0)</f>
        <v>4</v>
      </c>
    </row>
    <row r="671">
      <c r="A671" s="58" t="str">
        <f>IFERROR(__xludf.DUMMYFUNCTION("""COMPUTED_VALUE"""),"PLAN ESTRATÉGICO DE MARKETING PARA LA LÍNEA DE TANQUES CON FILTRO PARA LA EMPRESA METINSERINOX EN LA CIUDAD DE COCHABAMBA")</f>
        <v>PLAN ESTRATÉGICO DE MARKETING PARA LA LÍNEA DE TANQUES CON FILTRO PARA LA EMPRESA METINSERINOX EN LA CIUDAD DE COCHABAMBA</v>
      </c>
      <c r="B671" s="58">
        <f>IFERROR(__xludf.DUMMYFUNCTION("""COMPUTED_VALUE"""),1.0)</f>
        <v>1</v>
      </c>
    </row>
    <row r="672">
      <c r="A672" s="58" t="str">
        <f>IFERROR(__xludf.DUMMYFUNCTION("""COMPUTED_VALUE"""),"PLAN ESTRATÉGICO DE MARKETING PARA LA MUEBLERÍA SANABRIA")</f>
        <v>PLAN ESTRATÉGICO DE MARKETING PARA LA MUEBLERÍA SANABRIA</v>
      </c>
      <c r="B672" s="58">
        <f>IFERROR(__xludf.DUMMYFUNCTION("""COMPUTED_VALUE"""),1.0)</f>
        <v>1</v>
      </c>
    </row>
    <row r="673">
      <c r="A673" s="58" t="str">
        <f>IFERROR(__xludf.DUMMYFUNCTION("""COMPUTED_VALUE"""),"PLAN ESTRATÉGICO DE MARKETING PARA LA NUEVA LÍNEA DE LUBRICANTES INDUSTRIALES YPFB.")</f>
        <v>PLAN ESTRATÉGICO DE MARKETING PARA LA NUEVA LÍNEA DE LUBRICANTES INDUSTRIALES YPFB.</v>
      </c>
      <c r="B673" s="58">
        <f>IFERROR(__xludf.DUMMYFUNCTION("""COMPUTED_VALUE"""),2.0)</f>
        <v>2</v>
      </c>
    </row>
    <row r="674">
      <c r="A674" s="58" t="str">
        <f>IFERROR(__xludf.DUMMYFUNCTION("""COMPUTED_VALUE"""),"PLAN ESTRATÉGICO ORIENTADO A LA SATISFACCIÓN DEL CLIENTE PARA LA ELFEC S.A")</f>
        <v>PLAN ESTRATÉGICO ORIENTADO A LA SATISFACCIÓN DEL CLIENTE PARA LA ELFEC S.A</v>
      </c>
      <c r="B674" s="58">
        <f>IFERROR(__xludf.DUMMYFUNCTION("""COMPUTED_VALUE"""),1.0)</f>
        <v>1</v>
      </c>
    </row>
    <row r="675">
      <c r="A675" s="58" t="str">
        <f>IFERROR(__xludf.DUMMYFUNCTION("""COMPUTED_VALUE"""),"PLAN ESTRATÉGICO PARA EL CENTRO DE ALIMENTOS Y PRODUCTOS NATURALES DE LA FACULTAD DE CIENCIAS Y TECNOLOGÍA – UNIVERSIDAD MAYOR DE SAN SIMÓN, 2020 - 2024")</f>
        <v>PLAN ESTRATÉGICO PARA EL CENTRO DE ALIMENTOS Y PRODUCTOS NATURALES DE LA FACULTAD DE CIENCIAS Y TECNOLOGÍA – UNIVERSIDAD MAYOR DE SAN SIMÓN, 2020 - 2024</v>
      </c>
      <c r="B675" s="58">
        <f>IFERROR(__xludf.DUMMYFUNCTION("""COMPUTED_VALUE"""),57.0)</f>
        <v>57</v>
      </c>
    </row>
    <row r="676">
      <c r="A676" s="58" t="str">
        <f>IFERROR(__xludf.DUMMYFUNCTION("""COMPUTED_VALUE"""),"PLAN ESTRATÉGICO PARA EL CENTRO DE LEVANTAMIENTOS AEROESPACIALES Y APLICACIONES SIG PARA EL DESARROLLO SOSTENIBLE DE LOS RECURSOS NATURALES DE LA UMSS 2019 – 2023")</f>
        <v>PLAN ESTRATÉGICO PARA EL CENTRO DE LEVANTAMIENTOS AEROESPACIALES Y APLICACIONES SIG PARA EL DESARROLLO SOSTENIBLE DE LOS RECURSOS NATURALES DE LA UMSS 2019 – 2023</v>
      </c>
      <c r="B676" s="58">
        <f>IFERROR(__xludf.DUMMYFUNCTION("""COMPUTED_VALUE"""),4.0)</f>
        <v>4</v>
      </c>
    </row>
    <row r="677">
      <c r="A677" s="58" t="str">
        <f>IFERROR(__xludf.DUMMYFUNCTION("""COMPUTED_VALUE"""),"PLAN ESTRATÉGICO PARA EL PROGRAMA DE DESARROLLO DE TECNOLOGÍAS DE FABRICACIÓN DE LA FACULTAD DE CIENCIAS Y TECNOLOGÍA DE LA UMSS")</f>
        <v>PLAN ESTRATÉGICO PARA EL PROGRAMA DE DESARROLLO DE TECNOLOGÍAS DE FABRICACIÓN DE LA FACULTAD DE CIENCIAS Y TECNOLOGÍA DE LA UMSS</v>
      </c>
      <c r="B677" s="58">
        <f>IFERROR(__xludf.DUMMYFUNCTION("""COMPUTED_VALUE"""),4.0)</f>
        <v>4</v>
      </c>
    </row>
    <row r="678">
      <c r="A678" s="58" t="str">
        <f>IFERROR(__xludf.DUMMYFUNCTION("""COMPUTED_VALUE"""),"PLAN ESTRATÉGICO PARA EMPRESA CREACIONES BOLIVIANITA")</f>
        <v>PLAN ESTRATÉGICO PARA EMPRESA CREACIONES BOLIVIANITA</v>
      </c>
      <c r="B678" s="58">
        <f>IFERROR(__xludf.DUMMYFUNCTION("""COMPUTED_VALUE"""),1.0)</f>
        <v>1</v>
      </c>
    </row>
    <row r="679">
      <c r="A679" s="58" t="str">
        <f>IFERROR(__xludf.DUMMYFUNCTION("""COMPUTED_VALUE"""),"PLAN ESTRATÉGICO PARA LA FEDERACIÓN DE LA MICRO Y PEQUEÑA EMPRESA (FEDEMYPE) DEL RUBRO TEXTIL Y CONFECCIONES DEL DEPARTAMENTO DE COCHABAMBA PARA LAS GESTIONES 2019- 2023")</f>
        <v>PLAN ESTRATÉGICO PARA LA FEDERACIÓN DE LA MICRO Y PEQUEÑA EMPRESA (FEDEMYPE) DEL RUBRO TEXTIL Y CONFECCIONES DEL DEPARTAMENTO DE COCHABAMBA PARA LAS GESTIONES 2019- 2023</v>
      </c>
      <c r="B679" s="58">
        <f>IFERROR(__xludf.DUMMYFUNCTION("""COMPUTED_VALUE"""),9.0)</f>
        <v>9</v>
      </c>
    </row>
    <row r="680">
      <c r="A680" s="58" t="str">
        <f>IFERROR(__xludf.DUMMYFUNCTION("""COMPUTED_VALUE"""),"PLAN ESTRATÉGICO PARA LA UNIDAD DE TRANSFERENCIA DE TECNOLOGÍA DE LA FCYT")</f>
        <v>PLAN ESTRATÉGICO PARA LA UNIDAD DE TRANSFERENCIA DE TECNOLOGÍA DE LA FCYT</v>
      </c>
      <c r="B680" s="58">
        <f>IFERROR(__xludf.DUMMYFUNCTION("""COMPUTED_VALUE"""),2.0)</f>
        <v>2</v>
      </c>
    </row>
    <row r="681">
      <c r="A681" s="58" t="str">
        <f>IFERROR(__xludf.DUMMYFUNCTION("""COMPUTED_VALUE"""),"PLAN ESTRATÉGICO PARA LAS ÁREAS DE PRODUCCIÓN Y COMERCIALIZACIÓN PARA LA EMPRESA DE LA CORDILLERA")</f>
        <v>PLAN ESTRATÉGICO PARA LAS ÁREAS DE PRODUCCIÓN Y COMERCIALIZACIÓN PARA LA EMPRESA DE LA CORDILLERA</v>
      </c>
      <c r="B681" s="58">
        <f>IFERROR(__xludf.DUMMYFUNCTION("""COMPUTED_VALUE"""),6.0)</f>
        <v>6</v>
      </c>
    </row>
    <row r="682">
      <c r="A682" s="58" t="str">
        <f>IFERROR(__xludf.DUMMYFUNCTION("""COMPUTED_VALUE"""),"PLAN ESTRATÉGICO Y OPERATIVO DE MARKETING PARA LA EMPRESA DE CALZADOS MALUCI")</f>
        <v>PLAN ESTRATÉGICO Y OPERATIVO DE MARKETING PARA LA EMPRESA DE CALZADOS MALUCI</v>
      </c>
      <c r="B682" s="58">
        <f>IFERROR(__xludf.DUMMYFUNCTION("""COMPUTED_VALUE"""),2.0)</f>
        <v>2</v>
      </c>
    </row>
    <row r="683">
      <c r="A683" s="58" t="str">
        <f>IFERROR(__xludf.DUMMYFUNCTION("""COMPUTED_VALUE"""),"PLAN MAESTRO DE MANTENIMIENTO PARA LA CORPORACIÓN BOLIVIANA DE BEBIDAS S.A. EN SU DEPARTAMENTO DE PRODUCCIÓN")</f>
        <v>PLAN MAESTRO DE MANTENIMIENTO PARA LA CORPORACIÓN BOLIVIANA DE BEBIDAS S.A. EN SU DEPARTAMENTO DE PRODUCCIÓN</v>
      </c>
      <c r="B683" s="58">
        <f>IFERROR(__xludf.DUMMYFUNCTION("""COMPUTED_VALUE"""),2.0)</f>
        <v>2</v>
      </c>
    </row>
    <row r="684">
      <c r="A684" s="58" t="str">
        <f>IFERROR(__xludf.DUMMYFUNCTION("""COMPUTED_VALUE"""),"PLAN PARA LA CONFORMACIÓN DE UN CLÚSTER DE TEXTILES Y CONFECCIONES EN LA FACULTAD DE CIENCIAS Y TECNOLOGÍA DE LA UMSS")</f>
        <v>PLAN PARA LA CONFORMACIÓN DE UN CLÚSTER DE TEXTILES Y CONFECCIONES EN LA FACULTAD DE CIENCIAS Y TECNOLOGÍA DE LA UMSS</v>
      </c>
      <c r="B684" s="58">
        <f>IFERROR(__xludf.DUMMYFUNCTION("""COMPUTED_VALUE"""),4.0)</f>
        <v>4</v>
      </c>
    </row>
    <row r="685">
      <c r="A685" s="58" t="str">
        <f>IFERROR(__xludf.DUMMYFUNCTION("""COMPUTED_VALUE"""),"PLAN PARA LA IMPLEMENTACIÓN DE LAS HERRAMIENTAS DE LA METODOLOGÍA WCM (WORLD CLASS  MANUFACTURING) DEL PILAR DE CALIDAD EN LA PLANTA DE DETERGENTES EN POLVO DE UNILEVER ANDINA BOLIVIA S.A.")</f>
        <v>PLAN PARA LA IMPLEMENTACIÓN DE LAS HERRAMIENTAS DE LA METODOLOGÍA WCM (WORLD CLASS  MANUFACTURING) DEL PILAR DE CALIDAD EN LA PLANTA DE DETERGENTES EN POLVO DE UNILEVER ANDINA BOLIVIA S.A.</v>
      </c>
      <c r="B685" s="58">
        <f>IFERROR(__xludf.DUMMYFUNCTION("""COMPUTED_VALUE"""),2.0)</f>
        <v>2</v>
      </c>
    </row>
    <row r="686">
      <c r="A686" s="58" t="str">
        <f>IFERROR(__xludf.DUMMYFUNCTION("""COMPUTED_VALUE"""),"PLAN PARA LA IMPLEMENTACIÓN DE LAS HERRAMIENTAS DE LA METODOLOGÍA WCM (WORLD CLASS MANUFACTURING) DEL PILAR DE CALIDAD EN LA PLANTA DE DETERGENTES EN POLVO DE UNILEVER ANDINA BOLIVIA S.A.")</f>
        <v>PLAN PARA LA IMPLEMENTACIÓN DE LAS HERRAMIENTAS DE LA METODOLOGÍA WCM (WORLD CLASS MANUFACTURING) DEL PILAR DE CALIDAD EN LA PLANTA DE DETERGENTES EN POLVO DE UNILEVER ANDINA BOLIVIA S.A.</v>
      </c>
      <c r="B686" s="58">
        <f>IFERROR(__xludf.DUMMYFUNCTION("""COMPUTED_VALUE"""),1.0)</f>
        <v>1</v>
      </c>
    </row>
    <row r="687">
      <c r="A687" s="58" t="str">
        <f>IFERROR(__xludf.DUMMYFUNCTION("""COMPUTED_VALUE"""),"PLAN PARA LA IMPLEMENTACIÓN DE LAS HERRAMIENTAS DE LA METODOLOGÍA WCM (WORLD CLASS MANUFACTURING) DEL PILAR DE CALIDADEN LA PLANTA DE DETERGENTES EN POLVO DE UNILEVER ANDINA BOLIVIA S.A.")</f>
        <v>PLAN PARA LA IMPLEMENTACIÓN DE LAS HERRAMIENTAS DE LA METODOLOGÍA WCM (WORLD CLASS MANUFACTURING) DEL PILAR DE CALIDADEN LA PLANTA DE DETERGENTES EN POLVO DE UNILEVER ANDINA BOLIVIA S.A.</v>
      </c>
      <c r="B687" s="58">
        <f>IFERROR(__xludf.DUMMYFUNCTION("""COMPUTED_VALUE"""),1.0)</f>
        <v>1</v>
      </c>
    </row>
    <row r="688">
      <c r="A688" s="58" t="str">
        <f>IFERROR(__xludf.DUMMYFUNCTION("""COMPUTED_VALUE"""),"PLANIFICACION Y CONTROL DE LA PRODUCCIÓN PARA LA EMPRESA “EMBOL S.A” EN EL DEPARTAMENTO DE LA PAZ-BOLIVIA")</f>
        <v>PLANIFICACION Y CONTROL DE LA PRODUCCIÓN PARA LA EMPRESA “EMBOL S.A” EN EL DEPARTAMENTO DE LA PAZ-BOLIVIA</v>
      </c>
      <c r="B688" s="58">
        <f>IFERROR(__xludf.DUMMYFUNCTION("""COMPUTED_VALUE"""),4.0)</f>
        <v>4</v>
      </c>
    </row>
    <row r="689">
      <c r="A689" s="58" t="str">
        <f>IFERROR(__xludf.DUMMYFUNCTION("""COMPUTED_VALUE"""),"PLANIFICACIÓN ESTRATÉGICA EN LA EMPRESA D' KAFFE")</f>
        <v>PLANIFICACIÓN ESTRATÉGICA EN LA EMPRESA D' KAFFE</v>
      </c>
      <c r="B689" s="58">
        <f>IFERROR(__xludf.DUMMYFUNCTION("""COMPUTED_VALUE"""),9.0)</f>
        <v>9</v>
      </c>
    </row>
    <row r="690">
      <c r="A690" s="58" t="str">
        <f>IFERROR(__xludf.DUMMYFUNCTION("""COMPUTED_VALUE"""),"PLANIFICACIÓN ESTRATÉGICA PARA LA CURTIEMBRE TAURO LTDA")</f>
        <v>PLANIFICACIÓN ESTRATÉGICA PARA LA CURTIEMBRE TAURO LTDA</v>
      </c>
      <c r="B690" s="58">
        <f>IFERROR(__xludf.DUMMYFUNCTION("""COMPUTED_VALUE"""),1.0)</f>
        <v>1</v>
      </c>
    </row>
    <row r="691">
      <c r="A691" s="58" t="str">
        <f>IFERROR(__xludf.DUMMYFUNCTION("""COMPUTED_VALUE"""),"PLANIFICACIÓN ESTRATÉGICA PARA LA EMPRESA CONSTRUCTORA SOHINCO S.R.L.")</f>
        <v>PLANIFICACIÓN ESTRATÉGICA PARA LA EMPRESA CONSTRUCTORA SOHINCO S.R.L.</v>
      </c>
      <c r="B691" s="58">
        <f>IFERROR(__xludf.DUMMYFUNCTION("""COMPUTED_VALUE"""),1.0)</f>
        <v>1</v>
      </c>
    </row>
    <row r="692">
      <c r="A692" s="58" t="str">
        <f>IFERROR(__xludf.DUMMYFUNCTION("""COMPUTED_VALUE"""),"PLANIFICACIÓN ESTRATÉGICA PARA LA EMPRESA DE EXTINTORES 3F CYLINDERS")</f>
        <v>PLANIFICACIÓN ESTRATÉGICA PARA LA EMPRESA DE EXTINTORES 3F CYLINDERS</v>
      </c>
      <c r="B692" s="58">
        <f>IFERROR(__xludf.DUMMYFUNCTION("""COMPUTED_VALUE"""),6.0)</f>
        <v>6</v>
      </c>
    </row>
    <row r="693">
      <c r="A693" s="58" t="str">
        <f>IFERROR(__xludf.DUMMYFUNCTION("""COMPUTED_VALUE"""),"PLANIFICACIÓN ESTRATÉGICA PARA LA EMPRESA DE PRODUCTOS ALIMENTICIOS ""LA GLORIETA""")</f>
        <v>PLANIFICACIÓN ESTRATÉGICA PARA LA EMPRESA DE PRODUCTOS ALIMENTICIOS "LA GLORIETA"</v>
      </c>
      <c r="B693" s="58">
        <f>IFERROR(__xludf.DUMMYFUNCTION("""COMPUTED_VALUE"""),1.0)</f>
        <v>1</v>
      </c>
    </row>
    <row r="694">
      <c r="A694" s="58" t="str">
        <f>IFERROR(__xludf.DUMMYFUNCTION("""COMPUTED_VALUE"""),"PLANIFICACIÓN ESTRATÉGICA PARA LA EMPRESA INDUSTRIAL EN MADERA RAMOS")</f>
        <v>PLANIFICACIÓN ESTRATÉGICA PARA LA EMPRESA INDUSTRIAL EN MADERA RAMOS</v>
      </c>
      <c r="B694" s="58">
        <f>IFERROR(__xludf.DUMMYFUNCTION("""COMPUTED_VALUE"""),4.0)</f>
        <v>4</v>
      </c>
    </row>
    <row r="695">
      <c r="A695" s="58" t="str">
        <f>IFERROR(__xludf.DUMMYFUNCTION("""COMPUTED_VALUE"""),"PLANIFICACIÓN ESTRATÉGICA PARA LA EMPRESA INQUIBOL")</f>
        <v>PLANIFICACIÓN ESTRATÉGICA PARA LA EMPRESA INQUIBOL</v>
      </c>
      <c r="B695" s="58">
        <f>IFERROR(__xludf.DUMMYFUNCTION("""COMPUTED_VALUE"""),1.0)</f>
        <v>1</v>
      </c>
    </row>
    <row r="696">
      <c r="A696" s="58" t="str">
        <f>IFERROR(__xludf.DUMMYFUNCTION("""COMPUTED_VALUE"""),"PLANIFICACIÓN ESTRATÉGICA PARA LA EMPRESA PROMAQ I+D LTDA.")</f>
        <v>PLANIFICACIÓN ESTRATÉGICA PARA LA EMPRESA PROMAQ I+D LTDA.</v>
      </c>
      <c r="B696" s="58">
        <f>IFERROR(__xludf.DUMMYFUNCTION("""COMPUTED_VALUE"""),12.0)</f>
        <v>12</v>
      </c>
    </row>
    <row r="697">
      <c r="A697" s="58" t="str">
        <f>IFERROR(__xludf.DUMMYFUNCTION("""COMPUTED_VALUE"""),"PLANIFICACIÓN ESTRATÉGICA PARA LA EMPRESA PURIFICADORA DE AGUA BAMBU COCHABAMBA")</f>
        <v>PLANIFICACIÓN ESTRATÉGICA PARA LA EMPRESA PURIFICADORA DE AGUA BAMBU COCHABAMBA</v>
      </c>
      <c r="B697" s="58">
        <f>IFERROR(__xludf.DUMMYFUNCTION("""COMPUTED_VALUE"""),9.0)</f>
        <v>9</v>
      </c>
    </row>
    <row r="698">
      <c r="A698" s="58" t="str">
        <f>IFERROR(__xludf.DUMMYFUNCTION("""COMPUTED_VALUE"""),"PLANIFICACIÓN ESTRATÉGICA PARA LA EMPRESA “BOMBORI”")</f>
        <v>PLANIFICACIÓN ESTRATÉGICA PARA LA EMPRESA “BOMBORI”</v>
      </c>
      <c r="B698" s="58">
        <f>IFERROR(__xludf.DUMMYFUNCTION("""COMPUTED_VALUE"""),1.0)</f>
        <v>1</v>
      </c>
    </row>
    <row r="699">
      <c r="A699" s="58" t="str">
        <f>IFERROR(__xludf.DUMMYFUNCTION("""COMPUTED_VALUE"""),"PLANIFICACIÓN ESTRATÉGICA PARA LA EMPRESA “SEASA S.A.” EN LA LÍNEA FRUT-ALL  TETRA BRIK")</f>
        <v>PLANIFICACIÓN ESTRATÉGICA PARA LA EMPRESA “SEASA S.A.” EN LA LÍNEA FRUT-ALL  TETRA BRIK</v>
      </c>
      <c r="B699" s="58">
        <f>IFERROR(__xludf.DUMMYFUNCTION("""COMPUTED_VALUE"""),7.0)</f>
        <v>7</v>
      </c>
    </row>
    <row r="700">
      <c r="A700" s="58" t="str">
        <f>IFERROR(__xludf.DUMMYFUNCTION("""COMPUTED_VALUE"""),"PLANIFICACIÓN ESTRATÉGICA PARA LA IMPRENTA “GRÁFICA CENTER”")</f>
        <v>PLANIFICACIÓN ESTRATÉGICA PARA LA IMPRENTA “GRÁFICA CENTER”</v>
      </c>
      <c r="B700" s="58">
        <f>IFERROR(__xludf.DUMMYFUNCTION("""COMPUTED_VALUE"""),1.0)</f>
        <v>1</v>
      </c>
    </row>
    <row r="701">
      <c r="A701" s="58" t="str">
        <f>IFERROR(__xludf.DUMMYFUNCTION("""COMPUTED_VALUE"""),"PLANIFICACIÓN ESTRATÉGICA PARA “MUEBLERÍA NOBLEZA”.")</f>
        <v>PLANIFICACIÓN ESTRATÉGICA PARA “MUEBLERÍA NOBLEZA”.</v>
      </c>
      <c r="B701" s="58">
        <f>IFERROR(__xludf.DUMMYFUNCTION("""COMPUTED_VALUE"""),4.0)</f>
        <v>4</v>
      </c>
    </row>
    <row r="702">
      <c r="A702" s="58" t="str">
        <f>IFERROR(__xludf.DUMMYFUNCTION("""COMPUTED_VALUE"""),"PLANIFICACIÓN ESTRATÉGICA Y OPERATIVA PARA LA EMPRESA BEFRUT S.R.L")</f>
        <v>PLANIFICACIÓN ESTRATÉGICA Y OPERATIVA PARA LA EMPRESA BEFRUT S.R.L</v>
      </c>
      <c r="B702" s="58">
        <f>IFERROR(__xludf.DUMMYFUNCTION("""COMPUTED_VALUE"""),2.0)</f>
        <v>2</v>
      </c>
    </row>
    <row r="703">
      <c r="A703" s="58" t="str">
        <f>IFERROR(__xludf.DUMMYFUNCTION("""COMPUTED_VALUE"""),"PLANIFICACIÓN ESTRATÉGICA Y OPERATIVA PARA LA EMPRESA CONFECCIONES ROSTLER.")</f>
        <v>PLANIFICACIÓN ESTRATÉGICA Y OPERATIVA PARA LA EMPRESA CONFECCIONES ROSTLER.</v>
      </c>
      <c r="B703" s="58">
        <f>IFERROR(__xludf.DUMMYFUNCTION("""COMPUTED_VALUE"""),4.0)</f>
        <v>4</v>
      </c>
    </row>
    <row r="704">
      <c r="A704" s="58" t="str">
        <f>IFERROR(__xludf.DUMMYFUNCTION("""COMPUTED_VALUE"""),"PLANIFICACIÓN Y CONTROL DE LA PRODUCCIÓN DE LA EMPRESA COBOCE-CERAMIL")</f>
        <v>PLANIFICACIÓN Y CONTROL DE LA PRODUCCIÓN DE LA EMPRESA COBOCE-CERAMIL</v>
      </c>
      <c r="B704" s="58">
        <f>IFERROR(__xludf.DUMMYFUNCTION("""COMPUTED_VALUE"""),2.0)</f>
        <v>2</v>
      </c>
    </row>
    <row r="705">
      <c r="A705" s="58" t="str">
        <f>IFERROR(__xludf.DUMMYFUNCTION("""COMPUTED_VALUE"""),"PLANIFICACIÓN Y CONTROL DE LA PRODUCCIÓN PARA EMBOL S.A.")</f>
        <v>PLANIFICACIÓN Y CONTROL DE LA PRODUCCIÓN PARA EMBOL S.A.</v>
      </c>
      <c r="B705" s="58">
        <f>IFERROR(__xludf.DUMMYFUNCTION("""COMPUTED_VALUE"""),7.0)</f>
        <v>7</v>
      </c>
    </row>
    <row r="706">
      <c r="A706" s="58" t="str">
        <f>IFERROR(__xludf.DUMMYFUNCTION("""COMPUTED_VALUE"""),"PLANIFICACIÓN Y CONTROL DE LA PRODUCCIÓN PARA LA EMPRESA ECOFIBRA S.R.L. DE LA CIUDAD DE COCHABAMBA")</f>
        <v>PLANIFICACIÓN Y CONTROL DE LA PRODUCCIÓN PARA LA EMPRESA ECOFIBRA S.R.L. DE LA CIUDAD DE COCHABAMBA</v>
      </c>
      <c r="B706" s="58">
        <f>IFERROR(__xludf.DUMMYFUNCTION("""COMPUTED_VALUE"""),1.0)</f>
        <v>1</v>
      </c>
    </row>
    <row r="707">
      <c r="A707" s="58" t="str">
        <f>IFERROR(__xludf.DUMMYFUNCTION("""COMPUTED_VALUE"""),"PLANIFICACIÓN Y CONTROL DE LA PRODUCCIÓN PARA LA EMPRESA FADESA METAL S.R.L.")</f>
        <v>PLANIFICACIÓN Y CONTROL DE LA PRODUCCIÓN PARA LA EMPRESA FADESA METAL S.R.L.</v>
      </c>
      <c r="B707" s="58">
        <f>IFERROR(__xludf.DUMMYFUNCTION("""COMPUTED_VALUE"""),16.0)</f>
        <v>16</v>
      </c>
    </row>
    <row r="708">
      <c r="A708" s="58" t="str">
        <f>IFERROR(__xludf.DUMMYFUNCTION("""COMPUTED_VALUE"""),"PLANIFICACIÓN, PROGRAMACION Y CONTROL DE LA PRODUCCIÓN PARA LA OBTENCION DE EXTRACTOS DE LAS ESPECIES LLAVE T` IKA (TRIPODANTHUS ACUTIFOLIUS) Y LOCOTO (CAPSICUM PUBESCENS)")</f>
        <v>PLANIFICACIÓN, PROGRAMACION Y CONTROL DE LA PRODUCCIÓN PARA LA OBTENCION DE EXTRACTOS DE LAS ESPECIES LLAVE T` IKA (TRIPODANTHUS ACUTIFOLIUS) Y LOCOTO (CAPSICUM PUBESCENS)</v>
      </c>
      <c r="B708" s="58">
        <f>IFERROR(__xludf.DUMMYFUNCTION("""COMPUTED_VALUE"""),1.0)</f>
        <v>1</v>
      </c>
    </row>
    <row r="709">
      <c r="A709" s="58" t="str">
        <f>IFERROR(__xludf.DUMMYFUNCTION("""COMPUTED_VALUE"""),"PLANTA PROCESADORA DE KAÑAWA (CHENOPODIUM PALLIDICAULE AELLEN), (ESTUDIO DE FACTIBILIDAD)")</f>
        <v>PLANTA PROCESADORA DE KAÑAWA (CHENOPODIUM PALLIDICAULE AELLEN), (ESTUDIO DE FACTIBILIDAD)</v>
      </c>
      <c r="B709" s="58">
        <f>IFERROR(__xludf.DUMMYFUNCTION("""COMPUTED_VALUE"""),1.0)</f>
        <v>1</v>
      </c>
    </row>
    <row r="710">
      <c r="A710" s="58" t="str">
        <f>IFERROR(__xludf.DUMMYFUNCTION("""COMPUTED_VALUE"""),"POTENCIAMIENTO DEL SISTEMA DE GESTIÓN DE CALIDAD DE LA CÁMARA DEPARTAMENTAL DE INDUSTRIA EN LOS REQUISITOS 5.5.1, 6.2.1  DE LA NORMA ISO 9001:2008, BASADO EN UNA GESTIÓN DE RECURSOS HUMANOS POR COMPETENCIAS.")</f>
        <v>POTENCIAMIENTO DEL SISTEMA DE GESTIÓN DE CALIDAD DE LA CÁMARA DEPARTAMENTAL DE INDUSTRIA EN LOS REQUISITOS 5.5.1, 6.2.1  DE LA NORMA ISO 9001:2008, BASADO EN UNA GESTIÓN DE RECURSOS HUMANOS POR COMPETENCIAS.</v>
      </c>
      <c r="B710" s="58">
        <f>IFERROR(__xludf.DUMMYFUNCTION("""COMPUTED_VALUE"""),1.0)</f>
        <v>1</v>
      </c>
    </row>
    <row r="711">
      <c r="A711" s="58" t="str">
        <f>IFERROR(__xludf.DUMMYFUNCTION("""COMPUTED_VALUE"""),"PROGRAMA DE MEJORAMIENTO DE LA OPERATIVA LOGÍSTICA EN EL ÁREA DE ALMACENES COMO UN COMPONENTE ESTRATÉGICO PARA LA COMERCIALIZADORA “AGRO IMPORT COLUMBIA S.R.L""")</f>
        <v>PROGRAMA DE MEJORAMIENTO DE LA OPERATIVA LOGÍSTICA EN EL ÁREA DE ALMACENES COMO UN COMPONENTE ESTRATÉGICO PARA LA COMERCIALIZADORA “AGRO IMPORT COLUMBIA S.R.L"</v>
      </c>
      <c r="B711" s="58">
        <f>IFERROR(__xludf.DUMMYFUNCTION("""COMPUTED_VALUE"""),4.0)</f>
        <v>4</v>
      </c>
    </row>
    <row r="712">
      <c r="A712" s="58" t="str">
        <f>IFERROR(__xludf.DUMMYFUNCTION("""COMPUTED_VALUE"""),"PROGRAMA DE PLANIFICACIÓN PARA LA LOGÍSTICA Y PRODUCCIÓN EN LA PLANTA HORMIGONERA DE COBOCE HORMIGÓN")</f>
        <v>PROGRAMA DE PLANIFICACIÓN PARA LA LOGÍSTICA Y PRODUCCIÓN EN LA PLANTA HORMIGONERA DE COBOCE HORMIGÓN</v>
      </c>
      <c r="B712" s="58">
        <f>IFERROR(__xludf.DUMMYFUNCTION("""COMPUTED_VALUE"""),1.0)</f>
        <v>1</v>
      </c>
    </row>
    <row r="713">
      <c r="A713" s="58" t="str">
        <f>IFERROR(__xludf.DUMMYFUNCTION("""COMPUTED_VALUE"""),"PROGRAMA DE PLANIFICACIÓN PARA LOGÍSTICA Y PRODUCCIÓN EN LA PLANTA HORMIGONERA DE COBOCE HORMIGÓN")</f>
        <v>PROGRAMA DE PLANIFICACIÓN PARA LOGÍSTICA Y PRODUCCIÓN EN LA PLANTA HORMIGONERA DE COBOCE HORMIGÓN</v>
      </c>
      <c r="B713" s="58">
        <f>IFERROR(__xludf.DUMMYFUNCTION("""COMPUTED_VALUE"""),1.0)</f>
        <v>1</v>
      </c>
    </row>
    <row r="714">
      <c r="A714" s="58" t="str">
        <f>IFERROR(__xludf.DUMMYFUNCTION("""COMPUTED_VALUE"""),"PROGRAMA DE PREVENCIÓN EN MATERIA
DE GESTIÓN DE SEGURIDAD E HIGIENE
INDUSTRIAL PARA LA FABRICA
DE CERÁMICA “COBOCE” LTDA.")</f>
        <v>PROGRAMA DE PREVENCIÓN EN MATERIA
DE GESTIÓN DE SEGURIDAD E HIGIENE
INDUSTRIAL PARA LA FABRICA
DE CERÁMICA “COBOCE” LTDA.</v>
      </c>
      <c r="B714" s="58">
        <f>IFERROR(__xludf.DUMMYFUNCTION("""COMPUTED_VALUE"""),2.0)</f>
        <v>2</v>
      </c>
    </row>
    <row r="715">
      <c r="A715" s="58" t="str">
        <f>IFERROR(__xludf.DUMMYFUNCTION("""COMPUTED_VALUE"""),"PROGRAMA DE PREVENCIÓN EN MATERIA DE GESTIÓN DE SEGURIDAD E HIGIENE INDUSTRIAL PARA LA FÁBRICA DE CERÁMICA COBOCE LTDA.")</f>
        <v>PROGRAMA DE PREVENCIÓN EN MATERIA DE GESTIÓN DE SEGURIDAD E HIGIENE INDUSTRIAL PARA LA FÁBRICA DE CERÁMICA COBOCE LTDA.</v>
      </c>
      <c r="B715" s="58">
        <f>IFERROR(__xludf.DUMMYFUNCTION("""COMPUTED_VALUE"""),4.0)</f>
        <v>4</v>
      </c>
    </row>
    <row r="716">
      <c r="A716" s="58" t="str">
        <f>IFERROR(__xludf.DUMMYFUNCTION("""COMPUTED_VALUE"""),"PROGRAMA DE SEGURIDAD Y SALUD EN EL TRABAJO EN BASE A LOS REQUISITOS DE LA NORMA TÉCNICA DE SEGURIDAD INDUSTRIAL 009/18 (NTS – 009/18) PARA LA EMPRESA TEKNOLIFT DE LA CIUDAD DE COCHABAMBA")</f>
        <v>PROGRAMA DE SEGURIDAD Y SALUD EN EL TRABAJO EN BASE A LOS REQUISITOS DE LA NORMA TÉCNICA DE SEGURIDAD INDUSTRIAL 009/18 (NTS – 009/18) PARA LA EMPRESA TEKNOLIFT DE LA CIUDAD DE COCHABAMBA</v>
      </c>
      <c r="B716" s="58">
        <f>IFERROR(__xludf.DUMMYFUNCTION("""COMPUTED_VALUE"""),11.0)</f>
        <v>11</v>
      </c>
    </row>
    <row r="717">
      <c r="A717" s="58" t="str">
        <f>IFERROR(__xludf.DUMMYFUNCTION("""COMPUTED_VALUE"""),"PROGRAMA DE SEGURIDAD Y SALUD EN EL TRABAJO PARA LA PLANTA DE ALIMENTO                                       BALANCEADO DE LA ASOCIACIÓN DE PRODUCTORES DE LECHE DEL VALLE DE COCHABAMBA (APL) VINCULADOS AL CLÚSTER LÁCTEOS DE LA UMSS.")</f>
        <v>PROGRAMA DE SEGURIDAD Y SALUD EN EL TRABAJO PARA LA PLANTA DE ALIMENTO                                       BALANCEADO DE LA ASOCIACIÓN DE PRODUCTORES DE LECHE DEL VALLE DE COCHABAMBA (APL) VINCULADOS AL CLÚSTER LÁCTEOS DE LA UMSS.</v>
      </c>
      <c r="B717" s="58">
        <f>IFERROR(__xludf.DUMMYFUNCTION("""COMPUTED_VALUE"""),2.0)</f>
        <v>2</v>
      </c>
    </row>
    <row r="718">
      <c r="A718" s="58" t="str">
        <f>IFERROR(__xludf.DUMMYFUNCTION("""COMPUTED_VALUE"""),"PROGRAMA DE SEGURIDAD Y SALUD EN EL TRABAJO SEGÚN LA NORMA TECNICA NTS-009/18 PARA LA EMPRESA BIOMEDICAL”.")</f>
        <v>PROGRAMA DE SEGURIDAD Y SALUD EN EL TRABAJO SEGÚN LA NORMA TECNICA NTS-009/18 PARA LA EMPRESA BIOMEDICAL”.</v>
      </c>
      <c r="B718" s="58">
        <f>IFERROR(__xludf.DUMMYFUNCTION("""COMPUTED_VALUE"""),12.0)</f>
        <v>12</v>
      </c>
    </row>
    <row r="719">
      <c r="A719" s="58" t="str">
        <f>IFERROR(__xludf.DUMMYFUNCTION("""COMPUTED_VALUE"""),"PROGRAMA DE SEGURIDAD Y SALUD EN EL TRABAJO SEGÚN LA NORMA TÉCNICA DE SEGURIDAD 009/18 (NTS 009/18) PARA EL PROGRAMA DE DESARROLLO DE TECNOLOGÍAS DE FABRICACIÓN (PDTF) DE LA UMSS")</f>
        <v>PROGRAMA DE SEGURIDAD Y SALUD EN EL TRABAJO SEGÚN LA NORMA TÉCNICA DE SEGURIDAD 009/18 (NTS 009/18) PARA EL PROGRAMA DE DESARROLLO DE TECNOLOGÍAS DE FABRICACIÓN (PDTF) DE LA UMSS</v>
      </c>
      <c r="B719" s="58">
        <f>IFERROR(__xludf.DUMMYFUNCTION("""COMPUTED_VALUE"""),5.0)</f>
        <v>5</v>
      </c>
    </row>
    <row r="720">
      <c r="A720" s="58" t="str">
        <f>IFERROR(__xludf.DUMMYFUNCTION("""COMPUTED_VALUE"""),"PROPUESTA DE DISEÑO DEL PROGRAMA DE SEGURIDAD Y SALUD EN EL TRABAJO SEGÚN LA NTS 009/18 PARA LA EMPRESA INDUSTRIAS QUÍMICA NACIONAL UBICADA EN LA CIUDAD DE COCHABAMBA")</f>
        <v>PROPUESTA DE DISEÑO DEL PROGRAMA DE SEGURIDAD Y SALUD EN EL TRABAJO SEGÚN LA NTS 009/18 PARA LA EMPRESA INDUSTRIAS QUÍMICA NACIONAL UBICADA EN LA CIUDAD DE COCHABAMBA</v>
      </c>
      <c r="B720" s="58">
        <f>IFERROR(__xludf.DUMMYFUNCTION("""COMPUTED_VALUE"""),8.0)</f>
        <v>8</v>
      </c>
    </row>
    <row r="721">
      <c r="A721" s="58" t="str">
        <f>IFERROR(__xludf.DUMMYFUNCTION("""COMPUTED_VALUE"""),"PROPUESTA DE MEJORA INTEGRADA")</f>
        <v>PROPUESTA DE MEJORA INTEGRADA</v>
      </c>
      <c r="B721" s="58">
        <f>IFERROR(__xludf.DUMMYFUNCTION("""COMPUTED_VALUE"""),4.0)</f>
        <v>4</v>
      </c>
    </row>
    <row r="722">
      <c r="A722" s="58" t="str">
        <f>IFERROR(__xludf.DUMMYFUNCTION("""COMPUTED_VALUE"""),"PROPUESTA DE UN MODELO DE GESTIÓN DE RESÍDUOS SÓLIDOS DOMICILIARIOS PARA EL MUNICIPIO DE SANTIVAÑEZ")</f>
        <v>PROPUESTA DE UN MODELO DE GESTIÓN DE RESÍDUOS SÓLIDOS DOMICILIARIOS PARA EL MUNICIPIO DE SANTIVAÑEZ</v>
      </c>
      <c r="B722" s="58">
        <f>IFERROR(__xludf.DUMMYFUNCTION("""COMPUTED_VALUE"""),2.0)</f>
        <v>2</v>
      </c>
    </row>
    <row r="723">
      <c r="A723" s="58" t="str">
        <f>IFERROR(__xludf.DUMMYFUNCTION("""COMPUTED_VALUE"""),"PROPUESTA DE UN MODELO DE GESTIÓN DEL DESEMPEÑO PARA LOS RECURSOS HUMANOS DE LA OFICIALÍA MAYOR ADMINISTRATIVA Y FINANCIERA DE LA H.A.M. DE COCHABAMBA")</f>
        <v>PROPUESTA DE UN MODELO DE GESTIÓN DEL DESEMPEÑO PARA LOS RECURSOS HUMANOS DE LA OFICIALÍA MAYOR ADMINISTRATIVA Y FINANCIERA DE LA H.A.M. DE COCHABAMBA</v>
      </c>
      <c r="B723" s="58">
        <f>IFERROR(__xludf.DUMMYFUNCTION("""COMPUTED_VALUE"""),3.0)</f>
        <v>3</v>
      </c>
    </row>
    <row r="724">
      <c r="A724" s="58" t="str">
        <f>IFERROR(__xludf.DUMMYFUNCTION("""COMPUTED_VALUE"""),"PROPUESTA DE UN MODELO DE MEJORA CONTINUA BASADO EN UN SISTEMA DE GESTIÓN DE CALIDAD SEGÚN NORMA ISO17025:2005 PARA LA UNIDAD DE LABORATORIO DE MEDIDAS DE ELFEC S.A.")</f>
        <v>PROPUESTA DE UN MODELO DE MEJORA CONTINUA BASADO EN UN SISTEMA DE GESTIÓN DE CALIDAD SEGÚN NORMA ISO17025:2005 PARA LA UNIDAD DE LABORATORIO DE MEDIDAS DE ELFEC S.A.</v>
      </c>
      <c r="B724" s="58">
        <f>IFERROR(__xludf.DUMMYFUNCTION("""COMPUTED_VALUE"""),2.0)</f>
        <v>2</v>
      </c>
    </row>
    <row r="725">
      <c r="A725" s="58" t="str">
        <f>IFERROR(__xludf.DUMMYFUNCTION("""COMPUTED_VALUE"""),"PROPUESTA DE UN MODELO DE MEJORA CONTINUA BASADO EN UN SISTEMA DE GESTIÓN DE CALIDAD SEGÚN NORMA NB-ISO-IEC 17025:2005 PARA LA UNIDAD DE LABORATORIO DE MEDIDAS - LABMED DE
ELFEC S.A.")</f>
        <v>PROPUESTA DE UN MODELO DE MEJORA CONTINUA BASADO EN UN SISTEMA DE GESTIÓN DE CALIDAD SEGÚN NORMA NB-ISO-IEC 17025:2005 PARA LA UNIDAD DE LABORATORIO DE MEDIDAS - LABMED DE
ELFEC S.A.</v>
      </c>
      <c r="B725" s="58">
        <f>IFERROR(__xludf.DUMMYFUNCTION("""COMPUTED_VALUE"""),1.0)</f>
        <v>1</v>
      </c>
    </row>
    <row r="726">
      <c r="A726" s="58" t="str">
        <f>IFERROR(__xludf.DUMMYFUNCTION("""COMPUTED_VALUE"""),"PROPUESTA DE UN MODELO DE MEJORA CONTINUA BASADO EN UN SISTEMA DE GESTIÓN DE CALIDAD SEGÚN NORMA NB-ISO-IEC 17025:2005 PARA LA UNIDAD DE LABORATORIO DE MEDIDAS - LABMED DE ELFEC S.A.”")</f>
        <v>PROPUESTA DE UN MODELO DE MEJORA CONTINUA BASADO EN UN SISTEMA DE GESTIÓN DE CALIDAD SEGÚN NORMA NB-ISO-IEC 17025:2005 PARA LA UNIDAD DE LABORATORIO DE MEDIDAS - LABMED DE ELFEC S.A.”</v>
      </c>
      <c r="B726" s="58">
        <f>IFERROR(__xludf.DUMMYFUNCTION("""COMPUTED_VALUE"""),1.0)</f>
        <v>1</v>
      </c>
    </row>
    <row r="727">
      <c r="A727" s="58" t="str">
        <f>IFERROR(__xludf.DUMMYFUNCTION("""COMPUTED_VALUE"""),"PROPUESTA DE UN MODELO ORGANIZACIONAL PARA LA UNIVERSIDAD MAYOR DE SAN SIMÓN")</f>
        <v>PROPUESTA DE UN MODELO ORGANIZACIONAL PARA LA UNIVERSIDAD MAYOR DE SAN SIMÓN</v>
      </c>
      <c r="B727" s="58">
        <f>IFERROR(__xludf.DUMMYFUNCTION("""COMPUTED_VALUE"""),1.0)</f>
        <v>1</v>
      </c>
    </row>
    <row r="728">
      <c r="A728" s="58" t="str">
        <f>IFERROR(__xludf.DUMMYFUNCTION("""COMPUTED_VALUE"""),"PROPUESTA DE UN SISTEMA DE GESTION AMBIENTAL PARA EL DEPARTAMENTO DE QUIMICA DE LA FACULTAD DE CIENCIAS Y TECNOLOGÍA DE LA U.M.S.S.")</f>
        <v>PROPUESTA DE UN SISTEMA DE GESTION AMBIENTAL PARA EL DEPARTAMENTO DE QUIMICA DE LA FACULTAD DE CIENCIAS Y TECNOLOGÍA DE LA U.M.S.S.</v>
      </c>
      <c r="B728" s="58">
        <f>IFERROR(__xludf.DUMMYFUNCTION("""COMPUTED_VALUE"""),2.0)</f>
        <v>2</v>
      </c>
    </row>
    <row r="729">
      <c r="A729" s="58" t="str">
        <f>IFERROR(__xludf.DUMMYFUNCTION("""COMPUTED_VALUE"""),"PROPUESTA DE UN SISTEMA DE GESTIÓN EN SEGURIDAD Y SALUD OCUPACIONAL CONFORME A LA NORMA OHSAS 18001 PARA LA EMPRESA MACAWS S.R.L.")</f>
        <v>PROPUESTA DE UN SISTEMA DE GESTIÓN EN SEGURIDAD Y SALUD OCUPACIONAL CONFORME A LA NORMA OHSAS 18001 PARA LA EMPRESA MACAWS S.R.L.</v>
      </c>
      <c r="B729" s="58">
        <f>IFERROR(__xludf.DUMMYFUNCTION("""COMPUTED_VALUE"""),4.0)</f>
        <v>4</v>
      </c>
    </row>
    <row r="730">
      <c r="A730" s="58" t="str">
        <f>IFERROR(__xludf.DUMMYFUNCTION("""COMPUTED_VALUE"""),"PROPUESTA PARA EL MEJORAMIENTO DE LA PLANIFICACIÓN EMPRESARIAL Y OPERATIVA EN EL CENTRO INTEGRAL ARTESANÍAS SIME")</f>
        <v>PROPUESTA PARA EL MEJORAMIENTO DE LA PLANIFICACIÓN EMPRESARIAL Y OPERATIVA EN EL CENTRO INTEGRAL ARTESANÍAS SIME</v>
      </c>
      <c r="B730" s="58">
        <f>IFERROR(__xludf.DUMMYFUNCTION("""COMPUTED_VALUE"""),1.0)</f>
        <v>1</v>
      </c>
    </row>
    <row r="731">
      <c r="A731" s="58" t="str">
        <f>IFERROR(__xludf.DUMMYFUNCTION("""COMPUTED_VALUE"""),"PROPUESTA PARA LA OPTIMIZACIÓN DE LA CADENA DE SUMINISTRO PARA LA EMPRESA HAMMER JEANS BAJO LA METODOLOGÍA DEL MODELO SUPPLY CHAIN OPERATIONS REFERENCE (SCOR), ASISTIDA POR TECNOLOGÍAS DE LA INFORMACIÓN Y COMUNICACIÓN (TIC)")</f>
        <v>PROPUESTA PARA LA OPTIMIZACIÓN DE LA CADENA DE SUMINISTRO PARA LA EMPRESA HAMMER JEANS BAJO LA METODOLOGÍA DEL MODELO SUPPLY CHAIN OPERATIONS REFERENCE (SCOR), ASISTIDA POR TECNOLOGÍAS DE LA INFORMACIÓN Y COMUNICACIÓN (TIC)</v>
      </c>
      <c r="B731" s="58">
        <f>IFERROR(__xludf.DUMMYFUNCTION("""COMPUTED_VALUE"""),4.0)</f>
        <v>4</v>
      </c>
    </row>
    <row r="732">
      <c r="A732" s="58" t="str">
        <f>IFERROR(__xludf.DUMMYFUNCTION("""COMPUTED_VALUE"""),"PROPUESTA TÉCNICA Y FINANCIERA PARA MEJORAR LA PRODUCTIVIDAD DE EUCALIPTOL EN EL CENTRO DE TECNOLOGÍA AGROINDUSTRIAL DE LA FCYT - UMSS")</f>
        <v>PROPUESTA TÉCNICA Y FINANCIERA PARA MEJORAR LA PRODUCTIVIDAD DE EUCALIPTOL EN EL CENTRO DE TECNOLOGÍA AGROINDUSTRIAL DE LA FCYT - UMSS</v>
      </c>
      <c r="B732" s="58">
        <f>IFERROR(__xludf.DUMMYFUNCTION("""COMPUTED_VALUE"""),6.0)</f>
        <v>6</v>
      </c>
    </row>
    <row r="733">
      <c r="A733" s="58" t="str">
        <f>IFERROR(__xludf.DUMMYFUNCTION("""COMPUTED_VALUE"""),"PROPUESTA Y DESARROLLO DE UN SISTEMA DE GESTION DE CALIDAD EN BASE A LA NORMA ISO 9001:2008 EN LA EMPRESA GRINAL S.R.L.")</f>
        <v>PROPUESTA Y DESARROLLO DE UN SISTEMA DE GESTION DE CALIDAD EN BASE A LA NORMA ISO 9001:2008 EN LA EMPRESA GRINAL S.R.L.</v>
      </c>
      <c r="B733" s="58">
        <f>IFERROR(__xludf.DUMMYFUNCTION("""COMPUTED_VALUE"""),1.0)</f>
        <v>1</v>
      </c>
    </row>
    <row r="734">
      <c r="A734" s="58" t="str">
        <f>IFERROR(__xludf.DUMMYFUNCTION("""COMPUTED_VALUE"""),"PROPUESTAS DE MEJORAS DE ADECUACIÓN AMBIENTAL PARA LAS UNIDADES PRODUCTIVAS DEL PARQUE INDUSTRIAL DE SANTIVAÑEZ")</f>
        <v>PROPUESTAS DE MEJORAS DE ADECUACIÓN AMBIENTAL PARA LAS UNIDADES PRODUCTIVAS DEL PARQUE INDUSTRIAL DE SANTIVAÑEZ</v>
      </c>
      <c r="B734" s="58">
        <f>IFERROR(__xludf.DUMMYFUNCTION("""COMPUTED_VALUE"""),1.0)</f>
        <v>1</v>
      </c>
    </row>
    <row r="735">
      <c r="A735" s="58" t="str">
        <f>IFERROR(__xludf.DUMMYFUNCTION("""COMPUTED_VALUE"""),"PROYECTO DE  FACTIBILIDAD  EN LA ELABORACIÓN DE HARINA DE TRIGO TIPO (000) EN LA SUB   CENTRAL YURAJ MOLINO POCONA (SCYM)")</f>
        <v>PROYECTO DE  FACTIBILIDAD  EN LA ELABORACIÓN DE HARINA DE TRIGO TIPO (000) EN LA SUB   CENTRAL YURAJ MOLINO POCONA (SCYM)</v>
      </c>
      <c r="B735" s="58">
        <f>IFERROR(__xludf.DUMMYFUNCTION("""COMPUTED_VALUE"""),4.0)</f>
        <v>4</v>
      </c>
    </row>
    <row r="736">
      <c r="A736" s="58" t="str">
        <f>IFERROR(__xludf.DUMMYFUNCTION("""COMPUTED_VALUE"""),"PROYECTO DE  FACTIBILIDAD  PARA LA FABRICACIÓN DE FIDEOS ENRIQUECIDOS  CON HARINA DE PLÁTANO")</f>
        <v>PROYECTO DE  FACTIBILIDAD  PARA LA FABRICACIÓN DE FIDEOS ENRIQUECIDOS  CON HARINA DE PLÁTANO</v>
      </c>
      <c r="B736" s="58">
        <f>IFERROR(__xludf.DUMMYFUNCTION("""COMPUTED_VALUE"""),3.0)</f>
        <v>3</v>
      </c>
    </row>
    <row r="737">
      <c r="A737" s="58" t="str">
        <f>IFERROR(__xludf.DUMMYFUNCTION("""COMPUTED_VALUE"""),"PROYECTO DE FACTIBILIDAD DE PRODUCCION DE CEREALES EXTRUIDOS PARA DESAYUNO EN LA REGION ANDINA DEL DEPARTAMENTO DE COCHABAMBA")</f>
        <v>PROYECTO DE FACTIBILIDAD DE PRODUCCION DE CEREALES EXTRUIDOS PARA DESAYUNO EN LA REGION ANDINA DEL DEPARTAMENTO DE COCHABAMBA</v>
      </c>
      <c r="B737" s="58">
        <f>IFERROR(__xludf.DUMMYFUNCTION("""COMPUTED_VALUE"""),1.0)</f>
        <v>1</v>
      </c>
    </row>
    <row r="738">
      <c r="A738" s="58" t="str">
        <f>IFERROR(__xludf.DUMMYFUNCTION("""COMPUTED_VALUE"""),"PROYECTO DE FACTIBILIDAD DE PRODUCCIÓN DE CEREALES EXTRUIDOS PARA DESAYUNO EN LA REGIÓN ANDINA DEL DEPARTAMENTO DE COCHABAMBA.")</f>
        <v>PROYECTO DE FACTIBILIDAD DE PRODUCCIÓN DE CEREALES EXTRUIDOS PARA DESAYUNO EN LA REGIÓN ANDINA DEL DEPARTAMENTO DE COCHABAMBA.</v>
      </c>
      <c r="B738" s="58">
        <f>IFERROR(__xludf.DUMMYFUNCTION("""COMPUTED_VALUE"""),1.0)</f>
        <v>1</v>
      </c>
    </row>
    <row r="739">
      <c r="A739" s="58" t="str">
        <f>IFERROR(__xludf.DUMMYFUNCTION("""COMPUTED_VALUE"""),"PROYECTO DE FACTIBILIDAD DE UNA PLANTA INDUSTRIALIZADORA DEL AJONJOLÍ Y SUS DERIVADOS")</f>
        <v>PROYECTO DE FACTIBILIDAD DE UNA PLANTA INDUSTRIALIZADORA DEL AJONJOLÍ Y SUS DERIVADOS</v>
      </c>
      <c r="B739" s="58">
        <f>IFERROR(__xludf.DUMMYFUNCTION("""COMPUTED_VALUE"""),2.0)</f>
        <v>2</v>
      </c>
    </row>
    <row r="740">
      <c r="A740" s="58" t="str">
        <f>IFERROR(__xludf.DUMMYFUNCTION("""COMPUTED_VALUE"""),"PROYECTO DE FACTIBILIDAD DE UNA PLANTA PROCESADORA DE BROMELINA EN EL TRÓPICO DE COCHABAMBA")</f>
        <v>PROYECTO DE FACTIBILIDAD DE UNA PLANTA PROCESADORA DE BROMELINA EN EL TRÓPICO DE COCHABAMBA</v>
      </c>
      <c r="B740" s="58">
        <f>IFERROR(__xludf.DUMMYFUNCTION("""COMPUTED_VALUE"""),1.0)</f>
        <v>1</v>
      </c>
    </row>
    <row r="741">
      <c r="A741" s="58" t="str">
        <f>IFERROR(__xludf.DUMMYFUNCTION("""COMPUTED_VALUE"""),"PROYECTO DE FACTIBILIDAD ECONÓMICA Y FINANCIERA PARA LA INSTALACIÓN DE UNA PLANTA PROCESADORA DE CAMU CAMU")</f>
        <v>PROYECTO DE FACTIBILIDAD ECONÓMICA Y FINANCIERA PARA LA INSTALACIÓN DE UNA PLANTA PROCESADORA DE CAMU CAMU</v>
      </c>
      <c r="B741" s="58">
        <f>IFERROR(__xludf.DUMMYFUNCTION("""COMPUTED_VALUE"""),8.0)</f>
        <v>8</v>
      </c>
    </row>
    <row r="742">
      <c r="A742" s="58" t="str">
        <f>IFERROR(__xludf.DUMMYFUNCTION("""COMPUTED_VALUE"""),"PROYECTO DE FACTIBILIDAD PARA EL DESARROLLO DE CONCENTRADO DE TOMATE Y CONCENTRADO DE AJÍ  PARA LA EMPRESA CORDILL S.A.")</f>
        <v>PROYECTO DE FACTIBILIDAD PARA EL DESARROLLO DE CONCENTRADO DE TOMATE Y CONCENTRADO DE AJÍ  PARA LA EMPRESA CORDILL S.A.</v>
      </c>
      <c r="B742" s="58">
        <f>IFERROR(__xludf.DUMMYFUNCTION("""COMPUTED_VALUE"""),3.0)</f>
        <v>3</v>
      </c>
    </row>
    <row r="743">
      <c r="A743" s="58" t="str">
        <f>IFERROR(__xludf.DUMMYFUNCTION("""COMPUTED_VALUE"""),"PROYECTO DE FACTIBILIDAD PARA IMPLEMENTAR UNA PANADERIA VEGANA EN LA CIUDAD DE COCHABAMBA BOLIVIA")</f>
        <v>PROYECTO DE FACTIBILIDAD PARA IMPLEMENTAR UNA PANADERIA VEGANA EN LA CIUDAD DE COCHABAMBA BOLIVIA</v>
      </c>
      <c r="B743" s="58">
        <f>IFERROR(__xludf.DUMMYFUNCTION("""COMPUTED_VALUE"""),1.0)</f>
        <v>1</v>
      </c>
    </row>
    <row r="744">
      <c r="A744" s="58" t="str">
        <f>IFERROR(__xludf.DUMMYFUNCTION("""COMPUTED_VALUE"""),"PROYECTO DE FACTIBILIDAD PARA IMPLEMENTAR UNA PANADERÍA VEGANA EN LA CIUDAD DE COCHABAMBA BOLIVIA")</f>
        <v>PROYECTO DE FACTIBILIDAD PARA IMPLEMENTAR UNA PANADERÍA VEGANA EN LA CIUDAD DE COCHABAMBA BOLIVIA</v>
      </c>
      <c r="B744" s="58">
        <f>IFERROR(__xludf.DUMMYFUNCTION("""COMPUTED_VALUE"""),2.0)</f>
        <v>2</v>
      </c>
    </row>
    <row r="745">
      <c r="A745" s="58" t="str">
        <f>IFERROR(__xludf.DUMMYFUNCTION("""COMPUTED_VALUE"""),"PROYECTO DE FACTIBILIDAD PARA IMPLEMENTAR UNA PLANTA PROCESADORA DE HARINA Y HOJUELAS DE YACÓN")</f>
        <v>PROYECTO DE FACTIBILIDAD PARA IMPLEMENTAR UNA PLANTA PROCESADORA DE HARINA Y HOJUELAS DE YACÓN</v>
      </c>
      <c r="B745" s="58">
        <f>IFERROR(__xludf.DUMMYFUNCTION("""COMPUTED_VALUE"""),2.0)</f>
        <v>2</v>
      </c>
    </row>
    <row r="746">
      <c r="A746" s="58" t="str">
        <f>IFERROR(__xludf.DUMMYFUNCTION("""COMPUTED_VALUE"""),"PROYECTO DE FACTIBILIDAD PARA LA
IMPLEMENTACIÓN DE UNA PLANTA PROCESADORA DE
JUGOS DE NARANJA, PIÑA Y MARACUYÁ A SER
COMERCIALIZADAS COMO DESAYUNO ESCOLAR")</f>
        <v>PROYECTO DE FACTIBILIDAD PARA LA
IMPLEMENTACIÓN DE UNA PLANTA PROCESADORA DE
JUGOS DE NARANJA, PIÑA Y MARACUYÁ A SER
COMERCIALIZADAS COMO DESAYUNO ESCOLAR</v>
      </c>
      <c r="B746" s="58">
        <f>IFERROR(__xludf.DUMMYFUNCTION("""COMPUTED_VALUE"""),3.0)</f>
        <v>3</v>
      </c>
    </row>
    <row r="747">
      <c r="A747" s="58" t="str">
        <f>IFERROR(__xludf.DUMMYFUNCTION("""COMPUTED_VALUE"""),"PROYECTO DE FACTIBILIDAD PARA LA CREACIÓN DE UN SUPERMERCADO EN LA LOCALIDAD DE IVIRGARZAMA, MUNICIPIO DE PUERTO VILLARROEL")</f>
        <v>PROYECTO DE FACTIBILIDAD PARA LA CREACIÓN DE UN SUPERMERCADO EN LA LOCALIDAD DE IVIRGARZAMA, MUNICIPIO DE PUERTO VILLARROEL</v>
      </c>
      <c r="B747" s="58">
        <f>IFERROR(__xludf.DUMMYFUNCTION("""COMPUTED_VALUE"""),1.0)</f>
        <v>1</v>
      </c>
    </row>
    <row r="748">
      <c r="A748" s="58" t="str">
        <f>IFERROR(__xludf.DUMMYFUNCTION("""COMPUTED_VALUE"""),"PROYECTO DE FACTIBILIDAD PARA LA CREACIÓN DE UNA EMPRESA COMERCIALIZADORA DE PLANTAS DE TRATAMIENTO PARA LAS AGUAS GRISES")</f>
        <v>PROYECTO DE FACTIBILIDAD PARA LA CREACIÓN DE UNA EMPRESA COMERCIALIZADORA DE PLANTAS DE TRATAMIENTO PARA LAS AGUAS GRISES</v>
      </c>
      <c r="B748" s="58">
        <f>IFERROR(__xludf.DUMMYFUNCTION("""COMPUTED_VALUE"""),2.0)</f>
        <v>2</v>
      </c>
    </row>
    <row r="749">
      <c r="A749" s="58" t="str">
        <f>IFERROR(__xludf.DUMMYFUNCTION("""COMPUTED_VALUE"""),"PROYECTO DE FACTIBILIDAD PARA LA CRIANZA DE TRUCHA EN LA COMUNIDAD DE VILLA VICTORIA, BOLIVAR")</f>
        <v>PROYECTO DE FACTIBILIDAD PARA LA CRIANZA DE TRUCHA EN LA COMUNIDAD DE VILLA VICTORIA, BOLIVAR</v>
      </c>
      <c r="B749" s="58">
        <f>IFERROR(__xludf.DUMMYFUNCTION("""COMPUTED_VALUE"""),2.0)</f>
        <v>2</v>
      </c>
    </row>
    <row r="750">
      <c r="A750" s="58" t="str">
        <f>IFERROR(__xludf.DUMMYFUNCTION("""COMPUTED_VALUE"""),"PROYECTO DE FACTIBILIDAD PARA LA ELABORACIÓN DE MERMELADA A BASE DE CARAMBOLA.")</f>
        <v>PROYECTO DE FACTIBILIDAD PARA LA ELABORACIÓN DE MERMELADA A BASE DE CARAMBOLA.</v>
      </c>
      <c r="B750" s="58">
        <f>IFERROR(__xludf.DUMMYFUNCTION("""COMPUTED_VALUE"""),1.0)</f>
        <v>1</v>
      </c>
    </row>
    <row r="751">
      <c r="A751" s="58" t="str">
        <f>IFERROR(__xludf.DUMMYFUNCTION("""COMPUTED_VALUE"""),"PROYECTO DE FACTIBILIDAD PARA LA ELABORACIÓN DE SAZONADOR DE CARNE A BASE DE PAPA EN EL DEPARTAMENTO DE COCHABAMBA")</f>
        <v>PROYECTO DE FACTIBILIDAD PARA LA ELABORACIÓN DE SAZONADOR DE CARNE A BASE DE PAPA EN EL DEPARTAMENTO DE COCHABAMBA</v>
      </c>
      <c r="B751" s="58">
        <f>IFERROR(__xludf.DUMMYFUNCTION("""COMPUTED_VALUE"""),8.0)</f>
        <v>8</v>
      </c>
    </row>
    <row r="752">
      <c r="A752" s="58" t="str">
        <f>IFERROR(__xludf.DUMMYFUNCTION("""COMPUTED_VALUE"""),"PROYECTO DE FACTIBILIDAD PARA LA EXPORTACIÓN DE PAPAYA EN CONSERVA A LA REPUBLICA ARGENTINA")</f>
        <v>PROYECTO DE FACTIBILIDAD PARA LA EXPORTACIÓN DE PAPAYA EN CONSERVA A LA REPUBLICA ARGENTINA</v>
      </c>
      <c r="B752" s="58">
        <f>IFERROR(__xludf.DUMMYFUNCTION("""COMPUTED_VALUE"""),3.0)</f>
        <v>3</v>
      </c>
    </row>
    <row r="753">
      <c r="A753" s="58" t="str">
        <f>IFERROR(__xludf.DUMMYFUNCTION("""COMPUTED_VALUE"""),"PROYECTO DE FACTIBILIDAD PARA LA IMPLEMENTACION DE UNA PLANTA INDUSTRIALIZADORA DE HARINA DE COPOAZÚ, DIRIGIDO AL MERCADO DE COCHABAMBA")</f>
        <v>PROYECTO DE FACTIBILIDAD PARA LA IMPLEMENTACION DE UNA PLANTA INDUSTRIALIZADORA DE HARINA DE COPOAZÚ, DIRIGIDO AL MERCADO DE COCHABAMBA</v>
      </c>
      <c r="B753" s="58">
        <f>IFERROR(__xludf.DUMMYFUNCTION("""COMPUTED_VALUE"""),18.0)</f>
        <v>18</v>
      </c>
    </row>
    <row r="754">
      <c r="A754" s="58" t="str">
        <f>IFERROR(__xludf.DUMMYFUNCTION("""COMPUTED_VALUE"""),"PROYECTO DE FACTIBILIDAD PARA LA IMPLEMENTACION DE UNA PLANTA PROCESADORA DE ACEITE A BASE DE SEMILLAS DE MORINGA OLEÍFERA EN EL DEPARTAMENTO DE COCHABAMBA")</f>
        <v>PROYECTO DE FACTIBILIDAD PARA LA IMPLEMENTACION DE UNA PLANTA PROCESADORA DE ACEITE A BASE DE SEMILLAS DE MORINGA OLEÍFERA EN EL DEPARTAMENTO DE COCHABAMBA</v>
      </c>
      <c r="B754" s="58">
        <f>IFERROR(__xludf.DUMMYFUNCTION("""COMPUTED_VALUE"""),36.0)</f>
        <v>36</v>
      </c>
    </row>
    <row r="755">
      <c r="A755" s="58" t="str">
        <f>IFERROR(__xludf.DUMMYFUNCTION("""COMPUTED_VALUE"""),"PROYECTO DE FACTIBILIDAD PARA LA IMPLEMENTACION DE UNA PLANTA PROCESADORA DE MANTEQUILLA Y LLAJWA DE MANI EN EL DEPARTAMENTO DE COCHABAMBA")</f>
        <v>PROYECTO DE FACTIBILIDAD PARA LA IMPLEMENTACION DE UNA PLANTA PROCESADORA DE MANTEQUILLA Y LLAJWA DE MANI EN EL DEPARTAMENTO DE COCHABAMBA</v>
      </c>
      <c r="B755" s="58">
        <f>IFERROR(__xludf.DUMMYFUNCTION("""COMPUTED_VALUE"""),16.0)</f>
        <v>16</v>
      </c>
    </row>
    <row r="756">
      <c r="A756" s="58" t="str">
        <f>IFERROR(__xludf.DUMMYFUNCTION("""COMPUTED_VALUE"""),"PROYECTO DE FACTIBILIDAD PARA LA IMPLEMENTACION DE UNA SUCURSAL DE HEMODIALISIS PARA LA EMPRESA ""HEMO D SERVICIOS DE DIALISIS S.R.L""")</f>
        <v>PROYECTO DE FACTIBILIDAD PARA LA IMPLEMENTACION DE UNA SUCURSAL DE HEMODIALISIS PARA LA EMPRESA "HEMO D SERVICIOS DE DIALISIS S.R.L"</v>
      </c>
      <c r="B756" s="58">
        <f>IFERROR(__xludf.DUMMYFUNCTION("""COMPUTED_VALUE"""),2.0)</f>
        <v>2</v>
      </c>
    </row>
    <row r="757">
      <c r="A757"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B757" s="58">
        <f>IFERROR(__xludf.DUMMYFUNCTION("""COMPUTED_VALUE"""),1.0)</f>
        <v>1</v>
      </c>
    </row>
    <row r="758">
      <c r="A758" s="58" t="str">
        <f>IFERROR(__xludf.DUMMYFUNCTION("""COMPUTED_VALUE"""),"PROYECTO DE FACTIBILIDAD PARA LA IMPLEMENTACIÓN DE
UNA PLANTA DE ELABORACIÓN DE HARINA DE VÍSCERAS DE
POLLO")</f>
        <v>PROYECTO DE FACTIBILIDAD PARA LA IMPLEMENTACIÓN DE
UNA PLANTA DE ELABORACIÓN DE HARINA DE VÍSCERAS DE
POLLO</v>
      </c>
      <c r="B758" s="58">
        <f>IFERROR(__xludf.DUMMYFUNCTION("""COMPUTED_VALUE"""),1.0)</f>
        <v>1</v>
      </c>
    </row>
    <row r="759">
      <c r="A759" s="58" t="str">
        <f>IFERROR(__xludf.DUMMYFUNCTION("""COMPUTED_VALUE"""),"PROYECTO DE FACTIBILIDAD PARA LA IMPLEMENTACIÓN DE
UNA PLANTA PROCESADORA DE PULPA DE ASAÍ PARA LA
ELABORACIÓN DE JUGO EN EL DEPARTAMENTO DE
COCHABAMBA")</f>
        <v>PROYECTO DE FACTIBILIDAD PARA LA IMPLEMENTACIÓN DE
UNA PLANTA PROCESADORA DE PULPA DE ASAÍ PARA LA
ELABORACIÓN DE JUGO EN EL DEPARTAMENTO DE
COCHABAMBA</v>
      </c>
      <c r="B759" s="58">
        <f>IFERROR(__xludf.DUMMYFUNCTION("""COMPUTED_VALUE"""),1.0)</f>
        <v>1</v>
      </c>
    </row>
    <row r="760">
      <c r="A760" s="58" t="str">
        <f>IFERROR(__xludf.DUMMYFUNCTION("""COMPUTED_VALUE"""),"PROYECTO DE FACTIBILIDAD PARA LA IMPLEMENTACIÓN DE UN CRIADERO DE PEJERREY EN EL MUNICIPIO DE VACAS, PROVINCIA DE ARANI")</f>
        <v>PROYECTO DE FACTIBILIDAD PARA LA IMPLEMENTACIÓN DE UN CRIADERO DE PEJERREY EN EL MUNICIPIO DE VACAS, PROVINCIA DE ARANI</v>
      </c>
      <c r="B760" s="58">
        <f>IFERROR(__xludf.DUMMYFUNCTION("""COMPUTED_VALUE"""),1.0)</f>
        <v>1</v>
      </c>
    </row>
    <row r="761">
      <c r="A761" s="58" t="str">
        <f>IFERROR(__xludf.DUMMYFUNCTION("""COMPUTED_VALUE"""),"PROYECTO DE FACTIBILIDAD PARA LA IMPLEMENTACIÓN DE UN CRIADERO DE TRUCHAS EN LA COMUNIDAD DE MONTE PUNCO, MUNICIPIO DE POCONA")</f>
        <v>PROYECTO DE FACTIBILIDAD PARA LA IMPLEMENTACIÓN DE UN CRIADERO DE TRUCHAS EN LA COMUNIDAD DE MONTE PUNCO, MUNICIPIO DE POCONA</v>
      </c>
      <c r="B761" s="58">
        <f>IFERROR(__xludf.DUMMYFUNCTION("""COMPUTED_VALUE"""),1.0)</f>
        <v>1</v>
      </c>
    </row>
    <row r="762">
      <c r="A762" s="58" t="str">
        <f>IFERROR(__xludf.DUMMYFUNCTION("""COMPUTED_VALUE"""),"PROYECTO DE FACTIBILIDAD PARA LA IMPLEMENTACIÓN DE UNA EMPRESA DEDICADA A LA PRODUCCIÓN DE BOLSAS DE TELA EN EL DEPARTAMENTO DE COCHABAMBA")</f>
        <v>PROYECTO DE FACTIBILIDAD PARA LA IMPLEMENTACIÓN DE UNA EMPRESA DEDICADA A LA PRODUCCIÓN DE BOLSAS DE TELA EN EL DEPARTAMENTO DE COCHABAMBA</v>
      </c>
      <c r="B762" s="58">
        <f>IFERROR(__xludf.DUMMYFUNCTION("""COMPUTED_VALUE"""),12.0)</f>
        <v>12</v>
      </c>
    </row>
    <row r="763">
      <c r="A763" s="58" t="str">
        <f>IFERROR(__xludf.DUMMYFUNCTION("""COMPUTED_VALUE"""),"PROYECTO DE FACTIBILIDAD PARA LA IMPLEMENTACIÓN DE UNA LÍNEA PRODUCTIVA DE YOGURT, DE UNA FRACCIÓN DE LACTOSUERO Y LECHE ENTERA EN LA PLANTA PILOTO DE TRANSFORMACIÓN DE DERIVADOS LÁCTEOS DE LA FACULTAD DE CIENCIAS AGRÍCOLAS Y PECUARIAS “DR. MARTIN CÁRDENA"&amp;"S” - UMSS")</f>
        <v>PROYECTO DE FACTIBILIDAD PARA LA IMPLEMENTACIÓN DE UNA LÍNEA PRODUCTIVA DE YOGURT, DE UNA FRACCIÓN DE LACTOSUERO Y LECHE ENTERA EN LA PLANTA PILOTO DE TRANSFORMACIÓN DE DERIVADOS LÁCTEOS DE LA FACULTAD DE CIENCIAS AGRÍCOLAS Y PECUARIAS “DR. MARTIN CÁRDENAS” - UMSS</v>
      </c>
      <c r="B763" s="58">
        <f>IFERROR(__xludf.DUMMYFUNCTION("""COMPUTED_VALUE"""),7.0)</f>
        <v>7</v>
      </c>
    </row>
    <row r="764">
      <c r="A764" s="58" t="str">
        <f>IFERROR(__xludf.DUMMYFUNCTION("""COMPUTED_VALUE"""),"PROYECTO DE FACTIBILIDAD PARA LA IMPLEMENTACIÓN DE UNA PLANTA
PROCESADORA DE BETÚN PARA CALZADOS A BASE DE MATERIA ORGÁNICA EN EL
DEPARTAMENTO DE COCHABAMBA")</f>
        <v>PROYECTO DE FACTIBILIDAD PARA LA IMPLEMENTACIÓN DE UNA PLANTA
PROCESADORA DE BETÚN PARA CALZADOS A BASE DE MATERIA ORGÁNICA EN EL
DEPARTAMENTO DE COCHABAMBA</v>
      </c>
      <c r="B764" s="58">
        <f>IFERROR(__xludf.DUMMYFUNCTION("""COMPUTED_VALUE"""),7.0)</f>
        <v>7</v>
      </c>
    </row>
    <row r="765">
      <c r="A765" s="58" t="str">
        <f>IFERROR(__xludf.DUMMYFUNCTION("""COMPUTED_VALUE"""),"PROYECTO DE FACTIBILIDAD PARA LA IMPLEMENTACIÓN DE UNA PLANTA DE ELABORACIÓN DE QUESO MADURADO")</f>
        <v>PROYECTO DE FACTIBILIDAD PARA LA IMPLEMENTACIÓN DE UNA PLANTA DE ELABORACIÓN DE QUESO MADURADO</v>
      </c>
      <c r="B765" s="58">
        <f>IFERROR(__xludf.DUMMYFUNCTION("""COMPUTED_VALUE"""),3.0)</f>
        <v>3</v>
      </c>
    </row>
    <row r="766">
      <c r="A766" s="58" t="str">
        <f>IFERROR(__xludf.DUMMYFUNCTION("""COMPUTED_VALUE"""),"PROYECTO DE FACTIBILIDAD PARA LA IMPLEMENTACIÓN DE UNA PLANTA DE EXTRUSIÓN, SOPLADO E INYECTADO DE PLÁSTICO EN TELECOMUNICACIONES PARA LA EMPRESA EXSMECON INGENIEROS SRL EN EL PARQUE INDUSTRIAL SANTIVAÑES")</f>
        <v>PROYECTO DE FACTIBILIDAD PARA LA IMPLEMENTACIÓN DE UNA PLANTA DE EXTRUSIÓN, SOPLADO E INYECTADO DE PLÁSTICO EN TELECOMUNICACIONES PARA LA EMPRESA EXSMECON INGENIEROS SRL EN EL PARQUE INDUSTRIAL SANTIVAÑES</v>
      </c>
      <c r="B766" s="58">
        <f>IFERROR(__xludf.DUMMYFUNCTION("""COMPUTED_VALUE"""),4.0)</f>
        <v>4</v>
      </c>
    </row>
    <row r="767">
      <c r="A767" s="58" t="str">
        <f>IFERROR(__xludf.DUMMYFUNCTION("""COMPUTED_VALUE"""),"PROYECTO DE FACTIBILIDAD PARA LA IMPLEMENTACIÓN DE UNA PLANTA DE MUEBLES MINIMALISTAS PARA LOS MERCADOS DE COCHABAMBA Y ORURO")</f>
        <v>PROYECTO DE FACTIBILIDAD PARA LA IMPLEMENTACIÓN DE UNA PLANTA DE MUEBLES MINIMALISTAS PARA LOS MERCADOS DE COCHABAMBA Y ORURO</v>
      </c>
      <c r="B767" s="58">
        <f>IFERROR(__xludf.DUMMYFUNCTION("""COMPUTED_VALUE"""),3.0)</f>
        <v>3</v>
      </c>
    </row>
    <row r="768">
      <c r="A768" s="58" t="str">
        <f>IFERROR(__xludf.DUMMYFUNCTION("""COMPUTED_VALUE"""),"PROYECTO DE FACTIBILIDAD PARA LA IMPLEMENTACIÓN DE UNA PLANTA DE PRODUCCIÓN DE BARRAS DE ACERO CORRUGADO, A PARTIR DE CHATARRA.")</f>
        <v>PROYECTO DE FACTIBILIDAD PARA LA IMPLEMENTACIÓN DE UNA PLANTA DE PRODUCCIÓN DE BARRAS DE ACERO CORRUGADO, A PARTIR DE CHATARRA.</v>
      </c>
      <c r="B768" s="58">
        <f>IFERROR(__xludf.DUMMYFUNCTION("""COMPUTED_VALUE"""),4.0)</f>
        <v>4</v>
      </c>
    </row>
    <row r="769">
      <c r="A769" s="58" t="str">
        <f>IFERROR(__xludf.DUMMYFUNCTION("""COMPUTED_VALUE"""),"PROYECTO DE FACTIBILIDAD PARA LA IMPLEMENTACIÓN DE UNA PLANTA DE PRODUCCIÓN DE HARINA DE PLUMAS HIDROLIZADAS DE POLLO EN COCHABAMBA")</f>
        <v>PROYECTO DE FACTIBILIDAD PARA LA IMPLEMENTACIÓN DE UNA PLANTA DE PRODUCCIÓN DE HARINA DE PLUMAS HIDROLIZADAS DE POLLO EN COCHABAMBA</v>
      </c>
      <c r="B769" s="58">
        <f>IFERROR(__xludf.DUMMYFUNCTION("""COMPUTED_VALUE"""),8.0)</f>
        <v>8</v>
      </c>
    </row>
    <row r="770">
      <c r="A770" s="58" t="str">
        <f>IFERROR(__xludf.DUMMYFUNCTION("""COMPUTED_VALUE"""),"PROYECTO DE FACTIBILIDAD PARA LA IMPLEMENTACIÓN DE UNA PLANTA DE PRODUCCIÓN DE HELADO CON ALOE VERA EN EL DEPARTAMENTO DE COCHABAMBA")</f>
        <v>PROYECTO DE FACTIBILIDAD PARA LA IMPLEMENTACIÓN DE UNA PLANTA DE PRODUCCIÓN DE HELADO CON ALOE VERA EN EL DEPARTAMENTO DE COCHABAMBA</v>
      </c>
      <c r="B770" s="58">
        <f>IFERROR(__xludf.DUMMYFUNCTION("""COMPUTED_VALUE"""),25.0)</f>
        <v>25</v>
      </c>
    </row>
    <row r="771">
      <c r="A771" s="58" t="str">
        <f>IFERROR(__xludf.DUMMYFUNCTION("""COMPUTED_VALUE"""),"PROYECTO DE FACTIBILIDAD PARA LA IMPLEMENTACIÓN DE UNA PLANTA DE PRODUCCIÓN DE JUGO DE CAMU CAMU EN EL DEPARTAMENTO DE COCHABAMBA")</f>
        <v>PROYECTO DE FACTIBILIDAD PARA LA IMPLEMENTACIÓN DE UNA PLANTA DE PRODUCCIÓN DE JUGO DE CAMU CAMU EN EL DEPARTAMENTO DE COCHABAMBA</v>
      </c>
      <c r="B771" s="58">
        <f>IFERROR(__xludf.DUMMYFUNCTION("""COMPUTED_VALUE"""),2.0)</f>
        <v>2</v>
      </c>
    </row>
    <row r="772">
      <c r="A772" s="58" t="str">
        <f>IFERROR(__xludf.DUMMYFUNCTION("""COMPUTED_VALUE"""),"PROYECTO DE FACTIBILIDAD PARA LA IMPLEMENTACIÓN DE UNA PLANTA DE PRODUCCIÓN DE ROCA FOSFÓRICA PARA USO AGRÍCOLA EN EL PARQUE INDUSTRIAL DE SANTIVAÑEZ")</f>
        <v>PROYECTO DE FACTIBILIDAD PARA LA IMPLEMENTACIÓN DE UNA PLANTA DE PRODUCCIÓN DE ROCA FOSFÓRICA PARA USO AGRÍCOLA EN EL PARQUE INDUSTRIAL DE SANTIVAÑEZ</v>
      </c>
      <c r="B772" s="58">
        <f>IFERROR(__xludf.DUMMYFUNCTION("""COMPUTED_VALUE"""),1.0)</f>
        <v>1</v>
      </c>
    </row>
    <row r="773">
      <c r="A773" s="58" t="str">
        <f>IFERROR(__xludf.DUMMYFUNCTION("""COMPUTED_VALUE"""),"PROYECTO DE FACTIBILIDAD PARA LA IMPLEMENTACIÓN DE UNA PLANTA DE PRODUCCIÓN DE ZUMO DE NARANJA EMBOTELLADA EN LA CIUDAD DE COCHABAMBA")</f>
        <v>PROYECTO DE FACTIBILIDAD PARA LA IMPLEMENTACIÓN DE UNA PLANTA DE PRODUCCIÓN DE ZUMO DE NARANJA EMBOTELLADA EN LA CIUDAD DE COCHABAMBA</v>
      </c>
      <c r="B773" s="58">
        <f>IFERROR(__xludf.DUMMYFUNCTION("""COMPUTED_VALUE"""),4.0)</f>
        <v>4</v>
      </c>
    </row>
    <row r="774">
      <c r="A774" s="58" t="str">
        <f>IFERROR(__xludf.DUMMYFUNCTION("""COMPUTED_VALUE"""),"PROYECTO DE FACTIBILIDAD PARA LA IMPLEMENTACIÓN DE UNA PLANTA INDUSTRIAL DE ENLATADO DE HABA EN EL MUNICIPIO DE CERCADO")</f>
        <v>PROYECTO DE FACTIBILIDAD PARA LA IMPLEMENTACIÓN DE UNA PLANTA INDUSTRIAL DE ENLATADO DE HABA EN EL MUNICIPIO DE CERCADO</v>
      </c>
      <c r="B774" s="58">
        <f>IFERROR(__xludf.DUMMYFUNCTION("""COMPUTED_VALUE"""),1.0)</f>
        <v>1</v>
      </c>
    </row>
    <row r="775">
      <c r="A775" s="58" t="str">
        <f>IFERROR(__xludf.DUMMYFUNCTION("""COMPUTED_VALUE"""),"PROYECTO DE FACTIBILIDAD PARA LA IMPLEMENTACIÓN DE UNA PLANTA PANIFICADORA INDUSTRIAL Y DE REPOSTERÍA EN EL MUNICIPIO DE PUERTO VILLARROEL")</f>
        <v>PROYECTO DE FACTIBILIDAD PARA LA IMPLEMENTACIÓN DE UNA PLANTA PANIFICADORA INDUSTRIAL Y DE REPOSTERÍA EN EL MUNICIPIO DE PUERTO VILLARROEL</v>
      </c>
      <c r="B775" s="58">
        <f>IFERROR(__xludf.DUMMYFUNCTION("""COMPUTED_VALUE"""),2.0)</f>
        <v>2</v>
      </c>
    </row>
    <row r="776">
      <c r="A776" s="58" t="str">
        <f>IFERROR(__xludf.DUMMYFUNCTION("""COMPUTED_VALUE"""),"PROYECTO DE FACTIBILIDAD PARA LA IMPLEMENTACIÓN DE UNA PLANTA PARA LA ELABORACIÒN DE QUESOS EN LA PROVINCIA DE PUNATA-COCHABAMBA")</f>
        <v>PROYECTO DE FACTIBILIDAD PARA LA IMPLEMENTACIÓN DE UNA PLANTA PARA LA ELABORACIÒN DE QUESOS EN LA PROVINCIA DE PUNATA-COCHABAMBA</v>
      </c>
      <c r="B776" s="58">
        <f>IFERROR(__xludf.DUMMYFUNCTION("""COMPUTED_VALUE"""),5.0)</f>
        <v>5</v>
      </c>
    </row>
    <row r="777">
      <c r="A777" s="58" t="str">
        <f>IFERROR(__xludf.DUMMYFUNCTION("""COMPUTED_VALUE"""),"PROYECTO DE FACTIBILIDAD PARA LA IMPLEMENTACIÓN DE UNA PLANTA PARA LA PRODUCCIÓN DE HARINA DE PLÁTANO Y OTROS DERIVADOS EN EL MUNICIPIO DE SACABA")</f>
        <v>PROYECTO DE FACTIBILIDAD PARA LA IMPLEMENTACIÓN DE UNA PLANTA PARA LA PRODUCCIÓN DE HARINA DE PLÁTANO Y OTROS DERIVADOS EN EL MUNICIPIO DE SACABA</v>
      </c>
      <c r="B777" s="58">
        <f>IFERROR(__xludf.DUMMYFUNCTION("""COMPUTED_VALUE"""),2.0)</f>
        <v>2</v>
      </c>
    </row>
    <row r="778">
      <c r="A778" s="58" t="str">
        <f>IFERROR(__xludf.DUMMYFUNCTION("""COMPUTED_VALUE"""),"PROYECTO DE FACTIBILIDAD PARA LA IMPLEMENTACIÓN DE UNA PLANTA PROCESADORA DE ACEITE DE AJONJOLÍ EN COCHABAMBA")</f>
        <v>PROYECTO DE FACTIBILIDAD PARA LA IMPLEMENTACIÓN DE UNA PLANTA PROCESADORA DE ACEITE DE AJONJOLÍ EN COCHABAMBA</v>
      </c>
      <c r="B778" s="58">
        <f>IFERROR(__xludf.DUMMYFUNCTION("""COMPUTED_VALUE"""),2.0)</f>
        <v>2</v>
      </c>
    </row>
    <row r="779">
      <c r="A779" s="58" t="str">
        <f>IFERROR(__xludf.DUMMYFUNCTION("""COMPUTED_VALUE"""),"PROYECTO DE FACTIBILIDAD PARA LA IMPLEMENTACIÓN DE UNA PLANTA PROCESADORA DE ACEITE EN BASE A SEMILLAS DE AJONJOLÍ PARA LA CIUDAD DE COCHABAMBA")</f>
        <v>PROYECTO DE FACTIBILIDAD PARA LA IMPLEMENTACIÓN DE UNA PLANTA PROCESADORA DE ACEITE EN BASE A SEMILLAS DE AJONJOLÍ PARA LA CIUDAD DE COCHABAMBA</v>
      </c>
      <c r="B779" s="58">
        <f>IFERROR(__xludf.DUMMYFUNCTION("""COMPUTED_VALUE"""),12.0)</f>
        <v>12</v>
      </c>
    </row>
    <row r="780">
      <c r="A780" s="58" t="str">
        <f>IFERROR(__xludf.DUMMYFUNCTION("""COMPUTED_VALUE"""),"PROYECTO DE FACTIBILIDAD PARA LA IMPLEMENTACIÓN DE UNA PLANTA PROCESADORA DE BIODIESEL EN INDUSTRIAS ADM-SAO S.A.")</f>
        <v>PROYECTO DE FACTIBILIDAD PARA LA IMPLEMENTACIÓN DE UNA PLANTA PROCESADORA DE BIODIESEL EN INDUSTRIAS ADM-SAO S.A.</v>
      </c>
      <c r="B780" s="58">
        <f>IFERROR(__xludf.DUMMYFUNCTION("""COMPUTED_VALUE"""),13.0)</f>
        <v>13</v>
      </c>
    </row>
    <row r="781">
      <c r="A781" s="58" t="str">
        <f>IFERROR(__xludf.DUMMYFUNCTION("""COMPUTED_VALUE"""),"PROYECTO DE FACTIBILIDAD PARA LA IMPLEMENTACIÓN DE UNA PLANTA PROCESADORA DE HARINA DE TEMBE DIRIGIDO AL MERCADO DE COCHABAMBA")</f>
        <v>PROYECTO DE FACTIBILIDAD PARA LA IMPLEMENTACIÓN DE UNA PLANTA PROCESADORA DE HARINA DE TEMBE DIRIGIDO AL MERCADO DE COCHABAMBA</v>
      </c>
      <c r="B781" s="58">
        <f>IFERROR(__xludf.DUMMYFUNCTION("""COMPUTED_VALUE"""),12.0)</f>
        <v>12</v>
      </c>
    </row>
    <row r="782">
      <c r="A782" s="58" t="str">
        <f>IFERROR(__xludf.DUMMYFUNCTION("""COMPUTED_VALUE"""),"PROYECTO DE FACTIBILIDAD PARA LA IMPLEMENTACIÓN DE UNA PLANTA PROCESADORA DE HOJUELAS DE CEREAL A BASE DE MAÍZ Y ALGARROBA PARA EL DEPARTAMENTO DE COCHABAMBA")</f>
        <v>PROYECTO DE FACTIBILIDAD PARA LA IMPLEMENTACIÓN DE UNA PLANTA PROCESADORA DE HOJUELAS DE CEREAL A BASE DE MAÍZ Y ALGARROBA PARA EL DEPARTAMENTO DE COCHABAMBA</v>
      </c>
      <c r="B782" s="58">
        <f>IFERROR(__xludf.DUMMYFUNCTION("""COMPUTED_VALUE"""),3.0)</f>
        <v>3</v>
      </c>
    </row>
    <row r="783">
      <c r="A783" s="58" t="str">
        <f>IFERROR(__xludf.DUMMYFUNCTION("""COMPUTED_VALUE"""),"PROYECTO DE FACTIBILIDAD PARA LA IMPLEMENTACIÓN DE UNA PLANTA PROCESADORA DE HONGOS FRESCOS AGARICUS BISPORUS (CHAMPIÑÓN), UBICADO EN EL DEPARTAMENTO DE COCHABAMBA")</f>
        <v>PROYECTO DE FACTIBILIDAD PARA LA IMPLEMENTACIÓN DE UNA PLANTA PROCESADORA DE HONGOS FRESCOS AGARICUS BISPORUS (CHAMPIÑÓN), UBICADO EN EL DEPARTAMENTO DE COCHABAMBA</v>
      </c>
      <c r="B783" s="58">
        <f>IFERROR(__xludf.DUMMYFUNCTION("""COMPUTED_VALUE"""),1.0)</f>
        <v>1</v>
      </c>
    </row>
    <row r="784">
      <c r="A784" s="58" t="str">
        <f>IFERROR(__xludf.DUMMYFUNCTION("""COMPUTED_VALUE"""),"PROYECTO DE FACTIBILIDAD PARA LA IMPLEMENTACIÓN DE UNA PLANTA PROCESADORA DE JUGOS DE FRUTA DE NARANJA, PIÑA Y MARACUYA PARA SER COMERCIALIZADOS COMO DESAYUNO ESCOLAR")</f>
        <v>PROYECTO DE FACTIBILIDAD PARA LA IMPLEMENTACIÓN DE UNA PLANTA PROCESADORA DE JUGOS DE FRUTA DE NARANJA, PIÑA Y MARACUYA PARA SER COMERCIALIZADOS COMO DESAYUNO ESCOLAR</v>
      </c>
      <c r="B784" s="58">
        <f>IFERROR(__xludf.DUMMYFUNCTION("""COMPUTED_VALUE"""),9.0)</f>
        <v>9</v>
      </c>
    </row>
    <row r="785">
      <c r="A785" s="58" t="str">
        <f>IFERROR(__xludf.DUMMYFUNCTION("""COMPUTED_VALUE"""),"PROYECTO DE FACTIBILIDAD PARA LA IMPLEMENTACIÓN DE UNA PLANTA PROCESADORA DE JUGOS DE NARANJA, PIÑA Y MARACUYÁ A SER COMERCIALIZADAS COMO DESAYUNO ESCOLAR")</f>
        <v>PROYECTO DE FACTIBILIDAD PARA LA IMPLEMENTACIÓN DE UNA PLANTA PROCESADORA DE JUGOS DE NARANJA, PIÑA Y MARACUYÁ A SER COMERCIALIZADAS COMO DESAYUNO ESCOLAR</v>
      </c>
      <c r="B785" s="58">
        <f>IFERROR(__xludf.DUMMYFUNCTION("""COMPUTED_VALUE"""),1.0)</f>
        <v>1</v>
      </c>
    </row>
    <row r="786">
      <c r="A786" s="58" t="str">
        <f>IFERROR(__xludf.DUMMYFUNCTION("""COMPUTED_VALUE"""),"PROYECTO DE FACTIBILIDAD PARA LA IMPLEMENTACIÓN DE UNA PLANTA PROCESADORA DE LOS DERIVADOS DE LA GUANÁBANA EN EL DEPARTAMENTO DE COCHABAMBA")</f>
        <v>PROYECTO DE FACTIBILIDAD PARA LA IMPLEMENTACIÓN DE UNA PLANTA PROCESADORA DE LOS DERIVADOS DE LA GUANÁBANA EN EL DEPARTAMENTO DE COCHABAMBA</v>
      </c>
      <c r="B786" s="58">
        <f>IFERROR(__xludf.DUMMYFUNCTION("""COMPUTED_VALUE"""),5.0)</f>
        <v>5</v>
      </c>
    </row>
    <row r="787">
      <c r="A787" s="58" t="str">
        <f>IFERROR(__xludf.DUMMYFUNCTION("""COMPUTED_VALUE"""),"PROYECTO DE FACTIBILIDAD PARA LA IMPLEMENTACIÓN DE UNA PLANTA PROCESADORA DE LÁCTEOS PARA LA ASOCIACIÓN DE PRODUCTORES LECHEROS A.P.L. PERTENECIENTES AL CLUSTER DE ALIMENTOS COCHABAMBA.")</f>
        <v>PROYECTO DE FACTIBILIDAD PARA LA IMPLEMENTACIÓN DE UNA PLANTA PROCESADORA DE LÁCTEOS PARA LA ASOCIACIÓN DE PRODUCTORES LECHEROS A.P.L. PERTENECIENTES AL CLUSTER DE ALIMENTOS COCHABAMBA.</v>
      </c>
      <c r="B787" s="58">
        <f>IFERROR(__xludf.DUMMYFUNCTION("""COMPUTED_VALUE"""),1.0)</f>
        <v>1</v>
      </c>
    </row>
    <row r="788">
      <c r="A788" s="58" t="str">
        <f>IFERROR(__xludf.DUMMYFUNCTION("""COMPUTED_VALUE"""),"PROYECTO DE FACTIBILIDAD PARA LA IMPLEMENTACIÓN DE UNA PLANTA PROCESADORA DE MERMELADA  DE CAMOTE CON PIÑA EN EL EJE METROPOLITANO DE COCHABAMBA")</f>
        <v>PROYECTO DE FACTIBILIDAD PARA LA IMPLEMENTACIÓN DE UNA PLANTA PROCESADORA DE MERMELADA  DE CAMOTE CON PIÑA EN EL EJE METROPOLITANO DE COCHABAMBA</v>
      </c>
      <c r="B788" s="58">
        <f>IFERROR(__xludf.DUMMYFUNCTION("""COMPUTED_VALUE"""),1.0)</f>
        <v>1</v>
      </c>
    </row>
    <row r="789">
      <c r="A789"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B789" s="58">
        <f>IFERROR(__xludf.DUMMYFUNCTION("""COMPUTED_VALUE"""),3.0)</f>
        <v>3</v>
      </c>
    </row>
    <row r="790">
      <c r="A790" s="58" t="str">
        <f>IFERROR(__xludf.DUMMYFUNCTION("""COMPUTED_VALUE"""),"PROYECTO DE FACTIBILIDAD PARA LA IMPLEMENTACIÓN DE UNA PLANTA PROCESADORA DE MERMELADA A PARTIR DE PENCA DE TUNA (OPUNTIA FICUS – INDICA) EN EL MUNICIPIO DE SANTIVAÑEZ.")</f>
        <v>PROYECTO DE FACTIBILIDAD PARA LA IMPLEMENTACIÓN DE UNA PLANTA PROCESADORA DE MERMELADA A PARTIR DE PENCA DE TUNA (OPUNTIA FICUS – INDICA) EN EL MUNICIPIO DE SANTIVAÑEZ.</v>
      </c>
      <c r="B790" s="58">
        <f>IFERROR(__xludf.DUMMYFUNCTION("""COMPUTED_VALUE"""),1.0)</f>
        <v>1</v>
      </c>
    </row>
    <row r="791">
      <c r="A791" s="58" t="str">
        <f>IFERROR(__xludf.DUMMYFUNCTION("""COMPUTED_VALUE"""),"PROYECTO DE FACTIBILIDAD PARA LA IMPLEMENTACIÓN DE UNA PLANTA PROCESADORA DE MERMELADA DE CAMOTE CON PIÑA EN EL EJE METROPOLITANO DE COCHABAMBA")</f>
        <v>PROYECTO DE FACTIBILIDAD PARA LA IMPLEMENTACIÓN DE UNA PLANTA PROCESADORA DE MERMELADA DE CAMOTE CON PIÑA EN EL EJE METROPOLITANO DE COCHABAMBA</v>
      </c>
      <c r="B791" s="58">
        <f>IFERROR(__xludf.DUMMYFUNCTION("""COMPUTED_VALUE"""),1.0)</f>
        <v>1</v>
      </c>
    </row>
    <row r="792">
      <c r="A792" s="58" t="str">
        <f>IFERROR(__xludf.DUMMYFUNCTION("""COMPUTED_VALUE"""),"PROYECTO DE FACTIBILIDAD PARA LA IMPLEMENTACIÓN DE UNA PLANTA PROCESADORA DE PROTEÍNA DE QUINUA PARA LA EXPORTACIÓN A LA UNIÓN EUROPEA")</f>
        <v>PROYECTO DE FACTIBILIDAD PARA LA IMPLEMENTACIÓN DE UNA PLANTA PROCESADORA DE PROTEÍNA DE QUINUA PARA LA EXPORTACIÓN A LA UNIÓN EUROPEA</v>
      </c>
      <c r="B792" s="58">
        <f>IFERROR(__xludf.DUMMYFUNCTION("""COMPUTED_VALUE"""),6.0)</f>
        <v>6</v>
      </c>
    </row>
    <row r="793">
      <c r="A793" s="58" t="str">
        <f>IFERROR(__xludf.DUMMYFUNCTION("""COMPUTED_VALUE"""),"PROYECTO DE FACTIBILIDAD PARA LA IMPLEMENTACIÓN DE UNA PLANTA PROCESADORA DE PULPA ASAÍ PARA LA ELABORACIÓN DE JUGO EN EL DEPARTAMENTO DE COCHABAMBA")</f>
        <v>PROYECTO DE FACTIBILIDAD PARA LA IMPLEMENTACIÓN DE UNA PLANTA PROCESADORA DE PULPA ASAÍ PARA LA ELABORACIÓN DE JUGO EN EL DEPARTAMENTO DE COCHABAMBA</v>
      </c>
      <c r="B793" s="58">
        <f>IFERROR(__xludf.DUMMYFUNCTION("""COMPUTED_VALUE"""),3.0)</f>
        <v>3</v>
      </c>
    </row>
    <row r="794">
      <c r="A794" s="58" t="str">
        <f>IFERROR(__xludf.DUMMYFUNCTION("""COMPUTED_VALUE"""),"PROYECTO DE FACTIBILIDAD PARA LA IMPLEMENTACIÓN DE UNA PLANTA PROCESADORA DE PURÉ DE FRUTAS TROPICALES PARA LA EXPORTACIÓN A LA UNIÓN EUROPEA.")</f>
        <v>PROYECTO DE FACTIBILIDAD PARA LA IMPLEMENTACIÓN DE UNA PLANTA PROCESADORA DE PURÉ DE FRUTAS TROPICALES PARA LA EXPORTACIÓN A LA UNIÓN EUROPEA.</v>
      </c>
      <c r="B794" s="58">
        <f>IFERROR(__xludf.DUMMYFUNCTION("""COMPUTED_VALUE"""),4.0)</f>
        <v>4</v>
      </c>
    </row>
    <row r="795">
      <c r="A795" s="58" t="str">
        <f>IFERROR(__xludf.DUMMYFUNCTION("""COMPUTED_VALUE"""),"PROYECTO DE FACTIBILIDAD PARA LA IMPLEMENTACIÓN DE UNA PLANTA PROCESADORA DE YOGURT A BASE DE PULPA DE ALOE VERA EN LA CIUDAD DE COCHABAMBA")</f>
        <v>PROYECTO DE FACTIBILIDAD PARA LA IMPLEMENTACIÓN DE UNA PLANTA PROCESADORA DE YOGURT A BASE DE PULPA DE ALOE VERA EN LA CIUDAD DE COCHABAMBA</v>
      </c>
      <c r="B795" s="58">
        <f>IFERROR(__xludf.DUMMYFUNCTION("""COMPUTED_VALUE"""),7.0)</f>
        <v>7</v>
      </c>
    </row>
    <row r="796">
      <c r="A796" s="58" t="str">
        <f>IFERROR(__xludf.DUMMYFUNCTION("""COMPUTED_VALUE"""),"PROYECTO DE FACTIBILIDAD PARA LA IMPLEMENTACIÓN DE UNA PLANTA PROCESADORA DE YOGURT PARA LA EMPRESA “K-PRICHO INDUSTRIAS LÁCTEAS”")</f>
        <v>PROYECTO DE FACTIBILIDAD PARA LA IMPLEMENTACIÓN DE UNA PLANTA PROCESADORA DE YOGURT PARA LA EMPRESA “K-PRICHO INDUSTRIAS LÁCTEAS”</v>
      </c>
      <c r="B796" s="58">
        <f>IFERROR(__xludf.DUMMYFUNCTION("""COMPUTED_VALUE"""),1.0)</f>
        <v>1</v>
      </c>
    </row>
    <row r="797">
      <c r="A797" s="58" t="str">
        <f>IFERROR(__xludf.DUMMYFUNCTION("""COMPUTED_VALUE"""),"PROYECTO DE FACTIBILIDAD PARA LA IMPLEMENTACIÓN DE UNA PLANTA PRODUCTORA DE BOLSAS PLÁSTICAS BIODEGRADABLES A BASE DE ALMIDÓN DE MANDIOCA EN EL DEPARTAMENTO DE COCHABAMBA.")</f>
        <v>PROYECTO DE FACTIBILIDAD PARA LA IMPLEMENTACIÓN DE UNA PLANTA PRODUCTORA DE BOLSAS PLÁSTICAS BIODEGRADABLES A BASE DE ALMIDÓN DE MANDIOCA EN EL DEPARTAMENTO DE COCHABAMBA.</v>
      </c>
      <c r="B797" s="58">
        <f>IFERROR(__xludf.DUMMYFUNCTION("""COMPUTED_VALUE"""),6.0)</f>
        <v>6</v>
      </c>
    </row>
    <row r="798">
      <c r="A798" s="58" t="str">
        <f>IFERROR(__xludf.DUMMYFUNCTION("""COMPUTED_VALUE"""),"PROYECTO DE FACTIBILIDAD PARA LA IMPLEMENTACIÓN DE UNA PLANTA PRODUCTORA DE HAMBURGUESAS DE QUINUA
EN COCHABAMBA")</f>
        <v>PROYECTO DE FACTIBILIDAD PARA LA IMPLEMENTACIÓN DE UNA PLANTA PRODUCTORA DE HAMBURGUESAS DE QUINUA
EN COCHABAMBA</v>
      </c>
      <c r="B798" s="58">
        <f>IFERROR(__xludf.DUMMYFUNCTION("""COMPUTED_VALUE"""),1.0)</f>
        <v>1</v>
      </c>
    </row>
    <row r="799">
      <c r="A799" s="58" t="str">
        <f>IFERROR(__xludf.DUMMYFUNCTION("""COMPUTED_VALUE"""),"PROYECTO DE FACTIBILIDAD PARA LA IMPLEMENTACIÓN DE UNA PLANTA PRODUCTORA DE HAMBURGUESAS DE QUINUA EN COCHABAMBA")</f>
        <v>PROYECTO DE FACTIBILIDAD PARA LA IMPLEMENTACIÓN DE UNA PLANTA PRODUCTORA DE HAMBURGUESAS DE QUINUA EN COCHABAMBA</v>
      </c>
      <c r="B799" s="58">
        <f>IFERROR(__xludf.DUMMYFUNCTION("""COMPUTED_VALUE"""),8.0)</f>
        <v>8</v>
      </c>
    </row>
    <row r="800">
      <c r="A800" s="58" t="str">
        <f>IFERROR(__xludf.DUMMYFUNCTION("""COMPUTED_VALUE"""),"PROYECTO DE FACTIBILIDAD PARA LA IMPLEMENTACIÓN DE UNA PLANTA PRODUCTORA DE LADRILLOS A PARTIR DE RESIDUOS DE CONSTRUCCIÓN Y DEMOLICIÓN (RCD) EN COCHABAMBA")</f>
        <v>PROYECTO DE FACTIBILIDAD PARA LA IMPLEMENTACIÓN DE UNA PLANTA PRODUCTORA DE LADRILLOS A PARTIR DE RESIDUOS DE CONSTRUCCIÓN Y DEMOLICIÓN (RCD) EN COCHABAMBA</v>
      </c>
      <c r="B800" s="58">
        <f>IFERROR(__xludf.DUMMYFUNCTION("""COMPUTED_VALUE"""),1.0)</f>
        <v>1</v>
      </c>
    </row>
    <row r="801">
      <c r="A801" s="58" t="str">
        <f>IFERROR(__xludf.DUMMYFUNCTION("""COMPUTED_VALUE"""),"PROYECTO DE FACTIBILIDAD PARA LA IMPLEMENTACIÓN DE UNA PLANTA PRODUCTORA DE LECHE DE SOYA")</f>
        <v>PROYECTO DE FACTIBILIDAD PARA LA IMPLEMENTACIÓN DE UNA PLANTA PRODUCTORA DE LECHE DE SOYA</v>
      </c>
      <c r="B801" s="58">
        <f>IFERROR(__xludf.DUMMYFUNCTION("""COMPUTED_VALUE"""),5.0)</f>
        <v>5</v>
      </c>
    </row>
    <row r="802">
      <c r="A802" s="58" t="str">
        <f>IFERROR(__xludf.DUMMYFUNCTION("""COMPUTED_VALUE"""),"PROYECTO DE FACTIBILIDAD PARA LA IMPLEMENTACIÓN DE UNA PLANTA PRODUCTORA DE SALSA DE PALTA PARA EL MERCADO COCHABAMBINO")</f>
        <v>PROYECTO DE FACTIBILIDAD PARA LA IMPLEMENTACIÓN DE UNA PLANTA PRODUCTORA DE SALSA DE PALTA PARA EL MERCADO COCHABAMBINO</v>
      </c>
      <c r="B802" s="58">
        <f>IFERROR(__xludf.DUMMYFUNCTION("""COMPUTED_VALUE"""),2.0)</f>
        <v>2</v>
      </c>
    </row>
    <row r="803">
      <c r="A803" s="58" t="str">
        <f>IFERROR(__xludf.DUMMYFUNCTION("""COMPUTED_VALUE"""),"PROYECTO DE FACTIBILIDAD PARA LA IMPLEMENTACIÓN DE UNA PLANTA PRODUCTORA DE SALSA DE PALTA PARA EL MERCADO COCHABAMBINO.")</f>
        <v>PROYECTO DE FACTIBILIDAD PARA LA IMPLEMENTACIÓN DE UNA PLANTA PRODUCTORA DE SALSA DE PALTA PARA EL MERCADO COCHABAMBINO.</v>
      </c>
      <c r="B803" s="58">
        <f>IFERROR(__xludf.DUMMYFUNCTION("""COMPUTED_VALUE"""),1.0)</f>
        <v>1</v>
      </c>
    </row>
    <row r="804">
      <c r="A804" s="58" t="str">
        <f>IFERROR(__xludf.DUMMYFUNCTION("""COMPUTED_VALUE"""),"PROYECTO DE FACTIBILIDAD PARA LA IMPLEMENTACIÓN DE UNA PLANTA PRODUCTORA DE YOGUR BIOLÓGICO ENRIQUECIDO CON QUINUA, PARA CERCADO-COCHABAMBA.")</f>
        <v>PROYECTO DE FACTIBILIDAD PARA LA IMPLEMENTACIÓN DE UNA PLANTA PRODUCTORA DE YOGUR BIOLÓGICO ENRIQUECIDO CON QUINUA, PARA CERCADO-COCHABAMBA.</v>
      </c>
      <c r="B804" s="58">
        <f>IFERROR(__xludf.DUMMYFUNCTION("""COMPUTED_VALUE"""),10.0)</f>
        <v>10</v>
      </c>
    </row>
    <row r="805">
      <c r="A805" s="58" t="str">
        <f>IFERROR(__xludf.DUMMYFUNCTION("""COMPUTED_VALUE"""),"PROYECTO DE FACTIBILIDAD PARA LA IMPLEMENTACIÓN DE UNA PLANTA RECAUCHUTADORA DE LLANTAS PARA LA EMPRESA IMPORTADORA BADRA S.R.L. EN EL DEPARTAMENTO DE COCHABAMBA")</f>
        <v>PROYECTO DE FACTIBILIDAD PARA LA IMPLEMENTACIÓN DE UNA PLANTA RECAUCHUTADORA DE LLANTAS PARA LA EMPRESA IMPORTADORA BADRA S.R.L. EN EL DEPARTAMENTO DE COCHABAMBA</v>
      </c>
      <c r="B805" s="58">
        <f>IFERROR(__xludf.DUMMYFUNCTION("""COMPUTED_VALUE"""),2.0)</f>
        <v>2</v>
      </c>
    </row>
    <row r="806">
      <c r="A806" s="58" t="str">
        <f>IFERROR(__xludf.DUMMYFUNCTION("""COMPUTED_VALUE"""),"PROYECTO DE FACTIBILIDAD PARA LA IMPLEMENTACIÓN DEBUN CRIADERO DE TRUCHAS EN LA COMUNIDAD DE MONTE PUNCO, MUNICIPIO DE POCONA")</f>
        <v>PROYECTO DE FACTIBILIDAD PARA LA IMPLEMENTACIÓN DEBUN CRIADERO DE TRUCHAS EN LA COMUNIDAD DE MONTE PUNCO, MUNICIPIO DE POCONA</v>
      </c>
      <c r="B806" s="58">
        <f>IFERROR(__xludf.DUMMYFUNCTION("""COMPUTED_VALUE"""),1.0)</f>
        <v>1</v>
      </c>
    </row>
    <row r="807">
      <c r="A807" s="58" t="str">
        <f>IFERROR(__xludf.DUMMYFUNCTION("""COMPUTED_VALUE"""),"PROYECTO DE FACTIBILIDAD PARA LA IMPLEMENTACIÓN DEL SUPERMERCADO SUPERGAR EN LA CIUDAD DE TARIJA.")</f>
        <v>PROYECTO DE FACTIBILIDAD PARA LA IMPLEMENTACIÓN DEL SUPERMERCADO SUPERGAR EN LA CIUDAD DE TARIJA.</v>
      </c>
      <c r="B807" s="58">
        <f>IFERROR(__xludf.DUMMYFUNCTION("""COMPUTED_VALUE"""),1.0)</f>
        <v>1</v>
      </c>
    </row>
    <row r="808">
      <c r="A808" s="58" t="str">
        <f>IFERROR(__xludf.DUMMYFUNCTION("""COMPUTED_VALUE"""),"PROYECTO DE FACTIBILIDAD PARA LA IMPLEMENTAR Y DIVERSIFICAR LA PRODUCCIÓN DE BOTELLONES PARA AGUA DE MESA A BASE DE POLIPROPILENO EN LA EMPRESA INPROMAT")</f>
        <v>PROYECTO DE FACTIBILIDAD PARA LA IMPLEMENTAR Y DIVERSIFICAR LA PRODUCCIÓN DE BOTELLONES PARA AGUA DE MESA A BASE DE POLIPROPILENO EN LA EMPRESA INPROMAT</v>
      </c>
      <c r="B808" s="58">
        <f>IFERROR(__xludf.DUMMYFUNCTION("""COMPUTED_VALUE"""),4.0)</f>
        <v>4</v>
      </c>
    </row>
    <row r="809">
      <c r="A809" s="58" t="str">
        <f>IFERROR(__xludf.DUMMYFUNCTION("""COMPUTED_VALUE"""),"PROYECTO DE FACTIBILIDAD PARA LA INSTALACION DE
UNA PLANTA PRODUCTORA DE “CEREALES A BASE DE
QUINUA” DIRIGIDO AL MERCADO DE COCHABAMBA")</f>
        <v>PROYECTO DE FACTIBILIDAD PARA LA INSTALACION DE
UNA PLANTA PRODUCTORA DE “CEREALES A BASE DE
QUINUA” DIRIGIDO AL MERCADO DE COCHABAMBA</v>
      </c>
      <c r="B809" s="58">
        <f>IFERROR(__xludf.DUMMYFUNCTION("""COMPUTED_VALUE"""),1.0)</f>
        <v>1</v>
      </c>
    </row>
    <row r="810">
      <c r="A810" s="58" t="str">
        <f>IFERROR(__xludf.DUMMYFUNCTION("""COMPUTED_VALUE"""),"PROYECTO DE FACTIBILIDAD PARA LA INSTALACIÓN DE UNA LAVANDERÍA INDUSTRIAL DE JEANS PARA LA EMPRESA BREY JEANS")</f>
        <v>PROYECTO DE FACTIBILIDAD PARA LA INSTALACIÓN DE UNA LAVANDERÍA INDUSTRIAL DE JEANS PARA LA EMPRESA BREY JEANS</v>
      </c>
      <c r="B810" s="58">
        <f>IFERROR(__xludf.DUMMYFUNCTION("""COMPUTED_VALUE"""),1.0)</f>
        <v>1</v>
      </c>
    </row>
    <row r="811">
      <c r="A811" s="58" t="str">
        <f>IFERROR(__xludf.DUMMYFUNCTION("""COMPUTED_VALUE"""),"PROYECTO DE FACTIBILIDAD PARA LA INSTALACIÓN DE UNA PLANTA DE EMBUTIDOS TIPO VIENA EN BASE A LA CARNE DE LLAMA (LAMA GLAMA")</f>
        <v>PROYECTO DE FACTIBILIDAD PARA LA INSTALACIÓN DE UNA PLANTA DE EMBUTIDOS TIPO VIENA EN BASE A LA CARNE DE LLAMA (LAMA GLAMA</v>
      </c>
      <c r="B811" s="58">
        <f>IFERROR(__xludf.DUMMYFUNCTION("""COMPUTED_VALUE"""),5.0)</f>
        <v>5</v>
      </c>
    </row>
    <row r="812">
      <c r="A812" s="58" t="str">
        <f>IFERROR(__xludf.DUMMYFUNCTION("""COMPUTED_VALUE"""),"PROYECTO DE FACTIBILIDAD PARA LA INSTALACIÓN DE UNA PLANTA DE PRODUCCIÓN DE PLATOS BIODEGRADABLES A BASE DE DESECHOS DE CAÑA DE AZÚCAR PARA EL MUNICIPIO DE COCHABAMBA")</f>
        <v>PROYECTO DE FACTIBILIDAD PARA LA INSTALACIÓN DE UNA PLANTA DE PRODUCCIÓN DE PLATOS BIODEGRADABLES A BASE DE DESECHOS DE CAÑA DE AZÚCAR PARA EL MUNICIPIO DE COCHABAMBA</v>
      </c>
      <c r="B812" s="58">
        <f>IFERROR(__xludf.DUMMYFUNCTION("""COMPUTED_VALUE"""),2.0)</f>
        <v>2</v>
      </c>
    </row>
    <row r="813">
      <c r="A813" s="58" t="str">
        <f>IFERROR(__xludf.DUMMYFUNCTION("""COMPUTED_VALUE"""),"PROYECTO DE FACTIBILIDAD PARA LA INSTALACIÓN DE UNA PLANTA DESHIDRATADORA DE DURAZNO, CIRUELA Y UVA EN EL VALLE ALTO")</f>
        <v>PROYECTO DE FACTIBILIDAD PARA LA INSTALACIÓN DE UNA PLANTA DESHIDRATADORA DE DURAZNO, CIRUELA Y UVA EN EL VALLE ALTO</v>
      </c>
      <c r="B813" s="58">
        <f>IFERROR(__xludf.DUMMYFUNCTION("""COMPUTED_VALUE"""),10.0)</f>
        <v>10</v>
      </c>
    </row>
    <row r="814">
      <c r="A814" s="58" t="str">
        <f>IFERROR(__xludf.DUMMYFUNCTION("""COMPUTED_VALUE"""),"PROYECTO DE FACTIBILIDAD PARA LA INSTALACIÓN DE UNA PLANTA ELABORADORA DE SHAMPOO A BASE DE JENGIBRE EN LA CIUDAD DE COCHABAMBA")</f>
        <v>PROYECTO DE FACTIBILIDAD PARA LA INSTALACIÓN DE UNA PLANTA ELABORADORA DE SHAMPOO A BASE DE JENGIBRE EN LA CIUDAD DE COCHABAMBA</v>
      </c>
      <c r="B814" s="58">
        <f>IFERROR(__xludf.DUMMYFUNCTION("""COMPUTED_VALUE"""),10.0)</f>
        <v>10</v>
      </c>
    </row>
    <row r="815">
      <c r="A815" s="58" t="str">
        <f>IFERROR(__xludf.DUMMYFUNCTION("""COMPUTED_VALUE"""),"PROYECTO DE FACTIBILIDAD PARA LA INSTALACIÓN DE UNA PLANTA ELABORADORA DE SHAMPOO A BASE DE ROMERO EN EL ÁREA METROPOLITANA DE COCHABAMBA")</f>
        <v>PROYECTO DE FACTIBILIDAD PARA LA INSTALACIÓN DE UNA PLANTA ELABORADORA DE SHAMPOO A BASE DE ROMERO EN EL ÁREA METROPOLITANA DE COCHABAMBA</v>
      </c>
      <c r="B815" s="58">
        <f>IFERROR(__xludf.DUMMYFUNCTION("""COMPUTED_VALUE"""),28.0)</f>
        <v>28</v>
      </c>
    </row>
    <row r="816">
      <c r="A816" s="58" t="str">
        <f>IFERROR(__xludf.DUMMYFUNCTION("""COMPUTED_VALUE"""),"PROYECTO DE FACTIBILIDAD PARA LA INSTALACIÓN DE UNA PLANTA INDUSTRIALIZADORA DE ARVEJA EN LA CIUDAD DE COCHABAMBA")</f>
        <v>PROYECTO DE FACTIBILIDAD PARA LA INSTALACIÓN DE UNA PLANTA INDUSTRIALIZADORA DE ARVEJA EN LA CIUDAD DE COCHABAMBA</v>
      </c>
      <c r="B816" s="58">
        <f>IFERROR(__xludf.DUMMYFUNCTION("""COMPUTED_VALUE"""),3.0)</f>
        <v>3</v>
      </c>
    </row>
    <row r="817">
      <c r="A817" s="58" t="str">
        <f>IFERROR(__xludf.DUMMYFUNCTION("""COMPUTED_VALUE"""),"PROYECTO DE FACTIBILIDAD PARA LA INSTALACIÓN DE UNA PLANTA PROCESADORA DE GALLETAS DE SORGO PARA EL EJE METROPOLITANO DEL DEPARTAMENTO DE COCHABAMBA.")</f>
        <v>PROYECTO DE FACTIBILIDAD PARA LA INSTALACIÓN DE UNA PLANTA PROCESADORA DE GALLETAS DE SORGO PARA EL EJE METROPOLITANO DEL DEPARTAMENTO DE COCHABAMBA.</v>
      </c>
      <c r="B817" s="58">
        <f>IFERROR(__xludf.DUMMYFUNCTION("""COMPUTED_VALUE"""),5.0)</f>
        <v>5</v>
      </c>
    </row>
    <row r="818">
      <c r="A818" s="58" t="str">
        <f>IFERROR(__xludf.DUMMYFUNCTION("""COMPUTED_VALUE"""),"PROYECTO DE FACTIBILIDAD PARA LA INSTALACIÓN DE UNA PLANTA PROCESADORA DE PULPA DE CUPUAZU")</f>
        <v>PROYECTO DE FACTIBILIDAD PARA LA INSTALACIÓN DE UNA PLANTA PROCESADORA DE PULPA DE CUPUAZU</v>
      </c>
      <c r="B818" s="58">
        <f>IFERROR(__xludf.DUMMYFUNCTION("""COMPUTED_VALUE"""),3.0)</f>
        <v>3</v>
      </c>
    </row>
    <row r="819">
      <c r="A819" s="58" t="str">
        <f>IFERROR(__xludf.DUMMYFUNCTION("""COMPUTED_VALUE"""),"PROYECTO DE FACTIBILIDAD PARA LA INSTALACIÓN DE UNA PLANTA PRODUCTORA DE SUPLEMENTO ALIMENTARIO PARA ANIMALES DE GRANJA A PARTIR DE MORINGA (OLEÍFERA)")</f>
        <v>PROYECTO DE FACTIBILIDAD PARA LA INSTALACIÓN DE UNA PLANTA PRODUCTORA DE SUPLEMENTO ALIMENTARIO PARA ANIMALES DE GRANJA A PARTIR DE MORINGA (OLEÍFERA)</v>
      </c>
      <c r="B819" s="58">
        <f>IFERROR(__xludf.DUMMYFUNCTION("""COMPUTED_VALUE"""),1.0)</f>
        <v>1</v>
      </c>
    </row>
    <row r="820">
      <c r="A820" s="58" t="str">
        <f>IFERROR(__xludf.DUMMYFUNCTION("""COMPUTED_VALUE"""),"PROYECTO DE FACTIBILIDAD PARA LA INSTALACIÓN DE UNA PLANTA PRODUCTORA DE “CEREALES A BASE DE QUINUA” DIRIGIDO AL MERCADO DE COCHABAMBA")</f>
        <v>PROYECTO DE FACTIBILIDAD PARA LA INSTALACIÓN DE UNA PLANTA PRODUCTORA DE “CEREALES A BASE DE QUINUA” DIRIGIDO AL MERCADO DE COCHABAMBA</v>
      </c>
      <c r="B820" s="58">
        <f>IFERROR(__xludf.DUMMYFUNCTION("""COMPUTED_VALUE"""),8.0)</f>
        <v>8</v>
      </c>
    </row>
    <row r="821">
      <c r="A821" s="58" t="str">
        <f>IFERROR(__xludf.DUMMYFUNCTION("""COMPUTED_VALUE"""),"PROYECTO DE FACTIBILIDAD PARA LA INSTALACIÓN INDUSTRIAL DE UNA PLANTA DE RECICLADO MECÁNICO PARA LA OBTENCIÓN DE FIBRA DE POLIÉSTER A PARTIR DE BOTELLAS PLÁSTICAS DE PET EN COCHABAMBA Y SANTA CRUZ")</f>
        <v>PROYECTO DE FACTIBILIDAD PARA LA INSTALACIÓN INDUSTRIAL DE UNA PLANTA DE RECICLADO MECÁNICO PARA LA OBTENCIÓN DE FIBRA DE POLIÉSTER A PARTIR DE BOTELLAS PLÁSTICAS DE PET EN COCHABAMBA Y SANTA CRUZ</v>
      </c>
      <c r="B821" s="58">
        <f>IFERROR(__xludf.DUMMYFUNCTION("""COMPUTED_VALUE"""),1.0)</f>
        <v>1</v>
      </c>
    </row>
    <row r="822">
      <c r="A822" s="58" t="str">
        <f>IFERROR(__xludf.DUMMYFUNCTION("""COMPUTED_VALUE"""),"PROYECTO DE FACTIBILIDAD PARA LA PRODUCCION Y COMERCIALIZACION DEL ACEITE DE CHIA")</f>
        <v>PROYECTO DE FACTIBILIDAD PARA LA PRODUCCION Y COMERCIALIZACION DEL ACEITE DE CHIA</v>
      </c>
      <c r="B822" s="58">
        <f>IFERROR(__xludf.DUMMYFUNCTION("""COMPUTED_VALUE"""),4.0)</f>
        <v>4</v>
      </c>
    </row>
    <row r="823">
      <c r="A823" s="58" t="str">
        <f>IFERROR(__xludf.DUMMYFUNCTION("""COMPUTED_VALUE"""),"PROYECTO DE FACTIBILIDAD PARA LA PRODUCCIÓN DE BARRAS ENERGÉTICAS LIBRES DE GLUTEN PARA LAS ASOCIACIONES DE PRODUCTORES DE MANÍ DE MIZQUE Y VILLA SERRANO (APROMAM)")</f>
        <v>PROYECTO DE FACTIBILIDAD PARA LA PRODUCCIÓN DE BARRAS ENERGÉTICAS LIBRES DE GLUTEN PARA LAS ASOCIACIONES DE PRODUCTORES DE MANÍ DE MIZQUE Y VILLA SERRANO (APROMAM)</v>
      </c>
      <c r="B823" s="58">
        <f>IFERROR(__xludf.DUMMYFUNCTION("""COMPUTED_VALUE"""),2.0)</f>
        <v>2</v>
      </c>
    </row>
    <row r="824">
      <c r="A824" s="58" t="str">
        <f>IFERROR(__xludf.DUMMYFUNCTION("""COMPUTED_VALUE"""),"PROYECTO DE FACTIBILIDAD PARA LA PRODUCCIÓN DE TEJAS A PARTIR DE
LLANTAS RECICLADAS EN COCHABAMBA")</f>
        <v>PROYECTO DE FACTIBILIDAD PARA LA PRODUCCIÓN DE TEJAS A PARTIR DE
LLANTAS RECICLADAS EN COCHABAMBA</v>
      </c>
      <c r="B824" s="58">
        <f>IFERROR(__xludf.DUMMYFUNCTION("""COMPUTED_VALUE"""),1.0)</f>
        <v>1</v>
      </c>
    </row>
    <row r="825">
      <c r="A825" s="58" t="str">
        <f>IFERROR(__xludf.DUMMYFUNCTION("""COMPUTED_VALUE"""),"PROYECTO DE FACTIBILIDAD PARA LAIMPLEMENTACIÓN DE UNA PLANTA PROCESADORA DE JUGOS DE NARANJA, PIÑA Y MARACUYÁ A SER COMERCIALIZADAS COMO DESAYUNO ESCOLAR")</f>
        <v>PROYECTO DE FACTIBILIDAD PARA LAIMPLEMENTACIÓN DE UNA PLANTA PROCESADORA DE JUGOS DE NARANJA, PIÑA Y MARACUYÁ A SER COMERCIALIZADAS COMO DESAYUNO ESCOLAR</v>
      </c>
      <c r="B825" s="58">
        <f>IFERROR(__xludf.DUMMYFUNCTION("""COMPUTED_VALUE"""),1.0)</f>
        <v>1</v>
      </c>
    </row>
    <row r="826">
      <c r="A826" s="58" t="str">
        <f>IFERROR(__xludf.DUMMYFUNCTION("""COMPUTED_VALUE"""),"PROYECTO DE FACTIBILIDAD PARA UNA PLANTA DE BIOETANOL A PARTIR DEL APROVECHAMIENTO DE CAÑA DE AZÚCAR EN EL DEPARTAMENTO DE COCHABAMBA")</f>
        <v>PROYECTO DE FACTIBILIDAD PARA UNA PLANTA DE BIOETANOL A PARTIR DEL APROVECHAMIENTO DE CAÑA DE AZÚCAR EN EL DEPARTAMENTO DE COCHABAMBA</v>
      </c>
      <c r="B826" s="58">
        <f>IFERROR(__xludf.DUMMYFUNCTION("""COMPUTED_VALUE"""),10.0)</f>
        <v>10</v>
      </c>
    </row>
    <row r="827">
      <c r="A827" s="58" t="str">
        <f>IFERROR(__xludf.DUMMYFUNCTION("""COMPUTED_VALUE"""),"PROYECTO DE FACTIBILIDAD PRODUCTIVA Y COMERCIAL PARA LA IMPLEMENTACIÓN DE UNA PLANTA PELADORA DE MAÍZ EN LA PROVINCIA GERMAN JORDÁN – CLIZA")</f>
        <v>PROYECTO DE FACTIBILIDAD PRODUCTIVA Y COMERCIAL PARA LA IMPLEMENTACIÓN DE UNA PLANTA PELADORA DE MAÍZ EN LA PROVINCIA GERMAN JORDÁN – CLIZA</v>
      </c>
      <c r="B827" s="58">
        <f>IFERROR(__xludf.DUMMYFUNCTION("""COMPUTED_VALUE"""),4.0)</f>
        <v>4</v>
      </c>
    </row>
    <row r="828">
      <c r="A828" s="58" t="str">
        <f>IFERROR(__xludf.DUMMYFUNCTION("""COMPUTED_VALUE"""),"PROYECTO DE FACTIBILIDAD TECNICA Y FINANCIERA PARA LA IMPLEMENTACION DE UNA NUEVA LINEA DE PRODUCCION DE CARNE (HAMBURGUESA) VEGANA A BASE DE OKARA PARA LA EMPRESA NORDLAND LTDA. EN LA CIUDAD DE COCHABAMBA")</f>
        <v>PROYECTO DE FACTIBILIDAD TECNICA Y FINANCIERA PARA LA IMPLEMENTACION DE UNA NUEVA LINEA DE PRODUCCION DE CARNE (HAMBURGUESA) VEGANA A BASE DE OKARA PARA LA EMPRESA NORDLAND LTDA. EN LA CIUDAD DE COCHABAMBA</v>
      </c>
      <c r="B828" s="58">
        <f>IFERROR(__xludf.DUMMYFUNCTION("""COMPUTED_VALUE"""),5.0)</f>
        <v>5</v>
      </c>
    </row>
    <row r="829">
      <c r="A829" s="58" t="str">
        <f>IFERROR(__xludf.DUMMYFUNCTION("""COMPUTED_VALUE"""),"PROYECTO DE FACTIBILIDAD TECNICA Y FINANCIERA PARA LA INSTALACION DE UNA PLANTA PROCESADORA DE HARINA DE OCA EN COCHABAMBA")</f>
        <v>PROYECTO DE FACTIBILIDAD TECNICA Y FINANCIERA PARA LA INSTALACION DE UNA PLANTA PROCESADORA DE HARINA DE OCA EN COCHABAMBA</v>
      </c>
      <c r="B829" s="58">
        <f>IFERROR(__xludf.DUMMYFUNCTION("""COMPUTED_VALUE"""),3.0)</f>
        <v>3</v>
      </c>
    </row>
    <row r="830">
      <c r="A830" s="58" t="str">
        <f>IFERROR(__xludf.DUMMYFUNCTION("""COMPUTED_VALUE"""),"PROYECTO DE FACTIBILIDAD TÉCNICA ECONÓMICA PARA LA INSTALACIÓN DE UNA PLANTA PROCESADORA DE MERMELADA DE TOMATE EN LA LOCALIDAD DE TIPA TIPA.")</f>
        <v>PROYECTO DE FACTIBILIDAD TÉCNICA ECONÓMICA PARA LA INSTALACIÓN DE UNA PLANTA PROCESADORA DE MERMELADA DE TOMATE EN LA LOCALIDAD DE TIPA TIPA.</v>
      </c>
      <c r="B830" s="58">
        <f>IFERROR(__xludf.DUMMYFUNCTION("""COMPUTED_VALUE"""),2.0)</f>
        <v>2</v>
      </c>
    </row>
    <row r="831">
      <c r="A831" s="58" t="str">
        <f>IFERROR(__xludf.DUMMYFUNCTION("""COMPUTED_VALUE"""),"PROYECTO DE FACTIBILIDAD TÉCNICA Y FINANCIERA PARA LA IMPLEMENTACIÓN DE UNA PLANTA PROCESADORA DE HARINA DE PAPA EN LA COMUNIDAD DE CHAPISIRCA-TIQUIPAYA")</f>
        <v>PROYECTO DE FACTIBILIDAD TÉCNICA Y FINANCIERA PARA LA IMPLEMENTACIÓN DE UNA PLANTA PROCESADORA DE HARINA DE PAPA EN LA COMUNIDAD DE CHAPISIRCA-TIQUIPAYA</v>
      </c>
      <c r="B831" s="58">
        <f>IFERROR(__xludf.DUMMYFUNCTION("""COMPUTED_VALUE"""),7.0)</f>
        <v>7</v>
      </c>
    </row>
    <row r="832">
      <c r="A832" s="58" t="str">
        <f>IFERROR(__xludf.DUMMYFUNCTION("""COMPUTED_VALUE"""),"PROYECTO DE FACTIBILIDAD TÉCNICA Y FINANCIERA PARA LA IMPLEMENTACIÓN DE UNA PLANTA PROCESADORA DE JARABE DE FRUCTUOSA DE YACÓN (POLYMNIA SONCHIFOLIA) EN EL EJE METROPOLITANO DEL DEPARTAMENTO DE COCHABAMBA")</f>
        <v>PROYECTO DE FACTIBILIDAD TÉCNICA Y FINANCIERA PARA LA IMPLEMENTACIÓN DE UNA PLANTA PROCESADORA DE JARABE DE FRUCTUOSA DE YACÓN (POLYMNIA SONCHIFOLIA) EN EL EJE METROPOLITANO DEL DEPARTAMENTO DE COCHABAMBA</v>
      </c>
      <c r="B832" s="58">
        <f>IFERROR(__xludf.DUMMYFUNCTION("""COMPUTED_VALUE"""),4.0)</f>
        <v>4</v>
      </c>
    </row>
    <row r="833">
      <c r="A833" s="58" t="str">
        <f>IFERROR(__xludf.DUMMYFUNCTION("""COMPUTED_VALUE"""),"PROYECTO DE FACTIBILIDAD TÉCNICO Y COMERCIAL PARA UNA NUEVA LÍNEA INDUSTRIAL DE MERMELADA PARA TUFRU S.R.L")</f>
        <v>PROYECTO DE FACTIBILIDAD TÉCNICO Y COMERCIAL PARA UNA NUEVA LÍNEA INDUSTRIAL DE MERMELADA PARA TUFRU S.R.L</v>
      </c>
      <c r="B833" s="58">
        <f>IFERROR(__xludf.DUMMYFUNCTION("""COMPUTED_VALUE"""),3.0)</f>
        <v>3</v>
      </c>
    </row>
    <row r="834">
      <c r="A834" s="58" t="str">
        <f>IFERROR(__xludf.DUMMYFUNCTION("""COMPUTED_VALUE"""),"PROYECTO DE PRE-FACTIBILIDAD PARA LA INSTALACIÓN DE UNA PLANTA DE PRODUCCIÓN  DE “LECHUGA Y TOMATE HIDROPÓNICA” EN EL EJE METROPOLITANO DE COCHABAMBA.")</f>
        <v>PROYECTO DE PRE-FACTIBILIDAD PARA LA INSTALACIÓN DE UNA PLANTA DE PRODUCCIÓN  DE “LECHUGA Y TOMATE HIDROPÓNICA” EN EL EJE METROPOLITANO DE COCHABAMBA.</v>
      </c>
      <c r="B834" s="58">
        <f>IFERROR(__xludf.DUMMYFUNCTION("""COMPUTED_VALUE"""),4.0)</f>
        <v>4</v>
      </c>
    </row>
    <row r="835">
      <c r="A835" s="58" t="str">
        <f>IFERROR(__xludf.DUMMYFUNCTION("""COMPUTED_VALUE"""),"PROYECTO DE PRE-FACTIBILIDAD PARA LA INSTALACIÓN DE UNA PLANTA DE PRODUCCIÓN DE “LECHUGA Y TOMATE HIDROPÓNICA” EN EL EJE METROPOLITANO DE COCHABAMBA.")</f>
        <v>PROYECTO DE PRE-FACTIBILIDAD PARA LA INSTALACIÓN DE UNA PLANTA DE PRODUCCIÓN DE “LECHUGA Y TOMATE HIDROPÓNICA” EN EL EJE METROPOLITANO DE COCHABAMBA.</v>
      </c>
      <c r="B835" s="58">
        <f>IFERROR(__xludf.DUMMYFUNCTION("""COMPUTED_VALUE"""),1.0)</f>
        <v>1</v>
      </c>
    </row>
    <row r="836">
      <c r="A836" s="58" t="str">
        <f>IFERROR(__xludf.DUMMYFUNCTION("""COMPUTED_VALUE"""),"PROYECTO DE TRANSFORMACIÓN CURRICULAR PARA LA CARRERA LICENCIATURA EN INGENIERÍA INDUSTRIAL DE LA FACULTAD DE  CIENCIAS Y TECNOLOGÍA DE LA UNIVERSIDAD MAYOR DE SAN SIMÓN")</f>
        <v>PROYECTO DE TRANSFORMACIÓN CURRICULAR PARA LA CARRERA LICENCIATURA EN INGENIERÍA INDUSTRIAL DE LA FACULTAD DE  CIENCIAS Y TECNOLOGÍA DE LA UNIVERSIDAD MAYOR DE SAN SIMÓN</v>
      </c>
      <c r="B836" s="58">
        <f>IFERROR(__xludf.DUMMYFUNCTION("""COMPUTED_VALUE"""),2.0)</f>
        <v>2</v>
      </c>
    </row>
    <row r="837">
      <c r="A837" s="58" t="str">
        <f>IFERROR(__xludf.DUMMYFUNCTION("""COMPUTED_VALUE"""),"PROYECTO DE TRANSFORMACIÓN CURRICULAR PARA LA CARRERA LICENCIATURA EN INGENIERÍA INDUSTRIAL DE LA FACULTAD DE CIENCIAS Y TECNOLOGÍA DE LA UNIVERSIDAD MAYOR DE SAN SIMÓN")</f>
        <v>PROYECTO DE TRANSFORMACIÓN CURRICULAR PARA LA CARRERA LICENCIATURA EN INGENIERÍA INDUSTRIAL DE LA FACULTAD DE CIENCIAS Y TECNOLOGÍA DE LA UNIVERSIDAD MAYOR DE SAN SIMÓN</v>
      </c>
      <c r="B837" s="58">
        <f>IFERROR(__xludf.DUMMYFUNCTION("""COMPUTED_VALUE"""),1.0)</f>
        <v>1</v>
      </c>
    </row>
    <row r="838">
      <c r="A838" s="58" t="str">
        <f>IFERROR(__xludf.DUMMYFUNCTION("""COMPUTED_VALUE"""),"PROYECTO DE VIABILIDAD PARA LA IMPLEMENTACION DE UNA PLANTA PROCESADORA DE VINO DE UVA EN LA LOCALIDAD DE MIZQUE - COCHABAMBA")</f>
        <v>PROYECTO DE VIABILIDAD PARA LA IMPLEMENTACION DE UNA PLANTA PROCESADORA DE VINO DE UVA EN LA LOCALIDAD DE MIZQUE - COCHABAMBA</v>
      </c>
      <c r="B838" s="58">
        <f>IFERROR(__xludf.DUMMYFUNCTION("""COMPUTED_VALUE"""),1.0)</f>
        <v>1</v>
      </c>
    </row>
    <row r="839">
      <c r="A839" s="58" t="str">
        <f>IFERROR(__xludf.DUMMYFUNCTION("""COMPUTED_VALUE"""),"PROYECTO DE VIABILIDAD PARA LA IMPLEMENTACIÓN DE UNA PLANTA PROCESADORA DE VINO DE UVA EN LA LOCALIDAD DE MIZQUE - COCHABAMBA")</f>
        <v>PROYECTO DE VIABILIDAD PARA LA IMPLEMENTACIÓN DE UNA PLANTA PROCESADORA DE VINO DE UVA EN LA LOCALIDAD DE MIZQUE - COCHABAMBA</v>
      </c>
      <c r="B839" s="58">
        <f>IFERROR(__xludf.DUMMYFUNCTION("""COMPUTED_VALUE"""),2.0)</f>
        <v>2</v>
      </c>
    </row>
    <row r="840">
      <c r="A840" s="58" t="str">
        <f>IFERROR(__xludf.DUMMYFUNCTION("""COMPUTED_VALUE"""),"REDISEÑO DEL PROCESO PRODUCTIVO EN LA SECCIÓN CARPINTERÍA, DEPENDIENTE DE SERVICIOS GENERALES DE LA UNIVERSIDAD MAYOR DE SAN SIMÓN")</f>
        <v>REDISEÑO DEL PROCESO PRODUCTIVO EN LA SECCIÓN CARPINTERÍA, DEPENDIENTE DE SERVICIOS GENERALES DE LA UNIVERSIDAD MAYOR DE SAN SIMÓN</v>
      </c>
      <c r="B840" s="58">
        <f>IFERROR(__xludf.DUMMYFUNCTION("""COMPUTED_VALUE"""),2.0)</f>
        <v>2</v>
      </c>
    </row>
    <row r="841">
      <c r="A841" s="58" t="str">
        <f>IFERROR(__xludf.DUMMYFUNCTION("""COMPUTED_VALUE"""),"REDISEÑOS DE PROCESOS OPERATIVOS PARA LA ADAPTACIÓN DE UN SISTEMA ERP DE INDUSTRIAS NAHÍ CORPORACIÓN S.R.L.")</f>
        <v>REDISEÑOS DE PROCESOS OPERATIVOS PARA LA ADAPTACIÓN DE UN SISTEMA ERP DE INDUSTRIAS NAHÍ CORPORACIÓN S.R.L.</v>
      </c>
      <c r="B841" s="58">
        <f>IFERROR(__xludf.DUMMYFUNCTION("""COMPUTED_VALUE"""),2.0)</f>
        <v>2</v>
      </c>
    </row>
    <row r="842">
      <c r="A842" s="58" t="str">
        <f>IFERROR(__xludf.DUMMYFUNCTION("""COMPUTED_VALUE"""),"REDUCCION DEL TIEMPO EN LOS CAMBIOS DE CALIBRE DE LA LINEA DE PRODUCCION DE PLANTA “SACABA SD, PEPSI” APLICANDO HERRAMIENTAS DE LA METODOLOGIA SMED")</f>
        <v>REDUCCION DEL TIEMPO EN LOS CAMBIOS DE CALIBRE DE LA LINEA DE PRODUCCION DE PLANTA “SACABA SD, PEPSI” APLICANDO HERRAMIENTAS DE LA METODOLOGIA SMED</v>
      </c>
      <c r="B842" s="58">
        <f>IFERROR(__xludf.DUMMYFUNCTION("""COMPUTED_VALUE"""),10.0)</f>
        <v>10</v>
      </c>
    </row>
    <row r="843">
      <c r="A843" s="58" t="str">
        <f>IFERROR(__xludf.DUMMYFUNCTION("""COMPUTED_VALUE"""),"REDUCCIÓN DEL TIEMPO DE CAMBIO DE FORMATO EN LAS MÁQUINAS ENVASADORAS DE DETERGENTES B3 Y T1 DE LA EMPRESA UNILEVER ANDINA BOLIVIA S.A. APLICANDO LA HERRAMIENTA SMED")</f>
        <v>REDUCCIÓN DEL TIEMPO DE CAMBIO DE FORMATO EN LAS MÁQUINAS ENVASADORAS DE DETERGENTES B3 Y T1 DE LA EMPRESA UNILEVER ANDINA BOLIVIA S.A. APLICANDO LA HERRAMIENTA SMED</v>
      </c>
      <c r="B843" s="58">
        <f>IFERROR(__xludf.DUMMYFUNCTION("""COMPUTED_VALUE"""),2.0)</f>
        <v>2</v>
      </c>
    </row>
    <row r="844">
      <c r="A844" s="58" t="str">
        <f>IFERROR(__xludf.DUMMYFUNCTION("""COMPUTED_VALUE"""),"REESTRUCTURACIÓN DEL ÁREA PRODUCTIVA Y ADMINISTRATIVA DE LA EMPRESA DE CONFECCIONES ""GARELI JEANS"" BAJO UN ENFOQUE DE REINGENIERÍA")</f>
        <v>REESTRUCTURACIÓN DEL ÁREA PRODUCTIVA Y ADMINISTRATIVA DE LA EMPRESA DE CONFECCIONES "GARELI JEANS" BAJO UN ENFOQUE DE REINGENIERÍA</v>
      </c>
      <c r="B844" s="58">
        <f>IFERROR(__xludf.DUMMYFUNCTION("""COMPUTED_VALUE"""),1.0)</f>
        <v>1</v>
      </c>
    </row>
    <row r="845">
      <c r="A845" s="58" t="str">
        <f>IFERROR(__xludf.DUMMYFUNCTION("""COMPUTED_VALUE"""),"REESTRUCTURACIÓN DEL ÁREA PRODUCTIVA Y ADMINISTRATIVA DE LA EMPRESA DE CONFECCIONES GARELI JEANS” BAJO UN ENFOQUE DE REINGENIERÍA")</f>
        <v>REESTRUCTURACIÓN DEL ÁREA PRODUCTIVA Y ADMINISTRATIVA DE LA EMPRESA DE CONFECCIONES GARELI JEANS” BAJO UN ENFOQUE DE REINGENIERÍA</v>
      </c>
      <c r="B845" s="58">
        <f>IFERROR(__xludf.DUMMYFUNCTION("""COMPUTED_VALUE"""),1.0)</f>
        <v>1</v>
      </c>
    </row>
    <row r="846">
      <c r="A846" s="58" t="str">
        <f>IFERROR(__xludf.DUMMYFUNCTION("""COMPUTED_VALUE"""),"REFORMULACIÓN DEL PLAN ESTRATÉGICO DEL 2002 PARA EL CENTRO DE BIOTECNOLOGÍA DE LA FCYT DE LA UMSS")</f>
        <v>REFORMULACIÓN DEL PLAN ESTRATÉGICO DEL 2002 PARA EL CENTRO DE BIOTECNOLOGÍA DE LA FCYT DE LA UMSS</v>
      </c>
      <c r="B846" s="58">
        <f>IFERROR(__xludf.DUMMYFUNCTION("""COMPUTED_VALUE"""),2.0)</f>
        <v>2</v>
      </c>
    </row>
    <row r="847">
      <c r="A847" s="58" t="str">
        <f>IFERROR(__xludf.DUMMYFUNCTION("""COMPUTED_VALUE"""),"REORGANIZACIÓN DE LAS INSTALACIONES LECHERAS DE LA EMPRESA VERTIENTE BAJO UN ENFOQUE DE REINGENIERÍA")</f>
        <v>REORGANIZACIÓN DE LAS INSTALACIONES LECHERAS DE LA EMPRESA VERTIENTE BAJO UN ENFOQUE DE REINGENIERÍA</v>
      </c>
      <c r="B847" s="58">
        <f>IFERROR(__xludf.DUMMYFUNCTION("""COMPUTED_VALUE"""),2.0)</f>
        <v>2</v>
      </c>
    </row>
    <row r="848">
      <c r="A848" s="58" t="str">
        <f>IFERROR(__xludf.DUMMYFUNCTION("""COMPUTED_VALUE"""),"REORGANIZACIÓN DEL PROCESO PRODUCTIVO EN LA EMPRESA INDUSTRIA DE CONDUCTORES (IDECON)")</f>
        <v>REORGANIZACIÓN DEL PROCESO PRODUCTIVO EN LA EMPRESA INDUSTRIA DE CONDUCTORES (IDECON)</v>
      </c>
      <c r="B848" s="58">
        <f>IFERROR(__xludf.DUMMYFUNCTION("""COMPUTED_VALUE"""),3.0)</f>
        <v>3</v>
      </c>
    </row>
    <row r="849">
      <c r="A849" s="58" t="str">
        <f>IFERROR(__xludf.DUMMYFUNCTION("""COMPUTED_VALUE"""),"SISTEMA DE CONTROL DE CALIDAD DE PRODUCTO
TERMINADO DE INCERPAZ")</f>
        <v>SISTEMA DE CONTROL DE CALIDAD DE PRODUCTO
TERMINADO DE INCERPAZ</v>
      </c>
      <c r="B849" s="58">
        <f>IFERROR(__xludf.DUMMYFUNCTION("""COMPUTED_VALUE"""),1.0)</f>
        <v>1</v>
      </c>
    </row>
    <row r="850">
      <c r="A850" s="58" t="str">
        <f>IFERROR(__xludf.DUMMYFUNCTION("""COMPUTED_VALUE"""),"SISTEMA DE CONTROL DE CALIDAD DE PRODUCTO TERMINADO DE INCERPAZ.")</f>
        <v>SISTEMA DE CONTROL DE CALIDAD DE PRODUCTO TERMINADO DE INCERPAZ.</v>
      </c>
      <c r="B850" s="58">
        <f>IFERROR(__xludf.DUMMYFUNCTION("""COMPUTED_VALUE"""),4.0)</f>
        <v>4</v>
      </c>
    </row>
    <row r="851">
      <c r="A851" s="58" t="str">
        <f>IFERROR(__xludf.DUMMYFUNCTION("""COMPUTED_VALUE"""),"SISTEMA DE COSTOS PARA LA INDUSTRIA PANIFICADORA “SOTO”")</f>
        <v>SISTEMA DE COSTOS PARA LA INDUSTRIA PANIFICADORA “SOTO”</v>
      </c>
      <c r="B851" s="58">
        <f>IFERROR(__xludf.DUMMYFUNCTION("""COMPUTED_VALUE"""),1.0)</f>
        <v>1</v>
      </c>
    </row>
    <row r="852">
      <c r="A852" s="58" t="str">
        <f>IFERROR(__xludf.DUMMYFUNCTION("""COMPUTED_VALUE"""),"SISTEMA DE GESTION EN SEGURIDAD INDUSTRIAL Y SALUD OCUPACIONAL PARA LA PLANTA DE FABRICACION DE ENVASES PLASTICOS PILPLAST DEL MUNICIPIO DE COLCAPIRHUA")</f>
        <v>SISTEMA DE GESTION EN SEGURIDAD INDUSTRIAL Y SALUD OCUPACIONAL PARA LA PLANTA DE FABRICACION DE ENVASES PLASTICOS PILPLAST DEL MUNICIPIO DE COLCAPIRHUA</v>
      </c>
      <c r="B852" s="58">
        <f>IFERROR(__xludf.DUMMYFUNCTION("""COMPUTED_VALUE"""),5.0)</f>
        <v>5</v>
      </c>
    </row>
    <row r="853">
      <c r="A853" s="58" t="str">
        <f>IFERROR(__xludf.DUMMYFUNCTION("""COMPUTED_VALUE"""),"SISTEMA DE GESTIÓN DE CALIDAD BASADO EN LA NORMA ISO 9001:2008 PARA UNILEVER           ANDINA BOLIVIA S.A. EN EL CENTRO NACIONAL DE DISTRIBUCIÓN")</f>
        <v>SISTEMA DE GESTIÓN DE CALIDAD BASADO EN LA NORMA ISO 9001:2008 PARA UNILEVER           ANDINA BOLIVIA S.A. EN EL CENTRO NACIONAL DE DISTRIBUCIÓN</v>
      </c>
      <c r="B853" s="58">
        <f>IFERROR(__xludf.DUMMYFUNCTION("""COMPUTED_VALUE"""),2.0)</f>
        <v>2</v>
      </c>
    </row>
    <row r="854">
      <c r="A854" s="58" t="str">
        <f>IFERROR(__xludf.DUMMYFUNCTION("""COMPUTED_VALUE"""),"SISTEMA DE GESTIÓN DE LA CALIDAD SEGÚN CERTIFICACIÓN DE PRODUCTO CON SELLO IBNORCA DE CONFORMIDAD CON NB 325001 PARA “LA CASCADA S.A")</f>
        <v>SISTEMA DE GESTIÓN DE LA CALIDAD SEGÚN CERTIFICACIÓN DE PRODUCTO CON SELLO IBNORCA DE CONFORMIDAD CON NB 325001 PARA “LA CASCADA S.A</v>
      </c>
      <c r="B854" s="58">
        <f>IFERROR(__xludf.DUMMYFUNCTION("""COMPUTED_VALUE"""),1.0)</f>
        <v>1</v>
      </c>
    </row>
    <row r="855">
      <c r="A855" s="58" t="str">
        <f>IFERROR(__xludf.DUMMYFUNCTION("""COMPUTED_VALUE"""),"SISTEMA DE GESTIÓN DE SEGURIDAD Y SALUD EN EL TRABAJO BASADO EN LA NORMA NB/ISO 45001:2018 PARA LA EMPRESA COBOCE CERAMIL EN EL PARQUE INDUSTRIAL DE SANTIVAÑEZ")</f>
        <v>SISTEMA DE GESTIÓN DE SEGURIDAD Y SALUD EN EL TRABAJO BASADO EN LA NORMA NB/ISO 45001:2018 PARA LA EMPRESA COBOCE CERAMIL EN EL PARQUE INDUSTRIAL DE SANTIVAÑEZ</v>
      </c>
      <c r="B855" s="58">
        <f>IFERROR(__xludf.DUMMYFUNCTION("""COMPUTED_VALUE"""),11.0)</f>
        <v>11</v>
      </c>
    </row>
    <row r="856">
      <c r="A856" s="58" t="str">
        <f>IFERROR(__xludf.DUMMYFUNCTION("""COMPUTED_VALUE"""),"SISTEMA DE GESTIÓN DE SEGURIDAD Y SALUD EN ELTRABAJO BASADO EN LA NORMA NB/ISO 45001:2018 PARA LA EMPRESA COBOCE CERAMIL EN EL PARQUE INDUSTRIAL DE SANTIVAÑEZ PROYECTO DE GRADO, PRESENTADO PARA OPTAR AL DIPLOMADO ACADÉMICO")</f>
        <v>SISTEMA DE GESTIÓN DE SEGURIDAD Y SALUD EN ELTRABAJO BASADO EN LA NORMA NB/ISO 45001:2018 PARA LA EMPRESA COBOCE CERAMIL EN EL PARQUE INDUSTRIAL DE SANTIVAÑEZ PROYECTO DE GRADO, PRESENTADO PARA OPTAR AL DIPLOMADO ACADÉMICO</v>
      </c>
      <c r="B856" s="58">
        <f>IFERROR(__xludf.DUMMYFUNCTION("""COMPUTED_VALUE"""),1.0)</f>
        <v>1</v>
      </c>
    </row>
    <row r="857">
      <c r="A857" s="58" t="str">
        <f>IFERROR(__xludf.DUMMYFUNCTION("""COMPUTED_VALUE"""),"SISTEMA DE GESTIÓN EN SEGURIDAD Y SALUD OCUPACIONAL BASADO EN LA NORMA OHSAS 18001 PARA LA EMPRESA SABSA")</f>
        <v>SISTEMA DE GESTIÓN EN SEGURIDAD Y SALUD OCUPACIONAL BASADO EN LA NORMA OHSAS 18001 PARA LA EMPRESA SABSA</v>
      </c>
      <c r="B857" s="58">
        <f>IFERROR(__xludf.DUMMYFUNCTION("""COMPUTED_VALUE"""),2.0)</f>
        <v>2</v>
      </c>
    </row>
    <row r="858">
      <c r="A858" s="58" t="str">
        <f>IFERROR(__xludf.DUMMYFUNCTION("""COMPUTED_VALUE"""),"SISTEMA DE GESTIÓN EN SEGURIDAD Y SALUD OCUPACIONAL DE ACUERDO A LA   NORMA OHSAS 18001, PARA EL “COMPLEJO AVICOLA TORRICO S.R.L.”")</f>
        <v>SISTEMA DE GESTIÓN EN SEGURIDAD Y SALUD OCUPACIONAL DE ACUERDO A LA   NORMA OHSAS 18001, PARA EL “COMPLEJO AVICOLA TORRICO S.R.L.”</v>
      </c>
      <c r="B858" s="58">
        <f>IFERROR(__xludf.DUMMYFUNCTION("""COMPUTED_VALUE"""),2.0)</f>
        <v>2</v>
      </c>
    </row>
    <row r="859">
      <c r="A859" s="58" t="str">
        <f>IFERROR(__xludf.DUMMYFUNCTION("""COMPUTED_VALUE"""),"SISTEMA DE GESTIÓN EN SEGURIDAD Y SALUD OCUPACIONAL DE ACUERDO A LA NORMA OHSAS 18001:2007 PARA LA EMPRESA PLAXBURG")</f>
        <v>SISTEMA DE GESTIÓN EN SEGURIDAD Y SALUD OCUPACIONAL DE ACUERDO A LA NORMA OHSAS 18001:2007 PARA LA EMPRESA PLAXBURG</v>
      </c>
      <c r="B859" s="58">
        <f>IFERROR(__xludf.DUMMYFUNCTION("""COMPUTED_VALUE"""),1.0)</f>
        <v>1</v>
      </c>
    </row>
    <row r="860">
      <c r="A860" s="58" t="str">
        <f>IFERROR(__xludf.DUMMYFUNCTION("""COMPUTED_VALUE"""),"SISTEMA DE INFORMACIÓN DE OPERACIONES BAJO LÍNEA DE CRÉDITO PARA EL BANCO BISA S.A. (REGIONAL COCHABAMBA)")</f>
        <v>SISTEMA DE INFORMACIÓN DE OPERACIONES BAJO LÍNEA DE CRÉDITO PARA EL BANCO BISA S.A. (REGIONAL COCHABAMBA)</v>
      </c>
      <c r="B860" s="58">
        <f>IFERROR(__xludf.DUMMYFUNCTION("""COMPUTED_VALUE"""),5.0)</f>
        <v>5</v>
      </c>
    </row>
    <row r="861">
      <c r="A861" s="58" t="str">
        <f>IFERROR(__xludf.DUMMYFUNCTION("""COMPUTED_VALUE"""),"SISTEMA DE PLANIFICACIÓN Y CONTROL DE LA PRODUCCIÓN DE LA EMPRESA CREACIONES ROBERTH")</f>
        <v>SISTEMA DE PLANIFICACIÓN Y CONTROL DE LA PRODUCCIÓN DE LA EMPRESA CREACIONES ROBERTH</v>
      </c>
      <c r="B861" s="58">
        <f>IFERROR(__xludf.DUMMYFUNCTION("""COMPUTED_VALUE"""),1.0)</f>
        <v>1</v>
      </c>
    </row>
    <row r="862">
      <c r="A862" s="58" t="str">
        <f>IFERROR(__xludf.DUMMYFUNCTION("""COMPUTED_VALUE"""),"SISTEMA DE REDUCCIÓN DE DESPERDICIOS MEDIANTE PROGRAMACIÓN DE OPERACIONES TIPO JAT-MRP, EN LA LÍNEA DE YOGURES DE PIL ANDINA S.A")</f>
        <v>SISTEMA DE REDUCCIÓN DE DESPERDICIOS MEDIANTE PROGRAMACIÓN DE OPERACIONES TIPO JAT-MRP, EN LA LÍNEA DE YOGURES DE PIL ANDINA S.A</v>
      </c>
      <c r="B862" s="58">
        <f>IFERROR(__xludf.DUMMYFUNCTION("""COMPUTED_VALUE"""),1.0)</f>
        <v>1</v>
      </c>
    </row>
    <row r="863">
      <c r="A863" s="58" t="str">
        <f>IFERROR(__xludf.DUMMYFUNCTION("""COMPUTED_VALUE"""),"TRANSFERENCIA, ADECUACIÓN E IMPLEMENTACIÓN DEL SISTEMA INTEGRADO DE GESTIÓN DE LA EMPRESA ELÉCTRICA VALLE HERMOSO S.A. EN LA CENTRAL TERMOELÉCTRICA EL ALTO")</f>
        <v>TRANSFERENCIA, ADECUACIÓN E IMPLEMENTACIÓN DEL SISTEMA INTEGRADO DE GESTIÓN DE LA EMPRESA ELÉCTRICA VALLE HERMOSO S.A. EN LA CENTRAL TERMOELÉCTRICA EL ALTO</v>
      </c>
      <c r="B863" s="58">
        <f>IFERROR(__xludf.DUMMYFUNCTION("""COMPUTED_VALUE"""),1.0)</f>
        <v>1</v>
      </c>
    </row>
    <row r="864">
      <c r="A864" s="58" t="str">
        <f>IFERROR(__xludf.DUMMYFUNCTION("""COMPUTED_VALUE"""),"“DESARROLLO DE UN MODELO DE ADMINISTRACIÓN ESTRATÉGICA PARA LA EMPRESA DE SERVICIOS LAREDO”.")</f>
        <v>“DESARROLLO DE UN MODELO DE ADMINISTRACIÓN ESTRATÉGICA PARA LA EMPRESA DE SERVICIOS LAREDO”.</v>
      </c>
      <c r="B864" s="58">
        <f>IFERROR(__xludf.DUMMYFUNCTION("""COMPUTED_VALUE"""),5.0)</f>
        <v>5</v>
      </c>
    </row>
    <row r="865">
      <c r="A865" s="58" t="str">
        <f>IFERROR(__xludf.DUMMYFUNCTION("""COMPUTED_VALUE"""),"“DESARROLLO DE UN SISTEMA INTEGRADO PARA EL ALMACÉN DE LA EMPRESA DE INGENIERÍA Y SERVICIOS INTEGRALES COCHABAMBA S.A. (INTEGRA S.A.)”")</f>
        <v>“DESARROLLO DE UN SISTEMA INTEGRADO PARA EL ALMACÉN DE LA EMPRESA DE INGENIERÍA Y SERVICIOS INTEGRALES COCHABAMBA S.A. (INTEGRA S.A.)”</v>
      </c>
      <c r="B865" s="58">
        <f>IFERROR(__xludf.DUMMYFUNCTION("""COMPUTED_VALUE"""),3.0)</f>
        <v>3</v>
      </c>
    </row>
    <row r="866">
      <c r="A866" s="58" t="str">
        <f>IFERROR(__xludf.DUMMYFUNCTION("""COMPUTED_VALUE"""),"“DISEÑO DE UN MODELO INTEGRADO PARA LA OPTIMIZACIÓN DEL SISTEMA DE DISTRIBUCIÓN DE LOS PRODUCTOS DE PIL ANDINA S.A.”")</f>
        <v>“DISEÑO DE UN MODELO INTEGRADO PARA LA OPTIMIZACIÓN DEL SISTEMA DE DISTRIBUCIÓN DE LOS PRODUCTOS DE PIL ANDINA S.A.”</v>
      </c>
      <c r="B866" s="58">
        <f>IFERROR(__xludf.DUMMYFUNCTION("""COMPUTED_VALUE"""),6.0)</f>
        <v>6</v>
      </c>
    </row>
    <row r="867">
      <c r="A867" s="58" t="str">
        <f>IFERROR(__xludf.DUMMYFUNCTION("""COMPUTED_VALUE"""),"“DISEÑO DE UN SISTEMA DE GESTIÓN Y ASEGURAMIENTO DE LA CALIDAD DE LOS RESULTADOS DE CALIBRACIÓN, MEDICIÓN Y ENSAYO PARA EL LABORATORIO DE CALIBRACIÓN DEL LAB S.A. EN CONFORMIDAD A LA NORMA ISO/IEC 17025”")</f>
        <v>“DISEÑO DE UN SISTEMA DE GESTIÓN Y ASEGURAMIENTO DE LA CALIDAD DE LOS RESULTADOS DE CALIBRACIÓN, MEDICIÓN Y ENSAYO PARA EL LABORATORIO DE CALIBRACIÓN DEL LAB S.A. EN CONFORMIDAD A LA NORMA ISO/IEC 17025”</v>
      </c>
      <c r="B867" s="58">
        <f>IFERROR(__xludf.DUMMYFUNCTION("""COMPUTED_VALUE"""),1.0)</f>
        <v>1</v>
      </c>
    </row>
    <row r="868">
      <c r="A868" s="58" t="str">
        <f>IFERROR(__xludf.DUMMYFUNCTION("""COMPUTED_VALUE"""),"“DISEÑO Y PROPUESTA DE IMPLEMENTACIÓN DEL PLAN DE SEGURIDAD INDUSTRIAL PARA LAS DEPENDENCIAS DE SERVICIOS GENERALES DE LA UNIVERSIDAD MAYOR DE SAN SIMÓN”.")</f>
        <v>“DISEÑO Y PROPUESTA DE IMPLEMENTACIÓN DEL PLAN DE SEGURIDAD INDUSTRIAL PARA LAS DEPENDENCIAS DE SERVICIOS GENERALES DE LA UNIVERSIDAD MAYOR DE SAN SIMÓN”.</v>
      </c>
      <c r="B868" s="58">
        <f>IFERROR(__xludf.DUMMYFUNCTION("""COMPUTED_VALUE"""),3.0)</f>
        <v>3</v>
      </c>
    </row>
    <row r="869">
      <c r="A869" s="58" t="str">
        <f>IFERROR(__xludf.DUMMYFUNCTION("""COMPUTED_VALUE"""),"“ESTUDIO DE UN SISTEMA DE GESTIÓN DE LA CALIDAD  PARA  LA IMPLEMENTACIÓN  DE LA  NORMA ISO 9001: 2000 EN LA EMPRESA “IRBA LTDA.”")</f>
        <v>“ESTUDIO DE UN SISTEMA DE GESTIÓN DE LA CALIDAD  PARA  LA IMPLEMENTACIÓN  DE LA  NORMA ISO 9001: 2000 EN LA EMPRESA “IRBA LTDA.”</v>
      </c>
      <c r="B869" s="58">
        <f>IFERROR(__xludf.DUMMYFUNCTION("""COMPUTED_VALUE"""),2.0)</f>
        <v>2</v>
      </c>
    </row>
    <row r="870">
      <c r="A870" s="58" t="str">
        <f>IFERROR(__xludf.DUMMYFUNCTION("""COMPUTED_VALUE"""),"“FACTIBILIDAD TÉCNICA- ECONÓMICA PARA LA INSTALACIÓN  DE UNA PLANTA DE RECICLAJE DE AGUAS RESIDUALES DENTRO DE UN S.G.A. (I.S.O. 14000)”")</f>
        <v>“FACTIBILIDAD TÉCNICA- ECONÓMICA PARA LA INSTALACIÓN  DE UNA PLANTA DE RECICLAJE DE AGUAS RESIDUALES DENTRO DE UN S.G.A. (I.S.O. 14000)”</v>
      </c>
      <c r="B870" s="58">
        <f>IFERROR(__xludf.DUMMYFUNCTION("""COMPUTED_VALUE"""),1.0)</f>
        <v>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59" t="str">
        <f>IFERROR(__xludf.DUMMYFUNCTION("QUERY(base_for_top5!A:B,""SELECT A, B order by B desc limit 5"",2)"),"Nombre de tesis ")</f>
        <v>Nombre de tesis </v>
      </c>
      <c r="B1" s="58" t="str">
        <f>IFERROR(__xludf.DUMMYFUNCTION("""COMPUTED_VALUE"""),"count Nombre de tesis 0")</f>
        <v>count Nombre de tesis 0</v>
      </c>
    </row>
    <row r="2">
      <c r="A2" s="58" t="str">
        <f>IFERROR(__xludf.DUMMYFUNCTION("""COMPUTED_VALUE"""),"PLAN ESTRATÉGICO PARA EL CENTRO DE ALIMENTOS Y PRODUCTOS NATURALES DE LA FACULTAD DE CIENCIAS Y TECNOLOGÍA – UNIVERSIDAD MAYOR DE SAN SIMÓN, 2020 - 2024")</f>
        <v>PLAN ESTRATÉGICO PARA EL CENTRO DE ALIMENTOS Y PRODUCTOS NATURALES DE LA FACULTAD DE CIENCIAS Y TECNOLOGÍA – UNIVERSIDAD MAYOR DE SAN SIMÓN, 2020 - 2024</v>
      </c>
      <c r="B2" s="58">
        <f>IFERROR(__xludf.DUMMYFUNCTION("""COMPUTED_VALUE"""),57.0)</f>
        <v>57</v>
      </c>
    </row>
    <row r="3">
      <c r="A3" s="58" t="str">
        <f>IFERROR(__xludf.DUMMYFUNCTION("""COMPUTED_VALUE"""),"OPTIMIZACIÓN DEL PROCESO DE FABRICACIÓN DE FRAZADAS EN POLAR TEXTIL S.A. A TRAVÉS DEL USO DE ALGUNAS HERRAMIENTAS DEL LEAN MANUFACTURING Y LA ADMINISTRACIÓN POR OBJETIVOS")</f>
        <v>OPTIMIZACIÓN DEL PROCESO DE FABRICACIÓN DE FRAZADAS EN POLAR TEXTIL S.A. A TRAVÉS DEL USO DE ALGUNAS HERRAMIENTAS DEL LEAN MANUFACTURING Y LA ADMINISTRACIÓN POR OBJETIVOS</v>
      </c>
      <c r="B3" s="58">
        <f>IFERROR(__xludf.DUMMYFUNCTION("""COMPUTED_VALUE"""),49.0)</f>
        <v>49</v>
      </c>
    </row>
    <row r="4">
      <c r="A4" s="58" t="str">
        <f>IFERROR(__xludf.DUMMYFUNCTION("""COMPUTED_VALUE"""),"ESTUDIO DE FACTIBILIDAD PARA LA PRODUCCIÓN Y COMERCIALIZACIÓN DE CAFÉ DEL FRUTO
                  DE CHAÑAR EN EL EJE METROPOLITANO DE COCHABAMBA")</f>
        <v>ESTUDIO DE FACTIBILIDAD PARA LA PRODUCCIÓN Y COMERCIALIZACIÓN DE CAFÉ DEL FRUTO
                  DE CHAÑAR EN EL EJE METROPOLITANO DE COCHABAMBA</v>
      </c>
      <c r="B4" s="58">
        <f>IFERROR(__xludf.DUMMYFUNCTION("""COMPUTED_VALUE"""),37.0)</f>
        <v>37</v>
      </c>
    </row>
    <row r="5">
      <c r="A5" s="58" t="str">
        <f>IFERROR(__xludf.DUMMYFUNCTION("""COMPUTED_VALUE"""),"PROYECTO DE FACTIBILIDAD PARA LA IMPLEMENTACION DE UNA PLANTA PROCESADORA DE ACEITE A BASE DE SEMILLAS DE MORINGA OLEÍFERA EN EL DEPARTAMENTO DE COCHABAMBA")</f>
        <v>PROYECTO DE FACTIBILIDAD PARA LA IMPLEMENTACION DE UNA PLANTA PROCESADORA DE ACEITE A BASE DE SEMILLAS DE MORINGA OLEÍFERA EN EL DEPARTAMENTO DE COCHABAMBA</v>
      </c>
      <c r="B5" s="58">
        <f>IFERROR(__xludf.DUMMYFUNCTION("""COMPUTED_VALUE"""),36.0)</f>
        <v>36</v>
      </c>
    </row>
    <row r="6">
      <c r="A6" s="58" t="str">
        <f>IFERROR(__xludf.DUMMYFUNCTION("""COMPUTED_VALUE"""),"DISEÑO DEL SISTEMA DE GESTION DE CALIDAD BASADO EN LA NB/ISO 9001:2015 PARA LA EMPRESA QUILOCONS SRL EN LA CIUDAD DE COCHABAMBA")</f>
        <v>DISEÑO DEL SISTEMA DE GESTION DE CALIDAD BASADO EN LA NB/ISO 9001:2015 PARA LA EMPRESA QUILOCONS SRL EN LA CIUDAD DE COCHABAMBA</v>
      </c>
      <c r="B6" s="58">
        <f>IFERROR(__xludf.DUMMYFUNCTION("""COMPUTED_VALUE"""),32.0)</f>
        <v>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20.88"/>
  </cols>
  <sheetData>
    <row r="1">
      <c r="A1" s="6" t="s">
        <v>11450</v>
      </c>
      <c r="B1" s="6" t="s">
        <v>11451</v>
      </c>
      <c r="C1" s="60" t="s">
        <v>11452</v>
      </c>
    </row>
    <row r="2" hidden="1">
      <c r="A2" s="61">
        <v>2.00206452E8</v>
      </c>
      <c r="B2" s="54" t="s">
        <v>11453</v>
      </c>
      <c r="C2" s="54" t="s">
        <v>11454</v>
      </c>
    </row>
    <row r="3" hidden="1">
      <c r="A3" s="61">
        <v>2.01300105E8</v>
      </c>
      <c r="B3" s="54" t="s">
        <v>11455</v>
      </c>
      <c r="C3" s="54" t="s">
        <v>11456</v>
      </c>
    </row>
    <row r="4" hidden="1">
      <c r="A4" s="61">
        <v>2.01900601E8</v>
      </c>
      <c r="B4" s="54" t="s">
        <v>11457</v>
      </c>
      <c r="C4" s="54" t="s">
        <v>11458</v>
      </c>
    </row>
    <row r="5" hidden="1">
      <c r="A5" s="61">
        <v>2.02001484E8</v>
      </c>
      <c r="B5" s="54" t="s">
        <v>11459</v>
      </c>
      <c r="C5" s="54" t="s">
        <v>11460</v>
      </c>
    </row>
    <row r="6" hidden="1">
      <c r="A6" s="61">
        <v>2.02000402E8</v>
      </c>
      <c r="B6" s="54" t="s">
        <v>11461</v>
      </c>
      <c r="C6" s="54" t="s">
        <v>11462</v>
      </c>
    </row>
    <row r="7" hidden="1">
      <c r="A7" s="61">
        <v>2.01110629E8</v>
      </c>
      <c r="B7" s="54" t="s">
        <v>11463</v>
      </c>
      <c r="C7" s="54" t="s">
        <v>11464</v>
      </c>
    </row>
    <row r="8" hidden="1">
      <c r="A8" s="61">
        <v>2.01704762E8</v>
      </c>
      <c r="B8" s="54" t="s">
        <v>11465</v>
      </c>
      <c r="C8" s="54" t="s">
        <v>11466</v>
      </c>
    </row>
    <row r="9" hidden="1">
      <c r="A9" s="61">
        <v>2.02103391E8</v>
      </c>
      <c r="B9" s="54" t="s">
        <v>11467</v>
      </c>
      <c r="C9" s="54" t="s">
        <v>11468</v>
      </c>
    </row>
    <row r="10" hidden="1">
      <c r="A10" s="61">
        <v>2.01809276E8</v>
      </c>
      <c r="B10" s="54" t="s">
        <v>11469</v>
      </c>
      <c r="C10" s="54" t="s">
        <v>11470</v>
      </c>
    </row>
    <row r="11" hidden="1">
      <c r="A11" s="61">
        <v>2.02107891E8</v>
      </c>
      <c r="B11" s="54" t="s">
        <v>11471</v>
      </c>
      <c r="C11" s="54" t="s">
        <v>11472</v>
      </c>
    </row>
    <row r="12" hidden="1">
      <c r="A12" s="61">
        <v>2.02107881E8</v>
      </c>
      <c r="B12" s="54" t="s">
        <v>11473</v>
      </c>
      <c r="C12" s="54" t="s">
        <v>11474</v>
      </c>
    </row>
    <row r="13" hidden="1">
      <c r="A13" s="61">
        <v>2.00802375E8</v>
      </c>
      <c r="B13" s="54" t="s">
        <v>11475</v>
      </c>
      <c r="C13" s="54" t="s">
        <v>11476</v>
      </c>
    </row>
    <row r="14" hidden="1">
      <c r="A14" s="61">
        <v>2.01900571E8</v>
      </c>
      <c r="B14" s="54" t="s">
        <v>11477</v>
      </c>
      <c r="C14" s="54" t="s">
        <v>11478</v>
      </c>
    </row>
    <row r="15" hidden="1">
      <c r="A15" s="61">
        <v>2.01504864E8</v>
      </c>
      <c r="B15" s="54" t="s">
        <v>11479</v>
      </c>
      <c r="C15" s="54" t="s">
        <v>11480</v>
      </c>
    </row>
    <row r="16" hidden="1">
      <c r="A16" s="61">
        <v>2.01409211E8</v>
      </c>
      <c r="B16" s="54" t="s">
        <v>11481</v>
      </c>
      <c r="C16" s="54" t="s">
        <v>11482</v>
      </c>
    </row>
    <row r="17" hidden="1">
      <c r="A17" s="61">
        <v>2.01909719E8</v>
      </c>
      <c r="B17" s="54" t="s">
        <v>11483</v>
      </c>
      <c r="C17" s="54" t="s">
        <v>11484</v>
      </c>
    </row>
    <row r="18" hidden="1">
      <c r="A18" s="61">
        <v>2.0190471E8</v>
      </c>
      <c r="B18" s="54" t="s">
        <v>11485</v>
      </c>
      <c r="C18" s="54" t="s">
        <v>11486</v>
      </c>
    </row>
    <row r="19" hidden="1">
      <c r="A19" s="61">
        <v>2.02105101E8</v>
      </c>
      <c r="B19" s="54" t="s">
        <v>11487</v>
      </c>
      <c r="C19" s="54" t="s">
        <v>11488</v>
      </c>
    </row>
    <row r="20" hidden="1">
      <c r="A20" s="61">
        <v>2.01010958E8</v>
      </c>
      <c r="B20" s="54" t="s">
        <v>11489</v>
      </c>
      <c r="C20" s="54" t="s">
        <v>11490</v>
      </c>
    </row>
    <row r="21" hidden="1">
      <c r="A21" s="61">
        <v>2.01604231E8</v>
      </c>
      <c r="B21" s="54" t="s">
        <v>11491</v>
      </c>
      <c r="C21" s="54" t="s">
        <v>11492</v>
      </c>
    </row>
    <row r="22" hidden="1">
      <c r="A22" s="61">
        <v>2.02001485E8</v>
      </c>
      <c r="B22" s="54" t="s">
        <v>11493</v>
      </c>
      <c r="C22" s="54" t="s">
        <v>11494</v>
      </c>
    </row>
    <row r="23" hidden="1">
      <c r="A23" s="61">
        <v>2.01300194E8</v>
      </c>
      <c r="B23" s="54" t="s">
        <v>11495</v>
      </c>
      <c r="C23" s="54" t="s">
        <v>11496</v>
      </c>
    </row>
    <row r="24" hidden="1">
      <c r="A24" s="61">
        <v>2.0160364E8</v>
      </c>
      <c r="B24" s="54" t="s">
        <v>11497</v>
      </c>
      <c r="C24" s="54" t="s">
        <v>11498</v>
      </c>
    </row>
    <row r="25" hidden="1">
      <c r="A25" s="61">
        <v>2.01300195E8</v>
      </c>
      <c r="B25" s="54" t="s">
        <v>11499</v>
      </c>
      <c r="C25" s="54" t="s">
        <v>11500</v>
      </c>
    </row>
    <row r="26" hidden="1">
      <c r="A26" s="61">
        <v>2.02005531E8</v>
      </c>
      <c r="B26" s="54" t="s">
        <v>11501</v>
      </c>
      <c r="C26" s="54" t="s">
        <v>11474</v>
      </c>
    </row>
    <row r="27" hidden="1">
      <c r="A27" s="61">
        <v>2.01705717E8</v>
      </c>
      <c r="B27" s="54" t="s">
        <v>11501</v>
      </c>
      <c r="C27" s="54" t="s">
        <v>11502</v>
      </c>
    </row>
    <row r="28" hidden="1">
      <c r="A28" s="61">
        <v>2.02103408E8</v>
      </c>
      <c r="B28" s="54" t="s">
        <v>11503</v>
      </c>
      <c r="C28" s="54" t="s">
        <v>11504</v>
      </c>
    </row>
    <row r="29" hidden="1">
      <c r="A29" s="61">
        <v>2.00809175E8</v>
      </c>
      <c r="B29" s="54" t="s">
        <v>11503</v>
      </c>
      <c r="C29" s="54" t="s">
        <v>11505</v>
      </c>
    </row>
    <row r="30" hidden="1">
      <c r="A30" s="61">
        <v>2.02005532E8</v>
      </c>
      <c r="B30" s="54" t="s">
        <v>11503</v>
      </c>
      <c r="C30" s="54" t="s">
        <v>11506</v>
      </c>
    </row>
    <row r="31" hidden="1">
      <c r="A31" s="61">
        <v>2.00605694E8</v>
      </c>
      <c r="B31" s="54" t="s">
        <v>11507</v>
      </c>
      <c r="C31" s="54" t="s">
        <v>11508</v>
      </c>
    </row>
    <row r="32" hidden="1">
      <c r="A32" s="61">
        <v>2.01904702E8</v>
      </c>
      <c r="B32" s="54" t="s">
        <v>11509</v>
      </c>
      <c r="C32" s="54" t="s">
        <v>11510</v>
      </c>
    </row>
    <row r="33" hidden="1">
      <c r="A33" s="61">
        <v>2.01708308E8</v>
      </c>
      <c r="B33" s="54" t="s">
        <v>11511</v>
      </c>
      <c r="C33" s="54" t="s">
        <v>11512</v>
      </c>
    </row>
    <row r="34" hidden="1">
      <c r="A34" s="61">
        <v>2.01708671E8</v>
      </c>
      <c r="B34" s="54" t="s">
        <v>11513</v>
      </c>
      <c r="C34" s="54" t="s">
        <v>11514</v>
      </c>
    </row>
    <row r="35" hidden="1">
      <c r="A35" s="61">
        <v>2.01909709E8</v>
      </c>
      <c r="B35" s="54" t="s">
        <v>11515</v>
      </c>
      <c r="C35" s="54" t="s">
        <v>11516</v>
      </c>
    </row>
    <row r="36" hidden="1">
      <c r="A36" s="61">
        <v>2.01608069E8</v>
      </c>
      <c r="B36" s="54" t="s">
        <v>11517</v>
      </c>
      <c r="C36" s="54" t="s">
        <v>11518</v>
      </c>
    </row>
    <row r="37" hidden="1">
      <c r="A37" s="61">
        <v>2.01400134E8</v>
      </c>
      <c r="B37" s="54" t="s">
        <v>11517</v>
      </c>
      <c r="C37" s="54" t="s">
        <v>11519</v>
      </c>
    </row>
    <row r="38" hidden="1">
      <c r="A38" s="61">
        <v>2.01407286E8</v>
      </c>
      <c r="B38" s="54" t="s">
        <v>11520</v>
      </c>
      <c r="C38" s="54" t="s">
        <v>11521</v>
      </c>
    </row>
    <row r="39" hidden="1">
      <c r="A39" s="61">
        <v>2.01709792E8</v>
      </c>
      <c r="B39" s="54" t="s">
        <v>11522</v>
      </c>
      <c r="C39" s="54" t="s">
        <v>11523</v>
      </c>
    </row>
    <row r="40" hidden="1">
      <c r="A40" s="61">
        <v>2.01010163E8</v>
      </c>
      <c r="B40" s="54" t="s">
        <v>11524</v>
      </c>
      <c r="C40" s="54" t="s">
        <v>11525</v>
      </c>
    </row>
    <row r="41" hidden="1">
      <c r="A41" s="61">
        <v>2.01612052E8</v>
      </c>
      <c r="B41" s="54" t="s">
        <v>11526</v>
      </c>
      <c r="C41" s="54" t="s">
        <v>11527</v>
      </c>
    </row>
    <row r="42" hidden="1">
      <c r="A42" s="61">
        <v>2.02105102E8</v>
      </c>
      <c r="B42" s="54" t="s">
        <v>11528</v>
      </c>
      <c r="C42" s="54" t="s">
        <v>11529</v>
      </c>
    </row>
    <row r="43" hidden="1">
      <c r="A43" s="61">
        <v>2.01612053E8</v>
      </c>
      <c r="B43" s="54" t="s">
        <v>11530</v>
      </c>
      <c r="C43" s="54" t="s">
        <v>11531</v>
      </c>
    </row>
    <row r="44" hidden="1">
      <c r="A44" s="61">
        <v>2.01909915E8</v>
      </c>
      <c r="B44" s="54" t="s">
        <v>11532</v>
      </c>
      <c r="C44" s="54" t="s">
        <v>11533</v>
      </c>
    </row>
    <row r="45" hidden="1">
      <c r="A45" s="61">
        <v>2.01603641E8</v>
      </c>
      <c r="B45" s="54" t="s">
        <v>11534</v>
      </c>
      <c r="C45" s="54" t="s">
        <v>11535</v>
      </c>
    </row>
    <row r="46" hidden="1">
      <c r="A46" s="61">
        <v>2.01900599E8</v>
      </c>
      <c r="B46" s="54" t="s">
        <v>11536</v>
      </c>
      <c r="C46" s="54" t="s">
        <v>11537</v>
      </c>
    </row>
    <row r="47" hidden="1">
      <c r="A47" s="61">
        <v>2.01504865E8</v>
      </c>
      <c r="B47" s="54" t="s">
        <v>11538</v>
      </c>
      <c r="C47" s="54" t="s">
        <v>11539</v>
      </c>
    </row>
    <row r="48" hidden="1">
      <c r="A48" s="61">
        <v>2.0020056E8</v>
      </c>
      <c r="B48" s="54" t="s">
        <v>11540</v>
      </c>
      <c r="C48" s="54" t="s">
        <v>11541</v>
      </c>
    </row>
    <row r="49" hidden="1">
      <c r="A49" s="61">
        <v>2.0130035E8</v>
      </c>
      <c r="B49" s="54" t="s">
        <v>11542</v>
      </c>
      <c r="C49" s="54" t="s">
        <v>11543</v>
      </c>
    </row>
    <row r="50" hidden="1">
      <c r="A50" s="61">
        <v>2.01612054E8</v>
      </c>
      <c r="B50" s="54" t="s">
        <v>11544</v>
      </c>
      <c r="C50" s="54" t="s">
        <v>11545</v>
      </c>
    </row>
    <row r="51" hidden="1">
      <c r="A51" s="61">
        <v>2.019099E8</v>
      </c>
      <c r="B51" s="54" t="s">
        <v>11546</v>
      </c>
      <c r="C51" s="54" t="s">
        <v>11547</v>
      </c>
    </row>
    <row r="52" hidden="1">
      <c r="A52" s="61">
        <v>2.02001486E8</v>
      </c>
      <c r="B52" s="54" t="s">
        <v>11548</v>
      </c>
      <c r="C52" s="54" t="s">
        <v>11486</v>
      </c>
    </row>
    <row r="53" hidden="1">
      <c r="A53" s="61">
        <v>2.01505588E8</v>
      </c>
      <c r="B53" s="54" t="s">
        <v>11549</v>
      </c>
      <c r="C53" s="54" t="s">
        <v>11550</v>
      </c>
    </row>
    <row r="54" hidden="1">
      <c r="A54" s="61">
        <v>2.00306886E8</v>
      </c>
      <c r="B54" s="54" t="s">
        <v>11551</v>
      </c>
      <c r="C54" s="54" t="s">
        <v>11552</v>
      </c>
    </row>
    <row r="55" hidden="1">
      <c r="A55" s="61">
        <v>2.02102935E8</v>
      </c>
      <c r="B55" s="54" t="s">
        <v>11553</v>
      </c>
      <c r="C55" s="54" t="s">
        <v>11554</v>
      </c>
    </row>
    <row r="56" hidden="1">
      <c r="A56" s="61">
        <v>2.02002323E8</v>
      </c>
      <c r="B56" s="54" t="s">
        <v>11555</v>
      </c>
      <c r="C56" s="54" t="s">
        <v>11556</v>
      </c>
    </row>
    <row r="57" hidden="1">
      <c r="A57" s="61">
        <v>2.01902156E8</v>
      </c>
      <c r="B57" s="54" t="s">
        <v>11557</v>
      </c>
      <c r="C57" s="54" t="s">
        <v>11558</v>
      </c>
    </row>
    <row r="58" hidden="1">
      <c r="A58" s="61">
        <v>1.99700193E8</v>
      </c>
      <c r="B58" s="54" t="s">
        <v>11559</v>
      </c>
      <c r="C58" s="54" t="s">
        <v>11560</v>
      </c>
    </row>
    <row r="59" hidden="1">
      <c r="A59" s="61">
        <v>2.02106805E8</v>
      </c>
      <c r="B59" s="54" t="s">
        <v>11561</v>
      </c>
      <c r="C59" s="54" t="s">
        <v>11562</v>
      </c>
    </row>
    <row r="60" hidden="1">
      <c r="A60" s="61">
        <v>2.00404318E8</v>
      </c>
      <c r="B60" s="54" t="s">
        <v>11563</v>
      </c>
      <c r="C60" s="54" t="s">
        <v>11564</v>
      </c>
    </row>
    <row r="61" hidden="1">
      <c r="A61" s="61">
        <v>2.01900568E8</v>
      </c>
      <c r="B61" s="54" t="s">
        <v>11565</v>
      </c>
      <c r="C61" s="54" t="s">
        <v>11566</v>
      </c>
    </row>
    <row r="62" hidden="1">
      <c r="A62" s="61">
        <v>2.01801432E8</v>
      </c>
      <c r="B62" s="54" t="s">
        <v>11567</v>
      </c>
      <c r="C62" s="54" t="s">
        <v>11568</v>
      </c>
    </row>
    <row r="63" hidden="1">
      <c r="A63" s="61">
        <v>2.0180328E8</v>
      </c>
      <c r="B63" s="54" t="s">
        <v>11569</v>
      </c>
      <c r="C63" s="54" t="s">
        <v>11570</v>
      </c>
    </row>
    <row r="64" hidden="1">
      <c r="A64" s="61">
        <v>2.01101395E8</v>
      </c>
      <c r="B64" s="54" t="s">
        <v>11571</v>
      </c>
      <c r="C64" s="54" t="s">
        <v>11572</v>
      </c>
    </row>
    <row r="65" hidden="1">
      <c r="A65" s="61">
        <v>2.01400488E8</v>
      </c>
      <c r="B65" s="54" t="s">
        <v>11573</v>
      </c>
      <c r="C65" s="54" t="s">
        <v>11574</v>
      </c>
    </row>
    <row r="66" hidden="1">
      <c r="A66" s="61">
        <v>2.02107893E8</v>
      </c>
      <c r="B66" s="54" t="s">
        <v>11573</v>
      </c>
      <c r="C66" s="54" t="s">
        <v>11575</v>
      </c>
    </row>
    <row r="67" hidden="1">
      <c r="A67" s="61">
        <v>2.01807933E8</v>
      </c>
      <c r="B67" s="54" t="s">
        <v>11576</v>
      </c>
      <c r="C67" s="54" t="s">
        <v>11577</v>
      </c>
    </row>
    <row r="68" hidden="1">
      <c r="A68" s="61">
        <v>2.00809401E8</v>
      </c>
      <c r="B68" s="54" t="s">
        <v>11578</v>
      </c>
      <c r="C68" s="54" t="s">
        <v>11579</v>
      </c>
    </row>
    <row r="69" hidden="1">
      <c r="A69" s="61">
        <v>2.00707102E8</v>
      </c>
      <c r="B69" s="54" t="s">
        <v>11580</v>
      </c>
      <c r="C69" s="54" t="s">
        <v>11581</v>
      </c>
    </row>
    <row r="70" hidden="1">
      <c r="A70" s="61">
        <v>2.01309765E8</v>
      </c>
      <c r="B70" s="54" t="s">
        <v>11582</v>
      </c>
      <c r="C70" s="54" t="s">
        <v>11583</v>
      </c>
    </row>
    <row r="71" hidden="1">
      <c r="A71" s="61">
        <v>2.01905795E8</v>
      </c>
      <c r="B71" s="54" t="s">
        <v>11584</v>
      </c>
      <c r="C71" s="54" t="s">
        <v>11585</v>
      </c>
    </row>
    <row r="72" hidden="1">
      <c r="A72" s="61">
        <v>1.99601552E8</v>
      </c>
      <c r="B72" s="54" t="s">
        <v>11586</v>
      </c>
      <c r="C72" s="54" t="s">
        <v>11587</v>
      </c>
    </row>
    <row r="73" hidden="1">
      <c r="A73" s="61">
        <v>2.02105103E8</v>
      </c>
      <c r="B73" s="54" t="s">
        <v>11588</v>
      </c>
      <c r="C73" s="54" t="s">
        <v>11589</v>
      </c>
    </row>
    <row r="74" hidden="1">
      <c r="A74" s="61">
        <v>2.01003337E8</v>
      </c>
      <c r="B74" s="54" t="s">
        <v>11590</v>
      </c>
      <c r="C74" s="54" t="s">
        <v>11591</v>
      </c>
    </row>
    <row r="75" hidden="1">
      <c r="A75" s="61">
        <v>2.02000106E8</v>
      </c>
      <c r="B75" s="54" t="s">
        <v>11592</v>
      </c>
      <c r="C75" s="54" t="s">
        <v>11525</v>
      </c>
    </row>
    <row r="76" hidden="1">
      <c r="A76" s="61">
        <v>2.01003174E8</v>
      </c>
      <c r="B76" s="54" t="s">
        <v>11593</v>
      </c>
      <c r="C76" s="54" t="s">
        <v>11594</v>
      </c>
    </row>
    <row r="77" hidden="1">
      <c r="A77" s="61">
        <v>2.01701836E8</v>
      </c>
      <c r="B77" s="54" t="s">
        <v>11595</v>
      </c>
      <c r="C77" s="54" t="s">
        <v>11482</v>
      </c>
    </row>
    <row r="78" hidden="1">
      <c r="A78" s="61">
        <v>2.01100228E8</v>
      </c>
      <c r="B78" s="54" t="s">
        <v>11596</v>
      </c>
      <c r="C78" s="54" t="s">
        <v>11597</v>
      </c>
    </row>
    <row r="79" hidden="1">
      <c r="A79" s="61">
        <v>2.01300108E8</v>
      </c>
      <c r="B79" s="54" t="s">
        <v>11598</v>
      </c>
      <c r="C79" s="54" t="s">
        <v>11599</v>
      </c>
    </row>
    <row r="80" hidden="1">
      <c r="A80" s="61">
        <v>2.02005533E8</v>
      </c>
      <c r="B80" s="54" t="s">
        <v>11600</v>
      </c>
      <c r="C80" s="54" t="s">
        <v>11601</v>
      </c>
    </row>
    <row r="81" hidden="1">
      <c r="A81" s="61">
        <v>2.01709757E8</v>
      </c>
      <c r="B81" s="54" t="s">
        <v>11602</v>
      </c>
      <c r="C81" s="54" t="s">
        <v>11603</v>
      </c>
    </row>
    <row r="82" hidden="1">
      <c r="A82" s="61">
        <v>2.01701837E8</v>
      </c>
      <c r="B82" s="54" t="s">
        <v>11604</v>
      </c>
      <c r="C82" s="54" t="s">
        <v>11605</v>
      </c>
    </row>
    <row r="83" hidden="1">
      <c r="A83" s="61">
        <v>2.02009792E8</v>
      </c>
      <c r="B83" s="54" t="s">
        <v>11606</v>
      </c>
      <c r="C83" s="54" t="s">
        <v>11607</v>
      </c>
    </row>
    <row r="84" hidden="1">
      <c r="A84" s="61">
        <v>2.01512126E8</v>
      </c>
      <c r="B84" s="54" t="s">
        <v>11608</v>
      </c>
      <c r="C84" s="54" t="s">
        <v>11609</v>
      </c>
    </row>
    <row r="85" hidden="1">
      <c r="A85" s="61">
        <v>2.02105104E8</v>
      </c>
      <c r="B85" s="54" t="s">
        <v>11610</v>
      </c>
      <c r="C85" s="54" t="s">
        <v>11611</v>
      </c>
    </row>
    <row r="86" hidden="1">
      <c r="A86" s="61">
        <v>2.00301117E8</v>
      </c>
      <c r="B86" s="54" t="s">
        <v>11612</v>
      </c>
      <c r="C86" s="54" t="s">
        <v>11613</v>
      </c>
    </row>
    <row r="87" hidden="1">
      <c r="A87" s="61">
        <v>2.01705718E8</v>
      </c>
      <c r="B87" s="54" t="s">
        <v>11614</v>
      </c>
      <c r="C87" s="54" t="s">
        <v>11615</v>
      </c>
    </row>
    <row r="88" hidden="1">
      <c r="A88" s="61">
        <v>2.01307117E8</v>
      </c>
      <c r="B88" s="54" t="s">
        <v>11616</v>
      </c>
      <c r="C88" s="54" t="s">
        <v>11617</v>
      </c>
    </row>
    <row r="89" hidden="1">
      <c r="A89" s="61">
        <v>2.01902158E8</v>
      </c>
      <c r="B89" s="54" t="s">
        <v>11618</v>
      </c>
      <c r="C89" s="54" t="s">
        <v>11560</v>
      </c>
    </row>
    <row r="90" hidden="1">
      <c r="A90" s="61">
        <v>2.01409214E8</v>
      </c>
      <c r="B90" s="54" t="s">
        <v>11619</v>
      </c>
      <c r="C90" s="54" t="s">
        <v>11620</v>
      </c>
    </row>
    <row r="91" hidden="1">
      <c r="A91" s="61">
        <v>2.02000109E8</v>
      </c>
      <c r="B91" s="54" t="s">
        <v>11621</v>
      </c>
      <c r="C91" s="54" t="s">
        <v>11622</v>
      </c>
    </row>
    <row r="92" hidden="1">
      <c r="A92" s="61">
        <v>2.01809476E8</v>
      </c>
      <c r="B92" s="54" t="s">
        <v>11623</v>
      </c>
      <c r="C92" s="54" t="s">
        <v>11624</v>
      </c>
    </row>
    <row r="93" hidden="1">
      <c r="A93" s="61">
        <v>2.02102936E8</v>
      </c>
      <c r="B93" s="54" t="s">
        <v>11625</v>
      </c>
      <c r="C93" s="54" t="s">
        <v>11626</v>
      </c>
    </row>
    <row r="94" hidden="1">
      <c r="A94" s="61">
        <v>2.01709791E8</v>
      </c>
      <c r="B94" s="54" t="s">
        <v>11627</v>
      </c>
      <c r="C94" s="54" t="s">
        <v>11628</v>
      </c>
    </row>
    <row r="95" hidden="1">
      <c r="A95" s="61">
        <v>2.01700677E8</v>
      </c>
      <c r="B95" s="54" t="s">
        <v>11629</v>
      </c>
      <c r="C95" s="54" t="s">
        <v>11630</v>
      </c>
    </row>
    <row r="96" hidden="1">
      <c r="A96" s="61">
        <v>2.01512252E8</v>
      </c>
      <c r="B96" s="54" t="s">
        <v>11631</v>
      </c>
      <c r="C96" s="54" t="s">
        <v>11632</v>
      </c>
    </row>
    <row r="97" hidden="1">
      <c r="A97" s="61">
        <v>2.01606434E8</v>
      </c>
      <c r="B97" s="54" t="s">
        <v>11633</v>
      </c>
      <c r="C97" s="54" t="s">
        <v>11484</v>
      </c>
    </row>
    <row r="98" hidden="1">
      <c r="A98" s="61">
        <v>2.01512253E8</v>
      </c>
      <c r="B98" s="54" t="s">
        <v>11633</v>
      </c>
      <c r="C98" s="54" t="s">
        <v>11634</v>
      </c>
    </row>
    <row r="99" hidden="1">
      <c r="A99" s="61">
        <v>2.0210336E8</v>
      </c>
      <c r="B99" s="54" t="s">
        <v>11635</v>
      </c>
      <c r="C99" s="54" t="s">
        <v>11636</v>
      </c>
    </row>
    <row r="100" hidden="1">
      <c r="A100" s="61">
        <v>2.0140732E8</v>
      </c>
      <c r="B100" s="54" t="s">
        <v>11637</v>
      </c>
      <c r="C100" s="54" t="s">
        <v>11638</v>
      </c>
    </row>
    <row r="101" hidden="1">
      <c r="A101" s="61">
        <v>2.01612073E8</v>
      </c>
      <c r="B101" s="54" t="s">
        <v>11639</v>
      </c>
      <c r="C101" s="54" t="s">
        <v>11640</v>
      </c>
    </row>
    <row r="102" hidden="1">
      <c r="A102" s="61">
        <v>2.00901252E8</v>
      </c>
      <c r="B102" s="54" t="s">
        <v>11641</v>
      </c>
      <c r="C102" s="54" t="s">
        <v>11642</v>
      </c>
    </row>
    <row r="103" hidden="1">
      <c r="A103" s="61">
        <v>2.01502017E8</v>
      </c>
      <c r="B103" s="54" t="s">
        <v>11643</v>
      </c>
      <c r="C103" s="54" t="s">
        <v>11644</v>
      </c>
    </row>
    <row r="104" hidden="1">
      <c r="A104" s="61">
        <v>2.00703018E8</v>
      </c>
      <c r="B104" s="54" t="s">
        <v>11645</v>
      </c>
      <c r="C104" s="54" t="s">
        <v>11646</v>
      </c>
    </row>
    <row r="105" hidden="1">
      <c r="A105" s="61">
        <v>2.00901264E8</v>
      </c>
      <c r="B105" s="54" t="s">
        <v>11647</v>
      </c>
      <c r="C105" s="54" t="s">
        <v>11648</v>
      </c>
    </row>
    <row r="106" hidden="1">
      <c r="A106" s="61">
        <v>2.0180002E8</v>
      </c>
      <c r="B106" s="54" t="s">
        <v>11649</v>
      </c>
      <c r="C106" s="54" t="s">
        <v>11650</v>
      </c>
    </row>
    <row r="107" hidden="1">
      <c r="A107" s="61">
        <v>2.01504866E8</v>
      </c>
      <c r="B107" s="54" t="s">
        <v>11651</v>
      </c>
      <c r="C107" s="54" t="s">
        <v>11652</v>
      </c>
    </row>
    <row r="108" hidden="1">
      <c r="A108" s="61">
        <v>2.00007381E8</v>
      </c>
      <c r="B108" s="54" t="s">
        <v>11653</v>
      </c>
      <c r="C108" s="54" t="s">
        <v>11654</v>
      </c>
    </row>
    <row r="109" hidden="1">
      <c r="A109" s="61">
        <v>2.01504867E8</v>
      </c>
      <c r="B109" s="54" t="s">
        <v>11655</v>
      </c>
      <c r="C109" s="54" t="s">
        <v>11656</v>
      </c>
    </row>
    <row r="110" hidden="1">
      <c r="A110" s="61">
        <v>2.00400988E8</v>
      </c>
      <c r="B110" s="54" t="s">
        <v>11657</v>
      </c>
      <c r="C110" s="54" t="s">
        <v>11658</v>
      </c>
    </row>
    <row r="111" hidden="1">
      <c r="A111" s="61">
        <v>2.02107935E8</v>
      </c>
      <c r="B111" s="54" t="s">
        <v>11659</v>
      </c>
      <c r="C111" s="54" t="s">
        <v>11660</v>
      </c>
    </row>
    <row r="112" hidden="1">
      <c r="A112" s="61">
        <v>2.02005534E8</v>
      </c>
      <c r="B112" s="54" t="s">
        <v>11661</v>
      </c>
      <c r="C112" s="54" t="s">
        <v>11662</v>
      </c>
    </row>
    <row r="113" hidden="1">
      <c r="A113" s="61">
        <v>2.01902159E8</v>
      </c>
      <c r="B113" s="54" t="s">
        <v>11663</v>
      </c>
      <c r="C113" s="54" t="s">
        <v>11664</v>
      </c>
    </row>
    <row r="114" hidden="1">
      <c r="A114" s="61">
        <v>2.00908499E8</v>
      </c>
      <c r="B114" s="54" t="s">
        <v>11665</v>
      </c>
      <c r="C114" s="54" t="s">
        <v>11666</v>
      </c>
    </row>
    <row r="115" hidden="1">
      <c r="A115" s="61">
        <v>2.01005618E8</v>
      </c>
      <c r="B115" s="54" t="s">
        <v>11667</v>
      </c>
      <c r="C115" s="54" t="s">
        <v>11668</v>
      </c>
    </row>
    <row r="116" hidden="1">
      <c r="A116" s="61">
        <v>2.02107687E8</v>
      </c>
      <c r="B116" s="54" t="s">
        <v>11669</v>
      </c>
      <c r="C116" s="54" t="s">
        <v>11670</v>
      </c>
    </row>
    <row r="117" hidden="1">
      <c r="A117" s="61">
        <v>2.01502262E8</v>
      </c>
      <c r="B117" s="54" t="s">
        <v>11671</v>
      </c>
      <c r="C117" s="54" t="s">
        <v>11672</v>
      </c>
    </row>
    <row r="118" hidden="1">
      <c r="A118" s="61">
        <v>2.02001488E8</v>
      </c>
      <c r="B118" s="54" t="s">
        <v>11673</v>
      </c>
      <c r="C118" s="54" t="s">
        <v>11674</v>
      </c>
    </row>
    <row r="119" hidden="1">
      <c r="A119" s="61">
        <v>2.02107871E8</v>
      </c>
      <c r="B119" s="54" t="s">
        <v>11675</v>
      </c>
      <c r="C119" s="54" t="s">
        <v>11676</v>
      </c>
    </row>
    <row r="120" hidden="1">
      <c r="A120" s="61">
        <v>2.00808236E8</v>
      </c>
      <c r="B120" s="54" t="s">
        <v>11677</v>
      </c>
      <c r="C120" s="54" t="s">
        <v>11512</v>
      </c>
    </row>
    <row r="121" hidden="1">
      <c r="A121" s="61">
        <v>2.01010287E8</v>
      </c>
      <c r="B121" s="54" t="s">
        <v>11678</v>
      </c>
      <c r="C121" s="54" t="s">
        <v>11679</v>
      </c>
    </row>
    <row r="122" hidden="1">
      <c r="A122" s="61">
        <v>2.02005535E8</v>
      </c>
      <c r="B122" s="54" t="s">
        <v>11680</v>
      </c>
      <c r="C122" s="54" t="s">
        <v>11681</v>
      </c>
    </row>
    <row r="123" hidden="1">
      <c r="A123" s="61">
        <v>2.01909916E8</v>
      </c>
      <c r="B123" s="54" t="s">
        <v>11682</v>
      </c>
      <c r="C123" s="54" t="s">
        <v>11490</v>
      </c>
    </row>
    <row r="124" hidden="1">
      <c r="A124" s="61">
        <v>2.0030097E8</v>
      </c>
      <c r="B124" s="54" t="s">
        <v>11683</v>
      </c>
      <c r="C124" s="54" t="s">
        <v>11512</v>
      </c>
    </row>
    <row r="125" hidden="1">
      <c r="A125" s="61">
        <v>2.02103315E8</v>
      </c>
      <c r="B125" s="54" t="s">
        <v>11684</v>
      </c>
      <c r="C125" s="54" t="s">
        <v>11685</v>
      </c>
    </row>
    <row r="126" hidden="1">
      <c r="A126" s="61">
        <v>2.01603644E8</v>
      </c>
      <c r="B126" s="54" t="s">
        <v>11686</v>
      </c>
      <c r="C126" s="54" t="s">
        <v>11687</v>
      </c>
    </row>
    <row r="127" hidden="1">
      <c r="A127" s="61">
        <v>2.01407282E8</v>
      </c>
      <c r="B127" s="54" t="s">
        <v>11688</v>
      </c>
      <c r="C127" s="54" t="s">
        <v>11689</v>
      </c>
    </row>
    <row r="128" hidden="1">
      <c r="A128" s="61">
        <v>2.01900625E8</v>
      </c>
      <c r="B128" s="54" t="s">
        <v>11690</v>
      </c>
      <c r="C128" s="54" t="s">
        <v>11691</v>
      </c>
    </row>
    <row r="129" hidden="1">
      <c r="A129" s="61">
        <v>2.01900592E8</v>
      </c>
      <c r="B129" s="54" t="s">
        <v>11692</v>
      </c>
      <c r="C129" s="54" t="s">
        <v>11693</v>
      </c>
    </row>
    <row r="130" hidden="1">
      <c r="A130" s="61">
        <v>2.01809477E8</v>
      </c>
      <c r="B130" s="54" t="s">
        <v>11694</v>
      </c>
      <c r="C130" s="54" t="s">
        <v>11695</v>
      </c>
    </row>
    <row r="131" hidden="1">
      <c r="A131" s="61">
        <v>2.01602978E8</v>
      </c>
      <c r="B131" s="54" t="s">
        <v>11696</v>
      </c>
      <c r="C131" s="54" t="s">
        <v>11697</v>
      </c>
    </row>
    <row r="132" hidden="1">
      <c r="A132" s="61">
        <v>2.01612074E8</v>
      </c>
      <c r="B132" s="54" t="s">
        <v>11698</v>
      </c>
      <c r="C132" s="54" t="s">
        <v>11699</v>
      </c>
    </row>
    <row r="133" hidden="1">
      <c r="A133" s="61">
        <v>2.01909883E8</v>
      </c>
      <c r="B133" s="54" t="s">
        <v>11700</v>
      </c>
      <c r="C133" s="54" t="s">
        <v>11701</v>
      </c>
    </row>
    <row r="134" hidden="1">
      <c r="A134" s="61">
        <v>2.02107883E8</v>
      </c>
      <c r="B134" s="54" t="s">
        <v>11702</v>
      </c>
      <c r="C134" s="54" t="s">
        <v>11484</v>
      </c>
    </row>
    <row r="135" hidden="1">
      <c r="A135" s="61">
        <v>2.01612075E8</v>
      </c>
      <c r="B135" s="54" t="s">
        <v>11703</v>
      </c>
      <c r="C135" s="54" t="s">
        <v>11704</v>
      </c>
    </row>
    <row r="136" hidden="1">
      <c r="A136" s="61">
        <v>2.01905782E8</v>
      </c>
      <c r="B136" s="54" t="s">
        <v>11703</v>
      </c>
      <c r="C136" s="54" t="s">
        <v>11705</v>
      </c>
    </row>
    <row r="137" hidden="1">
      <c r="A137" s="61">
        <v>2.01502019E8</v>
      </c>
      <c r="B137" s="54" t="s">
        <v>11706</v>
      </c>
      <c r="C137" s="54" t="s">
        <v>11707</v>
      </c>
    </row>
    <row r="138" hidden="1">
      <c r="A138" s="61">
        <v>2.02105105E8</v>
      </c>
      <c r="B138" s="54" t="s">
        <v>11708</v>
      </c>
      <c r="C138" s="54" t="s">
        <v>11709</v>
      </c>
    </row>
    <row r="139" hidden="1">
      <c r="A139" s="61">
        <v>2.01602979E8</v>
      </c>
      <c r="B139" s="54" t="s">
        <v>11710</v>
      </c>
      <c r="C139" s="54" t="s">
        <v>11711</v>
      </c>
    </row>
    <row r="140" hidden="1">
      <c r="A140" s="61">
        <v>2.01801354E8</v>
      </c>
      <c r="B140" s="54" t="s">
        <v>11712</v>
      </c>
      <c r="C140" s="54" t="s">
        <v>11713</v>
      </c>
    </row>
    <row r="141" hidden="1">
      <c r="A141" s="61">
        <v>2.0190216E8</v>
      </c>
      <c r="B141" s="54" t="s">
        <v>11714</v>
      </c>
      <c r="C141" s="54" t="s">
        <v>11715</v>
      </c>
    </row>
    <row r="142" hidden="1">
      <c r="A142" s="61">
        <v>2.0120907E8</v>
      </c>
      <c r="B142" s="54" t="s">
        <v>11716</v>
      </c>
      <c r="C142" s="54" t="s">
        <v>11717</v>
      </c>
    </row>
    <row r="143" hidden="1">
      <c r="A143" s="61">
        <v>2.01704763E8</v>
      </c>
      <c r="B143" s="54" t="s">
        <v>11718</v>
      </c>
      <c r="C143" s="54" t="s">
        <v>11719</v>
      </c>
    </row>
    <row r="144" hidden="1">
      <c r="A144" s="61">
        <v>2.02103342E8</v>
      </c>
      <c r="B144" s="54" t="s">
        <v>11720</v>
      </c>
      <c r="C144" s="54" t="s">
        <v>11721</v>
      </c>
    </row>
    <row r="145" hidden="1">
      <c r="A145" s="61">
        <v>2.01400208E8</v>
      </c>
      <c r="B145" s="54" t="s">
        <v>11722</v>
      </c>
      <c r="C145" s="54" t="s">
        <v>11723</v>
      </c>
    </row>
    <row r="146" hidden="1">
      <c r="A146" s="61">
        <v>2.02000389E8</v>
      </c>
      <c r="B146" s="54" t="s">
        <v>11724</v>
      </c>
      <c r="C146" s="54" t="s">
        <v>11725</v>
      </c>
    </row>
    <row r="147" hidden="1">
      <c r="A147" s="61">
        <v>2.01801355E8</v>
      </c>
      <c r="B147" s="54" t="s">
        <v>11726</v>
      </c>
      <c r="C147" s="54" t="s">
        <v>11727</v>
      </c>
    </row>
    <row r="148" hidden="1">
      <c r="A148" s="61">
        <v>2.01902161E8</v>
      </c>
      <c r="B148" s="54" t="s">
        <v>11728</v>
      </c>
      <c r="C148" s="54" t="s">
        <v>11729</v>
      </c>
    </row>
    <row r="149" hidden="1">
      <c r="A149" s="61">
        <v>2.02103363E8</v>
      </c>
      <c r="B149" s="54" t="s">
        <v>11730</v>
      </c>
      <c r="C149" s="54" t="s">
        <v>11731</v>
      </c>
    </row>
    <row r="150" hidden="1">
      <c r="A150" s="61">
        <v>2.02002327E8</v>
      </c>
      <c r="B150" s="54" t="s">
        <v>11732</v>
      </c>
      <c r="C150" s="54" t="s">
        <v>11733</v>
      </c>
    </row>
    <row r="151" hidden="1">
      <c r="A151" s="61">
        <v>2.02000372E8</v>
      </c>
      <c r="B151" s="54" t="s">
        <v>11734</v>
      </c>
      <c r="C151" s="54" t="s">
        <v>11735</v>
      </c>
    </row>
    <row r="152" hidden="1">
      <c r="A152" s="61">
        <v>2.00606181E8</v>
      </c>
      <c r="B152" s="54" t="s">
        <v>11736</v>
      </c>
      <c r="C152" s="54" t="s">
        <v>11737</v>
      </c>
    </row>
    <row r="153" hidden="1">
      <c r="A153" s="61">
        <v>2.01801783E8</v>
      </c>
      <c r="B153" s="54" t="s">
        <v>11738</v>
      </c>
      <c r="C153" s="54" t="s">
        <v>11739</v>
      </c>
    </row>
    <row r="154" hidden="1">
      <c r="A154" s="61">
        <v>2.01400135E8</v>
      </c>
      <c r="B154" s="54" t="s">
        <v>11740</v>
      </c>
      <c r="C154" s="54" t="s">
        <v>11741</v>
      </c>
    </row>
    <row r="155" hidden="1">
      <c r="A155" s="61">
        <v>2.02000373E8</v>
      </c>
      <c r="B155" s="54" t="s">
        <v>11742</v>
      </c>
      <c r="C155" s="54" t="s">
        <v>11743</v>
      </c>
    </row>
    <row r="156" hidden="1">
      <c r="A156" s="61">
        <v>2.01307211E8</v>
      </c>
      <c r="B156" s="54" t="s">
        <v>11744</v>
      </c>
      <c r="C156" s="54" t="s">
        <v>11745</v>
      </c>
    </row>
    <row r="157" hidden="1">
      <c r="A157" s="61">
        <v>2.02000442E8</v>
      </c>
      <c r="B157" s="54" t="s">
        <v>11746</v>
      </c>
      <c r="C157" s="54" t="s">
        <v>11747</v>
      </c>
    </row>
    <row r="158" hidden="1">
      <c r="A158" s="61">
        <v>2.00901776E8</v>
      </c>
      <c r="B158" s="54" t="s">
        <v>11748</v>
      </c>
      <c r="C158" s="54" t="s">
        <v>11749</v>
      </c>
    </row>
    <row r="159" hidden="1">
      <c r="A159" s="61">
        <v>2.01801406E8</v>
      </c>
      <c r="B159" s="54" t="s">
        <v>11750</v>
      </c>
      <c r="C159" s="54" t="s">
        <v>11751</v>
      </c>
    </row>
    <row r="160" hidden="1">
      <c r="A160" s="61">
        <v>2.0160298E8</v>
      </c>
      <c r="B160" s="54" t="s">
        <v>11752</v>
      </c>
      <c r="C160" s="54" t="s">
        <v>11753</v>
      </c>
    </row>
    <row r="161" hidden="1">
      <c r="A161" s="61">
        <v>2.01603646E8</v>
      </c>
      <c r="B161" s="54" t="s">
        <v>11754</v>
      </c>
      <c r="C161" s="54" t="s">
        <v>11755</v>
      </c>
    </row>
    <row r="162" hidden="1">
      <c r="A162" s="61">
        <v>2.01409216E8</v>
      </c>
      <c r="B162" s="54" t="s">
        <v>11756</v>
      </c>
      <c r="C162" s="54" t="s">
        <v>11757</v>
      </c>
    </row>
    <row r="163" hidden="1">
      <c r="A163" s="61">
        <v>2.0210792E8</v>
      </c>
      <c r="B163" s="54" t="s">
        <v>11758</v>
      </c>
      <c r="C163" s="54" t="s">
        <v>11759</v>
      </c>
    </row>
    <row r="164" hidden="1">
      <c r="A164" s="61">
        <v>2.02001491E8</v>
      </c>
      <c r="B164" s="54" t="s">
        <v>11760</v>
      </c>
      <c r="C164" s="54" t="s">
        <v>11630</v>
      </c>
    </row>
    <row r="165" hidden="1">
      <c r="A165" s="61">
        <v>2.0150202E8</v>
      </c>
      <c r="B165" s="54" t="s">
        <v>11761</v>
      </c>
      <c r="C165" s="54" t="s">
        <v>11762</v>
      </c>
    </row>
    <row r="166" hidden="1">
      <c r="A166" s="61">
        <v>2.020004E8</v>
      </c>
      <c r="B166" s="54" t="s">
        <v>11763</v>
      </c>
      <c r="C166" s="54" t="s">
        <v>11764</v>
      </c>
    </row>
    <row r="167" hidden="1">
      <c r="A167" s="61">
        <v>2.01606436E8</v>
      </c>
      <c r="B167" s="54" t="s">
        <v>11765</v>
      </c>
      <c r="C167" s="54" t="s">
        <v>11766</v>
      </c>
    </row>
    <row r="168" hidden="1">
      <c r="A168" s="61">
        <v>2.01700679E8</v>
      </c>
      <c r="B168" s="54" t="s">
        <v>11767</v>
      </c>
      <c r="C168" s="54" t="s">
        <v>11704</v>
      </c>
    </row>
    <row r="169" hidden="1">
      <c r="A169" s="61">
        <v>2.00302044E8</v>
      </c>
      <c r="B169" s="54" t="s">
        <v>11768</v>
      </c>
      <c r="C169" s="54" t="s">
        <v>11769</v>
      </c>
    </row>
    <row r="170" hidden="1">
      <c r="A170" s="61">
        <v>2.01902162E8</v>
      </c>
      <c r="B170" s="54" t="s">
        <v>11770</v>
      </c>
      <c r="C170" s="54" t="s">
        <v>11771</v>
      </c>
    </row>
    <row r="171" hidden="1">
      <c r="A171" s="61">
        <v>2.01603583E8</v>
      </c>
      <c r="B171" s="54" t="s">
        <v>11772</v>
      </c>
      <c r="C171" s="54" t="s">
        <v>11773</v>
      </c>
    </row>
    <row r="172" hidden="1">
      <c r="A172" s="61">
        <v>2.01603584E8</v>
      </c>
      <c r="B172" s="54" t="s">
        <v>11774</v>
      </c>
      <c r="C172" s="54" t="s">
        <v>11775</v>
      </c>
    </row>
    <row r="173" hidden="1">
      <c r="A173" s="61">
        <v>2.01508119E8</v>
      </c>
      <c r="B173" s="54" t="s">
        <v>11776</v>
      </c>
      <c r="C173" s="54" t="s">
        <v>11777</v>
      </c>
    </row>
    <row r="174" hidden="1">
      <c r="A174" s="61">
        <v>2.01512254E8</v>
      </c>
      <c r="B174" s="54" t="s">
        <v>11778</v>
      </c>
      <c r="C174" s="54" t="s">
        <v>11490</v>
      </c>
    </row>
    <row r="175" hidden="1">
      <c r="A175" s="61">
        <v>2.01909888E8</v>
      </c>
      <c r="B175" s="54" t="s">
        <v>11779</v>
      </c>
      <c r="C175" s="54" t="s">
        <v>11780</v>
      </c>
    </row>
    <row r="176" hidden="1">
      <c r="A176" s="61">
        <v>2.01000963E8</v>
      </c>
      <c r="B176" s="54" t="s">
        <v>11781</v>
      </c>
      <c r="C176" s="54" t="s">
        <v>11782</v>
      </c>
    </row>
    <row r="177" hidden="1">
      <c r="A177" s="61">
        <v>2.01512255E8</v>
      </c>
      <c r="B177" s="54" t="s">
        <v>11783</v>
      </c>
      <c r="C177" s="54" t="s">
        <v>11784</v>
      </c>
    </row>
    <row r="178" hidden="1">
      <c r="A178" s="61">
        <v>2.02009756E8</v>
      </c>
      <c r="B178" s="54" t="s">
        <v>11785</v>
      </c>
      <c r="C178" s="54" t="s">
        <v>11512</v>
      </c>
    </row>
    <row r="179" hidden="1">
      <c r="A179" s="61">
        <v>2.01803293E8</v>
      </c>
      <c r="B179" s="54" t="s">
        <v>11786</v>
      </c>
      <c r="C179" s="54" t="s">
        <v>11787</v>
      </c>
    </row>
    <row r="180" hidden="1">
      <c r="A180" s="61">
        <v>2.01706608E8</v>
      </c>
      <c r="B180" s="54" t="s">
        <v>11788</v>
      </c>
      <c r="C180" s="54" t="s">
        <v>11789</v>
      </c>
    </row>
    <row r="181" hidden="1">
      <c r="A181" s="61">
        <v>2.01701839E8</v>
      </c>
      <c r="B181" s="54" t="s">
        <v>11790</v>
      </c>
      <c r="C181" s="54" t="s">
        <v>11791</v>
      </c>
    </row>
    <row r="182" hidden="1">
      <c r="A182" s="61">
        <v>1.99500647E8</v>
      </c>
      <c r="B182" s="54" t="s">
        <v>11792</v>
      </c>
      <c r="C182" s="54" t="s">
        <v>11793</v>
      </c>
    </row>
    <row r="183" hidden="1">
      <c r="A183" s="61">
        <v>2.01009988E8</v>
      </c>
      <c r="B183" s="54" t="s">
        <v>11794</v>
      </c>
      <c r="C183" s="54" t="s">
        <v>11634</v>
      </c>
    </row>
    <row r="184" hidden="1">
      <c r="A184" s="61">
        <v>2.00301612E8</v>
      </c>
      <c r="B184" s="54" t="s">
        <v>11795</v>
      </c>
      <c r="C184" s="54" t="s">
        <v>11796</v>
      </c>
    </row>
    <row r="185" hidden="1">
      <c r="A185" s="61">
        <v>2.01300111E8</v>
      </c>
      <c r="B185" s="54" t="s">
        <v>11797</v>
      </c>
      <c r="C185" s="54" t="s">
        <v>11798</v>
      </c>
    </row>
    <row r="186" hidden="1">
      <c r="A186" s="61">
        <v>2.0120115E8</v>
      </c>
      <c r="B186" s="54" t="s">
        <v>11799</v>
      </c>
      <c r="C186" s="54" t="s">
        <v>11800</v>
      </c>
    </row>
    <row r="187" hidden="1">
      <c r="A187" s="61">
        <v>2.01307334E8</v>
      </c>
      <c r="B187" s="54" t="s">
        <v>11801</v>
      </c>
      <c r="C187" s="54" t="s">
        <v>11802</v>
      </c>
    </row>
    <row r="188" hidden="1">
      <c r="A188" s="61">
        <v>2.01309551E8</v>
      </c>
      <c r="B188" s="54" t="s">
        <v>11803</v>
      </c>
      <c r="C188" s="54" t="s">
        <v>11804</v>
      </c>
    </row>
    <row r="189" hidden="1">
      <c r="A189" s="61">
        <v>2.0150812E8</v>
      </c>
      <c r="B189" s="54" t="s">
        <v>11805</v>
      </c>
      <c r="C189" s="54" t="s">
        <v>11806</v>
      </c>
    </row>
    <row r="190" hidden="1">
      <c r="A190" s="61">
        <v>1.99909232E8</v>
      </c>
      <c r="B190" s="54" t="s">
        <v>11807</v>
      </c>
      <c r="C190" s="54" t="s">
        <v>11691</v>
      </c>
    </row>
    <row r="191" hidden="1">
      <c r="A191" s="61">
        <v>2.01502021E8</v>
      </c>
      <c r="B191" s="54" t="s">
        <v>11808</v>
      </c>
      <c r="C191" s="54" t="s">
        <v>11809</v>
      </c>
    </row>
    <row r="192" hidden="1">
      <c r="A192" s="61">
        <v>1.99910691E8</v>
      </c>
      <c r="B192" s="54" t="s">
        <v>11810</v>
      </c>
      <c r="C192" s="54" t="s">
        <v>11811</v>
      </c>
    </row>
    <row r="193" hidden="1">
      <c r="A193" s="61">
        <v>2.01308258E8</v>
      </c>
      <c r="B193" s="54" t="s">
        <v>11812</v>
      </c>
      <c r="C193" s="54" t="s">
        <v>11813</v>
      </c>
    </row>
    <row r="194" hidden="1">
      <c r="A194" s="61">
        <v>2.01101398E8</v>
      </c>
      <c r="B194" s="54" t="s">
        <v>11814</v>
      </c>
      <c r="C194" s="54" t="s">
        <v>11815</v>
      </c>
    </row>
    <row r="195" hidden="1">
      <c r="A195" s="61">
        <v>2.0210649E8</v>
      </c>
      <c r="B195" s="54" t="s">
        <v>11816</v>
      </c>
      <c r="C195" s="54" t="s">
        <v>11817</v>
      </c>
    </row>
    <row r="196" hidden="1">
      <c r="A196" s="61">
        <v>2.01905797E8</v>
      </c>
      <c r="B196" s="54" t="s">
        <v>11818</v>
      </c>
      <c r="C196" s="54" t="s">
        <v>11819</v>
      </c>
    </row>
    <row r="197" hidden="1">
      <c r="A197" s="61">
        <v>2.00602952E8</v>
      </c>
      <c r="B197" s="54" t="s">
        <v>11820</v>
      </c>
      <c r="C197" s="54" t="s">
        <v>11575</v>
      </c>
    </row>
    <row r="198" hidden="1">
      <c r="A198" s="61">
        <v>2.01900576E8</v>
      </c>
      <c r="B198" s="54" t="s">
        <v>11821</v>
      </c>
      <c r="C198" s="54" t="s">
        <v>11822</v>
      </c>
    </row>
    <row r="199" hidden="1">
      <c r="A199" s="61">
        <v>2.01902163E8</v>
      </c>
      <c r="B199" s="54" t="s">
        <v>11823</v>
      </c>
      <c r="C199" s="54" t="s">
        <v>11824</v>
      </c>
    </row>
    <row r="200" hidden="1">
      <c r="A200" s="61">
        <v>2.01610916E8</v>
      </c>
      <c r="B200" s="54" t="s">
        <v>11825</v>
      </c>
      <c r="C200" s="54" t="s">
        <v>11826</v>
      </c>
    </row>
    <row r="201" hidden="1">
      <c r="A201" s="61">
        <v>2.01508408E8</v>
      </c>
      <c r="B201" s="54" t="s">
        <v>11827</v>
      </c>
      <c r="C201" s="54" t="s">
        <v>11674</v>
      </c>
    </row>
    <row r="202" hidden="1">
      <c r="A202" s="61">
        <v>2.01300112E8</v>
      </c>
      <c r="B202" s="54" t="s">
        <v>11827</v>
      </c>
      <c r="C202" s="54" t="s">
        <v>11640</v>
      </c>
    </row>
    <row r="203" hidden="1">
      <c r="A203" s="61">
        <v>2.01801784E8</v>
      </c>
      <c r="B203" s="54" t="s">
        <v>11828</v>
      </c>
      <c r="C203" s="54" t="s">
        <v>11829</v>
      </c>
    </row>
    <row r="204" hidden="1">
      <c r="A204" s="61">
        <v>2.0200039E8</v>
      </c>
      <c r="B204" s="54" t="s">
        <v>11830</v>
      </c>
      <c r="C204" s="54" t="s">
        <v>11831</v>
      </c>
    </row>
    <row r="205" hidden="1">
      <c r="A205" s="61">
        <v>2.01100382E8</v>
      </c>
      <c r="B205" s="54" t="s">
        <v>11832</v>
      </c>
      <c r="C205" s="54" t="s">
        <v>11833</v>
      </c>
    </row>
    <row r="206" hidden="1">
      <c r="A206" s="61">
        <v>2.02002328E8</v>
      </c>
      <c r="B206" s="54" t="s">
        <v>11834</v>
      </c>
      <c r="C206" s="54" t="s">
        <v>11835</v>
      </c>
    </row>
    <row r="207" hidden="1">
      <c r="A207" s="61">
        <v>2.01603585E8</v>
      </c>
      <c r="B207" s="54" t="s">
        <v>11836</v>
      </c>
      <c r="C207" s="54" t="s">
        <v>11837</v>
      </c>
    </row>
    <row r="208" hidden="1">
      <c r="A208" s="61">
        <v>2.01908544E8</v>
      </c>
      <c r="B208" s="54" t="s">
        <v>11838</v>
      </c>
      <c r="C208" s="54" t="s">
        <v>11839</v>
      </c>
    </row>
    <row r="209" hidden="1">
      <c r="A209" s="61">
        <v>2.01400301E8</v>
      </c>
      <c r="B209" s="54" t="s">
        <v>11840</v>
      </c>
      <c r="C209" s="54" t="s">
        <v>11841</v>
      </c>
    </row>
    <row r="210" hidden="1">
      <c r="A210" s="61">
        <v>2.00800306E8</v>
      </c>
      <c r="B210" s="54" t="s">
        <v>11842</v>
      </c>
      <c r="C210" s="54" t="s">
        <v>11843</v>
      </c>
    </row>
    <row r="211" hidden="1">
      <c r="A211" s="61">
        <v>2.01709741E8</v>
      </c>
      <c r="B211" s="54" t="s">
        <v>11844</v>
      </c>
      <c r="C211" s="54" t="s">
        <v>11845</v>
      </c>
    </row>
    <row r="212" hidden="1">
      <c r="A212" s="61">
        <v>2.01603648E8</v>
      </c>
      <c r="B212" s="54" t="s">
        <v>11846</v>
      </c>
      <c r="C212" s="54" t="s">
        <v>11847</v>
      </c>
    </row>
    <row r="213" hidden="1">
      <c r="A213" s="61">
        <v>2.0170184E8</v>
      </c>
      <c r="B213" s="54" t="s">
        <v>11848</v>
      </c>
      <c r="C213" s="54" t="s">
        <v>11849</v>
      </c>
    </row>
    <row r="214" hidden="1">
      <c r="A214" s="61">
        <v>2.01200444E8</v>
      </c>
      <c r="B214" s="54" t="s">
        <v>11850</v>
      </c>
      <c r="C214" s="54" t="s">
        <v>11851</v>
      </c>
    </row>
    <row r="215" hidden="1">
      <c r="A215" s="61">
        <v>2.02107875E8</v>
      </c>
      <c r="B215" s="54" t="s">
        <v>11852</v>
      </c>
      <c r="C215" s="54" t="s">
        <v>11853</v>
      </c>
    </row>
    <row r="216" hidden="1">
      <c r="A216" s="61">
        <v>2.01309836E8</v>
      </c>
      <c r="B216" s="54" t="s">
        <v>11854</v>
      </c>
      <c r="C216" s="54" t="s">
        <v>11855</v>
      </c>
    </row>
    <row r="217" hidden="1">
      <c r="A217" s="61">
        <v>2.01311086E8</v>
      </c>
      <c r="B217" s="54" t="s">
        <v>11856</v>
      </c>
      <c r="C217" s="54" t="s">
        <v>11857</v>
      </c>
    </row>
    <row r="218" hidden="1">
      <c r="A218" s="61">
        <v>2.02107897E8</v>
      </c>
      <c r="B218" s="54" t="s">
        <v>11858</v>
      </c>
      <c r="C218" s="54" t="s">
        <v>11859</v>
      </c>
    </row>
    <row r="219" hidden="1">
      <c r="A219" s="61">
        <v>2.01904676E8</v>
      </c>
      <c r="B219" s="54" t="s">
        <v>11860</v>
      </c>
      <c r="C219" s="54" t="s">
        <v>11861</v>
      </c>
    </row>
    <row r="220" hidden="1">
      <c r="A220" s="61">
        <v>2.01110567E8</v>
      </c>
      <c r="B220" s="54" t="s">
        <v>11862</v>
      </c>
      <c r="C220" s="54" t="s">
        <v>11863</v>
      </c>
    </row>
    <row r="221" hidden="1">
      <c r="A221" s="61">
        <v>2.02100571E8</v>
      </c>
      <c r="B221" s="54" t="s">
        <v>11864</v>
      </c>
      <c r="C221" s="54" t="s">
        <v>11865</v>
      </c>
    </row>
    <row r="222" hidden="1">
      <c r="A222" s="61">
        <v>2.0140021E8</v>
      </c>
      <c r="B222" s="54" t="s">
        <v>11866</v>
      </c>
      <c r="C222" s="54" t="s">
        <v>11867</v>
      </c>
    </row>
    <row r="223" hidden="1">
      <c r="A223" s="61">
        <v>1.99301265E8</v>
      </c>
      <c r="B223" s="54" t="s">
        <v>11868</v>
      </c>
      <c r="C223" s="54" t="s">
        <v>11869</v>
      </c>
    </row>
    <row r="224" hidden="1">
      <c r="A224" s="61">
        <v>2.01100267E8</v>
      </c>
      <c r="B224" s="54" t="s">
        <v>11870</v>
      </c>
      <c r="C224" s="54" t="s">
        <v>11871</v>
      </c>
    </row>
    <row r="225" hidden="1">
      <c r="A225" s="61">
        <v>2.01010265E8</v>
      </c>
      <c r="B225" s="54" t="s">
        <v>11872</v>
      </c>
      <c r="C225" s="54" t="s">
        <v>11873</v>
      </c>
    </row>
    <row r="226" hidden="1">
      <c r="A226" s="61">
        <v>2.01701841E8</v>
      </c>
      <c r="B226" s="54" t="s">
        <v>11874</v>
      </c>
      <c r="C226" s="54" t="s">
        <v>11674</v>
      </c>
    </row>
    <row r="227" hidden="1">
      <c r="A227" s="61">
        <v>2.01904695E8</v>
      </c>
      <c r="B227" s="54" t="s">
        <v>11875</v>
      </c>
      <c r="C227" s="54" t="s">
        <v>11876</v>
      </c>
    </row>
    <row r="228" hidden="1">
      <c r="A228" s="61">
        <v>2.0170068E8</v>
      </c>
      <c r="B228" s="54" t="s">
        <v>11877</v>
      </c>
      <c r="C228" s="54" t="s">
        <v>11878</v>
      </c>
    </row>
    <row r="229" hidden="1">
      <c r="A229" s="61">
        <v>2.01701842E8</v>
      </c>
      <c r="B229" s="54" t="s">
        <v>11879</v>
      </c>
      <c r="C229" s="54" t="s">
        <v>11880</v>
      </c>
    </row>
    <row r="230" hidden="1">
      <c r="A230" s="61">
        <v>2.01400136E8</v>
      </c>
      <c r="B230" s="54" t="s">
        <v>11879</v>
      </c>
      <c r="C230" s="54" t="s">
        <v>11881</v>
      </c>
    </row>
    <row r="231" hidden="1">
      <c r="A231" s="61">
        <v>2.01603649E8</v>
      </c>
      <c r="B231" s="54" t="s">
        <v>11882</v>
      </c>
      <c r="C231" s="54" t="s">
        <v>11883</v>
      </c>
    </row>
    <row r="232" hidden="1">
      <c r="A232" s="61">
        <v>2.01800021E8</v>
      </c>
      <c r="B232" s="54" t="s">
        <v>11884</v>
      </c>
      <c r="C232" s="54" t="s">
        <v>11885</v>
      </c>
    </row>
    <row r="233" hidden="1">
      <c r="A233" s="61">
        <v>2.01400302E8</v>
      </c>
      <c r="B233" s="54" t="s">
        <v>11886</v>
      </c>
      <c r="C233" s="54" t="s">
        <v>11887</v>
      </c>
    </row>
    <row r="234" hidden="1">
      <c r="A234" s="61">
        <v>2.02001492E8</v>
      </c>
      <c r="B234" s="54" t="s">
        <v>11888</v>
      </c>
      <c r="C234" s="54" t="s">
        <v>11889</v>
      </c>
    </row>
    <row r="235" hidden="1">
      <c r="A235" s="61">
        <v>2.01809478E8</v>
      </c>
      <c r="B235" s="54" t="s">
        <v>11890</v>
      </c>
      <c r="C235" s="54" t="s">
        <v>11891</v>
      </c>
    </row>
    <row r="236" hidden="1">
      <c r="A236" s="61">
        <v>2.0160365E8</v>
      </c>
      <c r="B236" s="54" t="s">
        <v>11892</v>
      </c>
      <c r="C236" s="54" t="s">
        <v>11893</v>
      </c>
    </row>
    <row r="237" hidden="1">
      <c r="A237" s="61">
        <v>2.0110702E8</v>
      </c>
      <c r="B237" s="54" t="s">
        <v>11894</v>
      </c>
      <c r="C237" s="54" t="s">
        <v>11895</v>
      </c>
    </row>
    <row r="238" hidden="1">
      <c r="A238" s="61">
        <v>2.01800223E8</v>
      </c>
      <c r="B238" s="54" t="s">
        <v>11896</v>
      </c>
      <c r="C238" s="54" t="s">
        <v>11897</v>
      </c>
    </row>
    <row r="239" hidden="1">
      <c r="A239" s="61">
        <v>2.01209071E8</v>
      </c>
      <c r="B239" s="54" t="s">
        <v>11898</v>
      </c>
      <c r="C239" s="54" t="s">
        <v>11899</v>
      </c>
    </row>
    <row r="240" hidden="1">
      <c r="A240" s="61">
        <v>2.02000391E8</v>
      </c>
      <c r="B240" s="54" t="s">
        <v>11900</v>
      </c>
      <c r="C240" s="54" t="s">
        <v>11901</v>
      </c>
    </row>
    <row r="241" hidden="1">
      <c r="A241" s="61">
        <v>2.01100383E8</v>
      </c>
      <c r="B241" s="54" t="s">
        <v>11902</v>
      </c>
      <c r="C241" s="54" t="s">
        <v>11903</v>
      </c>
    </row>
    <row r="242" hidden="1">
      <c r="A242" s="61">
        <v>2.00206658E8</v>
      </c>
      <c r="B242" s="54" t="s">
        <v>11904</v>
      </c>
      <c r="C242" s="54" t="s">
        <v>11905</v>
      </c>
    </row>
    <row r="243" hidden="1">
      <c r="A243" s="61">
        <v>2.0210791E8</v>
      </c>
      <c r="B243" s="54" t="s">
        <v>11906</v>
      </c>
      <c r="C243" s="54" t="s">
        <v>11907</v>
      </c>
    </row>
    <row r="244" hidden="1">
      <c r="A244" s="61">
        <v>2.01407426E8</v>
      </c>
      <c r="B244" s="54" t="s">
        <v>11908</v>
      </c>
      <c r="C244" s="54" t="s">
        <v>11909</v>
      </c>
    </row>
    <row r="245" hidden="1">
      <c r="A245" s="61">
        <v>2.01300113E8</v>
      </c>
      <c r="B245" s="54" t="s">
        <v>11910</v>
      </c>
      <c r="C245" s="54" t="s">
        <v>11911</v>
      </c>
    </row>
    <row r="246" hidden="1">
      <c r="A246" s="61">
        <v>2.00201202E8</v>
      </c>
      <c r="B246" s="54" t="s">
        <v>11912</v>
      </c>
      <c r="C246" s="54" t="s">
        <v>11913</v>
      </c>
    </row>
    <row r="247" hidden="1">
      <c r="A247" s="61">
        <v>2.01800224E8</v>
      </c>
      <c r="B247" s="54" t="s">
        <v>11914</v>
      </c>
      <c r="C247" s="54" t="s">
        <v>11915</v>
      </c>
    </row>
    <row r="248" hidden="1">
      <c r="A248" s="61">
        <v>2.01904688E8</v>
      </c>
      <c r="B248" s="54" t="s">
        <v>11916</v>
      </c>
      <c r="C248" s="54" t="s">
        <v>11917</v>
      </c>
    </row>
    <row r="249" hidden="1">
      <c r="A249" s="61">
        <v>2.00301953E8</v>
      </c>
      <c r="B249" s="54" t="s">
        <v>11918</v>
      </c>
      <c r="C249" s="54" t="s">
        <v>11919</v>
      </c>
    </row>
    <row r="250" hidden="1">
      <c r="A250" s="61">
        <v>2.00507202E8</v>
      </c>
      <c r="B250" s="54" t="s">
        <v>11920</v>
      </c>
      <c r="C250" s="54" t="s">
        <v>11921</v>
      </c>
    </row>
    <row r="251" hidden="1">
      <c r="A251" s="61">
        <v>2.00601155E8</v>
      </c>
      <c r="B251" s="54" t="s">
        <v>11922</v>
      </c>
      <c r="C251" s="54" t="s">
        <v>11923</v>
      </c>
    </row>
    <row r="252" hidden="1">
      <c r="A252" s="61">
        <v>2.02005536E8</v>
      </c>
      <c r="B252" s="54" t="s">
        <v>11924</v>
      </c>
      <c r="C252" s="54" t="s">
        <v>11613</v>
      </c>
    </row>
    <row r="253" hidden="1">
      <c r="A253" s="61">
        <v>2.01400211E8</v>
      </c>
      <c r="B253" s="54" t="s">
        <v>11925</v>
      </c>
      <c r="C253" s="54" t="s">
        <v>11926</v>
      </c>
    </row>
    <row r="254" hidden="1">
      <c r="A254" s="61">
        <v>2.01200543E8</v>
      </c>
      <c r="B254" s="54" t="s">
        <v>11927</v>
      </c>
      <c r="C254" s="54" t="s">
        <v>11928</v>
      </c>
    </row>
    <row r="255" hidden="1">
      <c r="A255" s="61">
        <v>2.01607861E8</v>
      </c>
      <c r="B255" s="54" t="s">
        <v>11927</v>
      </c>
      <c r="C255" s="54" t="s">
        <v>11929</v>
      </c>
    </row>
    <row r="256" hidden="1">
      <c r="A256" s="61">
        <v>2.01903204E8</v>
      </c>
      <c r="B256" s="54" t="s">
        <v>11930</v>
      </c>
      <c r="C256" s="54" t="s">
        <v>11931</v>
      </c>
    </row>
    <row r="257" hidden="1">
      <c r="A257" s="61">
        <v>2.01502025E8</v>
      </c>
      <c r="B257" s="54" t="s">
        <v>11932</v>
      </c>
      <c r="C257" s="54" t="s">
        <v>11933</v>
      </c>
    </row>
    <row r="258" hidden="1">
      <c r="A258" s="61">
        <v>2.01700682E8</v>
      </c>
      <c r="B258" s="54" t="s">
        <v>11934</v>
      </c>
      <c r="C258" s="54" t="s">
        <v>11935</v>
      </c>
    </row>
    <row r="259" hidden="1">
      <c r="A259" s="61">
        <v>2.0180142E8</v>
      </c>
      <c r="B259" s="54" t="s">
        <v>11936</v>
      </c>
      <c r="C259" s="54" t="s">
        <v>11937</v>
      </c>
    </row>
    <row r="260" hidden="1">
      <c r="A260" s="61">
        <v>2.01300248E8</v>
      </c>
      <c r="B260" s="54" t="s">
        <v>11938</v>
      </c>
      <c r="C260" s="54" t="s">
        <v>11939</v>
      </c>
    </row>
    <row r="261" hidden="1">
      <c r="A261" s="61">
        <v>2.01809279E8</v>
      </c>
      <c r="B261" s="54" t="s">
        <v>11940</v>
      </c>
      <c r="C261" s="54" t="s">
        <v>11941</v>
      </c>
    </row>
    <row r="262" hidden="1">
      <c r="A262" s="61">
        <v>2.02103411E8</v>
      </c>
      <c r="B262" s="54" t="s">
        <v>11942</v>
      </c>
      <c r="C262" s="54" t="s">
        <v>11943</v>
      </c>
    </row>
    <row r="263" hidden="1">
      <c r="A263" s="61">
        <v>2.01508121E8</v>
      </c>
      <c r="B263" s="54" t="s">
        <v>11944</v>
      </c>
      <c r="C263" s="54" t="s">
        <v>11766</v>
      </c>
    </row>
    <row r="264" hidden="1">
      <c r="A264" s="61">
        <v>2.01800225E8</v>
      </c>
      <c r="B264" s="54" t="s">
        <v>11945</v>
      </c>
      <c r="C264" s="54" t="s">
        <v>11946</v>
      </c>
    </row>
    <row r="265" hidden="1">
      <c r="A265" s="61">
        <v>2.01603652E8</v>
      </c>
      <c r="B265" s="54" t="s">
        <v>11947</v>
      </c>
      <c r="C265" s="54" t="s">
        <v>11948</v>
      </c>
    </row>
    <row r="266" hidden="1">
      <c r="A266" s="61">
        <v>2.01706468E8</v>
      </c>
      <c r="B266" s="54" t="s">
        <v>11949</v>
      </c>
      <c r="C266" s="54" t="s">
        <v>11893</v>
      </c>
    </row>
    <row r="267" hidden="1">
      <c r="A267" s="61">
        <v>2.01505552E8</v>
      </c>
      <c r="B267" s="54" t="s">
        <v>11950</v>
      </c>
      <c r="C267" s="54" t="s">
        <v>11951</v>
      </c>
    </row>
    <row r="268" hidden="1">
      <c r="A268" s="61">
        <v>2.01800022E8</v>
      </c>
      <c r="B268" s="54" t="s">
        <v>11952</v>
      </c>
      <c r="C268" s="54" t="s">
        <v>11953</v>
      </c>
    </row>
    <row r="269" hidden="1">
      <c r="A269" s="61">
        <v>2.02103329E8</v>
      </c>
      <c r="B269" s="54" t="s">
        <v>11954</v>
      </c>
      <c r="C269" s="54" t="s">
        <v>11955</v>
      </c>
    </row>
    <row r="270" hidden="1">
      <c r="A270" s="61">
        <v>2.01001356E8</v>
      </c>
      <c r="B270" s="54" t="s">
        <v>11956</v>
      </c>
      <c r="C270" s="54" t="s">
        <v>11957</v>
      </c>
    </row>
    <row r="271" hidden="1">
      <c r="A271" s="61">
        <v>2.02103316E8</v>
      </c>
      <c r="B271" s="54" t="s">
        <v>11958</v>
      </c>
      <c r="C271" s="54" t="s">
        <v>11959</v>
      </c>
    </row>
    <row r="272" hidden="1">
      <c r="A272" s="61">
        <v>2.02102937E8</v>
      </c>
      <c r="B272" s="54" t="s">
        <v>11960</v>
      </c>
      <c r="C272" s="54" t="s">
        <v>11961</v>
      </c>
    </row>
    <row r="273" hidden="1">
      <c r="A273" s="61">
        <v>2.00703419E8</v>
      </c>
      <c r="B273" s="54" t="s">
        <v>11962</v>
      </c>
      <c r="C273" s="54" t="s">
        <v>11963</v>
      </c>
    </row>
    <row r="274" hidden="1">
      <c r="A274" s="61">
        <v>2.02106873E8</v>
      </c>
      <c r="B274" s="54" t="s">
        <v>11964</v>
      </c>
      <c r="C274" s="54" t="s">
        <v>11965</v>
      </c>
    </row>
    <row r="275" hidden="1">
      <c r="A275" s="61">
        <v>2.01502052E8</v>
      </c>
      <c r="B275" s="54" t="s">
        <v>11966</v>
      </c>
      <c r="C275" s="54" t="s">
        <v>11967</v>
      </c>
    </row>
    <row r="276" hidden="1">
      <c r="A276" s="61">
        <v>2.01512232E8</v>
      </c>
      <c r="B276" s="54" t="s">
        <v>11968</v>
      </c>
      <c r="C276" s="54" t="s">
        <v>11969</v>
      </c>
    </row>
    <row r="277" hidden="1">
      <c r="A277" s="61">
        <v>2.01001357E8</v>
      </c>
      <c r="B277" s="54" t="s">
        <v>11968</v>
      </c>
      <c r="C277" s="54" t="s">
        <v>11970</v>
      </c>
    </row>
    <row r="278" hidden="1">
      <c r="A278" s="61">
        <v>2.02000359E8</v>
      </c>
      <c r="B278" s="54" t="s">
        <v>11971</v>
      </c>
      <c r="C278" s="54" t="s">
        <v>11972</v>
      </c>
    </row>
    <row r="279" hidden="1">
      <c r="A279" s="61">
        <v>2.01409218E8</v>
      </c>
      <c r="B279" s="54" t="s">
        <v>11973</v>
      </c>
      <c r="C279" s="54" t="s">
        <v>11974</v>
      </c>
    </row>
    <row r="280" hidden="1">
      <c r="A280" s="61">
        <v>2.02009788E8</v>
      </c>
      <c r="B280" s="54" t="s">
        <v>11975</v>
      </c>
      <c r="C280" s="54" t="s">
        <v>11976</v>
      </c>
    </row>
    <row r="281" hidden="1">
      <c r="A281" s="61">
        <v>2.01801416E8</v>
      </c>
      <c r="B281" s="54" t="s">
        <v>11977</v>
      </c>
      <c r="C281" s="54" t="s">
        <v>11978</v>
      </c>
    </row>
    <row r="282" hidden="1">
      <c r="A282" s="61">
        <v>2.02001493E8</v>
      </c>
      <c r="B282" s="54" t="s">
        <v>11979</v>
      </c>
      <c r="C282" s="54" t="s">
        <v>11980</v>
      </c>
    </row>
    <row r="283" hidden="1">
      <c r="A283" s="61">
        <v>2.00401104E8</v>
      </c>
      <c r="B283" s="54" t="s">
        <v>11981</v>
      </c>
      <c r="C283" s="54" t="s">
        <v>11982</v>
      </c>
    </row>
    <row r="284" hidden="1">
      <c r="A284" s="61">
        <v>1.9920167E8</v>
      </c>
      <c r="B284" s="54" t="s">
        <v>11983</v>
      </c>
      <c r="C284" s="54" t="s">
        <v>11490</v>
      </c>
    </row>
    <row r="285" hidden="1">
      <c r="A285" s="61">
        <v>2.02103395E8</v>
      </c>
      <c r="B285" s="54" t="s">
        <v>11984</v>
      </c>
      <c r="C285" s="54" t="s">
        <v>11985</v>
      </c>
    </row>
    <row r="286" hidden="1">
      <c r="A286" s="61">
        <v>2.01400137E8</v>
      </c>
      <c r="B286" s="54" t="s">
        <v>11986</v>
      </c>
      <c r="C286" s="54" t="s">
        <v>11987</v>
      </c>
    </row>
    <row r="287" hidden="1">
      <c r="A287" s="61">
        <v>2.01701843E8</v>
      </c>
      <c r="B287" s="54" t="s">
        <v>11988</v>
      </c>
      <c r="C287" s="54" t="s">
        <v>11989</v>
      </c>
    </row>
    <row r="288" hidden="1">
      <c r="A288" s="61">
        <v>2.00401107E8</v>
      </c>
      <c r="B288" s="54" t="s">
        <v>11990</v>
      </c>
      <c r="C288" s="54" t="s">
        <v>11991</v>
      </c>
    </row>
    <row r="289" hidden="1">
      <c r="A289" s="61">
        <v>2.02002324E8</v>
      </c>
      <c r="B289" s="54" t="s">
        <v>11992</v>
      </c>
      <c r="C289" s="54" t="s">
        <v>11993</v>
      </c>
    </row>
    <row r="290" hidden="1">
      <c r="A290" s="61">
        <v>2.00901777E8</v>
      </c>
      <c r="B290" s="54" t="s">
        <v>11994</v>
      </c>
      <c r="C290" s="54" t="s">
        <v>11995</v>
      </c>
    </row>
    <row r="291" hidden="1">
      <c r="A291" s="61">
        <v>2.00501235E8</v>
      </c>
      <c r="B291" s="54" t="s">
        <v>11996</v>
      </c>
      <c r="C291" s="54" t="s">
        <v>11997</v>
      </c>
    </row>
    <row r="292" hidden="1">
      <c r="A292" s="61">
        <v>2.01502026E8</v>
      </c>
      <c r="B292" s="54" t="s">
        <v>11998</v>
      </c>
      <c r="C292" s="54" t="s">
        <v>11851</v>
      </c>
    </row>
    <row r="293" hidden="1">
      <c r="A293" s="61">
        <v>2.00703023E8</v>
      </c>
      <c r="B293" s="54" t="s">
        <v>11999</v>
      </c>
      <c r="C293" s="54" t="s">
        <v>12000</v>
      </c>
    </row>
    <row r="294" hidden="1">
      <c r="A294" s="61">
        <v>2.02107922E8</v>
      </c>
      <c r="B294" s="54" t="s">
        <v>12001</v>
      </c>
      <c r="C294" s="54" t="s">
        <v>12002</v>
      </c>
    </row>
    <row r="295" hidden="1">
      <c r="A295" s="61">
        <v>2.02002343E8</v>
      </c>
      <c r="B295" s="54" t="s">
        <v>12003</v>
      </c>
      <c r="C295" s="54" t="s">
        <v>12004</v>
      </c>
    </row>
    <row r="296" hidden="1">
      <c r="A296" s="61">
        <v>2.02000393E8</v>
      </c>
      <c r="B296" s="54" t="s">
        <v>12005</v>
      </c>
      <c r="C296" s="54" t="s">
        <v>12006</v>
      </c>
    </row>
    <row r="297" hidden="1">
      <c r="A297" s="61">
        <v>2.01709742E8</v>
      </c>
      <c r="B297" s="54" t="s">
        <v>12007</v>
      </c>
      <c r="C297" s="54" t="s">
        <v>12008</v>
      </c>
    </row>
    <row r="298" hidden="1">
      <c r="A298" s="61">
        <v>2.00307347E8</v>
      </c>
      <c r="B298" s="54" t="s">
        <v>12009</v>
      </c>
      <c r="C298" s="54" t="s">
        <v>11525</v>
      </c>
    </row>
    <row r="299" hidden="1">
      <c r="A299" s="61">
        <v>2.01400304E8</v>
      </c>
      <c r="B299" s="54" t="s">
        <v>12010</v>
      </c>
      <c r="C299" s="54" t="s">
        <v>12011</v>
      </c>
    </row>
    <row r="300" hidden="1">
      <c r="A300" s="61">
        <v>2.0180178E8</v>
      </c>
      <c r="B300" s="54" t="s">
        <v>12012</v>
      </c>
      <c r="C300" s="54" t="s">
        <v>12013</v>
      </c>
    </row>
    <row r="301" hidden="1">
      <c r="A301" s="61">
        <v>2.01109615E8</v>
      </c>
      <c r="B301" s="54" t="s">
        <v>12014</v>
      </c>
      <c r="C301" s="54" t="s">
        <v>12015</v>
      </c>
    </row>
    <row r="302" hidden="1">
      <c r="A302" s="61">
        <v>2.01502027E8</v>
      </c>
      <c r="B302" s="54" t="s">
        <v>12016</v>
      </c>
      <c r="C302" s="54" t="s">
        <v>12017</v>
      </c>
    </row>
    <row r="303" hidden="1">
      <c r="A303" s="61">
        <v>2.01704765E8</v>
      </c>
      <c r="B303" s="54" t="s">
        <v>12018</v>
      </c>
      <c r="C303" s="54" t="s">
        <v>12019</v>
      </c>
    </row>
    <row r="304" hidden="1">
      <c r="A304" s="61">
        <v>2.0200011E8</v>
      </c>
      <c r="B304" s="54" t="s">
        <v>12020</v>
      </c>
      <c r="C304" s="54" t="s">
        <v>12021</v>
      </c>
    </row>
    <row r="305" hidden="1">
      <c r="A305" s="61">
        <v>2.01900233E8</v>
      </c>
      <c r="B305" s="54" t="s">
        <v>12022</v>
      </c>
      <c r="C305" s="54" t="s">
        <v>12023</v>
      </c>
    </row>
    <row r="306" hidden="1">
      <c r="A306" s="61">
        <v>2.01400212E8</v>
      </c>
      <c r="B306" s="54" t="s">
        <v>12024</v>
      </c>
      <c r="C306" s="54" t="s">
        <v>12025</v>
      </c>
    </row>
    <row r="307" hidden="1">
      <c r="A307" s="61">
        <v>2.01902166E8</v>
      </c>
      <c r="B307" s="54" t="s">
        <v>12026</v>
      </c>
      <c r="C307" s="54" t="s">
        <v>12027</v>
      </c>
    </row>
    <row r="308" hidden="1">
      <c r="A308" s="61">
        <v>2.00001008E8</v>
      </c>
      <c r="B308" s="54" t="s">
        <v>12028</v>
      </c>
      <c r="C308" s="54" t="s">
        <v>12029</v>
      </c>
    </row>
    <row r="309" hidden="1">
      <c r="A309" s="61">
        <v>2.01801781E8</v>
      </c>
      <c r="B309" s="54" t="s">
        <v>12030</v>
      </c>
      <c r="C309" s="54" t="s">
        <v>12031</v>
      </c>
    </row>
    <row r="310" hidden="1">
      <c r="A310" s="61">
        <v>2.01607862E8</v>
      </c>
      <c r="B310" s="54" t="s">
        <v>12032</v>
      </c>
      <c r="C310" s="54" t="s">
        <v>12033</v>
      </c>
    </row>
    <row r="311" hidden="1">
      <c r="A311" s="61">
        <v>2.0190057E8</v>
      </c>
      <c r="B311" s="54" t="s">
        <v>12034</v>
      </c>
      <c r="C311" s="54" t="s">
        <v>11630</v>
      </c>
    </row>
    <row r="312" hidden="1">
      <c r="A312" s="61">
        <v>2.0160276E8</v>
      </c>
      <c r="B312" s="54" t="s">
        <v>12035</v>
      </c>
      <c r="C312" s="54" t="s">
        <v>12036</v>
      </c>
    </row>
    <row r="313" hidden="1">
      <c r="A313" s="61">
        <v>2.02103331E8</v>
      </c>
      <c r="B313" s="54" t="s">
        <v>12037</v>
      </c>
      <c r="C313" s="54" t="s">
        <v>12038</v>
      </c>
    </row>
    <row r="314" hidden="1">
      <c r="A314" s="61">
        <v>2.01502028E8</v>
      </c>
      <c r="B314" s="54" t="s">
        <v>12039</v>
      </c>
      <c r="C314" s="54" t="s">
        <v>11903</v>
      </c>
    </row>
    <row r="315" hidden="1">
      <c r="A315" s="61">
        <v>2.0080089E8</v>
      </c>
      <c r="B315" s="54" t="s">
        <v>12040</v>
      </c>
      <c r="C315" s="54" t="s">
        <v>12041</v>
      </c>
    </row>
    <row r="316" hidden="1">
      <c r="A316" s="61">
        <v>2.02107877E8</v>
      </c>
      <c r="B316" s="54" t="s">
        <v>12042</v>
      </c>
      <c r="C316" s="54" t="s">
        <v>12043</v>
      </c>
    </row>
    <row r="317" hidden="1">
      <c r="A317" s="61">
        <v>2.01603654E8</v>
      </c>
      <c r="B317" s="54" t="s">
        <v>12044</v>
      </c>
      <c r="C317" s="54" t="s">
        <v>12045</v>
      </c>
    </row>
    <row r="318" hidden="1">
      <c r="A318" s="61">
        <v>2.01900577E8</v>
      </c>
      <c r="B318" s="54" t="s">
        <v>12046</v>
      </c>
      <c r="C318" s="54" t="s">
        <v>12047</v>
      </c>
    </row>
    <row r="319" hidden="1">
      <c r="A319" s="61">
        <v>2.0141066E8</v>
      </c>
      <c r="B319" s="54" t="s">
        <v>12048</v>
      </c>
      <c r="C319" s="54" t="s">
        <v>12049</v>
      </c>
    </row>
    <row r="320" hidden="1">
      <c r="A320" s="61">
        <v>2.02106806E8</v>
      </c>
      <c r="B320" s="54" t="s">
        <v>12050</v>
      </c>
      <c r="C320" s="54" t="s">
        <v>12051</v>
      </c>
    </row>
    <row r="321" hidden="1">
      <c r="A321" s="61">
        <v>2.00901781E8</v>
      </c>
      <c r="B321" s="54" t="s">
        <v>12052</v>
      </c>
      <c r="C321" s="54" t="s">
        <v>12053</v>
      </c>
    </row>
    <row r="322" hidden="1">
      <c r="A322" s="61">
        <v>1.99910698E8</v>
      </c>
      <c r="B322" s="54" t="s">
        <v>12054</v>
      </c>
      <c r="C322" s="54" t="s">
        <v>12055</v>
      </c>
    </row>
    <row r="323" hidden="1">
      <c r="A323" s="61">
        <v>2.01902167E8</v>
      </c>
      <c r="B323" s="54" t="s">
        <v>12056</v>
      </c>
      <c r="C323" s="54" t="s">
        <v>12057</v>
      </c>
    </row>
    <row r="324" hidden="1">
      <c r="A324" s="61">
        <v>2.00901171E8</v>
      </c>
      <c r="B324" s="54" t="s">
        <v>12058</v>
      </c>
      <c r="C324" s="54" t="s">
        <v>12059</v>
      </c>
    </row>
    <row r="325" hidden="1">
      <c r="A325" s="61">
        <v>2.02002344E8</v>
      </c>
      <c r="B325" s="54" t="s">
        <v>12060</v>
      </c>
      <c r="C325" s="54" t="s">
        <v>12061</v>
      </c>
    </row>
    <row r="326" hidden="1">
      <c r="A326" s="61">
        <v>2.01603655E8</v>
      </c>
      <c r="B326" s="54" t="s">
        <v>12060</v>
      </c>
      <c r="C326" s="54" t="s">
        <v>11541</v>
      </c>
    </row>
    <row r="327" hidden="1">
      <c r="A327" s="61">
        <v>2.01301238E8</v>
      </c>
      <c r="B327" s="54" t="s">
        <v>12062</v>
      </c>
      <c r="C327" s="54" t="s">
        <v>12063</v>
      </c>
    </row>
    <row r="328" hidden="1">
      <c r="A328" s="61">
        <v>2.01701845E8</v>
      </c>
      <c r="B328" s="54" t="s">
        <v>12064</v>
      </c>
      <c r="C328" s="54" t="s">
        <v>12065</v>
      </c>
    </row>
    <row r="329" hidden="1">
      <c r="A329" s="61">
        <v>2.01809479E8</v>
      </c>
      <c r="B329" s="54" t="s">
        <v>12066</v>
      </c>
      <c r="C329" s="54" t="s">
        <v>11488</v>
      </c>
    </row>
    <row r="330" hidden="1">
      <c r="A330" s="61">
        <v>2.00804163E8</v>
      </c>
      <c r="B330" s="54" t="s">
        <v>12067</v>
      </c>
      <c r="C330" s="54" t="s">
        <v>12068</v>
      </c>
    </row>
    <row r="331" hidden="1">
      <c r="A331" s="61">
        <v>2.01706609E8</v>
      </c>
      <c r="B331" s="54" t="s">
        <v>12069</v>
      </c>
      <c r="C331" s="54" t="s">
        <v>12070</v>
      </c>
    </row>
    <row r="332" hidden="1">
      <c r="A332" s="61">
        <v>2.01709794E8</v>
      </c>
      <c r="B332" s="54" t="s">
        <v>12071</v>
      </c>
      <c r="C332" s="54" t="s">
        <v>12072</v>
      </c>
    </row>
    <row r="333" hidden="1">
      <c r="A333" s="61">
        <v>2.0180948E8</v>
      </c>
      <c r="B333" s="54" t="s">
        <v>12073</v>
      </c>
      <c r="C333" s="54" t="s">
        <v>12074</v>
      </c>
    </row>
    <row r="334" hidden="1">
      <c r="A334" s="61">
        <v>2.0200975E8</v>
      </c>
      <c r="B334" s="54" t="s">
        <v>12075</v>
      </c>
      <c r="C334" s="54" t="s">
        <v>12076</v>
      </c>
    </row>
    <row r="335" hidden="1">
      <c r="A335" s="61">
        <v>2.01603587E8</v>
      </c>
      <c r="B335" s="54" t="s">
        <v>12077</v>
      </c>
      <c r="C335" s="54" t="s">
        <v>12078</v>
      </c>
    </row>
    <row r="336" hidden="1">
      <c r="A336" s="61">
        <v>2.01408881E8</v>
      </c>
      <c r="B336" s="54" t="s">
        <v>12079</v>
      </c>
      <c r="C336" s="54" t="s">
        <v>12080</v>
      </c>
    </row>
    <row r="337" hidden="1">
      <c r="A337" s="61">
        <v>2.01909885E8</v>
      </c>
      <c r="B337" s="54" t="s">
        <v>12081</v>
      </c>
      <c r="C337" s="54" t="s">
        <v>12082</v>
      </c>
    </row>
    <row r="338" hidden="1">
      <c r="A338" s="61">
        <v>2.01905787E8</v>
      </c>
      <c r="B338" s="54" t="s">
        <v>12083</v>
      </c>
      <c r="C338" s="54" t="s">
        <v>11634</v>
      </c>
    </row>
    <row r="339" hidden="1">
      <c r="A339" s="61">
        <v>2.0110027E8</v>
      </c>
      <c r="B339" s="54" t="s">
        <v>12084</v>
      </c>
      <c r="C339" s="54" t="s">
        <v>12085</v>
      </c>
    </row>
    <row r="340" hidden="1">
      <c r="A340" s="61">
        <v>2.01701846E8</v>
      </c>
      <c r="B340" s="54" t="s">
        <v>12086</v>
      </c>
      <c r="C340" s="54" t="s">
        <v>11893</v>
      </c>
    </row>
    <row r="341" hidden="1">
      <c r="A341" s="61">
        <v>2.01502029E8</v>
      </c>
      <c r="B341" s="54" t="s">
        <v>12087</v>
      </c>
      <c r="C341" s="54" t="s">
        <v>12088</v>
      </c>
    </row>
    <row r="342" hidden="1">
      <c r="A342" s="61">
        <v>2.02107864E8</v>
      </c>
      <c r="B342" s="54" t="s">
        <v>12089</v>
      </c>
      <c r="C342" s="54" t="s">
        <v>12090</v>
      </c>
    </row>
    <row r="343" hidden="1">
      <c r="A343" s="61">
        <v>2.00401134E8</v>
      </c>
      <c r="B343" s="54" t="s">
        <v>12091</v>
      </c>
      <c r="C343" s="54" t="s">
        <v>12092</v>
      </c>
    </row>
    <row r="344" hidden="1">
      <c r="A344" s="61">
        <v>2.01603656E8</v>
      </c>
      <c r="B344" s="54" t="s">
        <v>12093</v>
      </c>
      <c r="C344" s="54" t="s">
        <v>11997</v>
      </c>
    </row>
    <row r="345" hidden="1">
      <c r="A345" s="61">
        <v>2.01603657E8</v>
      </c>
      <c r="B345" s="54" t="s">
        <v>12094</v>
      </c>
      <c r="C345" s="54" t="s">
        <v>11572</v>
      </c>
    </row>
    <row r="346" hidden="1">
      <c r="A346" s="61">
        <v>2.01602981E8</v>
      </c>
      <c r="B346" s="54" t="s">
        <v>12095</v>
      </c>
      <c r="C346" s="54" t="s">
        <v>12096</v>
      </c>
    </row>
    <row r="347" hidden="1">
      <c r="A347" s="61">
        <v>2.01603588E8</v>
      </c>
      <c r="B347" s="54" t="s">
        <v>12097</v>
      </c>
      <c r="C347" s="54" t="s">
        <v>12098</v>
      </c>
    </row>
    <row r="348" hidden="1">
      <c r="A348" s="61">
        <v>2.01704766E8</v>
      </c>
      <c r="B348" s="54" t="s">
        <v>12099</v>
      </c>
      <c r="C348" s="54" t="s">
        <v>12100</v>
      </c>
    </row>
    <row r="349" hidden="1">
      <c r="A349" s="61">
        <v>1.99702731E8</v>
      </c>
      <c r="B349" s="54" t="s">
        <v>12101</v>
      </c>
      <c r="C349" s="54" t="s">
        <v>12102</v>
      </c>
    </row>
    <row r="350" hidden="1">
      <c r="A350" s="61">
        <v>2.01100271E8</v>
      </c>
      <c r="B350" s="54" t="s">
        <v>12103</v>
      </c>
      <c r="C350" s="54" t="s">
        <v>11835</v>
      </c>
    </row>
    <row r="351" hidden="1">
      <c r="A351" s="61">
        <v>2.01606656E8</v>
      </c>
      <c r="B351" s="54" t="s">
        <v>12104</v>
      </c>
      <c r="C351" s="54" t="s">
        <v>12105</v>
      </c>
    </row>
    <row r="352" hidden="1">
      <c r="A352" s="61">
        <v>2.01101235E8</v>
      </c>
      <c r="B352" s="54" t="s">
        <v>12106</v>
      </c>
      <c r="C352" s="54" t="s">
        <v>12107</v>
      </c>
    </row>
    <row r="353" hidden="1">
      <c r="A353" s="61">
        <v>2.01803266E8</v>
      </c>
      <c r="B353" s="54" t="s">
        <v>12108</v>
      </c>
      <c r="C353" s="54" t="s">
        <v>12109</v>
      </c>
    </row>
    <row r="354" hidden="1">
      <c r="A354" s="61">
        <v>2.01603658E8</v>
      </c>
      <c r="B354" s="54" t="s">
        <v>12110</v>
      </c>
      <c r="C354" s="54" t="s">
        <v>12111</v>
      </c>
    </row>
    <row r="355" hidden="1">
      <c r="A355" s="61">
        <v>2.02103396E8</v>
      </c>
      <c r="B355" s="54" t="s">
        <v>12112</v>
      </c>
      <c r="C355" s="54" t="s">
        <v>12113</v>
      </c>
    </row>
    <row r="356" hidden="1">
      <c r="A356" s="61">
        <v>2.01400139E8</v>
      </c>
      <c r="B356" s="54" t="s">
        <v>12114</v>
      </c>
      <c r="C356" s="54" t="s">
        <v>11835</v>
      </c>
    </row>
    <row r="357" hidden="1">
      <c r="A357" s="61">
        <v>2.00901983E8</v>
      </c>
      <c r="B357" s="54" t="s">
        <v>12115</v>
      </c>
      <c r="C357" s="54" t="s">
        <v>12116</v>
      </c>
    </row>
    <row r="358" hidden="1">
      <c r="A358" s="61">
        <v>2.01705665E8</v>
      </c>
      <c r="B358" s="54" t="s">
        <v>12117</v>
      </c>
      <c r="C358" s="54" t="s">
        <v>12118</v>
      </c>
    </row>
    <row r="359" hidden="1">
      <c r="A359" s="61">
        <v>2.0160366E8</v>
      </c>
      <c r="B359" s="54" t="s">
        <v>12119</v>
      </c>
      <c r="C359" s="54" t="s">
        <v>12120</v>
      </c>
    </row>
    <row r="360" hidden="1">
      <c r="A360" s="61">
        <v>2.01001206E8</v>
      </c>
      <c r="B360" s="54" t="s">
        <v>12121</v>
      </c>
      <c r="C360" s="54" t="s">
        <v>12122</v>
      </c>
    </row>
    <row r="361" hidden="1">
      <c r="A361" s="61">
        <v>2.0140922E8</v>
      </c>
      <c r="B361" s="54" t="s">
        <v>12123</v>
      </c>
      <c r="C361" s="54" t="s">
        <v>12124</v>
      </c>
    </row>
    <row r="362" hidden="1">
      <c r="A362" s="61">
        <v>2.01409221E8</v>
      </c>
      <c r="B362" s="54" t="s">
        <v>12125</v>
      </c>
      <c r="C362" s="54" t="s">
        <v>11541</v>
      </c>
    </row>
    <row r="363" hidden="1">
      <c r="A363" s="61">
        <v>2.01701847E8</v>
      </c>
      <c r="B363" s="54" t="s">
        <v>12126</v>
      </c>
      <c r="C363" s="54" t="s">
        <v>12127</v>
      </c>
    </row>
    <row r="364" hidden="1">
      <c r="A364" s="61">
        <v>2.01906512E8</v>
      </c>
      <c r="B364" s="54" t="s">
        <v>12128</v>
      </c>
      <c r="C364" s="54" t="s">
        <v>12129</v>
      </c>
    </row>
    <row r="365" hidden="1">
      <c r="A365" s="61">
        <v>2.0150203E8</v>
      </c>
      <c r="B365" s="54" t="s">
        <v>12130</v>
      </c>
      <c r="C365" s="54" t="s">
        <v>12131</v>
      </c>
    </row>
    <row r="366" hidden="1">
      <c r="A366" s="61">
        <v>2.01603661E8</v>
      </c>
      <c r="B366" s="54" t="s">
        <v>12132</v>
      </c>
      <c r="C366" s="54" t="s">
        <v>12133</v>
      </c>
    </row>
    <row r="367" hidden="1">
      <c r="A367" s="61">
        <v>2.01512233E8</v>
      </c>
      <c r="B367" s="54" t="s">
        <v>12134</v>
      </c>
      <c r="C367" s="54" t="s">
        <v>12135</v>
      </c>
    </row>
    <row r="368" hidden="1">
      <c r="A368" s="61">
        <v>2.00407964E8</v>
      </c>
      <c r="B368" s="54" t="s">
        <v>12136</v>
      </c>
      <c r="C368" s="54" t="s">
        <v>12137</v>
      </c>
    </row>
    <row r="369" hidden="1">
      <c r="A369" s="61">
        <v>2.0180541E8</v>
      </c>
      <c r="B369" s="54" t="s">
        <v>12138</v>
      </c>
      <c r="C369" s="54" t="s">
        <v>12139</v>
      </c>
    </row>
    <row r="370" hidden="1">
      <c r="A370" s="61">
        <v>1.99802142E8</v>
      </c>
      <c r="B370" s="54" t="s">
        <v>12140</v>
      </c>
      <c r="C370" s="54" t="s">
        <v>12141</v>
      </c>
    </row>
    <row r="371" hidden="1">
      <c r="A371" s="61">
        <v>2.02001495E8</v>
      </c>
      <c r="B371" s="54" t="s">
        <v>12142</v>
      </c>
      <c r="C371" s="54" t="s">
        <v>12143</v>
      </c>
    </row>
    <row r="372" hidden="1">
      <c r="A372" s="61">
        <v>2.02107878E8</v>
      </c>
      <c r="B372" s="54" t="s">
        <v>12144</v>
      </c>
      <c r="C372" s="54" t="s">
        <v>12145</v>
      </c>
    </row>
    <row r="373" hidden="1">
      <c r="A373" s="61">
        <v>2.01100274E8</v>
      </c>
      <c r="B373" s="54" t="s">
        <v>12146</v>
      </c>
      <c r="C373" s="54" t="s">
        <v>12147</v>
      </c>
    </row>
    <row r="374" hidden="1">
      <c r="A374" s="61">
        <v>2.01400305E8</v>
      </c>
      <c r="B374" s="54" t="s">
        <v>12148</v>
      </c>
      <c r="C374" s="54" t="s">
        <v>12149</v>
      </c>
    </row>
    <row r="375" hidden="1">
      <c r="A375" s="61">
        <v>2.0150692E8</v>
      </c>
      <c r="B375" s="54" t="s">
        <v>12150</v>
      </c>
      <c r="C375" s="54" t="s">
        <v>12151</v>
      </c>
    </row>
    <row r="376" hidden="1">
      <c r="A376" s="61">
        <v>2.01506884E8</v>
      </c>
      <c r="B376" s="54" t="s">
        <v>12152</v>
      </c>
      <c r="C376" s="54" t="s">
        <v>12153</v>
      </c>
    </row>
    <row r="377" hidden="1">
      <c r="A377" s="61">
        <v>2.02102938E8</v>
      </c>
      <c r="B377" s="54" t="s">
        <v>12154</v>
      </c>
      <c r="C377" s="54" t="s">
        <v>12155</v>
      </c>
    </row>
    <row r="378" hidden="1">
      <c r="A378" s="61">
        <v>2.01400217E8</v>
      </c>
      <c r="B378" s="54" t="s">
        <v>12156</v>
      </c>
      <c r="C378" s="54" t="s">
        <v>12027</v>
      </c>
    </row>
    <row r="379" hidden="1">
      <c r="A379" s="61">
        <v>2.01708236E8</v>
      </c>
      <c r="B379" s="54" t="s">
        <v>12157</v>
      </c>
      <c r="C379" s="54" t="s">
        <v>11835</v>
      </c>
    </row>
    <row r="380" hidden="1">
      <c r="A380" s="61">
        <v>2.02005537E8</v>
      </c>
      <c r="B380" s="54" t="s">
        <v>12158</v>
      </c>
      <c r="C380" s="54" t="s">
        <v>12159</v>
      </c>
    </row>
    <row r="381" hidden="1">
      <c r="A381" s="61">
        <v>2.01209513E8</v>
      </c>
      <c r="B381" s="54" t="s">
        <v>12160</v>
      </c>
      <c r="C381" s="54" t="s">
        <v>12161</v>
      </c>
    </row>
    <row r="382" hidden="1">
      <c r="A382" s="61">
        <v>2.01410661E8</v>
      </c>
      <c r="B382" s="54" t="s">
        <v>12162</v>
      </c>
      <c r="C382" s="54" t="s">
        <v>12163</v>
      </c>
    </row>
    <row r="383" hidden="1">
      <c r="A383" s="61">
        <v>2.01502031E8</v>
      </c>
      <c r="B383" s="54" t="s">
        <v>12164</v>
      </c>
      <c r="C383" s="54" t="s">
        <v>12165</v>
      </c>
    </row>
    <row r="384" hidden="1">
      <c r="A384" s="61">
        <v>2.01709788E8</v>
      </c>
      <c r="B384" s="54" t="s">
        <v>12166</v>
      </c>
      <c r="C384" s="54" t="s">
        <v>11837</v>
      </c>
    </row>
    <row r="385" hidden="1">
      <c r="A385" s="61">
        <v>2.01709789E8</v>
      </c>
      <c r="B385" s="54" t="s">
        <v>12167</v>
      </c>
      <c r="C385" s="54" t="s">
        <v>12168</v>
      </c>
    </row>
    <row r="386" hidden="1">
      <c r="A386" s="61">
        <v>2.02105106E8</v>
      </c>
      <c r="B386" s="54" t="s">
        <v>12169</v>
      </c>
      <c r="C386" s="54" t="s">
        <v>11784</v>
      </c>
    </row>
    <row r="387" hidden="1">
      <c r="A387" s="61">
        <v>2.01909907E8</v>
      </c>
      <c r="B387" s="54" t="s">
        <v>12170</v>
      </c>
      <c r="C387" s="54" t="s">
        <v>11490</v>
      </c>
    </row>
    <row r="388" hidden="1">
      <c r="A388" s="61">
        <v>2.02000412E8</v>
      </c>
      <c r="B388" s="54" t="s">
        <v>12171</v>
      </c>
      <c r="C388" s="54" t="s">
        <v>12172</v>
      </c>
    </row>
    <row r="389" hidden="1">
      <c r="A389" s="61">
        <v>2.01801413E8</v>
      </c>
      <c r="B389" s="54" t="s">
        <v>12173</v>
      </c>
      <c r="C389" s="54" t="s">
        <v>12174</v>
      </c>
    </row>
    <row r="390" hidden="1">
      <c r="A390" s="61">
        <v>2.01611055E8</v>
      </c>
      <c r="B390" s="54" t="s">
        <v>12175</v>
      </c>
      <c r="C390" s="54" t="s">
        <v>12176</v>
      </c>
    </row>
    <row r="391" hidden="1">
      <c r="A391" s="61">
        <v>2.02107898E8</v>
      </c>
      <c r="B391" s="54" t="s">
        <v>12177</v>
      </c>
      <c r="C391" s="54" t="s">
        <v>12178</v>
      </c>
    </row>
    <row r="392" hidden="1">
      <c r="A392" s="61">
        <v>2.0130025E8</v>
      </c>
      <c r="B392" s="54" t="s">
        <v>12179</v>
      </c>
      <c r="C392" s="54" t="s">
        <v>12180</v>
      </c>
    </row>
    <row r="393" hidden="1">
      <c r="A393" s="61">
        <v>2.02107942E8</v>
      </c>
      <c r="B393" s="54" t="s">
        <v>12181</v>
      </c>
      <c r="C393" s="54" t="s">
        <v>11762</v>
      </c>
    </row>
    <row r="394" hidden="1">
      <c r="A394" s="61">
        <v>2.0170661E8</v>
      </c>
      <c r="B394" s="54" t="s">
        <v>12182</v>
      </c>
      <c r="C394" s="54" t="s">
        <v>12183</v>
      </c>
    </row>
    <row r="395" hidden="1">
      <c r="A395" s="61">
        <v>2.02107899E8</v>
      </c>
      <c r="B395" s="54" t="s">
        <v>12184</v>
      </c>
      <c r="C395" s="54" t="s">
        <v>12185</v>
      </c>
    </row>
    <row r="396" hidden="1">
      <c r="A396" s="61">
        <v>2.01512257E8</v>
      </c>
      <c r="B396" s="54" t="s">
        <v>12184</v>
      </c>
      <c r="C396" s="54" t="s">
        <v>12186</v>
      </c>
    </row>
    <row r="397" hidden="1">
      <c r="A397" s="61">
        <v>2.0140014E8</v>
      </c>
      <c r="B397" s="54" t="s">
        <v>12187</v>
      </c>
      <c r="C397" s="54" t="s">
        <v>12188</v>
      </c>
    </row>
    <row r="398" hidden="1">
      <c r="A398" s="61">
        <v>2.01410008E8</v>
      </c>
      <c r="B398" s="54" t="s">
        <v>12189</v>
      </c>
      <c r="C398" s="54" t="s">
        <v>12190</v>
      </c>
    </row>
    <row r="399" hidden="1">
      <c r="A399" s="61">
        <v>2.01508124E8</v>
      </c>
      <c r="B399" s="54" t="s">
        <v>12191</v>
      </c>
      <c r="C399" s="54" t="s">
        <v>12192</v>
      </c>
    </row>
    <row r="400" hidden="1">
      <c r="A400" s="61">
        <v>2.02103398E8</v>
      </c>
      <c r="B400" s="54" t="s">
        <v>12193</v>
      </c>
      <c r="C400" s="54" t="s">
        <v>12194</v>
      </c>
    </row>
    <row r="401" hidden="1">
      <c r="A401" s="61">
        <v>2.01300119E8</v>
      </c>
      <c r="B401" s="54" t="s">
        <v>12195</v>
      </c>
      <c r="C401" s="54" t="s">
        <v>12196</v>
      </c>
    </row>
    <row r="402" hidden="1">
      <c r="A402" s="61">
        <v>2.01200937E8</v>
      </c>
      <c r="B402" s="54" t="s">
        <v>12197</v>
      </c>
      <c r="C402" s="54" t="s">
        <v>12198</v>
      </c>
    </row>
    <row r="403" hidden="1">
      <c r="A403" s="61">
        <v>2.0170979E8</v>
      </c>
      <c r="B403" s="54" t="s">
        <v>12199</v>
      </c>
      <c r="C403" s="54" t="s">
        <v>12025</v>
      </c>
    </row>
    <row r="404" hidden="1">
      <c r="A404" s="61">
        <v>2.02107931E8</v>
      </c>
      <c r="B404" s="54" t="s">
        <v>12200</v>
      </c>
      <c r="C404" s="54" t="s">
        <v>12172</v>
      </c>
    </row>
    <row r="405" hidden="1">
      <c r="A405" s="61">
        <v>2.01300204E8</v>
      </c>
      <c r="B405" s="54" t="s">
        <v>12201</v>
      </c>
      <c r="C405" s="54" t="s">
        <v>12202</v>
      </c>
    </row>
    <row r="406" hidden="1">
      <c r="A406" s="61">
        <v>2.02102939E8</v>
      </c>
      <c r="B406" s="54" t="s">
        <v>12203</v>
      </c>
      <c r="C406" s="54" t="s">
        <v>12204</v>
      </c>
    </row>
    <row r="407" hidden="1">
      <c r="A407" s="61">
        <v>2.02103334E8</v>
      </c>
      <c r="B407" s="54" t="s">
        <v>12205</v>
      </c>
      <c r="C407" s="54" t="s">
        <v>12206</v>
      </c>
    </row>
    <row r="408" hidden="1">
      <c r="A408" s="61">
        <v>1.99401578E8</v>
      </c>
      <c r="B408" s="54" t="s">
        <v>12207</v>
      </c>
      <c r="C408" s="54" t="s">
        <v>12208</v>
      </c>
    </row>
    <row r="409" hidden="1">
      <c r="A409" s="61">
        <v>2.01909706E8</v>
      </c>
      <c r="B409" s="54" t="s">
        <v>12209</v>
      </c>
      <c r="C409" s="54" t="s">
        <v>12210</v>
      </c>
    </row>
    <row r="410" hidden="1">
      <c r="A410" s="61">
        <v>2.01407335E8</v>
      </c>
      <c r="B410" s="54" t="s">
        <v>12211</v>
      </c>
      <c r="C410" s="54" t="s">
        <v>12212</v>
      </c>
    </row>
    <row r="411" hidden="1">
      <c r="A411" s="61">
        <v>2.01606438E8</v>
      </c>
      <c r="B411" s="54" t="s">
        <v>12213</v>
      </c>
      <c r="C411" s="54" t="s">
        <v>12214</v>
      </c>
    </row>
    <row r="412" hidden="1">
      <c r="A412" s="61">
        <v>2.01900238E8</v>
      </c>
      <c r="B412" s="54" t="s">
        <v>12215</v>
      </c>
      <c r="C412" s="54" t="s">
        <v>12216</v>
      </c>
    </row>
    <row r="413" hidden="1">
      <c r="A413" s="61">
        <v>2.01800226E8</v>
      </c>
      <c r="B413" s="54" t="s">
        <v>12217</v>
      </c>
      <c r="C413" s="54" t="s">
        <v>12218</v>
      </c>
    </row>
    <row r="414" hidden="1">
      <c r="A414" s="61">
        <v>2.01710018E8</v>
      </c>
      <c r="B414" s="54" t="s">
        <v>12217</v>
      </c>
      <c r="C414" s="54" t="s">
        <v>11729</v>
      </c>
    </row>
    <row r="415" hidden="1">
      <c r="A415" s="61">
        <v>2.02000362E8</v>
      </c>
      <c r="B415" s="54" t="s">
        <v>12219</v>
      </c>
      <c r="C415" s="54" t="s">
        <v>12220</v>
      </c>
    </row>
    <row r="416" hidden="1">
      <c r="A416" s="61">
        <v>2.0210294E8</v>
      </c>
      <c r="B416" s="54" t="s">
        <v>12221</v>
      </c>
      <c r="C416" s="54" t="s">
        <v>12222</v>
      </c>
    </row>
    <row r="417" hidden="1">
      <c r="A417" s="61">
        <v>2.02103354E8</v>
      </c>
      <c r="B417" s="54" t="s">
        <v>12223</v>
      </c>
      <c r="C417" s="54" t="s">
        <v>12224</v>
      </c>
    </row>
    <row r="418" hidden="1">
      <c r="A418" s="61">
        <v>2.00703616E8</v>
      </c>
      <c r="B418" s="54" t="s">
        <v>12225</v>
      </c>
      <c r="C418" s="54" t="s">
        <v>12226</v>
      </c>
    </row>
    <row r="419" hidden="1">
      <c r="A419" s="61">
        <v>2.021079E8</v>
      </c>
      <c r="B419" s="54" t="s">
        <v>12227</v>
      </c>
      <c r="C419" s="54" t="s">
        <v>12228</v>
      </c>
    </row>
    <row r="420" hidden="1">
      <c r="A420" s="61">
        <v>2.01410662E8</v>
      </c>
      <c r="B420" s="54" t="s">
        <v>12229</v>
      </c>
      <c r="C420" s="54" t="s">
        <v>11845</v>
      </c>
    </row>
    <row r="421" hidden="1">
      <c r="A421" s="61">
        <v>2.01700684E8</v>
      </c>
      <c r="B421" s="54" t="s">
        <v>12230</v>
      </c>
      <c r="C421" s="54" t="s">
        <v>12231</v>
      </c>
    </row>
    <row r="422" hidden="1">
      <c r="A422" s="61">
        <v>2.01800227E8</v>
      </c>
      <c r="B422" s="54" t="s">
        <v>12232</v>
      </c>
      <c r="C422" s="54" t="s">
        <v>12233</v>
      </c>
    </row>
    <row r="423" hidden="1">
      <c r="A423" s="61">
        <v>2.01900595E8</v>
      </c>
      <c r="B423" s="54" t="s">
        <v>12234</v>
      </c>
      <c r="C423" s="54" t="s">
        <v>12235</v>
      </c>
    </row>
    <row r="424" hidden="1">
      <c r="A424" s="61">
        <v>2.02103414E8</v>
      </c>
      <c r="B424" s="54" t="s">
        <v>12236</v>
      </c>
      <c r="C424" s="54" t="s">
        <v>12237</v>
      </c>
    </row>
    <row r="425" hidden="1">
      <c r="A425" s="61">
        <v>2.01603663E8</v>
      </c>
      <c r="B425" s="54" t="s">
        <v>12238</v>
      </c>
      <c r="C425" s="54" t="s">
        <v>11650</v>
      </c>
    </row>
    <row r="426" hidden="1">
      <c r="A426" s="61">
        <v>2.0150487E8</v>
      </c>
      <c r="B426" s="54" t="s">
        <v>12239</v>
      </c>
      <c r="C426" s="54" t="s">
        <v>12240</v>
      </c>
    </row>
    <row r="427" hidden="1">
      <c r="A427" s="61">
        <v>2.00908809E8</v>
      </c>
      <c r="B427" s="54" t="s">
        <v>12241</v>
      </c>
      <c r="C427" s="54" t="s">
        <v>12242</v>
      </c>
    </row>
    <row r="428" hidden="1">
      <c r="A428" s="61">
        <v>2.01806409E8</v>
      </c>
      <c r="B428" s="54" t="s">
        <v>12243</v>
      </c>
      <c r="C428" s="54" t="s">
        <v>12244</v>
      </c>
    </row>
    <row r="429" hidden="1">
      <c r="A429" s="61">
        <v>2.01101239E8</v>
      </c>
      <c r="B429" s="54" t="s">
        <v>12245</v>
      </c>
      <c r="C429" s="54" t="s">
        <v>12246</v>
      </c>
    </row>
    <row r="430" hidden="1">
      <c r="A430" s="61">
        <v>2.02104056E8</v>
      </c>
      <c r="B430" s="54" t="s">
        <v>12247</v>
      </c>
      <c r="C430" s="54" t="s">
        <v>12248</v>
      </c>
    </row>
    <row r="431" hidden="1">
      <c r="A431" s="61">
        <v>2.02107901E8</v>
      </c>
      <c r="B431" s="54" t="s">
        <v>12249</v>
      </c>
      <c r="C431" s="54" t="s">
        <v>12250</v>
      </c>
    </row>
    <row r="432" hidden="1">
      <c r="A432" s="61">
        <v>2.02009793E8</v>
      </c>
      <c r="B432" s="54" t="s">
        <v>12251</v>
      </c>
      <c r="C432" s="54" t="s">
        <v>12252</v>
      </c>
    </row>
    <row r="433" hidden="1">
      <c r="A433" s="61">
        <v>2.02000383E8</v>
      </c>
      <c r="B433" s="54" t="s">
        <v>12253</v>
      </c>
      <c r="C433" s="54" t="s">
        <v>12254</v>
      </c>
    </row>
    <row r="434" hidden="1">
      <c r="A434" s="61">
        <v>2.01508127E8</v>
      </c>
      <c r="B434" s="54" t="s">
        <v>12255</v>
      </c>
      <c r="C434" s="54" t="s">
        <v>12256</v>
      </c>
    </row>
    <row r="435" hidden="1">
      <c r="A435" s="61">
        <v>2.01701848E8</v>
      </c>
      <c r="B435" s="54" t="s">
        <v>12257</v>
      </c>
      <c r="C435" s="54" t="s">
        <v>12258</v>
      </c>
    </row>
    <row r="436" hidden="1">
      <c r="A436" s="61">
        <v>2.02000394E8</v>
      </c>
      <c r="B436" s="54" t="s">
        <v>12259</v>
      </c>
      <c r="C436" s="54" t="s">
        <v>12260</v>
      </c>
    </row>
    <row r="437" hidden="1">
      <c r="A437" s="61">
        <v>2.01700685E8</v>
      </c>
      <c r="B437" s="54" t="s">
        <v>12261</v>
      </c>
      <c r="C437" s="54" t="s">
        <v>12262</v>
      </c>
    </row>
    <row r="438" hidden="1">
      <c r="A438" s="61">
        <v>2.01003362E8</v>
      </c>
      <c r="B438" s="54" t="s">
        <v>12263</v>
      </c>
      <c r="C438" s="54" t="s">
        <v>12264</v>
      </c>
    </row>
    <row r="439" hidden="1">
      <c r="A439" s="61">
        <v>2.01603664E8</v>
      </c>
      <c r="B439" s="54" t="s">
        <v>12263</v>
      </c>
      <c r="C439" s="54" t="s">
        <v>12265</v>
      </c>
    </row>
    <row r="440" hidden="1">
      <c r="A440" s="61">
        <v>2.01800228E8</v>
      </c>
      <c r="B440" s="54" t="s">
        <v>12266</v>
      </c>
      <c r="C440" s="54" t="s">
        <v>12267</v>
      </c>
    </row>
    <row r="441" hidden="1">
      <c r="A441" s="61">
        <v>2.01809482E8</v>
      </c>
      <c r="B441" s="54" t="s">
        <v>12268</v>
      </c>
      <c r="C441" s="54" t="s">
        <v>12107</v>
      </c>
    </row>
    <row r="442" hidden="1">
      <c r="A442" s="61">
        <v>2.01612057E8</v>
      </c>
      <c r="B442" s="54" t="s">
        <v>12269</v>
      </c>
      <c r="C442" s="54" t="s">
        <v>12270</v>
      </c>
    </row>
    <row r="443" hidden="1">
      <c r="A443" s="61">
        <v>2.0130957E8</v>
      </c>
      <c r="B443" s="54" t="s">
        <v>12271</v>
      </c>
      <c r="C443" s="54" t="s">
        <v>12272</v>
      </c>
    </row>
    <row r="444" hidden="1">
      <c r="A444" s="61">
        <v>2.01902169E8</v>
      </c>
      <c r="B444" s="54" t="s">
        <v>12271</v>
      </c>
      <c r="C444" s="54" t="s">
        <v>12273</v>
      </c>
    </row>
    <row r="445" hidden="1">
      <c r="A445" s="61">
        <v>2.01400307E8</v>
      </c>
      <c r="B445" s="54" t="s">
        <v>12274</v>
      </c>
      <c r="C445" s="54" t="s">
        <v>12275</v>
      </c>
    </row>
    <row r="446" hidden="1">
      <c r="A446" s="61">
        <v>2.00401184E8</v>
      </c>
      <c r="B446" s="54" t="s">
        <v>12276</v>
      </c>
      <c r="C446" s="54" t="s">
        <v>12277</v>
      </c>
    </row>
    <row r="447" hidden="1">
      <c r="A447" s="61">
        <v>2.01809282E8</v>
      </c>
      <c r="B447" s="54" t="s">
        <v>12278</v>
      </c>
      <c r="C447" s="54" t="s">
        <v>12279</v>
      </c>
    </row>
    <row r="448" hidden="1">
      <c r="A448" s="61">
        <v>2.01603665E8</v>
      </c>
      <c r="B448" s="54" t="s">
        <v>12280</v>
      </c>
      <c r="C448" s="54" t="s">
        <v>12281</v>
      </c>
    </row>
    <row r="449" hidden="1">
      <c r="A449" s="61">
        <v>2.01700686E8</v>
      </c>
      <c r="B449" s="54" t="s">
        <v>12282</v>
      </c>
      <c r="C449" s="54" t="s">
        <v>12283</v>
      </c>
    </row>
    <row r="450" hidden="1">
      <c r="A450" s="61">
        <v>2.00407974E8</v>
      </c>
      <c r="B450" s="54" t="s">
        <v>12284</v>
      </c>
      <c r="C450" s="54" t="s">
        <v>12285</v>
      </c>
    </row>
    <row r="451" hidden="1">
      <c r="A451" s="61">
        <v>2.02001496E8</v>
      </c>
      <c r="B451" s="54" t="s">
        <v>12286</v>
      </c>
      <c r="C451" s="54" t="s">
        <v>11813</v>
      </c>
    </row>
    <row r="452" hidden="1">
      <c r="A452" s="61">
        <v>2.01604386E8</v>
      </c>
      <c r="B452" s="54" t="s">
        <v>12287</v>
      </c>
      <c r="C452" s="54" t="s">
        <v>12288</v>
      </c>
    </row>
    <row r="453" hidden="1">
      <c r="A453" s="61">
        <v>2.01508128E8</v>
      </c>
      <c r="B453" s="54" t="s">
        <v>12289</v>
      </c>
      <c r="C453" s="54" t="s">
        <v>12290</v>
      </c>
    </row>
    <row r="454" hidden="1">
      <c r="A454" s="61">
        <v>2.0190217E8</v>
      </c>
      <c r="B454" s="54" t="s">
        <v>12291</v>
      </c>
      <c r="C454" s="54" t="s">
        <v>12292</v>
      </c>
    </row>
    <row r="455" hidden="1">
      <c r="A455" s="61">
        <v>2.01400221E8</v>
      </c>
      <c r="B455" s="54" t="s">
        <v>12293</v>
      </c>
      <c r="C455" s="54" t="s">
        <v>12294</v>
      </c>
    </row>
    <row r="456" hidden="1">
      <c r="A456" s="61">
        <v>2.01400222E8</v>
      </c>
      <c r="B456" s="54" t="s">
        <v>12295</v>
      </c>
      <c r="C456" s="54" t="s">
        <v>12296</v>
      </c>
    </row>
    <row r="457" hidden="1">
      <c r="A457" s="61">
        <v>2.00703425E8</v>
      </c>
      <c r="B457" s="54" t="s">
        <v>12297</v>
      </c>
      <c r="C457" s="54" t="s">
        <v>12298</v>
      </c>
    </row>
    <row r="458" hidden="1">
      <c r="A458" s="61">
        <v>2.0180023E8</v>
      </c>
      <c r="B458" s="54" t="s">
        <v>12299</v>
      </c>
      <c r="C458" s="54" t="s">
        <v>12300</v>
      </c>
    </row>
    <row r="459" hidden="1">
      <c r="A459" s="61">
        <v>2.02000421E8</v>
      </c>
      <c r="B459" s="54" t="s">
        <v>12301</v>
      </c>
      <c r="C459" s="54" t="s">
        <v>12302</v>
      </c>
    </row>
    <row r="460" hidden="1">
      <c r="A460" s="61">
        <v>2.01801405E8</v>
      </c>
      <c r="B460" s="54" t="s">
        <v>12303</v>
      </c>
      <c r="C460" s="54" t="s">
        <v>11835</v>
      </c>
    </row>
    <row r="461" hidden="1">
      <c r="A461" s="61">
        <v>2.01900606E8</v>
      </c>
      <c r="B461" s="54" t="s">
        <v>12304</v>
      </c>
      <c r="C461" s="54" t="s">
        <v>12305</v>
      </c>
    </row>
    <row r="462" hidden="1">
      <c r="A462" s="61">
        <v>2.01010096E8</v>
      </c>
      <c r="B462" s="54" t="s">
        <v>12306</v>
      </c>
      <c r="C462" s="54" t="s">
        <v>12307</v>
      </c>
    </row>
    <row r="463" hidden="1">
      <c r="A463" s="61">
        <v>2.01709795E8</v>
      </c>
      <c r="B463" s="54" t="s">
        <v>12308</v>
      </c>
      <c r="C463" s="54" t="s">
        <v>12309</v>
      </c>
    </row>
    <row r="464" hidden="1">
      <c r="A464" s="61">
        <v>2.00901784E8</v>
      </c>
      <c r="B464" s="54" t="s">
        <v>12310</v>
      </c>
      <c r="C464" s="54" t="s">
        <v>11835</v>
      </c>
    </row>
    <row r="465" hidden="1">
      <c r="A465" s="61">
        <v>1.99201658E8</v>
      </c>
      <c r="B465" s="54" t="s">
        <v>12311</v>
      </c>
      <c r="C465" s="54" t="s">
        <v>12312</v>
      </c>
    </row>
    <row r="466" hidden="1">
      <c r="A466" s="61">
        <v>2.01508105E8</v>
      </c>
      <c r="B466" s="54" t="s">
        <v>12313</v>
      </c>
      <c r="C466" s="54" t="s">
        <v>12314</v>
      </c>
    </row>
    <row r="467" hidden="1">
      <c r="A467" s="61">
        <v>2.01603667E8</v>
      </c>
      <c r="B467" s="54" t="s">
        <v>12315</v>
      </c>
      <c r="C467" s="54" t="s">
        <v>12316</v>
      </c>
    </row>
    <row r="468" hidden="1">
      <c r="A468" s="61">
        <v>2.00301033E8</v>
      </c>
      <c r="B468" s="54" t="s">
        <v>12315</v>
      </c>
      <c r="C468" s="54" t="s">
        <v>12317</v>
      </c>
    </row>
    <row r="469" hidden="1">
      <c r="A469" s="61">
        <v>2.00401194E8</v>
      </c>
      <c r="B469" s="54" t="s">
        <v>12318</v>
      </c>
      <c r="C469" s="54" t="s">
        <v>12319</v>
      </c>
    </row>
    <row r="470" hidden="1">
      <c r="A470" s="61">
        <v>2.01705696E8</v>
      </c>
      <c r="B470" s="54" t="s">
        <v>12320</v>
      </c>
      <c r="C470" s="54" t="s">
        <v>12321</v>
      </c>
    </row>
    <row r="471" hidden="1">
      <c r="A471" s="61">
        <v>2.004012E8</v>
      </c>
      <c r="B471" s="54" t="s">
        <v>12322</v>
      </c>
      <c r="C471" s="54" t="s">
        <v>12323</v>
      </c>
    </row>
    <row r="472" hidden="1">
      <c r="A472" s="61">
        <v>2.01612058E8</v>
      </c>
      <c r="B472" s="54" t="s">
        <v>12324</v>
      </c>
      <c r="C472" s="54" t="s">
        <v>11987</v>
      </c>
    </row>
    <row r="473" hidden="1">
      <c r="A473" s="61">
        <v>2.01400142E8</v>
      </c>
      <c r="B473" s="54" t="s">
        <v>12325</v>
      </c>
      <c r="C473" s="54" t="s">
        <v>12326</v>
      </c>
    </row>
    <row r="474" hidden="1">
      <c r="A474" s="61">
        <v>2.01110762E8</v>
      </c>
      <c r="B474" s="54" t="s">
        <v>12327</v>
      </c>
      <c r="C474" s="54" t="s">
        <v>12328</v>
      </c>
    </row>
    <row r="475" hidden="1">
      <c r="A475" s="61">
        <v>2.01705695E8</v>
      </c>
      <c r="B475" s="54" t="s">
        <v>12329</v>
      </c>
      <c r="C475" s="54" t="s">
        <v>12330</v>
      </c>
    </row>
    <row r="476" hidden="1">
      <c r="A476" s="61">
        <v>2.01603669E8</v>
      </c>
      <c r="B476" s="54" t="s">
        <v>12331</v>
      </c>
      <c r="C476" s="54" t="s">
        <v>12332</v>
      </c>
    </row>
    <row r="477" hidden="1">
      <c r="A477" s="61">
        <v>2.01010164E8</v>
      </c>
      <c r="B477" s="54" t="s">
        <v>12333</v>
      </c>
      <c r="C477" s="54" t="s">
        <v>12124</v>
      </c>
    </row>
    <row r="478" hidden="1">
      <c r="A478" s="61">
        <v>2.0100136E8</v>
      </c>
      <c r="B478" s="54" t="s">
        <v>12334</v>
      </c>
      <c r="C478" s="54" t="s">
        <v>12335</v>
      </c>
    </row>
    <row r="479" hidden="1">
      <c r="A479" s="61">
        <v>2.01700687E8</v>
      </c>
      <c r="B479" s="54" t="s">
        <v>12336</v>
      </c>
      <c r="C479" s="54" t="s">
        <v>12337</v>
      </c>
    </row>
    <row r="480" hidden="1">
      <c r="A480" s="61">
        <v>2.02107912E8</v>
      </c>
      <c r="B480" s="54" t="s">
        <v>12338</v>
      </c>
      <c r="C480" s="54" t="s">
        <v>12339</v>
      </c>
    </row>
    <row r="481" hidden="1">
      <c r="A481" s="61">
        <v>2.02000413E8</v>
      </c>
      <c r="B481" s="54" t="s">
        <v>12340</v>
      </c>
      <c r="C481" s="54" t="s">
        <v>12341</v>
      </c>
    </row>
    <row r="482" hidden="1">
      <c r="A482" s="61">
        <v>2.0210645E8</v>
      </c>
      <c r="B482" s="54" t="s">
        <v>12342</v>
      </c>
      <c r="C482" s="54" t="s">
        <v>12343</v>
      </c>
    </row>
    <row r="483" hidden="1">
      <c r="A483" s="61">
        <v>2.01400226E8</v>
      </c>
      <c r="B483" s="54" t="s">
        <v>12344</v>
      </c>
      <c r="C483" s="54" t="s">
        <v>12345</v>
      </c>
    </row>
    <row r="484" hidden="1">
      <c r="A484" s="61">
        <v>2.01612398E8</v>
      </c>
      <c r="B484" s="54" t="s">
        <v>12346</v>
      </c>
      <c r="C484" s="54" t="s">
        <v>12347</v>
      </c>
    </row>
    <row r="485" hidden="1">
      <c r="A485" s="61">
        <v>2.0160367E8</v>
      </c>
      <c r="B485" s="54" t="s">
        <v>12348</v>
      </c>
      <c r="C485" s="54" t="s">
        <v>12349</v>
      </c>
    </row>
    <row r="486" hidden="1">
      <c r="A486" s="61">
        <v>2.01309571E8</v>
      </c>
      <c r="B486" s="54" t="s">
        <v>12350</v>
      </c>
      <c r="C486" s="54" t="s">
        <v>12351</v>
      </c>
    </row>
    <row r="487" hidden="1">
      <c r="A487" s="61">
        <v>2.0180202E8</v>
      </c>
      <c r="B487" s="54" t="s">
        <v>12352</v>
      </c>
      <c r="C487" s="54" t="s">
        <v>12353</v>
      </c>
    </row>
    <row r="488" hidden="1">
      <c r="A488" s="61">
        <v>2.01508129E8</v>
      </c>
      <c r="B488" s="54" t="s">
        <v>12354</v>
      </c>
      <c r="C488" s="54" t="s">
        <v>12355</v>
      </c>
    </row>
    <row r="489" hidden="1">
      <c r="A489" s="61">
        <v>2.01300509E8</v>
      </c>
      <c r="B489" s="54" t="s">
        <v>12356</v>
      </c>
      <c r="C489" s="54" t="s">
        <v>11634</v>
      </c>
    </row>
    <row r="490" hidden="1">
      <c r="A490" s="61">
        <v>2.0120698E8</v>
      </c>
      <c r="B490" s="54" t="s">
        <v>12357</v>
      </c>
      <c r="C490" s="54" t="s">
        <v>12358</v>
      </c>
    </row>
    <row r="491" hidden="1">
      <c r="A491" s="61">
        <v>2.0111078E8</v>
      </c>
      <c r="B491" s="54" t="s">
        <v>12359</v>
      </c>
      <c r="C491" s="54" t="s">
        <v>12360</v>
      </c>
    </row>
    <row r="492" hidden="1">
      <c r="A492" s="61">
        <v>2.01205121E8</v>
      </c>
      <c r="B492" s="54" t="s">
        <v>12361</v>
      </c>
      <c r="C492" s="54" t="s">
        <v>12362</v>
      </c>
    </row>
    <row r="493" hidden="1">
      <c r="A493" s="61">
        <v>2.00300961E8</v>
      </c>
      <c r="B493" s="54" t="s">
        <v>12363</v>
      </c>
      <c r="C493" s="54" t="s">
        <v>12364</v>
      </c>
    </row>
    <row r="494" hidden="1">
      <c r="A494" s="61">
        <v>2.02107879E8</v>
      </c>
      <c r="B494" s="54" t="s">
        <v>12365</v>
      </c>
      <c r="C494" s="54" t="s">
        <v>12366</v>
      </c>
    </row>
    <row r="495" hidden="1">
      <c r="A495" s="61">
        <v>2.01200449E8</v>
      </c>
      <c r="B495" s="54" t="s">
        <v>12367</v>
      </c>
      <c r="C495" s="54" t="s">
        <v>12368</v>
      </c>
    </row>
    <row r="496" hidden="1">
      <c r="A496" s="61">
        <v>2.01502032E8</v>
      </c>
      <c r="B496" s="54" t="s">
        <v>12369</v>
      </c>
      <c r="C496" s="54" t="s">
        <v>12370</v>
      </c>
    </row>
    <row r="497" hidden="1">
      <c r="A497" s="61">
        <v>2.01607869E8</v>
      </c>
      <c r="B497" s="54" t="s">
        <v>12371</v>
      </c>
      <c r="C497" s="54" t="s">
        <v>12372</v>
      </c>
    </row>
    <row r="498" hidden="1">
      <c r="A498" s="61">
        <v>2.02009769E8</v>
      </c>
      <c r="B498" s="54" t="s">
        <v>12373</v>
      </c>
      <c r="C498" s="54" t="s">
        <v>12178</v>
      </c>
    </row>
    <row r="499" hidden="1">
      <c r="A499" s="61">
        <v>2.01300252E8</v>
      </c>
      <c r="B499" s="54" t="s">
        <v>12374</v>
      </c>
      <c r="C499" s="54" t="s">
        <v>12375</v>
      </c>
    </row>
    <row r="500" hidden="1">
      <c r="A500" s="61">
        <v>2.01800232E8</v>
      </c>
      <c r="B500" s="54" t="s">
        <v>12376</v>
      </c>
      <c r="C500" s="54" t="s">
        <v>11505</v>
      </c>
    </row>
    <row r="501" hidden="1">
      <c r="A501" s="61">
        <v>2.01408567E8</v>
      </c>
      <c r="B501" s="54" t="s">
        <v>12377</v>
      </c>
      <c r="C501" s="54" t="s">
        <v>12378</v>
      </c>
    </row>
    <row r="502" hidden="1">
      <c r="A502" s="61">
        <v>2.01603672E8</v>
      </c>
      <c r="B502" s="54" t="s">
        <v>12379</v>
      </c>
      <c r="C502" s="54" t="s">
        <v>12380</v>
      </c>
    </row>
    <row r="503" hidden="1">
      <c r="A503" s="61">
        <v>2.0190575E8</v>
      </c>
      <c r="B503" s="54" t="s">
        <v>12381</v>
      </c>
      <c r="C503" s="54" t="s">
        <v>12382</v>
      </c>
    </row>
    <row r="504" hidden="1">
      <c r="A504" s="61">
        <v>2.0160787E8</v>
      </c>
      <c r="B504" s="54" t="s">
        <v>12383</v>
      </c>
      <c r="C504" s="54" t="s">
        <v>12384</v>
      </c>
    </row>
    <row r="505" hidden="1">
      <c r="A505" s="61">
        <v>2.02005539E8</v>
      </c>
      <c r="B505" s="54" t="s">
        <v>12385</v>
      </c>
      <c r="C505" s="54" t="s">
        <v>12386</v>
      </c>
    </row>
    <row r="506" hidden="1">
      <c r="A506" s="61">
        <v>2.00707094E8</v>
      </c>
      <c r="B506" s="54" t="s">
        <v>12387</v>
      </c>
      <c r="C506" s="54" t="s">
        <v>12388</v>
      </c>
    </row>
    <row r="507" hidden="1">
      <c r="A507" s="61">
        <v>2.01400227E8</v>
      </c>
      <c r="B507" s="54" t="s">
        <v>12389</v>
      </c>
      <c r="C507" s="54" t="s">
        <v>12390</v>
      </c>
    </row>
    <row r="508" hidden="1">
      <c r="A508" s="61">
        <v>2.02102942E8</v>
      </c>
      <c r="B508" s="54" t="s">
        <v>12391</v>
      </c>
      <c r="C508" s="54" t="s">
        <v>12392</v>
      </c>
    </row>
    <row r="509" hidden="1">
      <c r="A509" s="61">
        <v>2.01607871E8</v>
      </c>
      <c r="B509" s="54" t="s">
        <v>12393</v>
      </c>
      <c r="C509" s="54" t="s">
        <v>12394</v>
      </c>
    </row>
    <row r="510" hidden="1">
      <c r="A510" s="61">
        <v>2.02009758E8</v>
      </c>
      <c r="B510" s="54" t="s">
        <v>12395</v>
      </c>
      <c r="C510" s="54" t="s">
        <v>12396</v>
      </c>
    </row>
    <row r="511" hidden="1">
      <c r="A511" s="61">
        <v>2.01300253E8</v>
      </c>
      <c r="B511" s="54" t="s">
        <v>12397</v>
      </c>
      <c r="C511" s="54" t="s">
        <v>12398</v>
      </c>
    </row>
    <row r="512" hidden="1">
      <c r="A512" s="61">
        <v>1.99201584E8</v>
      </c>
      <c r="B512" s="54" t="s">
        <v>12399</v>
      </c>
      <c r="C512" s="54" t="s">
        <v>12400</v>
      </c>
    </row>
    <row r="513" hidden="1">
      <c r="A513" s="61">
        <v>2.01603673E8</v>
      </c>
      <c r="B513" s="54" t="s">
        <v>12401</v>
      </c>
      <c r="C513" s="54" t="s">
        <v>11691</v>
      </c>
    </row>
    <row r="514" hidden="1">
      <c r="A514" s="61">
        <v>2.01900814E8</v>
      </c>
      <c r="B514" s="54" t="s">
        <v>12402</v>
      </c>
      <c r="C514" s="54" t="s">
        <v>12403</v>
      </c>
    </row>
    <row r="515" hidden="1">
      <c r="A515" s="61">
        <v>2.01300981E8</v>
      </c>
      <c r="B515" s="54" t="s">
        <v>12404</v>
      </c>
      <c r="C515" s="54" t="s">
        <v>12405</v>
      </c>
    </row>
    <row r="516" hidden="1">
      <c r="A516" s="61">
        <v>2.01800025E8</v>
      </c>
      <c r="B516" s="54" t="s">
        <v>12406</v>
      </c>
      <c r="C516" s="54" t="s">
        <v>12407</v>
      </c>
    </row>
    <row r="517" hidden="1">
      <c r="A517" s="61">
        <v>2.01700688E8</v>
      </c>
      <c r="B517" s="54" t="s">
        <v>12408</v>
      </c>
      <c r="C517" s="54" t="s">
        <v>12409</v>
      </c>
    </row>
    <row r="518" hidden="1">
      <c r="A518" s="61">
        <v>2.01602983E8</v>
      </c>
      <c r="B518" s="54" t="s">
        <v>12410</v>
      </c>
      <c r="C518" s="54" t="s">
        <v>11674</v>
      </c>
    </row>
    <row r="519" hidden="1">
      <c r="A519" s="61">
        <v>2.01701849E8</v>
      </c>
      <c r="B519" s="54" t="s">
        <v>12411</v>
      </c>
      <c r="C519" s="54" t="s">
        <v>12412</v>
      </c>
    </row>
    <row r="520" hidden="1">
      <c r="A520" s="61">
        <v>2.01209104E8</v>
      </c>
      <c r="B520" s="54" t="s">
        <v>12413</v>
      </c>
      <c r="C520" s="54" t="s">
        <v>12414</v>
      </c>
    </row>
    <row r="521" hidden="1">
      <c r="A521" s="61">
        <v>2.02107944E8</v>
      </c>
      <c r="B521" s="54" t="s">
        <v>12415</v>
      </c>
      <c r="C521" s="54" t="s">
        <v>11845</v>
      </c>
    </row>
    <row r="522" hidden="1">
      <c r="A522" s="61">
        <v>2.01200986E8</v>
      </c>
      <c r="B522" s="54" t="s">
        <v>12416</v>
      </c>
      <c r="C522" s="54" t="s">
        <v>12341</v>
      </c>
    </row>
    <row r="523" hidden="1">
      <c r="A523" s="61">
        <v>2.02000105E8</v>
      </c>
      <c r="B523" s="54" t="s">
        <v>12417</v>
      </c>
      <c r="C523" s="54" t="s">
        <v>11845</v>
      </c>
    </row>
    <row r="524" hidden="1">
      <c r="A524" s="61">
        <v>2.01409223E8</v>
      </c>
      <c r="B524" s="54" t="s">
        <v>12418</v>
      </c>
      <c r="C524" s="54" t="s">
        <v>12419</v>
      </c>
    </row>
    <row r="525" hidden="1">
      <c r="A525" s="61">
        <v>2.0160644E8</v>
      </c>
      <c r="B525" s="54" t="s">
        <v>12418</v>
      </c>
      <c r="C525" s="54" t="s">
        <v>12420</v>
      </c>
    </row>
    <row r="526" hidden="1">
      <c r="A526" s="61">
        <v>2.01809483E8</v>
      </c>
      <c r="B526" s="54" t="s">
        <v>12421</v>
      </c>
      <c r="C526" s="54" t="s">
        <v>12422</v>
      </c>
    </row>
    <row r="527" hidden="1">
      <c r="A527" s="61">
        <v>2.01800233E8</v>
      </c>
      <c r="B527" s="54" t="s">
        <v>12423</v>
      </c>
      <c r="C527" s="54" t="s">
        <v>12424</v>
      </c>
    </row>
    <row r="528" hidden="1">
      <c r="A528" s="61">
        <v>2.01602984E8</v>
      </c>
      <c r="B528" s="54" t="s">
        <v>12425</v>
      </c>
      <c r="C528" s="54" t="s">
        <v>12426</v>
      </c>
    </row>
    <row r="529" hidden="1">
      <c r="A529" s="61">
        <v>2.02000366E8</v>
      </c>
      <c r="B529" s="54" t="s">
        <v>12427</v>
      </c>
      <c r="C529" s="54" t="s">
        <v>12428</v>
      </c>
    </row>
    <row r="530" hidden="1">
      <c r="A530" s="61">
        <v>2.01106255E8</v>
      </c>
      <c r="B530" s="54" t="s">
        <v>12429</v>
      </c>
      <c r="C530" s="54" t="s">
        <v>12375</v>
      </c>
    </row>
    <row r="531" hidden="1">
      <c r="A531" s="61">
        <v>2.01300255E8</v>
      </c>
      <c r="B531" s="54" t="s">
        <v>12430</v>
      </c>
      <c r="C531" s="54" t="s">
        <v>12431</v>
      </c>
    </row>
    <row r="532" hidden="1">
      <c r="A532" s="61">
        <v>2.01200411E8</v>
      </c>
      <c r="B532" s="54" t="s">
        <v>12432</v>
      </c>
      <c r="C532" s="54" t="s">
        <v>11525</v>
      </c>
    </row>
    <row r="533" hidden="1">
      <c r="A533" s="61">
        <v>2.01900612E8</v>
      </c>
      <c r="B533" s="54" t="s">
        <v>12433</v>
      </c>
      <c r="C533" s="54" t="s">
        <v>12434</v>
      </c>
    </row>
    <row r="534" hidden="1">
      <c r="A534" s="61">
        <v>2.02000384E8</v>
      </c>
      <c r="B534" s="54" t="s">
        <v>12435</v>
      </c>
      <c r="C534" s="54" t="s">
        <v>12436</v>
      </c>
    </row>
    <row r="535" hidden="1">
      <c r="A535" s="61">
        <v>2.01606441E8</v>
      </c>
      <c r="B535" s="54" t="s">
        <v>12437</v>
      </c>
      <c r="C535" s="54" t="s">
        <v>12438</v>
      </c>
    </row>
    <row r="536" hidden="1">
      <c r="A536" s="61">
        <v>2.00401237E8</v>
      </c>
      <c r="B536" s="54" t="s">
        <v>12439</v>
      </c>
      <c r="C536" s="54" t="s">
        <v>12440</v>
      </c>
    </row>
    <row r="537" hidden="1">
      <c r="A537" s="61">
        <v>2.019047E8</v>
      </c>
      <c r="B537" s="54" t="s">
        <v>12441</v>
      </c>
      <c r="C537" s="54" t="s">
        <v>11963</v>
      </c>
    </row>
    <row r="538" hidden="1">
      <c r="A538" s="61">
        <v>2.01809283E8</v>
      </c>
      <c r="B538" s="54" t="s">
        <v>12441</v>
      </c>
      <c r="C538" s="54" t="s">
        <v>12442</v>
      </c>
    </row>
    <row r="539" hidden="1">
      <c r="A539" s="61">
        <v>2.01200508E8</v>
      </c>
      <c r="B539" s="54" t="s">
        <v>12443</v>
      </c>
      <c r="C539" s="54" t="s">
        <v>12444</v>
      </c>
    </row>
    <row r="540" hidden="1">
      <c r="A540" s="61">
        <v>2.02102943E8</v>
      </c>
      <c r="B540" s="54" t="s">
        <v>12445</v>
      </c>
      <c r="C540" s="54" t="s">
        <v>12446</v>
      </c>
    </row>
    <row r="541" hidden="1">
      <c r="A541" s="61">
        <v>2.01607872E8</v>
      </c>
      <c r="B541" s="54" t="s">
        <v>12447</v>
      </c>
      <c r="C541" s="54" t="s">
        <v>12448</v>
      </c>
    </row>
    <row r="542" hidden="1">
      <c r="A542" s="61">
        <v>2.0210334E8</v>
      </c>
      <c r="B542" s="54" t="s">
        <v>12449</v>
      </c>
      <c r="C542" s="54" t="s">
        <v>12450</v>
      </c>
    </row>
    <row r="543" hidden="1">
      <c r="A543" s="61">
        <v>2.01800234E8</v>
      </c>
      <c r="B543" s="54" t="s">
        <v>12451</v>
      </c>
      <c r="C543" s="54" t="s">
        <v>12452</v>
      </c>
    </row>
    <row r="544" hidden="1">
      <c r="A544" s="61">
        <v>2.02103349E8</v>
      </c>
      <c r="B544" s="54" t="s">
        <v>12453</v>
      </c>
      <c r="C544" s="54" t="s">
        <v>12454</v>
      </c>
    </row>
    <row r="545" hidden="1">
      <c r="A545" s="61">
        <v>2.01801383E8</v>
      </c>
      <c r="B545" s="54" t="s">
        <v>12455</v>
      </c>
      <c r="C545" s="54" t="s">
        <v>12456</v>
      </c>
    </row>
    <row r="546" hidden="1">
      <c r="A546" s="61">
        <v>2.01900598E8</v>
      </c>
      <c r="B546" s="54" t="s">
        <v>12457</v>
      </c>
      <c r="C546" s="54" t="s">
        <v>12458</v>
      </c>
    </row>
    <row r="547" hidden="1">
      <c r="A547" s="61">
        <v>2.01209073E8</v>
      </c>
      <c r="B547" s="54" t="s">
        <v>12459</v>
      </c>
      <c r="C547" s="54" t="s">
        <v>12460</v>
      </c>
    </row>
    <row r="548" hidden="1">
      <c r="A548" s="61">
        <v>2.0080118E8</v>
      </c>
      <c r="B548" s="54" t="s">
        <v>12461</v>
      </c>
      <c r="C548" s="54" t="s">
        <v>12462</v>
      </c>
    </row>
    <row r="549" hidden="1">
      <c r="A549" s="61">
        <v>2.01309552E8</v>
      </c>
      <c r="B549" s="54" t="s">
        <v>12463</v>
      </c>
      <c r="C549" s="54" t="s">
        <v>12055</v>
      </c>
    </row>
    <row r="550" hidden="1">
      <c r="A550" s="61">
        <v>2.00901787E8</v>
      </c>
      <c r="B550" s="54" t="s">
        <v>12464</v>
      </c>
      <c r="C550" s="54" t="s">
        <v>12465</v>
      </c>
    </row>
    <row r="551" hidden="1">
      <c r="A551" s="61">
        <v>2.01409356E8</v>
      </c>
      <c r="B551" s="54" t="s">
        <v>12466</v>
      </c>
      <c r="C551" s="54" t="s">
        <v>11991</v>
      </c>
    </row>
    <row r="552" hidden="1">
      <c r="A552" s="61">
        <v>1.99601623E8</v>
      </c>
      <c r="B552" s="54" t="s">
        <v>12467</v>
      </c>
      <c r="C552" s="54" t="s">
        <v>12468</v>
      </c>
    </row>
    <row r="553" hidden="1">
      <c r="A553" s="61">
        <v>2.02005541E8</v>
      </c>
      <c r="B553" s="54" t="s">
        <v>12469</v>
      </c>
      <c r="C553" s="54" t="s">
        <v>12470</v>
      </c>
    </row>
    <row r="554" hidden="1">
      <c r="A554" s="61">
        <v>2.01400145E8</v>
      </c>
      <c r="B554" s="54" t="s">
        <v>12471</v>
      </c>
      <c r="C554" s="54" t="s">
        <v>12472</v>
      </c>
    </row>
    <row r="555" hidden="1">
      <c r="A555" s="61">
        <v>2.01300121E8</v>
      </c>
      <c r="B555" s="54" t="s">
        <v>12473</v>
      </c>
      <c r="C555" s="54" t="s">
        <v>12474</v>
      </c>
    </row>
    <row r="556" hidden="1">
      <c r="A556" s="61">
        <v>2.0150813E8</v>
      </c>
      <c r="B556" s="54" t="s">
        <v>12473</v>
      </c>
      <c r="C556" s="54" t="s">
        <v>12475</v>
      </c>
    </row>
    <row r="557" hidden="1">
      <c r="A557" s="61">
        <v>2.02000099E8</v>
      </c>
      <c r="B557" s="54" t="s">
        <v>12473</v>
      </c>
      <c r="C557" s="54" t="s">
        <v>12476</v>
      </c>
    </row>
    <row r="558" hidden="1">
      <c r="A558" s="61">
        <v>2.01800235E8</v>
      </c>
      <c r="B558" s="54" t="s">
        <v>12477</v>
      </c>
      <c r="C558" s="54" t="s">
        <v>12478</v>
      </c>
    </row>
    <row r="559" hidden="1">
      <c r="A559" s="61">
        <v>2.00903892E8</v>
      </c>
      <c r="B559" s="54" t="s">
        <v>12479</v>
      </c>
      <c r="C559" s="54" t="s">
        <v>12480</v>
      </c>
    </row>
    <row r="560" hidden="1">
      <c r="A560" s="61">
        <v>2.0210335E8</v>
      </c>
      <c r="B560" s="54" t="s">
        <v>12481</v>
      </c>
      <c r="C560" s="54" t="s">
        <v>12482</v>
      </c>
    </row>
    <row r="561" hidden="1">
      <c r="A561" s="61">
        <v>2.01909712E8</v>
      </c>
      <c r="B561" s="54" t="s">
        <v>12483</v>
      </c>
      <c r="C561" s="54" t="s">
        <v>12484</v>
      </c>
    </row>
    <row r="562" hidden="1">
      <c r="A562" s="61">
        <v>2.01602985E8</v>
      </c>
      <c r="B562" s="54" t="s">
        <v>12485</v>
      </c>
      <c r="C562" s="54" t="s">
        <v>12486</v>
      </c>
    </row>
    <row r="563" hidden="1">
      <c r="A563" s="61">
        <v>2.02005542E8</v>
      </c>
      <c r="B563" s="54" t="s">
        <v>12487</v>
      </c>
      <c r="C563" s="54" t="s">
        <v>12488</v>
      </c>
    </row>
    <row r="564" hidden="1">
      <c r="A564" s="61">
        <v>2.0090307E8</v>
      </c>
      <c r="B564" s="54" t="s">
        <v>12489</v>
      </c>
      <c r="C564" s="54" t="s">
        <v>12490</v>
      </c>
    </row>
    <row r="565" hidden="1">
      <c r="A565" s="61">
        <v>2.01700691E8</v>
      </c>
      <c r="B565" s="54" t="s">
        <v>12491</v>
      </c>
      <c r="C565" s="54" t="s">
        <v>12492</v>
      </c>
    </row>
    <row r="566" hidden="1">
      <c r="A566" s="61">
        <v>2.01400229E8</v>
      </c>
      <c r="B566" s="54" t="s">
        <v>12493</v>
      </c>
      <c r="C566" s="54" t="s">
        <v>12494</v>
      </c>
    </row>
    <row r="567" hidden="1">
      <c r="A567" s="61">
        <v>2.01607647E8</v>
      </c>
      <c r="B567" s="54" t="s">
        <v>12495</v>
      </c>
      <c r="C567" s="54" t="s">
        <v>12388</v>
      </c>
    </row>
    <row r="568" hidden="1">
      <c r="A568" s="61">
        <v>2.01106256E8</v>
      </c>
      <c r="B568" s="54" t="s">
        <v>12496</v>
      </c>
      <c r="C568" s="54" t="s">
        <v>11897</v>
      </c>
    </row>
    <row r="569" hidden="1">
      <c r="A569" s="61">
        <v>2.01801817E8</v>
      </c>
      <c r="B569" s="54" t="s">
        <v>12497</v>
      </c>
      <c r="C569" s="54" t="s">
        <v>12498</v>
      </c>
    </row>
    <row r="570" hidden="1">
      <c r="A570" s="61">
        <v>2.01508131E8</v>
      </c>
      <c r="B570" s="54" t="s">
        <v>12499</v>
      </c>
      <c r="C570" s="54" t="s">
        <v>11705</v>
      </c>
    </row>
    <row r="571" hidden="1">
      <c r="A571" s="61">
        <v>2.02000375E8</v>
      </c>
      <c r="B571" s="54" t="s">
        <v>12500</v>
      </c>
      <c r="C571" s="54" t="s">
        <v>12501</v>
      </c>
    </row>
    <row r="572" hidden="1">
      <c r="A572" s="61">
        <v>2.02103407E8</v>
      </c>
      <c r="B572" s="54" t="s">
        <v>12502</v>
      </c>
      <c r="C572" s="54" t="s">
        <v>12503</v>
      </c>
    </row>
    <row r="573" hidden="1">
      <c r="A573" s="61">
        <v>2.01310463E8</v>
      </c>
      <c r="B573" s="54" t="s">
        <v>12504</v>
      </c>
      <c r="C573" s="54" t="s">
        <v>12505</v>
      </c>
    </row>
    <row r="574" hidden="1">
      <c r="A574" s="61">
        <v>2.00708503E8</v>
      </c>
      <c r="B574" s="54" t="s">
        <v>12506</v>
      </c>
      <c r="C574" s="54" t="s">
        <v>12507</v>
      </c>
    </row>
    <row r="575" hidden="1">
      <c r="A575" s="61">
        <v>2.01904735E8</v>
      </c>
      <c r="B575" s="54" t="s">
        <v>12508</v>
      </c>
      <c r="C575" s="54" t="s">
        <v>12509</v>
      </c>
    </row>
    <row r="576" hidden="1">
      <c r="A576" s="61">
        <v>2.01801363E8</v>
      </c>
      <c r="B576" s="54" t="s">
        <v>12510</v>
      </c>
      <c r="C576" s="54" t="s">
        <v>12434</v>
      </c>
    </row>
    <row r="577" hidden="1">
      <c r="A577" s="61">
        <v>2.01000818E8</v>
      </c>
      <c r="B577" s="54" t="s">
        <v>12511</v>
      </c>
      <c r="C577" s="54" t="s">
        <v>12512</v>
      </c>
    </row>
    <row r="578" hidden="1">
      <c r="A578" s="61">
        <v>2.01904736E8</v>
      </c>
      <c r="B578" s="54" t="s">
        <v>12513</v>
      </c>
      <c r="C578" s="54" t="s">
        <v>12514</v>
      </c>
    </row>
    <row r="579" hidden="1">
      <c r="A579" s="61">
        <v>2.0170185E8</v>
      </c>
      <c r="B579" s="54" t="s">
        <v>12513</v>
      </c>
      <c r="C579" s="54" t="s">
        <v>12420</v>
      </c>
    </row>
    <row r="580" hidden="1">
      <c r="A580" s="61">
        <v>2.01900573E8</v>
      </c>
      <c r="B580" s="54" t="s">
        <v>12515</v>
      </c>
      <c r="C580" s="54" t="s">
        <v>12516</v>
      </c>
    </row>
    <row r="581" hidden="1">
      <c r="A581" s="61">
        <v>2.01400396E8</v>
      </c>
      <c r="B581" s="54" t="s">
        <v>12515</v>
      </c>
      <c r="C581" s="54" t="s">
        <v>12517</v>
      </c>
    </row>
    <row r="582" hidden="1">
      <c r="A582" s="61">
        <v>2.01603675E8</v>
      </c>
      <c r="B582" s="54" t="s">
        <v>12518</v>
      </c>
      <c r="C582" s="54" t="s">
        <v>12519</v>
      </c>
    </row>
    <row r="583" hidden="1">
      <c r="A583" s="61">
        <v>2.02106491E8</v>
      </c>
      <c r="B583" s="54" t="s">
        <v>12520</v>
      </c>
      <c r="C583" s="54" t="s">
        <v>12521</v>
      </c>
    </row>
    <row r="584" hidden="1">
      <c r="A584" s="61">
        <v>2.02105107E8</v>
      </c>
      <c r="B584" s="54" t="s">
        <v>12522</v>
      </c>
      <c r="C584" s="54" t="s">
        <v>11991</v>
      </c>
    </row>
    <row r="585" hidden="1">
      <c r="A585" s="61">
        <v>2.02103392E8</v>
      </c>
      <c r="B585" s="54" t="s">
        <v>12523</v>
      </c>
      <c r="C585" s="54" t="s">
        <v>12524</v>
      </c>
    </row>
    <row r="586" hidden="1">
      <c r="A586" s="61">
        <v>2.01409225E8</v>
      </c>
      <c r="B586" s="54" t="s">
        <v>12523</v>
      </c>
      <c r="C586" s="54" t="s">
        <v>11634</v>
      </c>
    </row>
    <row r="587" hidden="1">
      <c r="A587" s="61">
        <v>2.01410896E8</v>
      </c>
      <c r="B587" s="54" t="s">
        <v>12525</v>
      </c>
      <c r="C587" s="54" t="s">
        <v>12526</v>
      </c>
    </row>
    <row r="588" hidden="1">
      <c r="A588" s="61">
        <v>2.01100386E8</v>
      </c>
      <c r="B588" s="54" t="s">
        <v>12527</v>
      </c>
      <c r="C588" s="54" t="s">
        <v>12462</v>
      </c>
    </row>
    <row r="589" hidden="1">
      <c r="A589" s="61">
        <v>2.01606443E8</v>
      </c>
      <c r="B589" s="54" t="s">
        <v>12528</v>
      </c>
      <c r="C589" s="54" t="s">
        <v>12529</v>
      </c>
    </row>
    <row r="590" hidden="1">
      <c r="A590" s="61">
        <v>2.00710199E8</v>
      </c>
      <c r="B590" s="54" t="s">
        <v>12530</v>
      </c>
      <c r="C590" s="54" t="s">
        <v>12531</v>
      </c>
    </row>
    <row r="591" hidden="1">
      <c r="A591" s="61">
        <v>2.01604626E8</v>
      </c>
      <c r="B591" s="54" t="s">
        <v>12532</v>
      </c>
      <c r="C591" s="54" t="s">
        <v>12533</v>
      </c>
    </row>
    <row r="592" hidden="1">
      <c r="A592" s="61">
        <v>2.01902172E8</v>
      </c>
      <c r="B592" s="54" t="s">
        <v>12534</v>
      </c>
      <c r="C592" s="54" t="s">
        <v>11510</v>
      </c>
    </row>
    <row r="593" hidden="1">
      <c r="A593" s="61">
        <v>2.02001498E8</v>
      </c>
      <c r="B593" s="54" t="s">
        <v>12535</v>
      </c>
      <c r="C593" s="54" t="s">
        <v>12536</v>
      </c>
    </row>
    <row r="594" hidden="1">
      <c r="A594" s="61">
        <v>2.01505682E8</v>
      </c>
      <c r="B594" s="54" t="s">
        <v>12537</v>
      </c>
      <c r="C594" s="54" t="s">
        <v>12538</v>
      </c>
    </row>
    <row r="595" hidden="1">
      <c r="A595" s="61">
        <v>2.01904721E8</v>
      </c>
      <c r="B595" s="54" t="s">
        <v>12539</v>
      </c>
      <c r="C595" s="54" t="s">
        <v>12540</v>
      </c>
    </row>
    <row r="596" hidden="1">
      <c r="A596" s="61">
        <v>2.0100562E8</v>
      </c>
      <c r="B596" s="54" t="s">
        <v>12541</v>
      </c>
      <c r="C596" s="54" t="s">
        <v>12542</v>
      </c>
    </row>
    <row r="597" hidden="1">
      <c r="A597" s="61">
        <v>2.01800236E8</v>
      </c>
      <c r="B597" s="54" t="s">
        <v>12543</v>
      </c>
      <c r="C597" s="54" t="s">
        <v>12544</v>
      </c>
    </row>
    <row r="598" hidden="1">
      <c r="A598" s="61">
        <v>2.01704767E8</v>
      </c>
      <c r="B598" s="54" t="s">
        <v>12545</v>
      </c>
      <c r="C598" s="54" t="s">
        <v>12546</v>
      </c>
    </row>
    <row r="599" hidden="1">
      <c r="A599" s="61">
        <v>2.01612081E8</v>
      </c>
      <c r="B599" s="54" t="s">
        <v>12547</v>
      </c>
      <c r="C599" s="54" t="s">
        <v>12129</v>
      </c>
    </row>
    <row r="600" hidden="1">
      <c r="A600" s="61">
        <v>2.01900218E8</v>
      </c>
      <c r="B600" s="54" t="s">
        <v>12548</v>
      </c>
      <c r="C600" s="54" t="s">
        <v>12549</v>
      </c>
    </row>
    <row r="601" hidden="1">
      <c r="A601" s="61">
        <v>2.02107903E8</v>
      </c>
      <c r="B601" s="54" t="s">
        <v>12550</v>
      </c>
      <c r="C601" s="54" t="s">
        <v>12551</v>
      </c>
    </row>
    <row r="602" hidden="1">
      <c r="A602" s="61">
        <v>2.01704768E8</v>
      </c>
      <c r="B602" s="54" t="s">
        <v>12552</v>
      </c>
      <c r="C602" s="54" t="s">
        <v>12553</v>
      </c>
    </row>
    <row r="603" hidden="1">
      <c r="A603" s="61">
        <v>2.01410664E8</v>
      </c>
      <c r="B603" s="54" t="s">
        <v>12554</v>
      </c>
      <c r="C603" s="54" t="s">
        <v>12555</v>
      </c>
    </row>
    <row r="604" hidden="1">
      <c r="A604" s="61">
        <v>2.01505545E8</v>
      </c>
      <c r="B604" s="54" t="s">
        <v>12556</v>
      </c>
      <c r="C604" s="54" t="s">
        <v>12557</v>
      </c>
    </row>
    <row r="605" hidden="1">
      <c r="A605" s="61">
        <v>2.01307218E8</v>
      </c>
      <c r="B605" s="54" t="s">
        <v>12558</v>
      </c>
      <c r="C605" s="54" t="s">
        <v>11634</v>
      </c>
    </row>
    <row r="606" hidden="1">
      <c r="A606" s="61">
        <v>2.00800912E8</v>
      </c>
      <c r="B606" s="54" t="s">
        <v>12559</v>
      </c>
      <c r="C606" s="54" t="s">
        <v>11662</v>
      </c>
    </row>
    <row r="607" hidden="1">
      <c r="A607" s="61">
        <v>2.02107923E8</v>
      </c>
      <c r="B607" s="54" t="s">
        <v>12560</v>
      </c>
      <c r="C607" s="54" t="s">
        <v>12314</v>
      </c>
    </row>
    <row r="608" hidden="1">
      <c r="A608" s="61">
        <v>2.01508133E8</v>
      </c>
      <c r="B608" s="54" t="s">
        <v>12561</v>
      </c>
      <c r="C608" s="54" t="s">
        <v>12562</v>
      </c>
    </row>
    <row r="609" hidden="1">
      <c r="A609" s="61">
        <v>2.02107865E8</v>
      </c>
      <c r="B609" s="54" t="s">
        <v>12563</v>
      </c>
      <c r="C609" s="54" t="s">
        <v>11961</v>
      </c>
    </row>
    <row r="610" hidden="1">
      <c r="A610" s="61">
        <v>2.01506864E8</v>
      </c>
      <c r="B610" s="54" t="s">
        <v>12564</v>
      </c>
      <c r="C610" s="54" t="s">
        <v>12565</v>
      </c>
    </row>
    <row r="611" hidden="1">
      <c r="A611" s="61">
        <v>2.02001499E8</v>
      </c>
      <c r="B611" s="54" t="s">
        <v>12566</v>
      </c>
      <c r="C611" s="54" t="s">
        <v>12567</v>
      </c>
    </row>
    <row r="612" hidden="1">
      <c r="A612" s="61">
        <v>2.01603679E8</v>
      </c>
      <c r="B612" s="54" t="s">
        <v>12568</v>
      </c>
      <c r="C612" s="54" t="s">
        <v>11909</v>
      </c>
    </row>
    <row r="613" hidden="1">
      <c r="A613" s="61">
        <v>2.00708763E8</v>
      </c>
      <c r="B613" s="54" t="s">
        <v>12569</v>
      </c>
      <c r="C613" s="54" t="s">
        <v>12490</v>
      </c>
    </row>
    <row r="614" hidden="1">
      <c r="A614" s="61">
        <v>2.00902877E8</v>
      </c>
      <c r="B614" s="54" t="s">
        <v>12570</v>
      </c>
      <c r="C614" s="54" t="s">
        <v>12571</v>
      </c>
    </row>
    <row r="615" hidden="1">
      <c r="A615" s="61">
        <v>2.01110825E8</v>
      </c>
      <c r="B615" s="54" t="s">
        <v>12572</v>
      </c>
      <c r="C615" s="54" t="s">
        <v>12573</v>
      </c>
    </row>
    <row r="616" hidden="1">
      <c r="A616" s="61">
        <v>2.01704769E8</v>
      </c>
      <c r="B616" s="54" t="s">
        <v>12574</v>
      </c>
      <c r="C616" s="54" t="s">
        <v>12565</v>
      </c>
    </row>
    <row r="617" hidden="1">
      <c r="A617" s="61">
        <v>2.01603589E8</v>
      </c>
      <c r="B617" s="54" t="s">
        <v>12575</v>
      </c>
      <c r="C617" s="54" t="s">
        <v>12576</v>
      </c>
    </row>
    <row r="618" hidden="1">
      <c r="A618" s="61">
        <v>2.020015E8</v>
      </c>
      <c r="B618" s="54" t="s">
        <v>12577</v>
      </c>
      <c r="C618" s="54" t="s">
        <v>12578</v>
      </c>
    </row>
    <row r="619" hidden="1">
      <c r="A619" s="61">
        <v>2.00606126E8</v>
      </c>
      <c r="B619" s="54" t="s">
        <v>12579</v>
      </c>
      <c r="C619" s="54" t="s">
        <v>12580</v>
      </c>
    </row>
    <row r="620" hidden="1">
      <c r="A620" s="61">
        <v>2.01506873E8</v>
      </c>
      <c r="B620" s="54" t="s">
        <v>12581</v>
      </c>
      <c r="C620" s="54" t="s">
        <v>12582</v>
      </c>
    </row>
    <row r="621" hidden="1">
      <c r="A621" s="61">
        <v>2.01209044E8</v>
      </c>
      <c r="B621" s="54" t="s">
        <v>12583</v>
      </c>
      <c r="C621" s="54" t="s">
        <v>12584</v>
      </c>
    </row>
    <row r="622" hidden="1">
      <c r="A622" s="61">
        <v>2.02001501E8</v>
      </c>
      <c r="B622" s="54" t="s">
        <v>12585</v>
      </c>
      <c r="C622" s="54" t="s">
        <v>11762</v>
      </c>
    </row>
    <row r="623" hidden="1">
      <c r="A623" s="61">
        <v>2.01504875E8</v>
      </c>
      <c r="B623" s="54" t="s">
        <v>12586</v>
      </c>
      <c r="C623" s="54" t="s">
        <v>12587</v>
      </c>
    </row>
    <row r="624" hidden="1">
      <c r="A624" s="61">
        <v>2.01508134E8</v>
      </c>
      <c r="B624" s="54" t="s">
        <v>12588</v>
      </c>
      <c r="C624" s="54" t="s">
        <v>12589</v>
      </c>
    </row>
    <row r="625" hidden="1">
      <c r="A625" s="61">
        <v>2.01905753E8</v>
      </c>
      <c r="B625" s="54" t="s">
        <v>12590</v>
      </c>
      <c r="C625" s="54" t="s">
        <v>12591</v>
      </c>
    </row>
    <row r="626" hidden="1">
      <c r="A626" s="61">
        <v>1.99700197E8</v>
      </c>
      <c r="B626" s="54" t="s">
        <v>12592</v>
      </c>
      <c r="C626" s="54" t="s">
        <v>12593</v>
      </c>
    </row>
    <row r="627" hidden="1">
      <c r="A627" s="61">
        <v>2.01400148E8</v>
      </c>
      <c r="B627" s="54" t="s">
        <v>12594</v>
      </c>
      <c r="C627" s="54" t="s">
        <v>12595</v>
      </c>
    </row>
    <row r="628" hidden="1">
      <c r="A628" s="61">
        <v>2.01709783E8</v>
      </c>
      <c r="B628" s="54" t="s">
        <v>12596</v>
      </c>
      <c r="C628" s="54" t="s">
        <v>11512</v>
      </c>
    </row>
    <row r="629" hidden="1">
      <c r="A629" s="61">
        <v>2.02105109E8</v>
      </c>
      <c r="B629" s="54" t="s">
        <v>12596</v>
      </c>
      <c r="C629" s="54" t="s">
        <v>12597</v>
      </c>
    </row>
    <row r="630" hidden="1">
      <c r="A630" s="61">
        <v>2.01001362E8</v>
      </c>
      <c r="B630" s="54" t="s">
        <v>12598</v>
      </c>
      <c r="C630" s="54" t="s">
        <v>12599</v>
      </c>
    </row>
    <row r="631" hidden="1">
      <c r="A631" s="61">
        <v>2.01009991E8</v>
      </c>
      <c r="B631" s="54" t="s">
        <v>12600</v>
      </c>
      <c r="C631" s="54" t="s">
        <v>12601</v>
      </c>
    </row>
    <row r="632" hidden="1">
      <c r="A632" s="61">
        <v>2.02009784E8</v>
      </c>
      <c r="B632" s="54" t="s">
        <v>12602</v>
      </c>
      <c r="C632" s="54" t="s">
        <v>12603</v>
      </c>
    </row>
    <row r="633" hidden="1">
      <c r="A633" s="61">
        <v>2.01700694E8</v>
      </c>
      <c r="B633" s="54" t="s">
        <v>12604</v>
      </c>
      <c r="C633" s="54" t="s">
        <v>12605</v>
      </c>
    </row>
    <row r="634" hidden="1">
      <c r="A634" s="61">
        <v>2.01502096E8</v>
      </c>
      <c r="B634" s="54" t="s">
        <v>12606</v>
      </c>
      <c r="C634" s="54" t="s">
        <v>12607</v>
      </c>
    </row>
    <row r="635" hidden="1">
      <c r="A635" s="61">
        <v>2.01904673E8</v>
      </c>
      <c r="B635" s="54" t="s">
        <v>12608</v>
      </c>
      <c r="C635" s="54" t="s">
        <v>12609</v>
      </c>
    </row>
    <row r="636" hidden="1">
      <c r="A636" s="61">
        <v>2.0060758E8</v>
      </c>
      <c r="B636" s="54" t="s">
        <v>12610</v>
      </c>
      <c r="C636" s="54" t="s">
        <v>12611</v>
      </c>
    </row>
    <row r="637" hidden="1">
      <c r="A637" s="61">
        <v>2.01800237E8</v>
      </c>
      <c r="B637" s="54" t="s">
        <v>12612</v>
      </c>
      <c r="C637" s="54" t="s">
        <v>12613</v>
      </c>
    </row>
    <row r="638" hidden="1">
      <c r="A638" s="61">
        <v>2.01400149E8</v>
      </c>
      <c r="B638" s="54" t="s">
        <v>12614</v>
      </c>
      <c r="C638" s="54" t="s">
        <v>12615</v>
      </c>
    </row>
    <row r="639" hidden="1">
      <c r="A639" s="61">
        <v>2.02005543E8</v>
      </c>
      <c r="B639" s="54" t="s">
        <v>12616</v>
      </c>
      <c r="C639" s="54" t="s">
        <v>12617</v>
      </c>
    </row>
    <row r="640" hidden="1">
      <c r="A640" s="61">
        <v>2.00401283E8</v>
      </c>
      <c r="B640" s="54" t="s">
        <v>12618</v>
      </c>
      <c r="C640" s="54" t="s">
        <v>12619</v>
      </c>
    </row>
    <row r="641" hidden="1">
      <c r="A641" s="61">
        <v>2.02103314E8</v>
      </c>
      <c r="B641" s="54" t="s">
        <v>12620</v>
      </c>
      <c r="C641" s="54" t="s">
        <v>12621</v>
      </c>
    </row>
    <row r="642" hidden="1">
      <c r="A642" s="61">
        <v>2.01300122E8</v>
      </c>
      <c r="B642" s="54" t="s">
        <v>12622</v>
      </c>
      <c r="C642" s="54" t="s">
        <v>12623</v>
      </c>
    </row>
    <row r="643" hidden="1">
      <c r="A643" s="61">
        <v>2.01005621E8</v>
      </c>
      <c r="B643" s="54" t="s">
        <v>12624</v>
      </c>
      <c r="C643" s="54" t="s">
        <v>12625</v>
      </c>
    </row>
    <row r="644" hidden="1">
      <c r="A644" s="61">
        <v>2.01504876E8</v>
      </c>
      <c r="B644" s="54" t="s">
        <v>12626</v>
      </c>
      <c r="C644" s="54" t="s">
        <v>12627</v>
      </c>
    </row>
    <row r="645" hidden="1">
      <c r="A645" s="61">
        <v>2.02009794E8</v>
      </c>
      <c r="B645" s="54" t="s">
        <v>12628</v>
      </c>
      <c r="C645" s="54" t="s">
        <v>11525</v>
      </c>
    </row>
    <row r="646" hidden="1">
      <c r="A646" s="61">
        <v>2.01606353E8</v>
      </c>
      <c r="B646" s="54" t="s">
        <v>12629</v>
      </c>
      <c r="C646" s="54" t="s">
        <v>12630</v>
      </c>
    </row>
    <row r="647" hidden="1">
      <c r="A647" s="61">
        <v>2.00703661E8</v>
      </c>
      <c r="B647" s="54" t="s">
        <v>12631</v>
      </c>
      <c r="C647" s="54" t="s">
        <v>12632</v>
      </c>
    </row>
    <row r="648" hidden="1">
      <c r="A648" s="61">
        <v>2.00401291E8</v>
      </c>
      <c r="B648" s="54" t="s">
        <v>12633</v>
      </c>
      <c r="C648" s="54" t="s">
        <v>12634</v>
      </c>
    </row>
    <row r="649" hidden="1">
      <c r="A649" s="61">
        <v>2.00703032E8</v>
      </c>
      <c r="B649" s="54" t="s">
        <v>12635</v>
      </c>
      <c r="C649" s="54" t="s">
        <v>12636</v>
      </c>
    </row>
    <row r="650" hidden="1">
      <c r="A650" s="61">
        <v>2.0120055E8</v>
      </c>
      <c r="B650" s="54" t="s">
        <v>12637</v>
      </c>
      <c r="C650" s="54" t="s">
        <v>12638</v>
      </c>
    </row>
    <row r="651" hidden="1">
      <c r="A651" s="61">
        <v>2.02107904E8</v>
      </c>
      <c r="B651" s="54" t="s">
        <v>12639</v>
      </c>
      <c r="C651" s="54" t="s">
        <v>12640</v>
      </c>
    </row>
    <row r="652" hidden="1">
      <c r="A652" s="61">
        <v>2.01009992E8</v>
      </c>
      <c r="B652" s="54" t="s">
        <v>12639</v>
      </c>
      <c r="C652" s="54" t="s">
        <v>12641</v>
      </c>
    </row>
    <row r="653" hidden="1">
      <c r="A653" s="61">
        <v>2.01300123E8</v>
      </c>
      <c r="B653" s="54" t="s">
        <v>12642</v>
      </c>
      <c r="C653" s="54" t="s">
        <v>12643</v>
      </c>
    </row>
    <row r="654" hidden="1">
      <c r="A654" s="61">
        <v>2.01603549E8</v>
      </c>
      <c r="B654" s="54" t="s">
        <v>12644</v>
      </c>
      <c r="C654" s="54" t="s">
        <v>12645</v>
      </c>
    </row>
    <row r="655" hidden="1">
      <c r="A655" s="61">
        <v>2.01200551E8</v>
      </c>
      <c r="B655" s="54" t="s">
        <v>12646</v>
      </c>
      <c r="C655" s="54" t="s">
        <v>11845</v>
      </c>
    </row>
    <row r="656" hidden="1">
      <c r="A656" s="61">
        <v>2.01200511E8</v>
      </c>
      <c r="B656" s="54" t="s">
        <v>12647</v>
      </c>
      <c r="C656" s="54" t="s">
        <v>12202</v>
      </c>
    </row>
    <row r="657" hidden="1">
      <c r="A657" s="61">
        <v>2.01001364E8</v>
      </c>
      <c r="B657" s="54" t="s">
        <v>12648</v>
      </c>
      <c r="C657" s="54" t="s">
        <v>12649</v>
      </c>
    </row>
    <row r="658" hidden="1">
      <c r="A658" s="61">
        <v>2.02000416E8</v>
      </c>
      <c r="B658" s="54" t="s">
        <v>12650</v>
      </c>
      <c r="C658" s="54" t="s">
        <v>12651</v>
      </c>
    </row>
    <row r="659" hidden="1">
      <c r="A659" s="61">
        <v>2.01003187E8</v>
      </c>
      <c r="B659" s="54" t="s">
        <v>12652</v>
      </c>
      <c r="C659" s="54" t="s">
        <v>12653</v>
      </c>
    </row>
    <row r="660" hidden="1">
      <c r="A660" s="61">
        <v>2.01900068E8</v>
      </c>
      <c r="B660" s="54" t="s">
        <v>12654</v>
      </c>
      <c r="C660" s="54" t="s">
        <v>12655</v>
      </c>
    </row>
    <row r="661" hidden="1">
      <c r="A661" s="61">
        <v>2.0160359E8</v>
      </c>
      <c r="B661" s="54" t="s">
        <v>12656</v>
      </c>
      <c r="C661" s="54" t="s">
        <v>12657</v>
      </c>
    </row>
    <row r="662" hidden="1">
      <c r="A662" s="61">
        <v>2.00808251E8</v>
      </c>
      <c r="B662" s="54" t="s">
        <v>12658</v>
      </c>
      <c r="C662" s="54" t="s">
        <v>12659</v>
      </c>
    </row>
    <row r="663" hidden="1">
      <c r="A663" s="61">
        <v>2.01512235E8</v>
      </c>
      <c r="B663" s="54" t="s">
        <v>12660</v>
      </c>
      <c r="C663" s="54" t="s">
        <v>11845</v>
      </c>
    </row>
    <row r="664" hidden="1">
      <c r="A664" s="61">
        <v>2.02002148E8</v>
      </c>
      <c r="B664" s="54" t="s">
        <v>12661</v>
      </c>
      <c r="C664" s="54" t="s">
        <v>12662</v>
      </c>
    </row>
    <row r="665" hidden="1">
      <c r="A665" s="61">
        <v>2.00703124E8</v>
      </c>
      <c r="B665" s="54" t="s">
        <v>12663</v>
      </c>
      <c r="C665" s="54" t="s">
        <v>12664</v>
      </c>
    </row>
    <row r="666" hidden="1">
      <c r="A666" s="61">
        <v>2.01904674E8</v>
      </c>
      <c r="B666" s="54" t="s">
        <v>12665</v>
      </c>
      <c r="C666" s="54" t="s">
        <v>12666</v>
      </c>
    </row>
    <row r="667" hidden="1">
      <c r="A667" s="61">
        <v>2.01800239E8</v>
      </c>
      <c r="B667" s="54" t="s">
        <v>12667</v>
      </c>
      <c r="C667" s="54" t="s">
        <v>12668</v>
      </c>
    </row>
    <row r="668" hidden="1">
      <c r="A668" s="61">
        <v>2.01603025E8</v>
      </c>
      <c r="B668" s="54" t="s">
        <v>12669</v>
      </c>
      <c r="C668" s="54" t="s">
        <v>11845</v>
      </c>
    </row>
    <row r="669" hidden="1">
      <c r="A669" s="61">
        <v>2.01106259E8</v>
      </c>
      <c r="B669" s="54" t="s">
        <v>12670</v>
      </c>
      <c r="C669" s="54" t="s">
        <v>12671</v>
      </c>
    </row>
    <row r="670" hidden="1">
      <c r="A670" s="61">
        <v>2.02103393E8</v>
      </c>
      <c r="B670" s="54" t="s">
        <v>12672</v>
      </c>
      <c r="C670" s="54" t="s">
        <v>12673</v>
      </c>
    </row>
    <row r="671" hidden="1">
      <c r="A671" s="61">
        <v>2.01606445E8</v>
      </c>
      <c r="B671" s="54" t="s">
        <v>12674</v>
      </c>
      <c r="C671" s="54" t="s">
        <v>12129</v>
      </c>
    </row>
    <row r="672" hidden="1">
      <c r="A672" s="61">
        <v>2.01506877E8</v>
      </c>
      <c r="B672" s="54" t="s">
        <v>12675</v>
      </c>
      <c r="C672" s="54" t="s">
        <v>12676</v>
      </c>
    </row>
    <row r="673" hidden="1">
      <c r="A673" s="61">
        <v>2.02103351E8</v>
      </c>
      <c r="B673" s="54" t="s">
        <v>12677</v>
      </c>
      <c r="C673" s="54" t="s">
        <v>12678</v>
      </c>
    </row>
    <row r="674" hidden="1">
      <c r="A674" s="61">
        <v>2.01809484E8</v>
      </c>
      <c r="B674" s="54" t="s">
        <v>12679</v>
      </c>
      <c r="C674" s="54" t="s">
        <v>12680</v>
      </c>
    </row>
    <row r="675" hidden="1">
      <c r="A675" s="61">
        <v>2.02001503E8</v>
      </c>
      <c r="B675" s="54" t="s">
        <v>12681</v>
      </c>
      <c r="C675" s="54" t="s">
        <v>12682</v>
      </c>
    </row>
    <row r="676" hidden="1">
      <c r="A676" s="61">
        <v>2.01005622E8</v>
      </c>
      <c r="B676" s="54" t="s">
        <v>12683</v>
      </c>
      <c r="C676" s="54" t="s">
        <v>12684</v>
      </c>
    </row>
    <row r="677" hidden="1">
      <c r="A677" s="61">
        <v>2.01900617E8</v>
      </c>
      <c r="B677" s="54" t="s">
        <v>12685</v>
      </c>
      <c r="C677" s="54" t="s">
        <v>11482</v>
      </c>
    </row>
    <row r="678" hidden="1">
      <c r="A678" s="61">
        <v>2.01602116E8</v>
      </c>
      <c r="B678" s="54" t="s">
        <v>12686</v>
      </c>
      <c r="C678" s="54" t="s">
        <v>12687</v>
      </c>
    </row>
    <row r="679" hidden="1">
      <c r="A679" s="61">
        <v>2.00901179E8</v>
      </c>
      <c r="B679" s="54" t="s">
        <v>12688</v>
      </c>
      <c r="C679" s="54" t="s">
        <v>12689</v>
      </c>
    </row>
    <row r="680" hidden="1">
      <c r="A680" s="61">
        <v>2.01902175E8</v>
      </c>
      <c r="B680" s="54" t="s">
        <v>12690</v>
      </c>
      <c r="C680" s="54" t="s">
        <v>11893</v>
      </c>
    </row>
    <row r="681" hidden="1">
      <c r="A681" s="61">
        <v>2.02107915E8</v>
      </c>
      <c r="B681" s="54" t="s">
        <v>12691</v>
      </c>
      <c r="C681" s="54" t="s">
        <v>12692</v>
      </c>
    </row>
    <row r="682" hidden="1">
      <c r="A682" s="61">
        <v>2.02001505E8</v>
      </c>
      <c r="B682" s="54" t="s">
        <v>12693</v>
      </c>
      <c r="C682" s="54" t="s">
        <v>12694</v>
      </c>
    </row>
    <row r="683" hidden="1">
      <c r="A683" s="61">
        <v>2.01200512E8</v>
      </c>
      <c r="B683" s="54" t="s">
        <v>12695</v>
      </c>
      <c r="C683" s="54" t="s">
        <v>12696</v>
      </c>
    </row>
    <row r="684" hidden="1">
      <c r="A684" s="61">
        <v>2.02002332E8</v>
      </c>
      <c r="B684" s="54" t="s">
        <v>12697</v>
      </c>
      <c r="C684" s="54" t="s">
        <v>12698</v>
      </c>
    </row>
    <row r="685" hidden="1">
      <c r="A685" s="61">
        <v>2.01209075E8</v>
      </c>
      <c r="B685" s="54" t="s">
        <v>12699</v>
      </c>
      <c r="C685" s="54" t="s">
        <v>11456</v>
      </c>
    </row>
    <row r="686" hidden="1">
      <c r="A686" s="61">
        <v>1.99908465E8</v>
      </c>
      <c r="B686" s="54" t="s">
        <v>12700</v>
      </c>
      <c r="C686" s="54" t="s">
        <v>12701</v>
      </c>
    </row>
    <row r="687" hidden="1">
      <c r="A687" s="61">
        <v>2.01902176E8</v>
      </c>
      <c r="B687" s="54" t="s">
        <v>12702</v>
      </c>
      <c r="C687" s="54" t="s">
        <v>11521</v>
      </c>
    </row>
    <row r="688" hidden="1">
      <c r="A688" s="61">
        <v>2.01902177E8</v>
      </c>
      <c r="B688" s="54" t="s">
        <v>12703</v>
      </c>
      <c r="C688" s="54" t="s">
        <v>12704</v>
      </c>
    </row>
    <row r="689" hidden="1">
      <c r="A689" s="61">
        <v>2.01408537E8</v>
      </c>
      <c r="B689" s="54" t="s">
        <v>12705</v>
      </c>
      <c r="C689" s="54" t="s">
        <v>12706</v>
      </c>
    </row>
    <row r="690" hidden="1">
      <c r="A690" s="61">
        <v>2.01005213E8</v>
      </c>
      <c r="B690" s="54" t="s">
        <v>12707</v>
      </c>
      <c r="C690" s="54" t="s">
        <v>12676</v>
      </c>
    </row>
    <row r="691" hidden="1">
      <c r="A691" s="61">
        <v>2.00800918E8</v>
      </c>
      <c r="B691" s="54" t="s">
        <v>12708</v>
      </c>
      <c r="C691" s="54" t="s">
        <v>11903</v>
      </c>
    </row>
    <row r="692" hidden="1">
      <c r="A692" s="61">
        <v>2.02103394E8</v>
      </c>
      <c r="B692" s="54" t="s">
        <v>12709</v>
      </c>
      <c r="C692" s="54" t="s">
        <v>11982</v>
      </c>
    </row>
    <row r="693" hidden="1">
      <c r="A693" s="61">
        <v>2.01512236E8</v>
      </c>
      <c r="B693" s="54" t="s">
        <v>12710</v>
      </c>
      <c r="C693" s="54" t="s">
        <v>12711</v>
      </c>
    </row>
    <row r="694" hidden="1">
      <c r="A694" s="61">
        <v>2.01400232E8</v>
      </c>
      <c r="B694" s="54" t="s">
        <v>12712</v>
      </c>
      <c r="C694" s="54" t="s">
        <v>11987</v>
      </c>
    </row>
    <row r="695" hidden="1">
      <c r="A695" s="61">
        <v>2.00703663E8</v>
      </c>
      <c r="B695" s="54" t="s">
        <v>12713</v>
      </c>
      <c r="C695" s="54" t="s">
        <v>12714</v>
      </c>
    </row>
    <row r="696" hidden="1">
      <c r="A696" s="61">
        <v>2.00201279E8</v>
      </c>
      <c r="B696" s="54" t="s">
        <v>12715</v>
      </c>
      <c r="C696" s="54" t="s">
        <v>12716</v>
      </c>
    </row>
    <row r="697" hidden="1">
      <c r="A697" s="61">
        <v>2.01603592E8</v>
      </c>
      <c r="B697" s="54" t="s">
        <v>12717</v>
      </c>
      <c r="C697" s="54" t="s">
        <v>12718</v>
      </c>
    </row>
    <row r="698" hidden="1">
      <c r="A698" s="61">
        <v>2.01701854E8</v>
      </c>
      <c r="B698" s="54" t="s">
        <v>12719</v>
      </c>
      <c r="C698" s="54" t="s">
        <v>12720</v>
      </c>
    </row>
    <row r="699" hidden="1">
      <c r="A699" s="61">
        <v>2.01512499E8</v>
      </c>
      <c r="B699" s="54" t="s">
        <v>12721</v>
      </c>
      <c r="C699" s="54" t="s">
        <v>12722</v>
      </c>
    </row>
    <row r="700" hidden="1">
      <c r="A700" s="61">
        <v>2.01905769E8</v>
      </c>
      <c r="B700" s="54" t="s">
        <v>12723</v>
      </c>
      <c r="C700" s="54" t="s">
        <v>12724</v>
      </c>
    </row>
    <row r="701" hidden="1">
      <c r="A701" s="61">
        <v>2.01300209E8</v>
      </c>
      <c r="B701" s="54" t="s">
        <v>12725</v>
      </c>
      <c r="C701" s="54" t="s">
        <v>11541</v>
      </c>
    </row>
    <row r="702" hidden="1">
      <c r="A702" s="61">
        <v>2.01803258E8</v>
      </c>
      <c r="B702" s="54" t="s">
        <v>12726</v>
      </c>
      <c r="C702" s="54" t="s">
        <v>12727</v>
      </c>
    </row>
    <row r="703" hidden="1">
      <c r="A703" s="61">
        <v>2.02001506E8</v>
      </c>
      <c r="B703" s="54" t="s">
        <v>12728</v>
      </c>
      <c r="C703" s="54" t="s">
        <v>12729</v>
      </c>
    </row>
    <row r="704" hidden="1">
      <c r="A704" s="61">
        <v>2.01309573E8</v>
      </c>
      <c r="B704" s="54" t="s">
        <v>12730</v>
      </c>
      <c r="C704" s="54" t="s">
        <v>11470</v>
      </c>
    </row>
    <row r="705" hidden="1">
      <c r="A705" s="61">
        <v>2.02001507E8</v>
      </c>
      <c r="B705" s="54" t="s">
        <v>12731</v>
      </c>
      <c r="C705" s="54" t="s">
        <v>12732</v>
      </c>
    </row>
    <row r="706" hidden="1">
      <c r="A706" s="61">
        <v>2.02107889E8</v>
      </c>
      <c r="B706" s="54" t="s">
        <v>12733</v>
      </c>
      <c r="C706" s="54" t="s">
        <v>12734</v>
      </c>
    </row>
    <row r="707" hidden="1">
      <c r="A707" s="61">
        <v>2.0170572E8</v>
      </c>
      <c r="B707" s="54" t="s">
        <v>12735</v>
      </c>
      <c r="C707" s="54" t="s">
        <v>12341</v>
      </c>
    </row>
    <row r="708" hidden="1">
      <c r="A708" s="61">
        <v>2.01505626E8</v>
      </c>
      <c r="B708" s="54" t="s">
        <v>12736</v>
      </c>
      <c r="C708" s="54" t="s">
        <v>12737</v>
      </c>
    </row>
    <row r="709" hidden="1">
      <c r="A709" s="61">
        <v>2.0210511E8</v>
      </c>
      <c r="B709" s="54" t="s">
        <v>12736</v>
      </c>
      <c r="C709" s="54" t="s">
        <v>12738</v>
      </c>
    </row>
    <row r="710" hidden="1">
      <c r="A710" s="61">
        <v>2.02102944E8</v>
      </c>
      <c r="B710" s="54" t="s">
        <v>12739</v>
      </c>
      <c r="C710" s="54" t="s">
        <v>12740</v>
      </c>
    </row>
    <row r="711" hidden="1">
      <c r="A711" s="61">
        <v>2.01900237E8</v>
      </c>
      <c r="B711" s="54" t="s">
        <v>12741</v>
      </c>
      <c r="C711" s="54" t="s">
        <v>12742</v>
      </c>
    </row>
    <row r="712" hidden="1">
      <c r="A712" s="61">
        <v>2.00809408E8</v>
      </c>
      <c r="B712" s="54" t="s">
        <v>12743</v>
      </c>
      <c r="C712" s="54" t="s">
        <v>12744</v>
      </c>
    </row>
    <row r="713" hidden="1">
      <c r="A713" s="61">
        <v>2.01904708E8</v>
      </c>
      <c r="B713" s="54" t="s">
        <v>12745</v>
      </c>
      <c r="C713" s="54" t="s">
        <v>12746</v>
      </c>
    </row>
    <row r="714" hidden="1">
      <c r="A714" s="61">
        <v>2.01502034E8</v>
      </c>
      <c r="B714" s="54" t="s">
        <v>12747</v>
      </c>
      <c r="C714" s="54" t="s">
        <v>12748</v>
      </c>
    </row>
    <row r="715" hidden="1">
      <c r="A715" s="61">
        <v>2.02001508E8</v>
      </c>
      <c r="B715" s="54" t="s">
        <v>12749</v>
      </c>
      <c r="C715" s="54" t="s">
        <v>12041</v>
      </c>
    </row>
    <row r="716" hidden="1">
      <c r="A716" s="61">
        <v>2.01308306E8</v>
      </c>
      <c r="B716" s="54" t="s">
        <v>12749</v>
      </c>
      <c r="C716" s="54" t="s">
        <v>11727</v>
      </c>
    </row>
    <row r="717" hidden="1">
      <c r="A717" s="61">
        <v>2.01902178E8</v>
      </c>
      <c r="B717" s="54" t="s">
        <v>12750</v>
      </c>
      <c r="C717" s="54" t="s">
        <v>12314</v>
      </c>
    </row>
    <row r="718" hidden="1">
      <c r="A718" s="61">
        <v>2.01612062E8</v>
      </c>
      <c r="B718" s="54" t="s">
        <v>12751</v>
      </c>
      <c r="C718" s="54" t="s">
        <v>11676</v>
      </c>
    </row>
    <row r="719" hidden="1">
      <c r="A719" s="61">
        <v>2.01909918E8</v>
      </c>
      <c r="B719" s="54" t="s">
        <v>12752</v>
      </c>
      <c r="C719" s="54" t="s">
        <v>12753</v>
      </c>
    </row>
    <row r="720" hidden="1">
      <c r="A720" s="61">
        <v>2.02107866E8</v>
      </c>
      <c r="B720" s="54" t="s">
        <v>12754</v>
      </c>
      <c r="C720" s="54" t="s">
        <v>12755</v>
      </c>
    </row>
    <row r="721" hidden="1">
      <c r="A721" s="61">
        <v>2.01209098E8</v>
      </c>
      <c r="B721" s="54" t="s">
        <v>12756</v>
      </c>
      <c r="C721" s="54" t="s">
        <v>12757</v>
      </c>
    </row>
    <row r="722" hidden="1">
      <c r="A722" s="61">
        <v>2.02103376E8</v>
      </c>
      <c r="B722" s="54" t="s">
        <v>12758</v>
      </c>
      <c r="C722" s="54" t="s">
        <v>12759</v>
      </c>
    </row>
    <row r="723" hidden="1">
      <c r="A723" s="61">
        <v>2.01508137E8</v>
      </c>
      <c r="B723" s="54" t="s">
        <v>12760</v>
      </c>
      <c r="C723" s="54" t="s">
        <v>12761</v>
      </c>
    </row>
    <row r="724" hidden="1">
      <c r="A724" s="61">
        <v>2.0210789E8</v>
      </c>
      <c r="B724" s="54" t="s">
        <v>12762</v>
      </c>
      <c r="C724" s="54" t="s">
        <v>12763</v>
      </c>
    </row>
    <row r="725" hidden="1">
      <c r="A725" s="61">
        <v>2.00703034E8</v>
      </c>
      <c r="B725" s="54" t="s">
        <v>12764</v>
      </c>
      <c r="C725" s="54" t="s">
        <v>12765</v>
      </c>
    </row>
    <row r="726" hidden="1">
      <c r="A726" s="61">
        <v>2.00607966E8</v>
      </c>
      <c r="B726" s="54" t="s">
        <v>12764</v>
      </c>
      <c r="C726" s="54" t="s">
        <v>12766</v>
      </c>
    </row>
    <row r="727" hidden="1">
      <c r="A727" s="61">
        <v>2.01603682E8</v>
      </c>
      <c r="B727" s="54" t="s">
        <v>12767</v>
      </c>
      <c r="C727" s="54" t="s">
        <v>12768</v>
      </c>
    </row>
    <row r="728" hidden="1">
      <c r="A728" s="61">
        <v>2.01110781E8</v>
      </c>
      <c r="B728" s="54" t="s">
        <v>12769</v>
      </c>
      <c r="C728" s="54" t="s">
        <v>12770</v>
      </c>
    </row>
    <row r="729" hidden="1">
      <c r="A729" s="61">
        <v>2.01803285E8</v>
      </c>
      <c r="B729" s="54" t="s">
        <v>12771</v>
      </c>
      <c r="C729" s="54" t="s">
        <v>12772</v>
      </c>
    </row>
    <row r="730" hidden="1">
      <c r="A730" s="61">
        <v>2.01710272E8</v>
      </c>
      <c r="B730" s="54" t="s">
        <v>12773</v>
      </c>
      <c r="C730" s="54" t="s">
        <v>12774</v>
      </c>
    </row>
    <row r="731" hidden="1">
      <c r="A731" s="61">
        <v>2.01400233E8</v>
      </c>
      <c r="B731" s="54" t="s">
        <v>12775</v>
      </c>
      <c r="C731" s="54" t="s">
        <v>12776</v>
      </c>
    </row>
    <row r="732" hidden="1">
      <c r="A732" s="61">
        <v>2.01008007E8</v>
      </c>
      <c r="B732" s="54" t="s">
        <v>12777</v>
      </c>
      <c r="C732" s="54" t="s">
        <v>12778</v>
      </c>
    </row>
    <row r="733" hidden="1">
      <c r="A733" s="61">
        <v>2.01709776E8</v>
      </c>
      <c r="B733" s="54" t="s">
        <v>12779</v>
      </c>
      <c r="C733" s="54" t="s">
        <v>11704</v>
      </c>
    </row>
    <row r="734" hidden="1">
      <c r="A734" s="61">
        <v>2.01508138E8</v>
      </c>
      <c r="B734" s="54" t="s">
        <v>12780</v>
      </c>
      <c r="C734" s="54" t="s">
        <v>12778</v>
      </c>
    </row>
    <row r="735" hidden="1">
      <c r="A735" s="61">
        <v>2.01803672E8</v>
      </c>
      <c r="B735" s="54" t="s">
        <v>12781</v>
      </c>
      <c r="C735" s="54" t="s">
        <v>12782</v>
      </c>
    </row>
    <row r="736" hidden="1">
      <c r="A736" s="61">
        <v>2.01700697E8</v>
      </c>
      <c r="B736" s="54" t="s">
        <v>12783</v>
      </c>
      <c r="C736" s="54" t="s">
        <v>12784</v>
      </c>
    </row>
    <row r="737" hidden="1">
      <c r="A737" s="61">
        <v>2.01101079E8</v>
      </c>
      <c r="B737" s="54" t="s">
        <v>12785</v>
      </c>
      <c r="C737" s="54" t="s">
        <v>12786</v>
      </c>
    </row>
    <row r="738" hidden="1">
      <c r="A738" s="61">
        <v>2.01501532E8</v>
      </c>
      <c r="B738" s="54" t="s">
        <v>12787</v>
      </c>
      <c r="C738" s="54" t="s">
        <v>12788</v>
      </c>
    </row>
    <row r="739" hidden="1">
      <c r="A739" s="61">
        <v>2.01809532E8</v>
      </c>
      <c r="B739" s="54" t="s">
        <v>12789</v>
      </c>
      <c r="C739" s="54" t="s">
        <v>11674</v>
      </c>
    </row>
    <row r="740" hidden="1">
      <c r="A740" s="61">
        <v>2.0010083E8</v>
      </c>
      <c r="B740" s="54" t="s">
        <v>12790</v>
      </c>
      <c r="C740" s="54" t="s">
        <v>12791</v>
      </c>
    </row>
    <row r="741" hidden="1">
      <c r="A741" s="61">
        <v>2.01407328E8</v>
      </c>
      <c r="B741" s="54" t="s">
        <v>12792</v>
      </c>
      <c r="C741" s="54" t="s">
        <v>11826</v>
      </c>
    </row>
    <row r="742" hidden="1">
      <c r="A742" s="61">
        <v>2.01709777E8</v>
      </c>
      <c r="B742" s="54" t="s">
        <v>12793</v>
      </c>
      <c r="C742" s="54" t="s">
        <v>12794</v>
      </c>
    </row>
    <row r="743" hidden="1">
      <c r="A743" s="61">
        <v>2.01100282E8</v>
      </c>
      <c r="B743" s="54" t="s">
        <v>12795</v>
      </c>
      <c r="C743" s="54" t="s">
        <v>12796</v>
      </c>
    </row>
    <row r="744" hidden="1">
      <c r="A744" s="61">
        <v>2.02107933E8</v>
      </c>
      <c r="B744" s="54" t="s">
        <v>12797</v>
      </c>
      <c r="C744" s="54" t="s">
        <v>12798</v>
      </c>
    </row>
    <row r="745" hidden="1">
      <c r="A745" s="61">
        <v>2.01909893E8</v>
      </c>
      <c r="B745" s="54" t="s">
        <v>12799</v>
      </c>
      <c r="C745" s="54" t="s">
        <v>12800</v>
      </c>
    </row>
    <row r="746" hidden="1">
      <c r="A746" s="61">
        <v>2.01000042E8</v>
      </c>
      <c r="B746" s="54" t="s">
        <v>12801</v>
      </c>
      <c r="C746" s="54" t="s">
        <v>12802</v>
      </c>
    </row>
    <row r="747" hidden="1">
      <c r="A747" s="61">
        <v>2.02000409E8</v>
      </c>
      <c r="B747" s="54" t="s">
        <v>12803</v>
      </c>
      <c r="C747" s="54" t="s">
        <v>12804</v>
      </c>
    </row>
    <row r="748" hidden="1">
      <c r="A748" s="61">
        <v>2.01900212E8</v>
      </c>
      <c r="B748" s="54" t="s">
        <v>12805</v>
      </c>
      <c r="C748" s="54" t="s">
        <v>12806</v>
      </c>
    </row>
    <row r="749" hidden="1">
      <c r="A749" s="61">
        <v>2.0160449E8</v>
      </c>
      <c r="B749" s="54" t="s">
        <v>12807</v>
      </c>
      <c r="C749" s="54" t="s">
        <v>12808</v>
      </c>
    </row>
    <row r="750" hidden="1">
      <c r="A750" s="61">
        <v>2.02000401E8</v>
      </c>
      <c r="B750" s="54" t="s">
        <v>12809</v>
      </c>
      <c r="C750" s="54" t="s">
        <v>12810</v>
      </c>
    </row>
    <row r="751" hidden="1">
      <c r="A751" s="61">
        <v>2.01409226E8</v>
      </c>
      <c r="B751" s="54" t="s">
        <v>12811</v>
      </c>
      <c r="C751" s="54" t="s">
        <v>12812</v>
      </c>
    </row>
    <row r="752" hidden="1">
      <c r="A752" s="61">
        <v>2.01502035E8</v>
      </c>
      <c r="B752" s="54" t="s">
        <v>12813</v>
      </c>
      <c r="C752" s="54" t="s">
        <v>12814</v>
      </c>
    </row>
    <row r="753" hidden="1">
      <c r="A753" s="61">
        <v>2.01607876E8</v>
      </c>
      <c r="B753" s="54" t="s">
        <v>12815</v>
      </c>
      <c r="C753" s="54" t="s">
        <v>12816</v>
      </c>
    </row>
    <row r="754" hidden="1">
      <c r="A754" s="61">
        <v>2.00802385E8</v>
      </c>
      <c r="B754" s="54" t="s">
        <v>12817</v>
      </c>
      <c r="C754" s="54" t="s">
        <v>11845</v>
      </c>
    </row>
    <row r="755" hidden="1">
      <c r="A755" s="61">
        <v>2.0200234E8</v>
      </c>
      <c r="B755" s="54" t="s">
        <v>12818</v>
      </c>
      <c r="C755" s="54" t="s">
        <v>12819</v>
      </c>
    </row>
    <row r="756" hidden="1">
      <c r="A756" s="61">
        <v>2.02103409E8</v>
      </c>
      <c r="B756" s="54" t="s">
        <v>12820</v>
      </c>
      <c r="C756" s="54" t="s">
        <v>12821</v>
      </c>
    </row>
    <row r="757" hidden="1">
      <c r="A757" s="61">
        <v>2.01900867E8</v>
      </c>
      <c r="B757" s="54" t="s">
        <v>12822</v>
      </c>
      <c r="C757" s="54" t="s">
        <v>12823</v>
      </c>
    </row>
    <row r="758" hidden="1">
      <c r="A758" s="61">
        <v>2.01709778E8</v>
      </c>
      <c r="B758" s="54" t="s">
        <v>12824</v>
      </c>
      <c r="C758" s="54" t="s">
        <v>12294</v>
      </c>
    </row>
    <row r="759" hidden="1">
      <c r="A759" s="61">
        <v>2.01700698E8</v>
      </c>
      <c r="B759" s="54" t="s">
        <v>12825</v>
      </c>
      <c r="C759" s="54" t="s">
        <v>12826</v>
      </c>
    </row>
    <row r="760" hidden="1">
      <c r="A760" s="61">
        <v>2.02105111E8</v>
      </c>
      <c r="B760" s="54" t="s">
        <v>12827</v>
      </c>
      <c r="C760" s="54" t="s">
        <v>11537</v>
      </c>
    </row>
    <row r="761" hidden="1">
      <c r="A761" s="61">
        <v>1.99800331E8</v>
      </c>
      <c r="B761" s="54" t="s">
        <v>12828</v>
      </c>
      <c r="C761" s="54" t="s">
        <v>12829</v>
      </c>
    </row>
    <row r="762" hidden="1">
      <c r="A762" s="61">
        <v>2.01512259E8</v>
      </c>
      <c r="B762" s="54" t="s">
        <v>12828</v>
      </c>
      <c r="C762" s="54" t="s">
        <v>11674</v>
      </c>
    </row>
    <row r="763" hidden="1">
      <c r="A763" s="61">
        <v>2.01502036E8</v>
      </c>
      <c r="B763" s="54" t="s">
        <v>12830</v>
      </c>
      <c r="C763" s="54" t="s">
        <v>12831</v>
      </c>
    </row>
    <row r="764" hidden="1">
      <c r="A764" s="61">
        <v>2.01100285E8</v>
      </c>
      <c r="B764" s="54" t="s">
        <v>12832</v>
      </c>
      <c r="C764" s="54" t="s">
        <v>12833</v>
      </c>
    </row>
    <row r="765" hidden="1">
      <c r="A765" s="61">
        <v>2.02105112E8</v>
      </c>
      <c r="B765" s="54" t="s">
        <v>12834</v>
      </c>
      <c r="C765" s="54" t="s">
        <v>11809</v>
      </c>
    </row>
    <row r="766" hidden="1">
      <c r="A766" s="61">
        <v>2.01400234E8</v>
      </c>
      <c r="B766" s="54" t="s">
        <v>12835</v>
      </c>
      <c r="C766" s="54" t="s">
        <v>12836</v>
      </c>
    </row>
    <row r="767" hidden="1">
      <c r="A767" s="61">
        <v>2.01700699E8</v>
      </c>
      <c r="B767" s="54" t="s">
        <v>12837</v>
      </c>
      <c r="C767" s="54" t="s">
        <v>12838</v>
      </c>
    </row>
    <row r="768" hidden="1">
      <c r="A768" s="61">
        <v>2.0190988E8</v>
      </c>
      <c r="B768" s="54" t="s">
        <v>12839</v>
      </c>
      <c r="C768" s="54" t="s">
        <v>12840</v>
      </c>
    </row>
    <row r="769" hidden="1">
      <c r="A769" s="61">
        <v>2.02002336E8</v>
      </c>
      <c r="B769" s="54" t="s">
        <v>12841</v>
      </c>
      <c r="C769" s="54" t="s">
        <v>12842</v>
      </c>
    </row>
    <row r="770" hidden="1">
      <c r="A770" s="61">
        <v>2.01307217E8</v>
      </c>
      <c r="B770" s="54" t="s">
        <v>12843</v>
      </c>
      <c r="C770" s="54" t="s">
        <v>12844</v>
      </c>
    </row>
    <row r="771" hidden="1">
      <c r="A771" s="61">
        <v>2.02005544E8</v>
      </c>
      <c r="B771" s="54" t="s">
        <v>12845</v>
      </c>
      <c r="C771" s="54" t="s">
        <v>12846</v>
      </c>
    </row>
    <row r="772" hidden="1">
      <c r="A772" s="61">
        <v>2.01706081E8</v>
      </c>
      <c r="B772" s="54" t="s">
        <v>12847</v>
      </c>
      <c r="C772" s="54" t="s">
        <v>12848</v>
      </c>
    </row>
    <row r="773" hidden="1">
      <c r="A773" s="61">
        <v>2.01801356E8</v>
      </c>
      <c r="B773" s="54" t="s">
        <v>12849</v>
      </c>
      <c r="C773" s="54" t="s">
        <v>11987</v>
      </c>
    </row>
    <row r="774" hidden="1">
      <c r="A774" s="61">
        <v>2.01602988E8</v>
      </c>
      <c r="B774" s="54" t="s">
        <v>12850</v>
      </c>
      <c r="C774" s="54" t="s">
        <v>12649</v>
      </c>
    </row>
    <row r="775" hidden="1">
      <c r="A775" s="61">
        <v>2.01200554E8</v>
      </c>
      <c r="B775" s="54" t="s">
        <v>12851</v>
      </c>
      <c r="C775" s="54" t="s">
        <v>11525</v>
      </c>
    </row>
    <row r="776" hidden="1">
      <c r="A776" s="61">
        <v>2.01603684E8</v>
      </c>
      <c r="B776" s="54" t="s">
        <v>12852</v>
      </c>
      <c r="C776" s="54" t="s">
        <v>12853</v>
      </c>
    </row>
    <row r="777" hidden="1">
      <c r="A777" s="61">
        <v>1.99908871E8</v>
      </c>
      <c r="B777" s="54" t="s">
        <v>12854</v>
      </c>
      <c r="C777" s="54" t="s">
        <v>12555</v>
      </c>
    </row>
    <row r="778" hidden="1">
      <c r="A778" s="61">
        <v>2.01803282E8</v>
      </c>
      <c r="B778" s="54" t="s">
        <v>12855</v>
      </c>
      <c r="C778" s="54" t="s">
        <v>12856</v>
      </c>
    </row>
    <row r="779" hidden="1">
      <c r="A779" s="61">
        <v>2.02009762E8</v>
      </c>
      <c r="B779" s="54" t="s">
        <v>12857</v>
      </c>
      <c r="C779" s="54" t="s">
        <v>12858</v>
      </c>
    </row>
    <row r="780" hidden="1">
      <c r="A780" s="61">
        <v>2.00605891E8</v>
      </c>
      <c r="B780" s="54" t="s">
        <v>12859</v>
      </c>
      <c r="C780" s="54" t="s">
        <v>12860</v>
      </c>
    </row>
    <row r="781" hidden="1">
      <c r="A781" s="61">
        <v>2.02106808E8</v>
      </c>
      <c r="B781" s="54" t="s">
        <v>12859</v>
      </c>
      <c r="C781" s="54" t="s">
        <v>12861</v>
      </c>
    </row>
    <row r="782" hidden="1">
      <c r="A782" s="61">
        <v>2.01106261E8</v>
      </c>
      <c r="B782" s="54" t="s">
        <v>12862</v>
      </c>
      <c r="C782" s="54" t="s">
        <v>12863</v>
      </c>
    </row>
    <row r="783" hidden="1">
      <c r="A783" s="61">
        <v>2.01611043E8</v>
      </c>
      <c r="B783" s="54" t="s">
        <v>12864</v>
      </c>
      <c r="C783" s="54" t="s">
        <v>12865</v>
      </c>
    </row>
    <row r="784" hidden="1">
      <c r="A784" s="61">
        <v>2.0130026E8</v>
      </c>
      <c r="B784" s="54" t="s">
        <v>12866</v>
      </c>
      <c r="C784" s="54" t="s">
        <v>12867</v>
      </c>
    </row>
    <row r="785" hidden="1">
      <c r="A785" s="61">
        <v>2.01409227E8</v>
      </c>
      <c r="B785" s="54" t="s">
        <v>12868</v>
      </c>
      <c r="C785" s="54" t="s">
        <v>12676</v>
      </c>
    </row>
    <row r="786" hidden="1">
      <c r="A786" s="61">
        <v>2.01100236E8</v>
      </c>
      <c r="B786" s="54" t="s">
        <v>12869</v>
      </c>
      <c r="C786" s="54" t="s">
        <v>12870</v>
      </c>
    </row>
    <row r="787" hidden="1">
      <c r="A787" s="61">
        <v>2.0170978E8</v>
      </c>
      <c r="B787" s="54" t="s">
        <v>12871</v>
      </c>
      <c r="C787" s="54" t="s">
        <v>12872</v>
      </c>
    </row>
    <row r="788" hidden="1">
      <c r="A788" s="61">
        <v>2.02107867E8</v>
      </c>
      <c r="B788" s="54" t="s">
        <v>12873</v>
      </c>
      <c r="C788" s="54" t="s">
        <v>11510</v>
      </c>
    </row>
    <row r="789" hidden="1">
      <c r="A789" s="61">
        <v>2.01603595E8</v>
      </c>
      <c r="B789" s="54" t="s">
        <v>12874</v>
      </c>
      <c r="C789" s="54" t="s">
        <v>12875</v>
      </c>
    </row>
    <row r="790" hidden="1">
      <c r="A790" s="61">
        <v>2.0170831E8</v>
      </c>
      <c r="B790" s="54" t="s">
        <v>12876</v>
      </c>
      <c r="C790" s="54" t="s">
        <v>12877</v>
      </c>
    </row>
    <row r="791" hidden="1">
      <c r="A791" s="61">
        <v>2.01807898E8</v>
      </c>
      <c r="B791" s="54" t="s">
        <v>12878</v>
      </c>
      <c r="C791" s="54" t="s">
        <v>12879</v>
      </c>
    </row>
    <row r="792" hidden="1">
      <c r="A792" s="61">
        <v>2.01905798E8</v>
      </c>
      <c r="B792" s="54" t="s">
        <v>12880</v>
      </c>
      <c r="C792" s="54" t="s">
        <v>12881</v>
      </c>
    </row>
    <row r="793" hidden="1">
      <c r="A793" s="61">
        <v>2.01900584E8</v>
      </c>
      <c r="B793" s="54" t="s">
        <v>12882</v>
      </c>
      <c r="C793" s="54" t="s">
        <v>12883</v>
      </c>
    </row>
    <row r="794" hidden="1">
      <c r="A794" s="61">
        <v>2.01905791E8</v>
      </c>
      <c r="B794" s="54" t="s">
        <v>12884</v>
      </c>
      <c r="C794" s="54" t="s">
        <v>11987</v>
      </c>
    </row>
    <row r="795" hidden="1">
      <c r="A795" s="61">
        <v>2.01709797E8</v>
      </c>
      <c r="B795" s="54" t="s">
        <v>12885</v>
      </c>
      <c r="C795" s="54" t="s">
        <v>12886</v>
      </c>
    </row>
    <row r="796" hidden="1">
      <c r="A796" s="61">
        <v>2.01900231E8</v>
      </c>
      <c r="B796" s="54" t="s">
        <v>12887</v>
      </c>
      <c r="C796" s="54" t="s">
        <v>12888</v>
      </c>
    </row>
    <row r="797" hidden="1">
      <c r="A797" s="61">
        <v>2.01608652E8</v>
      </c>
      <c r="B797" s="54" t="s">
        <v>12889</v>
      </c>
      <c r="C797" s="54" t="s">
        <v>12890</v>
      </c>
    </row>
    <row r="798" hidden="1">
      <c r="A798" s="61">
        <v>2.01909681E8</v>
      </c>
      <c r="B798" s="54" t="s">
        <v>12891</v>
      </c>
      <c r="C798" s="54" t="s">
        <v>12892</v>
      </c>
    </row>
    <row r="799" hidden="1">
      <c r="A799" s="61">
        <v>2.01100237E8</v>
      </c>
      <c r="B799" s="54" t="s">
        <v>12893</v>
      </c>
      <c r="C799" s="54" t="s">
        <v>12894</v>
      </c>
    </row>
    <row r="800" hidden="1">
      <c r="A800" s="61">
        <v>2.01100291E8</v>
      </c>
      <c r="B800" s="54" t="s">
        <v>12895</v>
      </c>
      <c r="C800" s="54" t="s">
        <v>12436</v>
      </c>
    </row>
    <row r="801" hidden="1">
      <c r="A801" s="61">
        <v>2.01902239E8</v>
      </c>
      <c r="B801" s="54" t="s">
        <v>12896</v>
      </c>
      <c r="C801" s="54" t="s">
        <v>12897</v>
      </c>
    </row>
    <row r="802" hidden="1">
      <c r="A802" s="61">
        <v>2.00301789E8</v>
      </c>
      <c r="B802" s="54" t="s">
        <v>12898</v>
      </c>
      <c r="C802" s="54" t="s">
        <v>12555</v>
      </c>
    </row>
    <row r="803" hidden="1">
      <c r="A803" s="61">
        <v>2.01809485E8</v>
      </c>
      <c r="B803" s="54" t="s">
        <v>12899</v>
      </c>
      <c r="C803" s="54" t="s">
        <v>12900</v>
      </c>
    </row>
    <row r="804" hidden="1">
      <c r="A804" s="61">
        <v>2.00001454E8</v>
      </c>
      <c r="B804" s="54" t="s">
        <v>12901</v>
      </c>
      <c r="C804" s="54" t="s">
        <v>12902</v>
      </c>
    </row>
    <row r="805" hidden="1">
      <c r="A805" s="61">
        <v>2.01400708E8</v>
      </c>
      <c r="B805" s="54" t="s">
        <v>12903</v>
      </c>
      <c r="C805" s="54" t="s">
        <v>12724</v>
      </c>
    </row>
    <row r="806" hidden="1">
      <c r="A806" s="61">
        <v>2.01900243E8</v>
      </c>
      <c r="B806" s="54" t="s">
        <v>12904</v>
      </c>
      <c r="C806" s="54" t="s">
        <v>11946</v>
      </c>
    </row>
    <row r="807" hidden="1">
      <c r="A807" s="61">
        <v>2.00908462E8</v>
      </c>
      <c r="B807" s="54" t="s">
        <v>12905</v>
      </c>
      <c r="C807" s="54" t="s">
        <v>11607</v>
      </c>
    </row>
    <row r="808" hidden="1">
      <c r="A808" s="61">
        <v>2.01300125E8</v>
      </c>
      <c r="B808" s="54" t="s">
        <v>12906</v>
      </c>
      <c r="C808" s="54" t="s">
        <v>12907</v>
      </c>
    </row>
    <row r="809" hidden="1">
      <c r="A809" s="61">
        <v>2.00810109E8</v>
      </c>
      <c r="B809" s="54" t="s">
        <v>12908</v>
      </c>
      <c r="C809" s="54" t="s">
        <v>12804</v>
      </c>
    </row>
    <row r="810" hidden="1">
      <c r="A810" s="61">
        <v>1.99802208E8</v>
      </c>
      <c r="B810" s="54" t="s">
        <v>12909</v>
      </c>
      <c r="C810" s="54" t="s">
        <v>12910</v>
      </c>
    </row>
    <row r="811" hidden="1">
      <c r="A811" s="61">
        <v>2.01000974E8</v>
      </c>
      <c r="B811" s="54" t="s">
        <v>12911</v>
      </c>
      <c r="C811" s="54" t="s">
        <v>12912</v>
      </c>
    </row>
    <row r="812" hidden="1">
      <c r="A812" s="61">
        <v>2.01501536E8</v>
      </c>
      <c r="B812" s="54" t="s">
        <v>12913</v>
      </c>
      <c r="C812" s="54" t="s">
        <v>12914</v>
      </c>
    </row>
    <row r="813" hidden="1">
      <c r="A813" s="61">
        <v>2.01502037E8</v>
      </c>
      <c r="B813" s="54" t="s">
        <v>12915</v>
      </c>
      <c r="C813" s="54" t="s">
        <v>12916</v>
      </c>
    </row>
    <row r="814" hidden="1">
      <c r="A814" s="61">
        <v>2.01200463E8</v>
      </c>
      <c r="B814" s="54" t="s">
        <v>12917</v>
      </c>
      <c r="C814" s="54" t="s">
        <v>12918</v>
      </c>
    </row>
    <row r="815" hidden="1">
      <c r="A815" s="61">
        <v>2.01505503E8</v>
      </c>
      <c r="B815" s="54" t="s">
        <v>12919</v>
      </c>
      <c r="C815" s="54" t="s">
        <v>11679</v>
      </c>
    </row>
    <row r="816" hidden="1">
      <c r="A816" s="61">
        <v>2.01603596E8</v>
      </c>
      <c r="B816" s="54" t="s">
        <v>12920</v>
      </c>
      <c r="C816" s="54" t="s">
        <v>12458</v>
      </c>
    </row>
    <row r="817" hidden="1">
      <c r="A817" s="61">
        <v>2.01603686E8</v>
      </c>
      <c r="B817" s="54" t="s">
        <v>12921</v>
      </c>
      <c r="C817" s="54" t="s">
        <v>12922</v>
      </c>
    </row>
    <row r="818" hidden="1">
      <c r="A818" s="61">
        <v>2.00908815E8</v>
      </c>
      <c r="B818" s="54" t="s">
        <v>12923</v>
      </c>
      <c r="C818" s="54" t="s">
        <v>11607</v>
      </c>
    </row>
    <row r="819" hidden="1">
      <c r="A819" s="61">
        <v>2.0180024E8</v>
      </c>
      <c r="B819" s="54" t="s">
        <v>12924</v>
      </c>
      <c r="C819" s="54" t="s">
        <v>12925</v>
      </c>
    </row>
    <row r="820" hidden="1">
      <c r="A820" s="61">
        <v>2.02009789E8</v>
      </c>
      <c r="B820" s="54" t="s">
        <v>12926</v>
      </c>
      <c r="C820" s="54" t="s">
        <v>12927</v>
      </c>
    </row>
    <row r="821" hidden="1">
      <c r="A821" s="61">
        <v>2.01110782E8</v>
      </c>
      <c r="B821" s="54" t="s">
        <v>12928</v>
      </c>
      <c r="C821" s="54" t="s">
        <v>12929</v>
      </c>
    </row>
    <row r="822" hidden="1">
      <c r="A822" s="61">
        <v>2.00908678E8</v>
      </c>
      <c r="B822" s="54" t="s">
        <v>12930</v>
      </c>
      <c r="C822" s="54" t="s">
        <v>12931</v>
      </c>
    </row>
    <row r="823" hidden="1">
      <c r="A823" s="61">
        <v>2.01607877E8</v>
      </c>
      <c r="B823" s="54" t="s">
        <v>12932</v>
      </c>
      <c r="C823" s="54" t="s">
        <v>12933</v>
      </c>
    </row>
    <row r="824" hidden="1">
      <c r="A824" s="61">
        <v>2.01803257E8</v>
      </c>
      <c r="B824" s="54" t="s">
        <v>12934</v>
      </c>
      <c r="C824" s="54" t="s">
        <v>12935</v>
      </c>
    </row>
    <row r="825" hidden="1">
      <c r="A825" s="61">
        <v>2.01700702E8</v>
      </c>
      <c r="B825" s="54" t="s">
        <v>12936</v>
      </c>
      <c r="C825" s="54" t="s">
        <v>12937</v>
      </c>
    </row>
    <row r="826" hidden="1">
      <c r="A826" s="61">
        <v>2.01709781E8</v>
      </c>
      <c r="B826" s="54" t="s">
        <v>12938</v>
      </c>
      <c r="C826" s="54" t="s">
        <v>12939</v>
      </c>
    </row>
    <row r="827" hidden="1">
      <c r="A827" s="61">
        <v>2.02000085E8</v>
      </c>
      <c r="B827" s="54" t="s">
        <v>12940</v>
      </c>
      <c r="C827" s="54" t="s">
        <v>12941</v>
      </c>
    </row>
    <row r="828" hidden="1">
      <c r="A828" s="61">
        <v>2.02002337E8</v>
      </c>
      <c r="B828" s="54" t="s">
        <v>12942</v>
      </c>
      <c r="C828" s="54" t="s">
        <v>12943</v>
      </c>
    </row>
    <row r="829" hidden="1">
      <c r="A829" s="61">
        <v>2.01603597E8</v>
      </c>
      <c r="B829" s="54" t="s">
        <v>12944</v>
      </c>
      <c r="C829" s="54" t="s">
        <v>12945</v>
      </c>
    </row>
    <row r="830" hidden="1">
      <c r="A830" s="61">
        <v>2.01508139E8</v>
      </c>
      <c r="B830" s="54" t="s">
        <v>12946</v>
      </c>
      <c r="C830" s="54" t="s">
        <v>12947</v>
      </c>
    </row>
    <row r="831" hidden="1">
      <c r="A831" s="61">
        <v>2.01705726E8</v>
      </c>
      <c r="B831" s="54" t="s">
        <v>12948</v>
      </c>
      <c r="C831" s="54" t="s">
        <v>12949</v>
      </c>
    </row>
    <row r="832" hidden="1">
      <c r="A832" s="61">
        <v>2.01909399E8</v>
      </c>
      <c r="B832" s="54" t="s">
        <v>12950</v>
      </c>
      <c r="C832" s="54" t="s">
        <v>12951</v>
      </c>
    </row>
    <row r="833" hidden="1">
      <c r="A833" s="61">
        <v>2.01000976E8</v>
      </c>
      <c r="B833" s="54" t="s">
        <v>12952</v>
      </c>
      <c r="C833" s="54" t="s">
        <v>12953</v>
      </c>
    </row>
    <row r="834" hidden="1">
      <c r="A834" s="61">
        <v>2.00503065E8</v>
      </c>
      <c r="B834" s="54" t="s">
        <v>12954</v>
      </c>
      <c r="C834" s="54" t="s">
        <v>12198</v>
      </c>
    </row>
    <row r="835" hidden="1">
      <c r="A835" s="61">
        <v>2.01900219E8</v>
      </c>
      <c r="B835" s="54" t="s">
        <v>12955</v>
      </c>
      <c r="C835" s="54" t="s">
        <v>12956</v>
      </c>
    </row>
    <row r="836" hidden="1">
      <c r="A836" s="61">
        <v>2.0150814E8</v>
      </c>
      <c r="B836" s="54" t="s">
        <v>12957</v>
      </c>
      <c r="C836" s="54" t="s">
        <v>12958</v>
      </c>
    </row>
    <row r="837" hidden="1">
      <c r="A837" s="61">
        <v>2.0151226E8</v>
      </c>
      <c r="B837" s="54" t="s">
        <v>12959</v>
      </c>
      <c r="C837" s="54" t="s">
        <v>12960</v>
      </c>
    </row>
    <row r="838" hidden="1">
      <c r="A838" s="61">
        <v>2.01603687E8</v>
      </c>
      <c r="B838" s="54" t="s">
        <v>12961</v>
      </c>
      <c r="C838" s="54" t="s">
        <v>12962</v>
      </c>
    </row>
    <row r="839" hidden="1">
      <c r="A839" s="61">
        <v>2.01400154E8</v>
      </c>
      <c r="B839" s="54" t="s">
        <v>12963</v>
      </c>
      <c r="C839" s="54" t="s">
        <v>12964</v>
      </c>
    </row>
    <row r="840" hidden="1">
      <c r="A840" s="61">
        <v>2.01206864E8</v>
      </c>
      <c r="B840" s="54" t="s">
        <v>12965</v>
      </c>
      <c r="C840" s="54" t="s">
        <v>12966</v>
      </c>
    </row>
    <row r="841" hidden="1">
      <c r="A841" s="61">
        <v>2.01700703E8</v>
      </c>
      <c r="B841" s="54" t="s">
        <v>12967</v>
      </c>
      <c r="C841" s="54" t="s">
        <v>12968</v>
      </c>
    </row>
    <row r="842" hidden="1">
      <c r="A842" s="61">
        <v>2.01110524E8</v>
      </c>
      <c r="B842" s="54" t="s">
        <v>12969</v>
      </c>
      <c r="C842" s="54" t="s">
        <v>12970</v>
      </c>
    </row>
    <row r="843" hidden="1">
      <c r="A843" s="61">
        <v>2.012091E8</v>
      </c>
      <c r="B843" s="54" t="s">
        <v>12971</v>
      </c>
      <c r="C843" s="54" t="s">
        <v>12972</v>
      </c>
    </row>
    <row r="844" hidden="1">
      <c r="A844" s="61">
        <v>2.02102945E8</v>
      </c>
      <c r="B844" s="54" t="s">
        <v>12973</v>
      </c>
      <c r="C844" s="54" t="s">
        <v>12974</v>
      </c>
    </row>
    <row r="845" hidden="1">
      <c r="A845" s="61">
        <v>2.01709798E8</v>
      </c>
      <c r="B845" s="54" t="s">
        <v>12975</v>
      </c>
      <c r="C845" s="54" t="s">
        <v>12976</v>
      </c>
    </row>
    <row r="846" hidden="1">
      <c r="A846" s="61">
        <v>2.01100296E8</v>
      </c>
      <c r="B846" s="54" t="s">
        <v>12977</v>
      </c>
      <c r="C846" s="54" t="s">
        <v>12605</v>
      </c>
    </row>
    <row r="847" hidden="1">
      <c r="A847" s="61">
        <v>2.01809285E8</v>
      </c>
      <c r="B847" s="54" t="s">
        <v>12978</v>
      </c>
      <c r="C847" s="54" t="s">
        <v>12979</v>
      </c>
    </row>
    <row r="848" hidden="1">
      <c r="A848" s="61">
        <v>2.02107868E8</v>
      </c>
      <c r="B848" s="54" t="s">
        <v>12980</v>
      </c>
      <c r="C848" s="54" t="s">
        <v>12981</v>
      </c>
    </row>
    <row r="849" hidden="1">
      <c r="A849" s="61">
        <v>2.01300212E8</v>
      </c>
      <c r="B849" s="54" t="s">
        <v>12982</v>
      </c>
      <c r="C849" s="54" t="s">
        <v>12983</v>
      </c>
    </row>
    <row r="850" hidden="1">
      <c r="A850" s="61">
        <v>2.0190218E8</v>
      </c>
      <c r="B850" s="54" t="s">
        <v>12984</v>
      </c>
      <c r="C850" s="54" t="s">
        <v>12985</v>
      </c>
    </row>
    <row r="851" hidden="1">
      <c r="A851" s="61">
        <v>2.0190991E8</v>
      </c>
      <c r="B851" s="54" t="s">
        <v>12986</v>
      </c>
      <c r="C851" s="54" t="s">
        <v>12987</v>
      </c>
    </row>
    <row r="852" hidden="1">
      <c r="A852" s="61">
        <v>2.01700793E8</v>
      </c>
      <c r="B852" s="54" t="s">
        <v>12988</v>
      </c>
      <c r="C852" s="54" t="s">
        <v>11845</v>
      </c>
    </row>
    <row r="853" hidden="1">
      <c r="A853" s="61">
        <v>2.0160788E8</v>
      </c>
      <c r="B853" s="54" t="s">
        <v>12989</v>
      </c>
      <c r="C853" s="54" t="s">
        <v>11512</v>
      </c>
    </row>
    <row r="854" hidden="1">
      <c r="A854" s="61">
        <v>2.01101192E8</v>
      </c>
      <c r="B854" s="54" t="s">
        <v>12990</v>
      </c>
      <c r="C854" s="54" t="s">
        <v>12991</v>
      </c>
    </row>
    <row r="855" hidden="1">
      <c r="A855" s="61">
        <v>2.01906514E8</v>
      </c>
      <c r="B855" s="54" t="s">
        <v>12992</v>
      </c>
      <c r="C855" s="54" t="s">
        <v>11482</v>
      </c>
    </row>
    <row r="856" hidden="1">
      <c r="A856" s="61">
        <v>2.02009795E8</v>
      </c>
      <c r="B856" s="54" t="s">
        <v>12993</v>
      </c>
      <c r="C856" s="54" t="s">
        <v>12994</v>
      </c>
    </row>
    <row r="857" hidden="1">
      <c r="A857" s="61">
        <v>2.00902927E8</v>
      </c>
      <c r="B857" s="54" t="s">
        <v>12995</v>
      </c>
      <c r="C857" s="54" t="s">
        <v>12996</v>
      </c>
    </row>
    <row r="858" hidden="1">
      <c r="A858" s="61">
        <v>2.02107905E8</v>
      </c>
      <c r="B858" s="54" t="s">
        <v>12995</v>
      </c>
      <c r="C858" s="54" t="s">
        <v>12649</v>
      </c>
    </row>
    <row r="859" hidden="1">
      <c r="A859" s="61">
        <v>2.01502038E8</v>
      </c>
      <c r="B859" s="54" t="s">
        <v>12995</v>
      </c>
      <c r="C859" s="54" t="s">
        <v>12997</v>
      </c>
    </row>
    <row r="860" hidden="1">
      <c r="A860" s="61">
        <v>2.01603689E8</v>
      </c>
      <c r="B860" s="54" t="s">
        <v>12998</v>
      </c>
      <c r="C860" s="54" t="s">
        <v>12204</v>
      </c>
    </row>
    <row r="861" hidden="1">
      <c r="A861" s="61">
        <v>2.01400155E8</v>
      </c>
      <c r="B861" s="54" t="s">
        <v>12999</v>
      </c>
      <c r="C861" s="54" t="s">
        <v>13000</v>
      </c>
    </row>
    <row r="862" hidden="1">
      <c r="A862" s="61">
        <v>2.01200467E8</v>
      </c>
      <c r="B862" s="54" t="s">
        <v>13001</v>
      </c>
      <c r="C862" s="54" t="s">
        <v>13002</v>
      </c>
    </row>
    <row r="863" hidden="1">
      <c r="A863" s="61">
        <v>2.01300263E8</v>
      </c>
      <c r="B863" s="54" t="s">
        <v>13003</v>
      </c>
      <c r="C863" s="54" t="s">
        <v>13004</v>
      </c>
    </row>
    <row r="864" hidden="1">
      <c r="A864" s="61">
        <v>2.01008034E8</v>
      </c>
      <c r="B864" s="54" t="s">
        <v>13005</v>
      </c>
      <c r="C864" s="54" t="s">
        <v>12897</v>
      </c>
    </row>
    <row r="865" hidden="1">
      <c r="A865" s="61">
        <v>2.00401407E8</v>
      </c>
      <c r="B865" s="54" t="s">
        <v>13006</v>
      </c>
      <c r="C865" s="54" t="s">
        <v>13007</v>
      </c>
    </row>
    <row r="866" hidden="1">
      <c r="A866" s="61">
        <v>2.0200041E8</v>
      </c>
      <c r="B866" s="54" t="s">
        <v>13008</v>
      </c>
      <c r="C866" s="54" t="s">
        <v>13009</v>
      </c>
    </row>
    <row r="867" hidden="1">
      <c r="A867" s="61">
        <v>2.01300129E8</v>
      </c>
      <c r="B867" s="54" t="s">
        <v>13010</v>
      </c>
      <c r="C867" s="54" t="s">
        <v>13011</v>
      </c>
    </row>
    <row r="868" hidden="1">
      <c r="A868" s="61">
        <v>2.018014E8</v>
      </c>
      <c r="B868" s="54" t="s">
        <v>13012</v>
      </c>
      <c r="C868" s="54" t="s">
        <v>13013</v>
      </c>
    </row>
    <row r="869" hidden="1">
      <c r="A869" s="61">
        <v>2.00002229E8</v>
      </c>
      <c r="B869" s="54" t="s">
        <v>13014</v>
      </c>
      <c r="C869" s="54" t="s">
        <v>13015</v>
      </c>
    </row>
    <row r="870" hidden="1">
      <c r="A870" s="61">
        <v>1.99601482E8</v>
      </c>
      <c r="B870" s="54" t="s">
        <v>13016</v>
      </c>
      <c r="C870" s="54" t="s">
        <v>13017</v>
      </c>
    </row>
    <row r="871" hidden="1">
      <c r="A871" s="61">
        <v>2.01100298E8</v>
      </c>
      <c r="B871" s="54" t="s">
        <v>13018</v>
      </c>
      <c r="C871" s="54" t="s">
        <v>12129</v>
      </c>
    </row>
    <row r="872" hidden="1">
      <c r="A872" s="61">
        <v>2.00801147E8</v>
      </c>
      <c r="B872" s="54" t="s">
        <v>13019</v>
      </c>
      <c r="C872" s="54" t="s">
        <v>13020</v>
      </c>
    </row>
    <row r="873" hidden="1">
      <c r="A873" s="61">
        <v>2.01701857E8</v>
      </c>
      <c r="B873" s="54" t="s">
        <v>13021</v>
      </c>
      <c r="C873" s="54" t="s">
        <v>11679</v>
      </c>
    </row>
    <row r="874" hidden="1">
      <c r="A874" s="61">
        <v>2.00908466E8</v>
      </c>
      <c r="B874" s="54" t="s">
        <v>13022</v>
      </c>
      <c r="C874" s="54" t="s">
        <v>13023</v>
      </c>
    </row>
    <row r="875" hidden="1">
      <c r="A875" s="61">
        <v>2.01904684E8</v>
      </c>
      <c r="B875" s="54" t="s">
        <v>13024</v>
      </c>
      <c r="C875" s="54" t="s">
        <v>13025</v>
      </c>
    </row>
    <row r="876" hidden="1">
      <c r="A876" s="61">
        <v>2.01100238E8</v>
      </c>
      <c r="B876" s="54" t="s">
        <v>13026</v>
      </c>
      <c r="C876" s="54" t="s">
        <v>13027</v>
      </c>
    </row>
    <row r="877" hidden="1">
      <c r="A877" s="61">
        <v>2.01200556E8</v>
      </c>
      <c r="B877" s="54" t="s">
        <v>13028</v>
      </c>
      <c r="C877" s="54" t="s">
        <v>13029</v>
      </c>
    </row>
    <row r="878" hidden="1">
      <c r="A878" s="61">
        <v>2.02000411E8</v>
      </c>
      <c r="B878" s="54" t="s">
        <v>13030</v>
      </c>
      <c r="C878" s="54" t="s">
        <v>13031</v>
      </c>
    </row>
    <row r="879" hidden="1">
      <c r="A879" s="61">
        <v>2.01801815E8</v>
      </c>
      <c r="B879" s="54" t="s">
        <v>13032</v>
      </c>
      <c r="C879" s="54" t="s">
        <v>13033</v>
      </c>
    </row>
    <row r="880" hidden="1">
      <c r="A880" s="61">
        <v>2.01604258E8</v>
      </c>
      <c r="B880" s="54" t="s">
        <v>13034</v>
      </c>
      <c r="C880" s="54" t="s">
        <v>13035</v>
      </c>
    </row>
    <row r="881" hidden="1">
      <c r="A881" s="61">
        <v>2.01801401E8</v>
      </c>
      <c r="B881" s="54" t="s">
        <v>13036</v>
      </c>
      <c r="C881" s="54" t="s">
        <v>13037</v>
      </c>
    </row>
    <row r="882" hidden="1">
      <c r="A882" s="61">
        <v>2.02002156E8</v>
      </c>
      <c r="B882" s="54" t="s">
        <v>13038</v>
      </c>
      <c r="C882" s="54" t="s">
        <v>13039</v>
      </c>
    </row>
    <row r="883" hidden="1">
      <c r="A883" s="61">
        <v>2.0160369E8</v>
      </c>
      <c r="B883" s="54" t="s">
        <v>13040</v>
      </c>
      <c r="C883" s="54" t="s">
        <v>13041</v>
      </c>
    </row>
    <row r="884" hidden="1">
      <c r="A884" s="61">
        <v>2.01606626E8</v>
      </c>
      <c r="B884" s="54" t="s">
        <v>13042</v>
      </c>
      <c r="C884" s="54" t="s">
        <v>13043</v>
      </c>
    </row>
    <row r="885" hidden="1">
      <c r="A885" s="61">
        <v>2.01801402E8</v>
      </c>
      <c r="B885" s="54" t="s">
        <v>13044</v>
      </c>
      <c r="C885" s="54" t="s">
        <v>11995</v>
      </c>
    </row>
    <row r="886" hidden="1">
      <c r="A886" s="61">
        <v>2.01400237E8</v>
      </c>
      <c r="B886" s="54" t="s">
        <v>13045</v>
      </c>
      <c r="C886" s="54" t="s">
        <v>13046</v>
      </c>
    </row>
    <row r="887" hidden="1">
      <c r="A887" s="61">
        <v>2.01400157E8</v>
      </c>
      <c r="B887" s="54" t="s">
        <v>13047</v>
      </c>
      <c r="C887" s="54" t="s">
        <v>11691</v>
      </c>
    </row>
    <row r="888" hidden="1">
      <c r="A888" s="61">
        <v>2.01001371E8</v>
      </c>
      <c r="B888" s="54" t="s">
        <v>13048</v>
      </c>
      <c r="C888" s="54" t="s">
        <v>13049</v>
      </c>
    </row>
    <row r="889" hidden="1">
      <c r="A889" s="61">
        <v>2.01809442E8</v>
      </c>
      <c r="B889" s="54" t="s">
        <v>13050</v>
      </c>
      <c r="C889" s="54" t="s">
        <v>13051</v>
      </c>
    </row>
    <row r="890" hidden="1">
      <c r="A890" s="61">
        <v>2.01005616E8</v>
      </c>
      <c r="B890" s="54" t="s">
        <v>13052</v>
      </c>
      <c r="C890" s="54" t="s">
        <v>13053</v>
      </c>
    </row>
    <row r="891" hidden="1">
      <c r="A891" s="61">
        <v>2.01809486E8</v>
      </c>
      <c r="B891" s="54" t="s">
        <v>13054</v>
      </c>
      <c r="C891" s="54" t="s">
        <v>12002</v>
      </c>
    </row>
    <row r="892" hidden="1">
      <c r="A892" s="61">
        <v>2.01905785E8</v>
      </c>
      <c r="B892" s="54" t="s">
        <v>13055</v>
      </c>
      <c r="C892" s="54" t="s">
        <v>13056</v>
      </c>
    </row>
    <row r="893" hidden="1">
      <c r="A893" s="61">
        <v>2.02103377E8</v>
      </c>
      <c r="B893" s="54" t="s">
        <v>13057</v>
      </c>
      <c r="C893" s="54" t="s">
        <v>11907</v>
      </c>
    </row>
    <row r="894" hidden="1">
      <c r="A894" s="61">
        <v>2.01512529E8</v>
      </c>
      <c r="B894" s="54" t="s">
        <v>13058</v>
      </c>
      <c r="C894" s="54" t="s">
        <v>13059</v>
      </c>
    </row>
    <row r="895" hidden="1">
      <c r="A895" s="61">
        <v>2.02010454E8</v>
      </c>
      <c r="B895" s="54" t="s">
        <v>13060</v>
      </c>
      <c r="C895" s="54" t="s">
        <v>13061</v>
      </c>
    </row>
    <row r="896" hidden="1">
      <c r="A896" s="61">
        <v>2.02103343E8</v>
      </c>
      <c r="B896" s="54" t="s">
        <v>13062</v>
      </c>
      <c r="C896" s="54" t="s">
        <v>13063</v>
      </c>
    </row>
    <row r="897" hidden="1">
      <c r="A897" s="61">
        <v>2.0080598E8</v>
      </c>
      <c r="B897" s="54" t="s">
        <v>13064</v>
      </c>
      <c r="C897" s="54" t="s">
        <v>12498</v>
      </c>
    </row>
    <row r="898" hidden="1">
      <c r="A898" s="61">
        <v>2.01209198E8</v>
      </c>
      <c r="B898" s="54" t="s">
        <v>13064</v>
      </c>
      <c r="C898" s="54" t="s">
        <v>13065</v>
      </c>
    </row>
    <row r="899" hidden="1">
      <c r="A899" s="61">
        <v>2.02000095E8</v>
      </c>
      <c r="B899" s="54" t="s">
        <v>13066</v>
      </c>
      <c r="C899" s="54" t="s">
        <v>13067</v>
      </c>
    </row>
    <row r="900" hidden="1">
      <c r="A900" s="61">
        <v>2.0210333E8</v>
      </c>
      <c r="B900" s="54" t="s">
        <v>13068</v>
      </c>
      <c r="C900" s="54" t="s">
        <v>13069</v>
      </c>
    </row>
    <row r="901" hidden="1">
      <c r="A901" s="61">
        <v>2.01603693E8</v>
      </c>
      <c r="B901" s="54" t="s">
        <v>13070</v>
      </c>
      <c r="C901" s="54" t="s">
        <v>13071</v>
      </c>
    </row>
    <row r="902" hidden="1">
      <c r="A902" s="61">
        <v>2.01904685E8</v>
      </c>
      <c r="B902" s="54" t="s">
        <v>13072</v>
      </c>
      <c r="C902" s="54" t="s">
        <v>13073</v>
      </c>
    </row>
    <row r="903" hidden="1">
      <c r="A903" s="61">
        <v>2.01603694E8</v>
      </c>
      <c r="B903" s="54" t="s">
        <v>13074</v>
      </c>
      <c r="C903" s="54" t="s">
        <v>12041</v>
      </c>
    </row>
    <row r="904" hidden="1">
      <c r="A904" s="61">
        <v>2.01900578E8</v>
      </c>
      <c r="B904" s="54" t="s">
        <v>13075</v>
      </c>
      <c r="C904" s="54" t="s">
        <v>13076</v>
      </c>
    </row>
    <row r="905" hidden="1">
      <c r="A905" s="61">
        <v>2.01406326E8</v>
      </c>
      <c r="B905" s="54" t="s">
        <v>13077</v>
      </c>
      <c r="C905" s="54" t="s">
        <v>11845</v>
      </c>
    </row>
    <row r="906" hidden="1">
      <c r="A906" s="61">
        <v>2.00603001E8</v>
      </c>
      <c r="B906" s="54" t="s">
        <v>13078</v>
      </c>
      <c r="C906" s="54" t="s">
        <v>12542</v>
      </c>
    </row>
    <row r="907" hidden="1">
      <c r="A907" s="61">
        <v>2.01700705E8</v>
      </c>
      <c r="B907" s="54" t="s">
        <v>13079</v>
      </c>
      <c r="C907" s="54" t="s">
        <v>11951</v>
      </c>
    </row>
    <row r="908" hidden="1">
      <c r="A908" s="61">
        <v>2.01410666E8</v>
      </c>
      <c r="B908" s="54" t="s">
        <v>13079</v>
      </c>
      <c r="C908" s="54" t="s">
        <v>13080</v>
      </c>
    </row>
    <row r="909" hidden="1">
      <c r="A909" s="61">
        <v>2.01603695E8</v>
      </c>
      <c r="B909" s="54" t="s">
        <v>13081</v>
      </c>
      <c r="C909" s="54" t="s">
        <v>11617</v>
      </c>
    </row>
    <row r="910" hidden="1">
      <c r="A910" s="61">
        <v>2.01603599E8</v>
      </c>
      <c r="B910" s="54" t="s">
        <v>13082</v>
      </c>
      <c r="C910" s="54" t="s">
        <v>12492</v>
      </c>
    </row>
    <row r="911" hidden="1">
      <c r="A911" s="61">
        <v>2.01905755E8</v>
      </c>
      <c r="B911" s="54" t="s">
        <v>13083</v>
      </c>
      <c r="C911" s="54" t="s">
        <v>13084</v>
      </c>
    </row>
    <row r="912" hidden="1">
      <c r="A912" s="61">
        <v>2.0120848E8</v>
      </c>
      <c r="B912" s="54" t="s">
        <v>13085</v>
      </c>
      <c r="C912" s="54" t="s">
        <v>12910</v>
      </c>
    </row>
    <row r="913" hidden="1">
      <c r="A913" s="61">
        <v>2.01705694E8</v>
      </c>
      <c r="B913" s="54" t="s">
        <v>13086</v>
      </c>
      <c r="C913" s="54" t="s">
        <v>11525</v>
      </c>
    </row>
    <row r="914" hidden="1">
      <c r="A914" s="61">
        <v>2.00901188E8</v>
      </c>
      <c r="B914" s="54" t="s">
        <v>13087</v>
      </c>
      <c r="C914" s="54" t="s">
        <v>12682</v>
      </c>
    </row>
    <row r="915" hidden="1">
      <c r="A915" s="61">
        <v>2.01607883E8</v>
      </c>
      <c r="B915" s="54" t="s">
        <v>13088</v>
      </c>
      <c r="C915" s="54" t="s">
        <v>13089</v>
      </c>
    </row>
    <row r="916" hidden="1">
      <c r="A916" s="61">
        <v>2.01606446E8</v>
      </c>
      <c r="B916" s="54" t="s">
        <v>13090</v>
      </c>
      <c r="C916" s="54" t="s">
        <v>13091</v>
      </c>
    </row>
    <row r="917" hidden="1">
      <c r="A917" s="61">
        <v>2.02009781E8</v>
      </c>
      <c r="B917" s="54" t="s">
        <v>13090</v>
      </c>
      <c r="C917" s="54" t="s">
        <v>13092</v>
      </c>
    </row>
    <row r="918" hidden="1">
      <c r="A918" s="61">
        <v>2.00700511E8</v>
      </c>
      <c r="B918" s="54" t="s">
        <v>13093</v>
      </c>
      <c r="C918" s="54" t="s">
        <v>13094</v>
      </c>
    </row>
    <row r="919" hidden="1">
      <c r="A919" s="61">
        <v>2.01504878E8</v>
      </c>
      <c r="B919" s="54" t="s">
        <v>13095</v>
      </c>
      <c r="C919" s="54" t="s">
        <v>13096</v>
      </c>
    </row>
    <row r="920" hidden="1">
      <c r="A920" s="61">
        <v>2.0200151E8</v>
      </c>
      <c r="B920" s="54" t="s">
        <v>13097</v>
      </c>
      <c r="C920" s="54" t="s">
        <v>13098</v>
      </c>
    </row>
    <row r="921" hidden="1">
      <c r="A921" s="61">
        <v>2.01800027E8</v>
      </c>
      <c r="B921" s="54" t="s">
        <v>13099</v>
      </c>
      <c r="C921" s="54" t="s">
        <v>13100</v>
      </c>
    </row>
    <row r="922" hidden="1">
      <c r="A922" s="61">
        <v>2.01400159E8</v>
      </c>
      <c r="B922" s="54" t="s">
        <v>13101</v>
      </c>
      <c r="C922" s="54" t="s">
        <v>13102</v>
      </c>
    </row>
    <row r="923" hidden="1">
      <c r="A923" s="61">
        <v>2.0200978E8</v>
      </c>
      <c r="B923" s="54" t="s">
        <v>13103</v>
      </c>
      <c r="C923" s="54" t="s">
        <v>13104</v>
      </c>
    </row>
    <row r="924" hidden="1">
      <c r="A924" s="61">
        <v>2.01800241E8</v>
      </c>
      <c r="B924" s="54" t="s">
        <v>13105</v>
      </c>
      <c r="C924" s="54" t="s">
        <v>13106</v>
      </c>
    </row>
    <row r="925" hidden="1">
      <c r="A925" s="61">
        <v>2.01800242E8</v>
      </c>
      <c r="B925" s="54" t="s">
        <v>13107</v>
      </c>
      <c r="C925" s="54" t="s">
        <v>13108</v>
      </c>
    </row>
    <row r="926" hidden="1">
      <c r="A926" s="61">
        <v>2.00707139E8</v>
      </c>
      <c r="B926" s="54" t="s">
        <v>13109</v>
      </c>
      <c r="C926" s="54" t="s">
        <v>13110</v>
      </c>
    </row>
    <row r="927" hidden="1">
      <c r="A927" s="61">
        <v>2.00703037E8</v>
      </c>
      <c r="B927" s="54" t="s">
        <v>13111</v>
      </c>
      <c r="C927" s="54" t="s">
        <v>13112</v>
      </c>
    </row>
    <row r="928" hidden="1">
      <c r="A928" s="61">
        <v>2.02002338E8</v>
      </c>
      <c r="B928" s="54" t="s">
        <v>13113</v>
      </c>
      <c r="C928" s="54" t="s">
        <v>13114</v>
      </c>
    </row>
    <row r="929" hidden="1">
      <c r="A929" s="61">
        <v>2.02105113E8</v>
      </c>
      <c r="B929" s="54" t="s">
        <v>13115</v>
      </c>
      <c r="C929" s="54" t="s">
        <v>13116</v>
      </c>
    </row>
    <row r="930" hidden="1">
      <c r="A930" s="61">
        <v>2.02000108E8</v>
      </c>
      <c r="B930" s="54" t="s">
        <v>13117</v>
      </c>
      <c r="C930" s="54" t="s">
        <v>13118</v>
      </c>
    </row>
    <row r="931" hidden="1">
      <c r="A931" s="61">
        <v>2.01904725E8</v>
      </c>
      <c r="B931" s="54" t="s">
        <v>13119</v>
      </c>
      <c r="C931" s="54" t="s">
        <v>11845</v>
      </c>
    </row>
    <row r="932" hidden="1">
      <c r="A932" s="61">
        <v>2.02001511E8</v>
      </c>
      <c r="B932" s="54" t="s">
        <v>13120</v>
      </c>
      <c r="C932" s="54" t="s">
        <v>13121</v>
      </c>
    </row>
    <row r="933" hidden="1">
      <c r="A933" s="61">
        <v>2.01100302E8</v>
      </c>
      <c r="B933" s="54" t="s">
        <v>13122</v>
      </c>
      <c r="C933" s="54" t="s">
        <v>11482</v>
      </c>
    </row>
    <row r="934" hidden="1">
      <c r="A934" s="61">
        <v>2.02005545E8</v>
      </c>
      <c r="B934" s="54" t="s">
        <v>13123</v>
      </c>
      <c r="C934" s="54" t="s">
        <v>13124</v>
      </c>
    </row>
    <row r="935" hidden="1">
      <c r="A935" s="61">
        <v>2.01001226E8</v>
      </c>
      <c r="B935" s="54" t="s">
        <v>13125</v>
      </c>
      <c r="C935" s="54" t="s">
        <v>11525</v>
      </c>
    </row>
    <row r="936" hidden="1">
      <c r="A936" s="61">
        <v>2.01001373E8</v>
      </c>
      <c r="B936" s="54" t="s">
        <v>13126</v>
      </c>
      <c r="C936" s="54" t="s">
        <v>13127</v>
      </c>
    </row>
    <row r="937" hidden="1">
      <c r="A937" s="61">
        <v>2.02103317E8</v>
      </c>
      <c r="B937" s="54" t="s">
        <v>13128</v>
      </c>
      <c r="C937" s="54" t="s">
        <v>13129</v>
      </c>
    </row>
    <row r="938" hidden="1">
      <c r="A938" s="61">
        <v>2.01809286E8</v>
      </c>
      <c r="B938" s="54" t="s">
        <v>13130</v>
      </c>
      <c r="C938" s="54" t="s">
        <v>11997</v>
      </c>
    </row>
    <row r="939" hidden="1">
      <c r="A939" s="61">
        <v>2.0140041E8</v>
      </c>
      <c r="B939" s="54" t="s">
        <v>13131</v>
      </c>
      <c r="C939" s="54" t="s">
        <v>13132</v>
      </c>
    </row>
    <row r="940" hidden="1">
      <c r="A940" s="61">
        <v>2.01508141E8</v>
      </c>
      <c r="B940" s="54" t="s">
        <v>13133</v>
      </c>
      <c r="C940" s="54" t="s">
        <v>12687</v>
      </c>
    </row>
    <row r="941" hidden="1">
      <c r="A941" s="61">
        <v>2.01700706E8</v>
      </c>
      <c r="B941" s="54" t="s">
        <v>13134</v>
      </c>
      <c r="C941" s="54" t="s">
        <v>12870</v>
      </c>
    </row>
    <row r="942" hidden="1">
      <c r="A942" s="61">
        <v>2.00401458E8</v>
      </c>
      <c r="B942" s="54" t="s">
        <v>13135</v>
      </c>
      <c r="C942" s="54" t="s">
        <v>11490</v>
      </c>
    </row>
    <row r="943" hidden="1">
      <c r="A943" s="61">
        <v>2.01100304E8</v>
      </c>
      <c r="B943" s="54" t="s">
        <v>13136</v>
      </c>
      <c r="C943" s="54" t="s">
        <v>13137</v>
      </c>
    </row>
    <row r="944" hidden="1">
      <c r="A944" s="61">
        <v>2.01410669E8</v>
      </c>
      <c r="B944" s="54" t="s">
        <v>13138</v>
      </c>
      <c r="C944" s="54" t="s">
        <v>13139</v>
      </c>
    </row>
    <row r="945" hidden="1">
      <c r="A945" s="61">
        <v>2.01909886E8</v>
      </c>
      <c r="B945" s="54" t="s">
        <v>13140</v>
      </c>
      <c r="C945" s="54" t="s">
        <v>13141</v>
      </c>
    </row>
    <row r="946" hidden="1">
      <c r="A946" s="61">
        <v>2.00408187E8</v>
      </c>
      <c r="B946" s="54" t="s">
        <v>13142</v>
      </c>
      <c r="C946" s="54" t="s">
        <v>12341</v>
      </c>
    </row>
    <row r="947" hidden="1">
      <c r="A947" s="61">
        <v>2.02102946E8</v>
      </c>
      <c r="B947" s="54" t="s">
        <v>13143</v>
      </c>
      <c r="C947" s="54" t="s">
        <v>12349</v>
      </c>
    </row>
    <row r="948" hidden="1">
      <c r="A948" s="61">
        <v>2.01401049E8</v>
      </c>
      <c r="B948" s="54" t="s">
        <v>13143</v>
      </c>
      <c r="C948" s="54" t="s">
        <v>12782</v>
      </c>
    </row>
    <row r="949" hidden="1">
      <c r="A949" s="61">
        <v>2.02000091E8</v>
      </c>
      <c r="B949" s="54" t="s">
        <v>13144</v>
      </c>
      <c r="C949" s="54" t="s">
        <v>12555</v>
      </c>
    </row>
    <row r="950" hidden="1">
      <c r="A950" s="61">
        <v>2.01904694E8</v>
      </c>
      <c r="B950" s="54" t="s">
        <v>13145</v>
      </c>
      <c r="C950" s="54" t="s">
        <v>12204</v>
      </c>
    </row>
    <row r="951" hidden="1">
      <c r="A951" s="61">
        <v>2.01809287E8</v>
      </c>
      <c r="B951" s="54" t="s">
        <v>13146</v>
      </c>
      <c r="C951" s="54" t="s">
        <v>11502</v>
      </c>
    </row>
    <row r="952" hidden="1">
      <c r="A952" s="61">
        <v>2.02009763E8</v>
      </c>
      <c r="B952" s="54" t="s">
        <v>13146</v>
      </c>
      <c r="C952" s="54" t="s">
        <v>13147</v>
      </c>
    </row>
    <row r="953" hidden="1">
      <c r="A953" s="61">
        <v>2.02000425E8</v>
      </c>
      <c r="B953" s="54" t="s">
        <v>13146</v>
      </c>
      <c r="C953" s="54" t="s">
        <v>11863</v>
      </c>
    </row>
    <row r="954" hidden="1">
      <c r="A954" s="61">
        <v>2.0200977E8</v>
      </c>
      <c r="B954" s="54" t="s">
        <v>13148</v>
      </c>
      <c r="C954" s="54" t="s">
        <v>11946</v>
      </c>
    </row>
    <row r="955" hidden="1">
      <c r="A955" s="61">
        <v>2.01210597E8</v>
      </c>
      <c r="B955" s="54" t="s">
        <v>13149</v>
      </c>
      <c r="C955" s="54" t="s">
        <v>11837</v>
      </c>
    </row>
    <row r="956" hidden="1">
      <c r="A956" s="61">
        <v>2.02103397E8</v>
      </c>
      <c r="B956" s="54" t="s">
        <v>13150</v>
      </c>
      <c r="C956" s="54" t="s">
        <v>13151</v>
      </c>
    </row>
    <row r="957" hidden="1">
      <c r="A957" s="61">
        <v>2.01200469E8</v>
      </c>
      <c r="B957" s="54" t="s">
        <v>13152</v>
      </c>
      <c r="C957" s="54" t="s">
        <v>13153</v>
      </c>
    </row>
    <row r="958" hidden="1">
      <c r="A958" s="61">
        <v>2.01908155E8</v>
      </c>
      <c r="B958" s="54" t="s">
        <v>13152</v>
      </c>
      <c r="C958" s="54" t="s">
        <v>12420</v>
      </c>
    </row>
    <row r="959" hidden="1">
      <c r="A959" s="61">
        <v>2.01604261E8</v>
      </c>
      <c r="B959" s="54" t="s">
        <v>13154</v>
      </c>
      <c r="C959" s="54" t="s">
        <v>13155</v>
      </c>
    </row>
    <row r="960" hidden="1">
      <c r="A960" s="61">
        <v>2.01604428E8</v>
      </c>
      <c r="B960" s="54" t="s">
        <v>13156</v>
      </c>
      <c r="C960" s="54" t="s">
        <v>11711</v>
      </c>
    </row>
    <row r="961" hidden="1">
      <c r="A961" s="61">
        <v>2.01603697E8</v>
      </c>
      <c r="B961" s="54" t="s">
        <v>13157</v>
      </c>
      <c r="C961" s="54" t="s">
        <v>13158</v>
      </c>
    </row>
    <row r="962" hidden="1">
      <c r="A962" s="61">
        <v>2.02107924E8</v>
      </c>
      <c r="B962" s="54" t="s">
        <v>13159</v>
      </c>
      <c r="C962" s="54" t="s">
        <v>11991</v>
      </c>
    </row>
    <row r="963" hidden="1">
      <c r="A963" s="61">
        <v>2.01606447E8</v>
      </c>
      <c r="B963" s="54" t="s">
        <v>13160</v>
      </c>
      <c r="C963" s="54" t="s">
        <v>13161</v>
      </c>
    </row>
    <row r="964" hidden="1">
      <c r="A964" s="61">
        <v>2.02107916E8</v>
      </c>
      <c r="B964" s="54" t="s">
        <v>13162</v>
      </c>
      <c r="C964" s="54" t="s">
        <v>13163</v>
      </c>
    </row>
    <row r="965" hidden="1">
      <c r="A965" s="61">
        <v>2.02103413E8</v>
      </c>
      <c r="B965" s="54" t="s">
        <v>13164</v>
      </c>
      <c r="C965" s="54" t="s">
        <v>12206</v>
      </c>
    </row>
    <row r="966" hidden="1">
      <c r="A966" s="61">
        <v>2.01909913E8</v>
      </c>
      <c r="B966" s="54" t="s">
        <v>13165</v>
      </c>
      <c r="C966" s="54" t="s">
        <v>12041</v>
      </c>
    </row>
    <row r="967" hidden="1">
      <c r="A967" s="61">
        <v>2.01309554E8</v>
      </c>
      <c r="B967" s="54" t="s">
        <v>13166</v>
      </c>
      <c r="C967" s="54" t="s">
        <v>12778</v>
      </c>
    </row>
    <row r="968" hidden="1">
      <c r="A968" s="61">
        <v>2.00908467E8</v>
      </c>
      <c r="B968" s="54" t="s">
        <v>13167</v>
      </c>
      <c r="C968" s="54" t="s">
        <v>11845</v>
      </c>
    </row>
    <row r="969" hidden="1">
      <c r="A969" s="61">
        <v>2.01400239E8</v>
      </c>
      <c r="B969" s="54" t="s">
        <v>13168</v>
      </c>
      <c r="C969" s="54" t="s">
        <v>13169</v>
      </c>
    </row>
    <row r="970" hidden="1">
      <c r="A970" s="61">
        <v>2.01300214E8</v>
      </c>
      <c r="B970" s="54" t="s">
        <v>13170</v>
      </c>
      <c r="C970" s="54" t="s">
        <v>13171</v>
      </c>
    </row>
    <row r="971" hidden="1">
      <c r="A971" s="61">
        <v>2.00708845E8</v>
      </c>
      <c r="B971" s="54" t="s">
        <v>13172</v>
      </c>
      <c r="C971" s="54" t="s">
        <v>13173</v>
      </c>
    </row>
    <row r="972" hidden="1">
      <c r="A972" s="61">
        <v>2.01300215E8</v>
      </c>
      <c r="B972" s="54" t="s">
        <v>13172</v>
      </c>
      <c r="C972" s="54" t="s">
        <v>11907</v>
      </c>
    </row>
    <row r="973" hidden="1">
      <c r="A973" s="61">
        <v>2.02002334E8</v>
      </c>
      <c r="B973" s="54" t="s">
        <v>13174</v>
      </c>
      <c r="C973" s="54" t="s">
        <v>12678</v>
      </c>
    </row>
    <row r="974" hidden="1">
      <c r="A974" s="61">
        <v>2.01108571E8</v>
      </c>
      <c r="B974" s="54" t="s">
        <v>13175</v>
      </c>
      <c r="C974" s="54" t="s">
        <v>13176</v>
      </c>
    </row>
    <row r="975" hidden="1">
      <c r="A975" s="61">
        <v>2.01909714E8</v>
      </c>
      <c r="B975" s="54" t="s">
        <v>13177</v>
      </c>
      <c r="C975" s="54" t="s">
        <v>13178</v>
      </c>
    </row>
    <row r="976" hidden="1">
      <c r="A976" s="61">
        <v>2.02103319E8</v>
      </c>
      <c r="B976" s="54" t="s">
        <v>13179</v>
      </c>
      <c r="C976" s="54" t="s">
        <v>13180</v>
      </c>
    </row>
    <row r="977" hidden="1">
      <c r="A977" s="61">
        <v>2.0190992E8</v>
      </c>
      <c r="B977" s="54" t="s">
        <v>13181</v>
      </c>
      <c r="C977" s="54" t="s">
        <v>13182</v>
      </c>
    </row>
    <row r="978" hidden="1">
      <c r="A978" s="61">
        <v>2.01909881E8</v>
      </c>
      <c r="B978" s="54" t="s">
        <v>13183</v>
      </c>
      <c r="C978" s="54" t="s">
        <v>13184</v>
      </c>
    </row>
    <row r="979" hidden="1">
      <c r="A979" s="61">
        <v>2.01709772E8</v>
      </c>
      <c r="B979" s="54" t="s">
        <v>13185</v>
      </c>
      <c r="C979" s="54" t="s">
        <v>13186</v>
      </c>
    </row>
    <row r="980" hidden="1">
      <c r="A980" s="61">
        <v>2.00710392E8</v>
      </c>
      <c r="B980" s="54" t="s">
        <v>13187</v>
      </c>
      <c r="C980" s="54" t="s">
        <v>13188</v>
      </c>
    </row>
    <row r="981" hidden="1">
      <c r="A981" s="61">
        <v>2.01000981E8</v>
      </c>
      <c r="B981" s="54" t="s">
        <v>13189</v>
      </c>
      <c r="C981" s="54" t="s">
        <v>13190</v>
      </c>
    </row>
    <row r="982" hidden="1">
      <c r="A982" s="61">
        <v>2.01603699E8</v>
      </c>
      <c r="B982" s="54" t="s">
        <v>13191</v>
      </c>
      <c r="C982" s="54" t="s">
        <v>12006</v>
      </c>
    </row>
    <row r="983" hidden="1">
      <c r="A983" s="61">
        <v>2.00903897E8</v>
      </c>
      <c r="B983" s="54" t="s">
        <v>13192</v>
      </c>
      <c r="C983" s="54" t="s">
        <v>13193</v>
      </c>
    </row>
    <row r="984" hidden="1">
      <c r="A984" s="61">
        <v>2.01701859E8</v>
      </c>
      <c r="B984" s="54" t="s">
        <v>13194</v>
      </c>
      <c r="C984" s="54" t="s">
        <v>13195</v>
      </c>
    </row>
    <row r="985" hidden="1">
      <c r="A985" s="61">
        <v>2.01502041E8</v>
      </c>
      <c r="B985" s="54" t="s">
        <v>13196</v>
      </c>
      <c r="C985" s="54" t="s">
        <v>13197</v>
      </c>
    </row>
    <row r="986" hidden="1">
      <c r="A986" s="61">
        <v>2.01106268E8</v>
      </c>
      <c r="B986" s="54" t="s">
        <v>13198</v>
      </c>
      <c r="C986" s="54" t="s">
        <v>13199</v>
      </c>
    </row>
    <row r="987" hidden="1">
      <c r="A987" s="61">
        <v>2.00904447E8</v>
      </c>
      <c r="B987" s="54" t="s">
        <v>13200</v>
      </c>
      <c r="C987" s="54" t="s">
        <v>13201</v>
      </c>
    </row>
    <row r="988" hidden="1">
      <c r="A988" s="61">
        <v>2.016037E8</v>
      </c>
      <c r="B988" s="54" t="s">
        <v>13202</v>
      </c>
      <c r="C988" s="54" t="s">
        <v>13203</v>
      </c>
    </row>
    <row r="989" hidden="1">
      <c r="A989" s="61">
        <v>2.02009543E8</v>
      </c>
      <c r="B989" s="54" t="s">
        <v>13204</v>
      </c>
      <c r="C989" s="54" t="s">
        <v>13205</v>
      </c>
    </row>
    <row r="990" hidden="1">
      <c r="A990" s="61">
        <v>2.02000363E8</v>
      </c>
      <c r="B990" s="54" t="s">
        <v>13206</v>
      </c>
      <c r="C990" s="54" t="s">
        <v>12204</v>
      </c>
    </row>
    <row r="991" hidden="1">
      <c r="A991" s="61">
        <v>2.02107917E8</v>
      </c>
      <c r="B991" s="54" t="s">
        <v>13207</v>
      </c>
      <c r="C991" s="54" t="s">
        <v>13208</v>
      </c>
    </row>
    <row r="992" hidden="1">
      <c r="A992" s="61">
        <v>2.02106492E8</v>
      </c>
      <c r="B992" s="54" t="s">
        <v>13209</v>
      </c>
      <c r="C992" s="54" t="s">
        <v>13210</v>
      </c>
    </row>
    <row r="993" hidden="1">
      <c r="A993" s="61">
        <v>2.0141067E8</v>
      </c>
      <c r="B993" s="54" t="s">
        <v>13211</v>
      </c>
      <c r="C993" s="54" t="s">
        <v>13212</v>
      </c>
    </row>
    <row r="994" hidden="1">
      <c r="A994" s="61">
        <v>2.01800243E8</v>
      </c>
      <c r="B994" s="54" t="s">
        <v>13213</v>
      </c>
      <c r="C994" s="54" t="s">
        <v>11662</v>
      </c>
    </row>
    <row r="995" hidden="1">
      <c r="A995" s="61">
        <v>2.00603016E8</v>
      </c>
      <c r="B995" s="54" t="s">
        <v>13214</v>
      </c>
      <c r="C995" s="54" t="s">
        <v>13215</v>
      </c>
    </row>
    <row r="996" hidden="1">
      <c r="A996" s="61">
        <v>2.00307027E8</v>
      </c>
      <c r="B996" s="54" t="s">
        <v>13216</v>
      </c>
      <c r="C996" s="54" t="s">
        <v>13217</v>
      </c>
    </row>
    <row r="997" hidden="1">
      <c r="A997" s="61">
        <v>2.01300217E8</v>
      </c>
      <c r="B997" s="54" t="s">
        <v>13218</v>
      </c>
      <c r="C997" s="54" t="s">
        <v>13219</v>
      </c>
    </row>
    <row r="998" hidden="1">
      <c r="A998" s="61">
        <v>2.01909711E8</v>
      </c>
      <c r="B998" s="54" t="s">
        <v>13220</v>
      </c>
      <c r="C998" s="54" t="s">
        <v>13221</v>
      </c>
    </row>
    <row r="999" hidden="1">
      <c r="A999" s="61">
        <v>2.02103365E8</v>
      </c>
      <c r="B999" s="54" t="s">
        <v>13222</v>
      </c>
      <c r="C999" s="54" t="s">
        <v>13223</v>
      </c>
    </row>
    <row r="1000" hidden="1">
      <c r="A1000" s="61">
        <v>2.01410671E8</v>
      </c>
      <c r="B1000" s="54" t="s">
        <v>13224</v>
      </c>
      <c r="C1000" s="54" t="s">
        <v>13225</v>
      </c>
    </row>
    <row r="1001" hidden="1">
      <c r="A1001" s="61">
        <v>2.00004843E8</v>
      </c>
      <c r="B1001" s="54" t="s">
        <v>13226</v>
      </c>
      <c r="C1001" s="54" t="s">
        <v>12262</v>
      </c>
    </row>
    <row r="1002" hidden="1">
      <c r="A1002" s="61">
        <v>2.016036E8</v>
      </c>
      <c r="B1002" s="54" t="s">
        <v>13227</v>
      </c>
      <c r="C1002" s="54" t="s">
        <v>13228</v>
      </c>
    </row>
    <row r="1003" hidden="1">
      <c r="A1003" s="61">
        <v>2.01603601E8</v>
      </c>
      <c r="B1003" s="54" t="s">
        <v>13229</v>
      </c>
      <c r="C1003" s="54" t="s">
        <v>12328</v>
      </c>
    </row>
    <row r="1004" hidden="1">
      <c r="A1004" s="61">
        <v>2.0190062E8</v>
      </c>
      <c r="B1004" s="54" t="s">
        <v>13230</v>
      </c>
      <c r="C1004" s="54" t="s">
        <v>13231</v>
      </c>
    </row>
    <row r="1005" hidden="1">
      <c r="A1005" s="61">
        <v>2.00102127E8</v>
      </c>
      <c r="B1005" s="54" t="s">
        <v>13232</v>
      </c>
      <c r="C1005" s="54" t="s">
        <v>13233</v>
      </c>
    </row>
    <row r="1006" hidden="1">
      <c r="A1006" s="61">
        <v>2.02001513E8</v>
      </c>
      <c r="B1006" s="54" t="s">
        <v>13234</v>
      </c>
      <c r="C1006" s="54" t="s">
        <v>13235</v>
      </c>
    </row>
    <row r="1007" hidden="1">
      <c r="A1007" s="61">
        <v>2.0170477E8</v>
      </c>
      <c r="B1007" s="54" t="s">
        <v>13236</v>
      </c>
      <c r="C1007" s="54" t="s">
        <v>13237</v>
      </c>
    </row>
    <row r="1008" hidden="1">
      <c r="A1008" s="61">
        <v>2.01603602E8</v>
      </c>
      <c r="B1008" s="54" t="s">
        <v>13238</v>
      </c>
      <c r="C1008" s="54" t="s">
        <v>13239</v>
      </c>
    </row>
    <row r="1009" hidden="1">
      <c r="A1009" s="61">
        <v>2.01801422E8</v>
      </c>
      <c r="B1009" s="54" t="s">
        <v>13240</v>
      </c>
      <c r="C1009" s="54" t="s">
        <v>13241</v>
      </c>
    </row>
    <row r="1010" hidden="1">
      <c r="A1010" s="61">
        <v>2.02009764E8</v>
      </c>
      <c r="B1010" s="54" t="s">
        <v>13242</v>
      </c>
      <c r="C1010" s="54" t="s">
        <v>13243</v>
      </c>
    </row>
    <row r="1011" hidden="1">
      <c r="A1011" s="61">
        <v>2.01200471E8</v>
      </c>
      <c r="B1011" s="54" t="s">
        <v>13244</v>
      </c>
      <c r="C1011" s="54" t="s">
        <v>13245</v>
      </c>
    </row>
    <row r="1012" hidden="1">
      <c r="A1012" s="61">
        <v>2.01800028E8</v>
      </c>
      <c r="B1012" s="54" t="s">
        <v>13246</v>
      </c>
      <c r="C1012" s="54" t="s">
        <v>13247</v>
      </c>
    </row>
    <row r="1013" hidden="1">
      <c r="A1013" s="61">
        <v>2.01200557E8</v>
      </c>
      <c r="B1013" s="54" t="s">
        <v>13248</v>
      </c>
      <c r="C1013" s="54" t="s">
        <v>13249</v>
      </c>
    </row>
    <row r="1014" hidden="1">
      <c r="A1014" s="61">
        <v>2.01904677E8</v>
      </c>
      <c r="B1014" s="54" t="s">
        <v>13250</v>
      </c>
      <c r="C1014" s="54" t="s">
        <v>13251</v>
      </c>
    </row>
    <row r="1015" hidden="1">
      <c r="A1015" s="61">
        <v>2.00002264E8</v>
      </c>
      <c r="B1015" s="54" t="s">
        <v>13252</v>
      </c>
      <c r="C1015" s="54" t="s">
        <v>12778</v>
      </c>
    </row>
    <row r="1016" hidden="1">
      <c r="A1016" s="61">
        <v>2.02107894E8</v>
      </c>
      <c r="B1016" s="54" t="s">
        <v>13253</v>
      </c>
      <c r="C1016" s="54" t="s">
        <v>12800</v>
      </c>
    </row>
    <row r="1017" hidden="1">
      <c r="A1017" s="61">
        <v>2.02103355E8</v>
      </c>
      <c r="B1017" s="54" t="s">
        <v>13254</v>
      </c>
      <c r="C1017" s="54" t="s">
        <v>13255</v>
      </c>
    </row>
    <row r="1018" hidden="1">
      <c r="A1018" s="61">
        <v>2.01502042E8</v>
      </c>
      <c r="B1018" s="54" t="s">
        <v>13256</v>
      </c>
      <c r="C1018" s="54" t="s">
        <v>13257</v>
      </c>
    </row>
    <row r="1019" hidden="1">
      <c r="A1019" s="61">
        <v>2.01508143E8</v>
      </c>
      <c r="B1019" s="54" t="s">
        <v>13258</v>
      </c>
      <c r="C1019" s="54" t="s">
        <v>13259</v>
      </c>
    </row>
    <row r="1020" hidden="1">
      <c r="A1020" s="61">
        <v>2.02000364E8</v>
      </c>
      <c r="B1020" s="54" t="s">
        <v>13260</v>
      </c>
      <c r="C1020" s="54" t="s">
        <v>11478</v>
      </c>
    </row>
    <row r="1021" hidden="1">
      <c r="A1021" s="61">
        <v>1.9940157E8</v>
      </c>
      <c r="B1021" s="54" t="s">
        <v>13261</v>
      </c>
      <c r="C1021" s="54" t="s">
        <v>13262</v>
      </c>
    </row>
    <row r="1022" hidden="1">
      <c r="A1022" s="61">
        <v>2.01809686E8</v>
      </c>
      <c r="B1022" s="54" t="s">
        <v>13263</v>
      </c>
      <c r="C1022" s="54" t="s">
        <v>13264</v>
      </c>
    </row>
    <row r="1023" hidden="1">
      <c r="A1023" s="61">
        <v>2.00800935E8</v>
      </c>
      <c r="B1023" s="54" t="s">
        <v>13265</v>
      </c>
      <c r="C1023" s="54" t="s">
        <v>13266</v>
      </c>
    </row>
    <row r="1024" hidden="1">
      <c r="A1024" s="61">
        <v>2.02009759E8</v>
      </c>
      <c r="B1024" s="54" t="s">
        <v>13267</v>
      </c>
      <c r="C1024" s="54" t="s">
        <v>13268</v>
      </c>
    </row>
    <row r="1025" hidden="1">
      <c r="A1025" s="61">
        <v>2.01001375E8</v>
      </c>
      <c r="B1025" s="54" t="s">
        <v>13269</v>
      </c>
      <c r="C1025" s="54" t="s">
        <v>13270</v>
      </c>
    </row>
    <row r="1026" hidden="1">
      <c r="A1026" s="61">
        <v>2.01009995E8</v>
      </c>
      <c r="B1026" s="54" t="s">
        <v>13271</v>
      </c>
      <c r="C1026" s="54" t="s">
        <v>12732</v>
      </c>
    </row>
    <row r="1027" hidden="1">
      <c r="A1027" s="61">
        <v>2.01706615E8</v>
      </c>
      <c r="B1027" s="54" t="s">
        <v>13272</v>
      </c>
      <c r="C1027" s="54" t="s">
        <v>13273</v>
      </c>
    </row>
    <row r="1028" hidden="1">
      <c r="A1028" s="61">
        <v>2.02105114E8</v>
      </c>
      <c r="B1028" s="54" t="s">
        <v>13274</v>
      </c>
      <c r="C1028" s="54" t="s">
        <v>13275</v>
      </c>
    </row>
    <row r="1029" hidden="1">
      <c r="A1029" s="61">
        <v>2.01603702E8</v>
      </c>
      <c r="B1029" s="54" t="s">
        <v>13274</v>
      </c>
      <c r="C1029" s="54" t="s">
        <v>13276</v>
      </c>
    </row>
    <row r="1030" hidden="1">
      <c r="A1030" s="61">
        <v>2.01700709E8</v>
      </c>
      <c r="B1030" s="54" t="s">
        <v>13277</v>
      </c>
      <c r="C1030" s="54" t="s">
        <v>13278</v>
      </c>
    </row>
    <row r="1031" hidden="1">
      <c r="A1031" s="61">
        <v>2.00901191E8</v>
      </c>
      <c r="B1031" s="54" t="s">
        <v>13279</v>
      </c>
      <c r="C1031" s="54" t="s">
        <v>11572</v>
      </c>
    </row>
    <row r="1032" hidden="1">
      <c r="A1032" s="61">
        <v>2.01208491E8</v>
      </c>
      <c r="B1032" s="54" t="s">
        <v>13280</v>
      </c>
      <c r="C1032" s="54" t="s">
        <v>11845</v>
      </c>
    </row>
    <row r="1033" hidden="1">
      <c r="A1033" s="61">
        <v>2.0140024E8</v>
      </c>
      <c r="B1033" s="54" t="s">
        <v>13281</v>
      </c>
      <c r="C1033" s="54" t="s">
        <v>13282</v>
      </c>
    </row>
    <row r="1034" hidden="1">
      <c r="A1034" s="61">
        <v>2.0190061E8</v>
      </c>
      <c r="B1034" s="54" t="s">
        <v>13281</v>
      </c>
      <c r="C1034" s="54" t="s">
        <v>13283</v>
      </c>
    </row>
    <row r="1035" hidden="1">
      <c r="A1035" s="61">
        <v>2.02105115E8</v>
      </c>
      <c r="B1035" s="54" t="s">
        <v>13284</v>
      </c>
      <c r="C1035" s="54" t="s">
        <v>13285</v>
      </c>
    </row>
    <row r="1036" hidden="1">
      <c r="A1036" s="61">
        <v>2.01909704E8</v>
      </c>
      <c r="B1036" s="54" t="s">
        <v>13286</v>
      </c>
      <c r="C1036" s="54" t="s">
        <v>13287</v>
      </c>
    </row>
    <row r="1037" hidden="1">
      <c r="A1037" s="61">
        <v>2.01801418E8</v>
      </c>
      <c r="B1037" s="54" t="s">
        <v>13288</v>
      </c>
      <c r="C1037" s="54" t="s">
        <v>13289</v>
      </c>
    </row>
    <row r="1038" hidden="1">
      <c r="A1038" s="61">
        <v>2.01800245E8</v>
      </c>
      <c r="B1038" s="54" t="s">
        <v>13290</v>
      </c>
      <c r="C1038" s="54" t="s">
        <v>13291</v>
      </c>
    </row>
    <row r="1039" hidden="1">
      <c r="A1039" s="61">
        <v>2.01502043E8</v>
      </c>
      <c r="B1039" s="54" t="s">
        <v>13292</v>
      </c>
      <c r="C1039" s="54" t="s">
        <v>13293</v>
      </c>
    </row>
    <row r="1040" hidden="1">
      <c r="A1040" s="61">
        <v>2.00904461E8</v>
      </c>
      <c r="B1040" s="54" t="s">
        <v>13294</v>
      </c>
      <c r="C1040" s="54" t="s">
        <v>13295</v>
      </c>
    </row>
    <row r="1041" hidden="1">
      <c r="A1041" s="61">
        <v>1.99702678E8</v>
      </c>
      <c r="B1041" s="54" t="s">
        <v>13296</v>
      </c>
      <c r="C1041" s="54" t="s">
        <v>13297</v>
      </c>
    </row>
    <row r="1042" hidden="1">
      <c r="A1042" s="61">
        <v>2.0160404E8</v>
      </c>
      <c r="B1042" s="54" t="s">
        <v>13298</v>
      </c>
      <c r="C1042" s="54" t="s">
        <v>12185</v>
      </c>
    </row>
    <row r="1043" hidden="1">
      <c r="A1043" s="61">
        <v>2.01909717E8</v>
      </c>
      <c r="B1043" s="54" t="s">
        <v>13299</v>
      </c>
      <c r="C1043" s="54" t="s">
        <v>12941</v>
      </c>
    </row>
    <row r="1044" hidden="1">
      <c r="A1044" s="61">
        <v>2.02000082E8</v>
      </c>
      <c r="B1044" s="54" t="s">
        <v>13300</v>
      </c>
      <c r="C1044" s="54" t="s">
        <v>13301</v>
      </c>
    </row>
    <row r="1045" hidden="1">
      <c r="A1045" s="61">
        <v>2.01504881E8</v>
      </c>
      <c r="B1045" s="54" t="s">
        <v>13302</v>
      </c>
      <c r="C1045" s="54" t="s">
        <v>13303</v>
      </c>
    </row>
    <row r="1046" hidden="1">
      <c r="A1046" s="61">
        <v>2.01504882E8</v>
      </c>
      <c r="B1046" s="54" t="s">
        <v>13304</v>
      </c>
      <c r="C1046" s="54" t="s">
        <v>13305</v>
      </c>
    </row>
    <row r="1047" hidden="1">
      <c r="A1047" s="61">
        <v>2.01902182E8</v>
      </c>
      <c r="B1047" s="54" t="s">
        <v>13304</v>
      </c>
      <c r="C1047" s="54" t="s">
        <v>13306</v>
      </c>
    </row>
    <row r="1048" hidden="1">
      <c r="A1048" s="61">
        <v>2.01900587E8</v>
      </c>
      <c r="B1048" s="54" t="s">
        <v>13307</v>
      </c>
      <c r="C1048" s="54" t="s">
        <v>13308</v>
      </c>
    </row>
    <row r="1049" hidden="1">
      <c r="A1049" s="61">
        <v>2.01309555E8</v>
      </c>
      <c r="B1049" s="54" t="s">
        <v>13307</v>
      </c>
      <c r="C1049" s="54" t="s">
        <v>13309</v>
      </c>
    </row>
    <row r="1050" hidden="1">
      <c r="A1050" s="61">
        <v>2.01110785E8</v>
      </c>
      <c r="B1050" s="54" t="s">
        <v>13310</v>
      </c>
      <c r="C1050" s="54" t="s">
        <v>13311</v>
      </c>
    </row>
    <row r="1051" hidden="1">
      <c r="A1051" s="61">
        <v>2.02000092E8</v>
      </c>
      <c r="B1051" s="54" t="s">
        <v>13312</v>
      </c>
      <c r="C1051" s="54" t="s">
        <v>13313</v>
      </c>
    </row>
    <row r="1052" hidden="1">
      <c r="A1052" s="61">
        <v>2.02002349E8</v>
      </c>
      <c r="B1052" s="54" t="s">
        <v>13314</v>
      </c>
      <c r="C1052" s="54" t="s">
        <v>13315</v>
      </c>
    </row>
    <row r="1053" hidden="1">
      <c r="A1053" s="61">
        <v>2.01208499E8</v>
      </c>
      <c r="B1053" s="54" t="s">
        <v>13316</v>
      </c>
      <c r="C1053" s="54" t="s">
        <v>11909</v>
      </c>
    </row>
    <row r="1054" hidden="1">
      <c r="A1054" s="61">
        <v>2.01902296E8</v>
      </c>
      <c r="B1054" s="54" t="s">
        <v>13317</v>
      </c>
      <c r="C1054" s="54" t="s">
        <v>11871</v>
      </c>
    </row>
    <row r="1055" hidden="1">
      <c r="A1055" s="61">
        <v>2.01508144E8</v>
      </c>
      <c r="B1055" s="54" t="s">
        <v>13318</v>
      </c>
      <c r="C1055" s="54" t="s">
        <v>11909</v>
      </c>
    </row>
    <row r="1056" hidden="1">
      <c r="A1056" s="61">
        <v>2.01905771E8</v>
      </c>
      <c r="B1056" s="54" t="s">
        <v>13319</v>
      </c>
      <c r="C1056" s="54" t="s">
        <v>12063</v>
      </c>
    </row>
    <row r="1057" hidden="1">
      <c r="A1057" s="61">
        <v>2.01800246E8</v>
      </c>
      <c r="B1057" s="54" t="s">
        <v>13320</v>
      </c>
      <c r="C1057" s="54" t="s">
        <v>13321</v>
      </c>
    </row>
    <row r="1058" hidden="1">
      <c r="A1058" s="61">
        <v>2.01900611E8</v>
      </c>
      <c r="B1058" s="54" t="s">
        <v>13322</v>
      </c>
      <c r="C1058" s="54" t="s">
        <v>13323</v>
      </c>
    </row>
    <row r="1059" hidden="1">
      <c r="A1059" s="61">
        <v>2.01400241E8</v>
      </c>
      <c r="B1059" s="54" t="s">
        <v>13324</v>
      </c>
      <c r="C1059" s="54" t="s">
        <v>12474</v>
      </c>
    </row>
    <row r="1060" hidden="1">
      <c r="A1060" s="61">
        <v>2.01606448E8</v>
      </c>
      <c r="B1060" s="54" t="s">
        <v>13325</v>
      </c>
      <c r="C1060" s="54" t="s">
        <v>13326</v>
      </c>
    </row>
    <row r="1061" hidden="1">
      <c r="A1061" s="61">
        <v>2.01900241E8</v>
      </c>
      <c r="B1061" s="54" t="s">
        <v>13327</v>
      </c>
      <c r="C1061" s="54" t="s">
        <v>13328</v>
      </c>
    </row>
    <row r="1062" hidden="1">
      <c r="A1062" s="61">
        <v>2.02103415E8</v>
      </c>
      <c r="B1062" s="54" t="s">
        <v>13329</v>
      </c>
      <c r="C1062" s="54" t="s">
        <v>13330</v>
      </c>
    </row>
    <row r="1063" hidden="1">
      <c r="A1063" s="61">
        <v>2.01800348E8</v>
      </c>
      <c r="B1063" s="54" t="s">
        <v>13331</v>
      </c>
      <c r="C1063" s="54" t="s">
        <v>13332</v>
      </c>
    </row>
    <row r="1064" hidden="1">
      <c r="A1064" s="61">
        <v>2.01308296E8</v>
      </c>
      <c r="B1064" s="54" t="s">
        <v>13333</v>
      </c>
      <c r="C1064" s="54" t="s">
        <v>13334</v>
      </c>
    </row>
    <row r="1065" hidden="1">
      <c r="A1065" s="61">
        <v>2.01801419E8</v>
      </c>
      <c r="B1065" s="54" t="s">
        <v>13335</v>
      </c>
      <c r="C1065" s="54" t="s">
        <v>13336</v>
      </c>
    </row>
    <row r="1066" hidden="1">
      <c r="A1066" s="61">
        <v>2.01904728E8</v>
      </c>
      <c r="B1066" s="54" t="s">
        <v>13337</v>
      </c>
      <c r="C1066" s="54" t="s">
        <v>12956</v>
      </c>
    </row>
    <row r="1067" hidden="1">
      <c r="A1067" s="61">
        <v>2.01502044E8</v>
      </c>
      <c r="B1067" s="54" t="s">
        <v>13338</v>
      </c>
      <c r="C1067" s="54" t="s">
        <v>13339</v>
      </c>
    </row>
    <row r="1068" hidden="1">
      <c r="A1068" s="61">
        <v>2.01801801E8</v>
      </c>
      <c r="B1068" s="54" t="s">
        <v>13340</v>
      </c>
      <c r="C1068" s="54" t="s">
        <v>13341</v>
      </c>
    </row>
    <row r="1069" hidden="1">
      <c r="A1069" s="61">
        <v>2.0170071E8</v>
      </c>
      <c r="B1069" s="54" t="s">
        <v>13342</v>
      </c>
      <c r="C1069" s="54" t="s">
        <v>13343</v>
      </c>
    </row>
    <row r="1070" hidden="1">
      <c r="A1070" s="61">
        <v>2.00703805E8</v>
      </c>
      <c r="B1070" s="54" t="s">
        <v>13344</v>
      </c>
      <c r="C1070" s="54" t="s">
        <v>12682</v>
      </c>
    </row>
    <row r="1071" hidden="1">
      <c r="A1071" s="61">
        <v>2.00802411E8</v>
      </c>
      <c r="B1071" s="54" t="s">
        <v>13345</v>
      </c>
      <c r="C1071" s="54" t="s">
        <v>13346</v>
      </c>
    </row>
    <row r="1072" hidden="1">
      <c r="A1072" s="61">
        <v>2.00507289E8</v>
      </c>
      <c r="B1072" s="54" t="s">
        <v>13347</v>
      </c>
      <c r="C1072" s="54" t="s">
        <v>13348</v>
      </c>
    </row>
    <row r="1073" hidden="1">
      <c r="A1073" s="61">
        <v>2.0150555E8</v>
      </c>
      <c r="B1073" s="54" t="s">
        <v>13349</v>
      </c>
      <c r="C1073" s="54" t="s">
        <v>13350</v>
      </c>
    </row>
    <row r="1074" hidden="1">
      <c r="A1074" s="61">
        <v>2.01603704E8</v>
      </c>
      <c r="B1074" s="54" t="s">
        <v>13351</v>
      </c>
      <c r="C1074" s="54" t="s">
        <v>13352</v>
      </c>
    </row>
    <row r="1075" hidden="1">
      <c r="A1075" s="61">
        <v>2.01400162E8</v>
      </c>
      <c r="B1075" s="54" t="s">
        <v>13351</v>
      </c>
      <c r="C1075" s="54" t="s">
        <v>13353</v>
      </c>
    </row>
    <row r="1076" hidden="1">
      <c r="A1076" s="61">
        <v>2.01200558E8</v>
      </c>
      <c r="B1076" s="54" t="s">
        <v>13354</v>
      </c>
      <c r="C1076" s="54" t="s">
        <v>13355</v>
      </c>
    </row>
    <row r="1077" hidden="1">
      <c r="A1077" s="61">
        <v>2.01200472E8</v>
      </c>
      <c r="B1077" s="54" t="s">
        <v>13356</v>
      </c>
      <c r="C1077" s="54" t="s">
        <v>13357</v>
      </c>
    </row>
    <row r="1078" hidden="1">
      <c r="A1078" s="61">
        <v>2.01606629E8</v>
      </c>
      <c r="B1078" s="54" t="s">
        <v>13358</v>
      </c>
      <c r="C1078" s="54" t="s">
        <v>13359</v>
      </c>
    </row>
    <row r="1079" hidden="1">
      <c r="A1079" s="61">
        <v>2.01206868E8</v>
      </c>
      <c r="B1079" s="54" t="s">
        <v>13360</v>
      </c>
      <c r="C1079" s="54" t="s">
        <v>13361</v>
      </c>
    </row>
    <row r="1080" hidden="1">
      <c r="A1080" s="61">
        <v>2.01001376E8</v>
      </c>
      <c r="B1080" s="54" t="s">
        <v>13362</v>
      </c>
      <c r="C1080" s="54" t="s">
        <v>13363</v>
      </c>
    </row>
    <row r="1081" hidden="1">
      <c r="A1081" s="61">
        <v>2.01801802E8</v>
      </c>
      <c r="B1081" s="54" t="s">
        <v>13364</v>
      </c>
      <c r="C1081" s="54" t="s">
        <v>13365</v>
      </c>
    </row>
    <row r="1082" hidden="1">
      <c r="A1082" s="61">
        <v>2.01603705E8</v>
      </c>
      <c r="B1082" s="54" t="s">
        <v>13366</v>
      </c>
      <c r="C1082" s="54" t="s">
        <v>13367</v>
      </c>
    </row>
    <row r="1083" hidden="1">
      <c r="A1083" s="61">
        <v>2.01902184E8</v>
      </c>
      <c r="B1083" s="54" t="s">
        <v>13368</v>
      </c>
      <c r="C1083" s="54" t="s">
        <v>13369</v>
      </c>
    </row>
    <row r="1084" hidden="1">
      <c r="A1084" s="61">
        <v>2.01603706E8</v>
      </c>
      <c r="B1084" s="54" t="s">
        <v>13370</v>
      </c>
      <c r="C1084" s="54" t="s">
        <v>13371</v>
      </c>
    </row>
    <row r="1085" hidden="1">
      <c r="A1085" s="61">
        <v>2.01606449E8</v>
      </c>
      <c r="B1085" s="54" t="s">
        <v>13372</v>
      </c>
      <c r="C1085" s="54" t="s">
        <v>12580</v>
      </c>
    </row>
    <row r="1086" hidden="1">
      <c r="A1086" s="61">
        <v>2.02105116E8</v>
      </c>
      <c r="B1086" s="54" t="s">
        <v>13373</v>
      </c>
      <c r="C1086" s="54" t="s">
        <v>13141</v>
      </c>
    </row>
    <row r="1087" hidden="1">
      <c r="A1087" s="61">
        <v>2.01409232E8</v>
      </c>
      <c r="B1087" s="54" t="s">
        <v>13374</v>
      </c>
      <c r="C1087" s="54" t="s">
        <v>13375</v>
      </c>
    </row>
    <row r="1088" hidden="1">
      <c r="A1088" s="61">
        <v>2.01410673E8</v>
      </c>
      <c r="B1088" s="54" t="s">
        <v>13376</v>
      </c>
      <c r="C1088" s="54" t="s">
        <v>13377</v>
      </c>
    </row>
    <row r="1089" hidden="1">
      <c r="A1089" s="61">
        <v>2.01400163E8</v>
      </c>
      <c r="B1089" s="54" t="s">
        <v>13378</v>
      </c>
      <c r="C1089" s="54" t="s">
        <v>13379</v>
      </c>
    </row>
    <row r="1090" hidden="1">
      <c r="A1090" s="61">
        <v>2.01300218E8</v>
      </c>
      <c r="B1090" s="54" t="s">
        <v>13380</v>
      </c>
      <c r="C1090" s="54" t="s">
        <v>12349</v>
      </c>
    </row>
    <row r="1091" hidden="1">
      <c r="A1091" s="61">
        <v>2.00708858E8</v>
      </c>
      <c r="B1091" s="54" t="s">
        <v>13380</v>
      </c>
      <c r="C1091" s="54" t="s">
        <v>11863</v>
      </c>
    </row>
    <row r="1092" hidden="1">
      <c r="A1092" s="61">
        <v>2.01407302E8</v>
      </c>
      <c r="B1092" s="54" t="s">
        <v>13381</v>
      </c>
      <c r="C1092" s="54" t="s">
        <v>11835</v>
      </c>
    </row>
    <row r="1093" hidden="1">
      <c r="A1093" s="61">
        <v>2.01603707E8</v>
      </c>
      <c r="B1093" s="54" t="s">
        <v>13382</v>
      </c>
      <c r="C1093" s="54" t="s">
        <v>13383</v>
      </c>
    </row>
    <row r="1094" hidden="1">
      <c r="A1094" s="61">
        <v>2.00710279E8</v>
      </c>
      <c r="B1094" s="54" t="s">
        <v>13384</v>
      </c>
      <c r="C1094" s="54" t="s">
        <v>11766</v>
      </c>
    </row>
    <row r="1095" hidden="1">
      <c r="A1095" s="61">
        <v>2.01502045E8</v>
      </c>
      <c r="B1095" s="54" t="s">
        <v>13385</v>
      </c>
      <c r="C1095" s="54" t="s">
        <v>13386</v>
      </c>
    </row>
    <row r="1096" hidden="1">
      <c r="A1096" s="61">
        <v>2.00401545E8</v>
      </c>
      <c r="B1096" s="54" t="s">
        <v>13387</v>
      </c>
      <c r="C1096" s="54" t="s">
        <v>13388</v>
      </c>
    </row>
    <row r="1097" hidden="1">
      <c r="A1097" s="61">
        <v>2.01905762E8</v>
      </c>
      <c r="B1097" s="54" t="s">
        <v>13389</v>
      </c>
      <c r="C1097" s="54" t="s">
        <v>13282</v>
      </c>
    </row>
    <row r="1098" hidden="1">
      <c r="A1098" s="61">
        <v>2.01504884E8</v>
      </c>
      <c r="B1098" s="54" t="s">
        <v>13390</v>
      </c>
      <c r="C1098" s="54" t="s">
        <v>13391</v>
      </c>
    </row>
    <row r="1099" hidden="1">
      <c r="A1099" s="61">
        <v>2.01512261E8</v>
      </c>
      <c r="B1099" s="54" t="s">
        <v>13392</v>
      </c>
      <c r="C1099" s="54" t="s">
        <v>13393</v>
      </c>
    </row>
    <row r="1100" hidden="1">
      <c r="A1100" s="61">
        <v>2.01400314E8</v>
      </c>
      <c r="B1100" s="54" t="s">
        <v>13394</v>
      </c>
      <c r="C1100" s="54" t="s">
        <v>11482</v>
      </c>
    </row>
    <row r="1101" hidden="1">
      <c r="A1101" s="61">
        <v>2.01309576E8</v>
      </c>
      <c r="B1101" s="54" t="s">
        <v>13395</v>
      </c>
      <c r="C1101" s="54" t="s">
        <v>13396</v>
      </c>
    </row>
    <row r="1102" hidden="1">
      <c r="A1102" s="61">
        <v>2.01408547E8</v>
      </c>
      <c r="B1102" s="54" t="s">
        <v>13397</v>
      </c>
      <c r="C1102" s="54" t="s">
        <v>13398</v>
      </c>
    </row>
    <row r="1103" hidden="1">
      <c r="A1103" s="61">
        <v>2.01300266E8</v>
      </c>
      <c r="B1103" s="54" t="s">
        <v>13399</v>
      </c>
      <c r="C1103" s="54" t="s">
        <v>13400</v>
      </c>
    </row>
    <row r="1104" hidden="1">
      <c r="A1104" s="61">
        <v>2.01904678E8</v>
      </c>
      <c r="B1104" s="54" t="s">
        <v>13401</v>
      </c>
      <c r="C1104" s="54" t="s">
        <v>12897</v>
      </c>
    </row>
    <row r="1105" hidden="1">
      <c r="A1105" s="61">
        <v>2.01400164E8</v>
      </c>
      <c r="B1105" s="54" t="s">
        <v>13402</v>
      </c>
      <c r="C1105" s="54" t="s">
        <v>13403</v>
      </c>
    </row>
    <row r="1106" hidden="1">
      <c r="A1106" s="61">
        <v>2.01300267E8</v>
      </c>
      <c r="B1106" s="54" t="s">
        <v>13404</v>
      </c>
      <c r="C1106" s="54" t="s">
        <v>13405</v>
      </c>
    </row>
    <row r="1107" hidden="1">
      <c r="A1107" s="61">
        <v>2.01900226E8</v>
      </c>
      <c r="B1107" s="54" t="s">
        <v>13406</v>
      </c>
      <c r="C1107" s="54" t="s">
        <v>13407</v>
      </c>
    </row>
    <row r="1108" hidden="1">
      <c r="A1108" s="61">
        <v>2.01506902E8</v>
      </c>
      <c r="B1108" s="54" t="s">
        <v>13408</v>
      </c>
      <c r="C1108" s="54" t="s">
        <v>13409</v>
      </c>
    </row>
    <row r="1109" hidden="1">
      <c r="A1109" s="61">
        <v>2.02103399E8</v>
      </c>
      <c r="B1109" s="54" t="s">
        <v>13410</v>
      </c>
      <c r="C1109" s="54" t="s">
        <v>13411</v>
      </c>
    </row>
    <row r="1110" hidden="1">
      <c r="A1110" s="61">
        <v>2.0030705E8</v>
      </c>
      <c r="B1110" s="54" t="s">
        <v>13412</v>
      </c>
      <c r="C1110" s="54" t="s">
        <v>13413</v>
      </c>
    </row>
    <row r="1111" hidden="1">
      <c r="A1111" s="61">
        <v>2.0210332E8</v>
      </c>
      <c r="B1111" s="54" t="s">
        <v>13414</v>
      </c>
      <c r="C1111" s="54" t="s">
        <v>13415</v>
      </c>
    </row>
    <row r="1112" hidden="1">
      <c r="A1112" s="61">
        <v>2.01612086E8</v>
      </c>
      <c r="B1112" s="54" t="s">
        <v>13416</v>
      </c>
      <c r="C1112" s="54" t="s">
        <v>11835</v>
      </c>
    </row>
    <row r="1113" hidden="1">
      <c r="A1113" s="61">
        <v>1.99702739E8</v>
      </c>
      <c r="B1113" s="54" t="s">
        <v>13417</v>
      </c>
      <c r="C1113" s="54" t="s">
        <v>13418</v>
      </c>
    </row>
    <row r="1114" hidden="1">
      <c r="A1114" s="61">
        <v>2.01909887E8</v>
      </c>
      <c r="B1114" s="54" t="s">
        <v>13419</v>
      </c>
      <c r="C1114" s="54" t="s">
        <v>13420</v>
      </c>
    </row>
    <row r="1115" hidden="1">
      <c r="A1115" s="61">
        <v>2.01902186E8</v>
      </c>
      <c r="B1115" s="54" t="s">
        <v>13421</v>
      </c>
      <c r="C1115" s="54" t="s">
        <v>13422</v>
      </c>
    </row>
    <row r="1116" hidden="1">
      <c r="A1116" s="61">
        <v>2.01902187E8</v>
      </c>
      <c r="B1116" s="54" t="s">
        <v>13423</v>
      </c>
      <c r="C1116" s="54" t="s">
        <v>13424</v>
      </c>
    </row>
    <row r="1117" hidden="1">
      <c r="A1117" s="61">
        <v>2.01900519E8</v>
      </c>
      <c r="B1117" s="54" t="s">
        <v>13425</v>
      </c>
      <c r="C1117" s="54" t="s">
        <v>13426</v>
      </c>
    </row>
    <row r="1118" hidden="1">
      <c r="A1118" s="61">
        <v>2.0170977E8</v>
      </c>
      <c r="B1118" s="54" t="s">
        <v>13427</v>
      </c>
      <c r="C1118" s="54" t="s">
        <v>12412</v>
      </c>
    </row>
    <row r="1119" hidden="1">
      <c r="A1119" s="61">
        <v>2.01904705E8</v>
      </c>
      <c r="B1119" s="54" t="s">
        <v>13428</v>
      </c>
      <c r="C1119" s="54" t="s">
        <v>11745</v>
      </c>
    </row>
    <row r="1120" hidden="1">
      <c r="A1120" s="61">
        <v>2.0160645E8</v>
      </c>
      <c r="B1120" s="54" t="s">
        <v>13428</v>
      </c>
      <c r="C1120" s="54" t="s">
        <v>13429</v>
      </c>
    </row>
    <row r="1121" hidden="1">
      <c r="A1121" s="61">
        <v>2.02107872E8</v>
      </c>
      <c r="B1121" s="54" t="s">
        <v>13430</v>
      </c>
      <c r="C1121" s="54" t="s">
        <v>13431</v>
      </c>
    </row>
    <row r="1122" hidden="1">
      <c r="A1122" s="61">
        <v>2.01300135E8</v>
      </c>
      <c r="B1122" s="54" t="s">
        <v>13432</v>
      </c>
      <c r="C1122" s="54" t="s">
        <v>13433</v>
      </c>
    </row>
    <row r="1123" hidden="1">
      <c r="A1123" s="61">
        <v>2.02005546E8</v>
      </c>
      <c r="B1123" s="54" t="s">
        <v>13434</v>
      </c>
      <c r="C1123" s="54" t="s">
        <v>13435</v>
      </c>
    </row>
    <row r="1124" hidden="1">
      <c r="A1124" s="61">
        <v>2.02100043E8</v>
      </c>
      <c r="B1124" s="54" t="s">
        <v>13436</v>
      </c>
      <c r="C1124" s="54" t="s">
        <v>13437</v>
      </c>
    </row>
    <row r="1125" hidden="1">
      <c r="A1125" s="61">
        <v>2.02107925E8</v>
      </c>
      <c r="B1125" s="54" t="s">
        <v>13438</v>
      </c>
      <c r="C1125" s="54" t="s">
        <v>11484</v>
      </c>
    </row>
    <row r="1126" hidden="1">
      <c r="A1126" s="61">
        <v>2.01000985E8</v>
      </c>
      <c r="B1126" s="54" t="s">
        <v>13439</v>
      </c>
      <c r="C1126" s="54" t="s">
        <v>12912</v>
      </c>
    </row>
    <row r="1127" hidden="1">
      <c r="A1127" s="61">
        <v>2.01809288E8</v>
      </c>
      <c r="B1127" s="54" t="s">
        <v>13440</v>
      </c>
      <c r="C1127" s="54" t="s">
        <v>13441</v>
      </c>
    </row>
    <row r="1128" hidden="1">
      <c r="A1128" s="61">
        <v>2.01407314E8</v>
      </c>
      <c r="B1128" s="54" t="s">
        <v>13442</v>
      </c>
      <c r="C1128" s="54" t="s">
        <v>13443</v>
      </c>
    </row>
    <row r="1129" hidden="1">
      <c r="A1129" s="61">
        <v>2.02005547E8</v>
      </c>
      <c r="B1129" s="54" t="s">
        <v>13444</v>
      </c>
      <c r="C1129" s="54" t="s">
        <v>13039</v>
      </c>
    </row>
    <row r="1130" hidden="1">
      <c r="A1130" s="61">
        <v>2.00101074E8</v>
      </c>
      <c r="B1130" s="54" t="s">
        <v>13445</v>
      </c>
      <c r="C1130" s="54" t="s">
        <v>13446</v>
      </c>
    </row>
    <row r="1131" hidden="1">
      <c r="A1131" s="61">
        <v>2.01603709E8</v>
      </c>
      <c r="B1131" s="54" t="s">
        <v>13447</v>
      </c>
      <c r="C1131" s="54" t="s">
        <v>13448</v>
      </c>
    </row>
    <row r="1132" hidden="1">
      <c r="A1132" s="61">
        <v>2.02009538E8</v>
      </c>
      <c r="B1132" s="54" t="s">
        <v>13449</v>
      </c>
      <c r="C1132" s="54" t="s">
        <v>13450</v>
      </c>
    </row>
    <row r="1133" hidden="1">
      <c r="A1133" s="61">
        <v>2.02102947E8</v>
      </c>
      <c r="B1133" s="54" t="s">
        <v>13451</v>
      </c>
      <c r="C1133" s="54" t="s">
        <v>13452</v>
      </c>
    </row>
    <row r="1134" hidden="1">
      <c r="A1134" s="61">
        <v>2.01612063E8</v>
      </c>
      <c r="B1134" s="54" t="s">
        <v>13453</v>
      </c>
      <c r="C1134" s="54" t="s">
        <v>12412</v>
      </c>
    </row>
    <row r="1135" hidden="1">
      <c r="A1135" s="61">
        <v>2.01009141E8</v>
      </c>
      <c r="B1135" s="54" t="s">
        <v>13454</v>
      </c>
      <c r="C1135" s="54" t="s">
        <v>13455</v>
      </c>
    </row>
    <row r="1136" hidden="1">
      <c r="A1136" s="61">
        <v>2.01307221E8</v>
      </c>
      <c r="B1136" s="54" t="s">
        <v>13456</v>
      </c>
      <c r="C1136" s="54" t="s">
        <v>13457</v>
      </c>
    </row>
    <row r="1137" hidden="1">
      <c r="A1137" s="61">
        <v>2.00809413E8</v>
      </c>
      <c r="B1137" s="54" t="s">
        <v>13458</v>
      </c>
      <c r="C1137" s="54" t="s">
        <v>13459</v>
      </c>
    </row>
    <row r="1138" hidden="1">
      <c r="A1138" s="61">
        <v>2.01902188E8</v>
      </c>
      <c r="B1138" s="54" t="s">
        <v>13458</v>
      </c>
      <c r="C1138" s="54" t="s">
        <v>13460</v>
      </c>
    </row>
    <row r="1139" hidden="1">
      <c r="A1139" s="61">
        <v>2.0151224E8</v>
      </c>
      <c r="B1139" s="54" t="s">
        <v>13461</v>
      </c>
      <c r="C1139" s="54" t="s">
        <v>13462</v>
      </c>
    </row>
    <row r="1140" hidden="1">
      <c r="A1140" s="61">
        <v>2.01900615E8</v>
      </c>
      <c r="B1140" s="54" t="s">
        <v>13463</v>
      </c>
      <c r="C1140" s="54" t="s">
        <v>13464</v>
      </c>
    </row>
    <row r="1141" hidden="1">
      <c r="A1141" s="61">
        <v>2.01208893E8</v>
      </c>
      <c r="B1141" s="54" t="s">
        <v>13463</v>
      </c>
      <c r="C1141" s="54" t="s">
        <v>13465</v>
      </c>
    </row>
    <row r="1142" hidden="1">
      <c r="A1142" s="61">
        <v>2.00301743E8</v>
      </c>
      <c r="B1142" s="54" t="s">
        <v>13466</v>
      </c>
      <c r="C1142" s="54" t="s">
        <v>12129</v>
      </c>
    </row>
    <row r="1143" hidden="1">
      <c r="A1143" s="61">
        <v>2.01900567E8</v>
      </c>
      <c r="B1143" s="54" t="s">
        <v>13467</v>
      </c>
      <c r="C1143" s="54" t="s">
        <v>13282</v>
      </c>
    </row>
    <row r="1144" hidden="1">
      <c r="A1144" s="61">
        <v>2.01904714E8</v>
      </c>
      <c r="B1144" s="54" t="s">
        <v>13468</v>
      </c>
      <c r="C1144" s="54" t="s">
        <v>12386</v>
      </c>
    </row>
    <row r="1145" hidden="1">
      <c r="A1145" s="61">
        <v>2.00800946E8</v>
      </c>
      <c r="B1145" s="54" t="s">
        <v>13469</v>
      </c>
      <c r="C1145" s="54" t="s">
        <v>13470</v>
      </c>
    </row>
    <row r="1146" hidden="1">
      <c r="A1146" s="61">
        <v>2.01208494E8</v>
      </c>
      <c r="B1146" s="54" t="s">
        <v>13471</v>
      </c>
      <c r="C1146" s="54" t="s">
        <v>13472</v>
      </c>
    </row>
    <row r="1147" hidden="1">
      <c r="A1147" s="61">
        <v>2.01300137E8</v>
      </c>
      <c r="B1147" s="54" t="s">
        <v>13473</v>
      </c>
      <c r="C1147" s="54" t="s">
        <v>13474</v>
      </c>
    </row>
    <row r="1148" hidden="1">
      <c r="A1148" s="61">
        <v>2.0040158E8</v>
      </c>
      <c r="B1148" s="54" t="s">
        <v>13475</v>
      </c>
      <c r="C1148" s="54" t="s">
        <v>13476</v>
      </c>
    </row>
    <row r="1149" hidden="1">
      <c r="A1149" s="61">
        <v>2.00806097E8</v>
      </c>
      <c r="B1149" s="54" t="s">
        <v>13477</v>
      </c>
      <c r="C1149" s="54" t="s">
        <v>11766</v>
      </c>
    </row>
    <row r="1150" hidden="1">
      <c r="A1150" s="61">
        <v>2.0120056E8</v>
      </c>
      <c r="B1150" s="54" t="s">
        <v>13478</v>
      </c>
      <c r="C1150" s="54" t="s">
        <v>13479</v>
      </c>
    </row>
    <row r="1151" hidden="1">
      <c r="A1151" s="61">
        <v>2.01900624E8</v>
      </c>
      <c r="B1151" s="54" t="s">
        <v>13480</v>
      </c>
      <c r="C1151" s="54" t="s">
        <v>13481</v>
      </c>
    </row>
    <row r="1152" hidden="1">
      <c r="A1152" s="61">
        <v>2.01301026E8</v>
      </c>
      <c r="B1152" s="54" t="s">
        <v>13482</v>
      </c>
      <c r="C1152" s="54" t="s">
        <v>13483</v>
      </c>
    </row>
    <row r="1153" hidden="1">
      <c r="A1153" s="61">
        <v>2.00408325E8</v>
      </c>
      <c r="B1153" s="54" t="s">
        <v>13484</v>
      </c>
      <c r="C1153" s="54" t="s">
        <v>11575</v>
      </c>
    </row>
    <row r="1154" hidden="1">
      <c r="A1154" s="61">
        <v>2.01000988E8</v>
      </c>
      <c r="B1154" s="54" t="s">
        <v>13485</v>
      </c>
      <c r="C1154" s="54" t="s">
        <v>13486</v>
      </c>
    </row>
    <row r="1155" hidden="1">
      <c r="A1155" s="61">
        <v>2.00809414E8</v>
      </c>
      <c r="B1155" s="54" t="s">
        <v>13487</v>
      </c>
      <c r="C1155" s="54" t="s">
        <v>13488</v>
      </c>
    </row>
    <row r="1156" hidden="1">
      <c r="A1156" s="61">
        <v>2.01905763E8</v>
      </c>
      <c r="B1156" s="54" t="s">
        <v>13489</v>
      </c>
      <c r="C1156" s="54" t="s">
        <v>13490</v>
      </c>
    </row>
    <row r="1157" hidden="1">
      <c r="A1157" s="61">
        <v>2.01400245E8</v>
      </c>
      <c r="B1157" s="54" t="s">
        <v>13491</v>
      </c>
      <c r="C1157" s="54" t="s">
        <v>13492</v>
      </c>
    </row>
    <row r="1158" hidden="1">
      <c r="A1158" s="61">
        <v>2.00901527E8</v>
      </c>
      <c r="B1158" s="54" t="s">
        <v>13493</v>
      </c>
      <c r="C1158" s="54" t="s">
        <v>12431</v>
      </c>
    </row>
    <row r="1159" hidden="1">
      <c r="A1159" s="61">
        <v>2.01100314E8</v>
      </c>
      <c r="B1159" s="54" t="s">
        <v>13494</v>
      </c>
      <c r="C1159" s="54" t="s">
        <v>12498</v>
      </c>
    </row>
    <row r="1160" hidden="1">
      <c r="A1160" s="61">
        <v>2.01902189E8</v>
      </c>
      <c r="B1160" s="54" t="s">
        <v>13494</v>
      </c>
      <c r="C1160" s="54" t="s">
        <v>11845</v>
      </c>
    </row>
    <row r="1161" hidden="1">
      <c r="A1161" s="61">
        <v>2.01504886E8</v>
      </c>
      <c r="B1161" s="54" t="s">
        <v>13495</v>
      </c>
      <c r="C1161" s="54" t="s">
        <v>11837</v>
      </c>
    </row>
    <row r="1162" hidden="1">
      <c r="A1162" s="61">
        <v>2.02102948E8</v>
      </c>
      <c r="B1162" s="54" t="s">
        <v>13496</v>
      </c>
      <c r="C1162" s="54" t="s">
        <v>13497</v>
      </c>
    </row>
    <row r="1163" hidden="1">
      <c r="A1163" s="61">
        <v>2.01909905E8</v>
      </c>
      <c r="B1163" s="54" t="s">
        <v>13498</v>
      </c>
      <c r="C1163" s="54" t="s">
        <v>13499</v>
      </c>
    </row>
    <row r="1164" hidden="1">
      <c r="A1164" s="61">
        <v>2.01309577E8</v>
      </c>
      <c r="B1164" s="54" t="s">
        <v>13500</v>
      </c>
      <c r="C1164" s="54" t="s">
        <v>13501</v>
      </c>
    </row>
    <row r="1165" hidden="1">
      <c r="A1165" s="61">
        <v>2.01801794E8</v>
      </c>
      <c r="B1165" s="54" t="s">
        <v>13502</v>
      </c>
      <c r="C1165" s="54" t="s">
        <v>13503</v>
      </c>
    </row>
    <row r="1166" hidden="1">
      <c r="A1166" s="61">
        <v>2.01902183E8</v>
      </c>
      <c r="B1166" s="54" t="s">
        <v>13504</v>
      </c>
      <c r="C1166" s="54" t="s">
        <v>13505</v>
      </c>
    </row>
    <row r="1167" hidden="1">
      <c r="A1167" s="61">
        <v>2.01209079E8</v>
      </c>
      <c r="B1167" s="54" t="s">
        <v>13506</v>
      </c>
      <c r="C1167" s="54" t="s">
        <v>13507</v>
      </c>
    </row>
    <row r="1168" hidden="1">
      <c r="A1168" s="61">
        <v>2.02005548E8</v>
      </c>
      <c r="B1168" s="54" t="s">
        <v>13508</v>
      </c>
      <c r="C1168" s="54" t="s">
        <v>13509</v>
      </c>
    </row>
    <row r="1169" hidden="1">
      <c r="A1169" s="61">
        <v>2.01101018E8</v>
      </c>
      <c r="B1169" s="54" t="s">
        <v>13510</v>
      </c>
      <c r="C1169" s="54" t="s">
        <v>13511</v>
      </c>
    </row>
    <row r="1170" hidden="1">
      <c r="A1170" s="61">
        <v>2.02106872E8</v>
      </c>
      <c r="B1170" s="54" t="s">
        <v>13510</v>
      </c>
      <c r="C1170" s="54" t="s">
        <v>13512</v>
      </c>
    </row>
    <row r="1171" hidden="1">
      <c r="A1171" s="61">
        <v>2.01502048E8</v>
      </c>
      <c r="B1171" s="54" t="s">
        <v>13513</v>
      </c>
      <c r="C1171" s="54" t="s">
        <v>13514</v>
      </c>
    </row>
    <row r="1172" hidden="1">
      <c r="A1172" s="61">
        <v>2.01505701E8</v>
      </c>
      <c r="B1172" s="54" t="s">
        <v>13515</v>
      </c>
      <c r="C1172" s="54" t="s">
        <v>13516</v>
      </c>
    </row>
    <row r="1173" hidden="1">
      <c r="A1173" s="61">
        <v>2.02000083E8</v>
      </c>
      <c r="B1173" s="54" t="s">
        <v>13517</v>
      </c>
      <c r="C1173" s="54" t="s">
        <v>13518</v>
      </c>
    </row>
    <row r="1174" hidden="1">
      <c r="A1174" s="61">
        <v>2.01308724E8</v>
      </c>
      <c r="B1174" s="54" t="s">
        <v>13519</v>
      </c>
      <c r="C1174" s="54" t="s">
        <v>13520</v>
      </c>
    </row>
    <row r="1175" hidden="1">
      <c r="A1175" s="61">
        <v>2.01607891E8</v>
      </c>
      <c r="B1175" s="54" t="s">
        <v>13521</v>
      </c>
      <c r="C1175" s="54" t="s">
        <v>13522</v>
      </c>
    </row>
    <row r="1176" hidden="1">
      <c r="A1176" s="61">
        <v>2.00703042E8</v>
      </c>
      <c r="B1176" s="54" t="s">
        <v>13523</v>
      </c>
      <c r="C1176" s="54" t="s">
        <v>13524</v>
      </c>
    </row>
    <row r="1177" hidden="1">
      <c r="A1177" s="61">
        <v>2.01809289E8</v>
      </c>
      <c r="B1177" s="54" t="s">
        <v>13525</v>
      </c>
      <c r="C1177" s="54" t="s">
        <v>13526</v>
      </c>
    </row>
    <row r="1178" hidden="1">
      <c r="A1178" s="61">
        <v>2.01909702E8</v>
      </c>
      <c r="B1178" s="54" t="s">
        <v>13527</v>
      </c>
      <c r="C1178" s="54" t="s">
        <v>13528</v>
      </c>
    </row>
    <row r="1179" hidden="1">
      <c r="A1179" s="61">
        <v>2.02009772E8</v>
      </c>
      <c r="B1179" s="54" t="s">
        <v>13529</v>
      </c>
      <c r="C1179" s="54" t="s">
        <v>13530</v>
      </c>
    </row>
    <row r="1180" hidden="1">
      <c r="A1180" s="61">
        <v>2.02105118E8</v>
      </c>
      <c r="B1180" s="54" t="s">
        <v>13531</v>
      </c>
      <c r="C1180" s="54" t="s">
        <v>13532</v>
      </c>
    </row>
    <row r="1181" hidden="1">
      <c r="A1181" s="61">
        <v>2.01602991E8</v>
      </c>
      <c r="B1181" s="54" t="s">
        <v>13533</v>
      </c>
      <c r="C1181" s="54" t="s">
        <v>13534</v>
      </c>
    </row>
    <row r="1182" hidden="1">
      <c r="A1182" s="61">
        <v>2.02107927E8</v>
      </c>
      <c r="B1182" s="54" t="s">
        <v>13535</v>
      </c>
      <c r="C1182" s="54" t="s">
        <v>13536</v>
      </c>
    </row>
    <row r="1183" hidden="1">
      <c r="A1183" s="61">
        <v>2.01201857E8</v>
      </c>
      <c r="B1183" s="54" t="s">
        <v>13537</v>
      </c>
      <c r="C1183" s="54" t="s">
        <v>13538</v>
      </c>
    </row>
    <row r="1184" hidden="1">
      <c r="A1184" s="61">
        <v>2.02107686E8</v>
      </c>
      <c r="B1184" s="54" t="s">
        <v>13539</v>
      </c>
      <c r="C1184" s="54" t="s">
        <v>11837</v>
      </c>
    </row>
    <row r="1185" hidden="1">
      <c r="A1185" s="61">
        <v>2.01506912E8</v>
      </c>
      <c r="B1185" s="54" t="s">
        <v>13540</v>
      </c>
      <c r="C1185" s="54" t="s">
        <v>13541</v>
      </c>
    </row>
    <row r="1186" hidden="1">
      <c r="A1186" s="61">
        <v>2.02000392E8</v>
      </c>
      <c r="B1186" s="54" t="s">
        <v>13540</v>
      </c>
      <c r="C1186" s="54" t="s">
        <v>12974</v>
      </c>
    </row>
    <row r="1187" hidden="1">
      <c r="A1187" s="61">
        <v>2.01210558E8</v>
      </c>
      <c r="B1187" s="54" t="s">
        <v>13542</v>
      </c>
      <c r="C1187" s="54" t="s">
        <v>13543</v>
      </c>
    </row>
    <row r="1188" hidden="1">
      <c r="A1188" s="61">
        <v>2.02000418E8</v>
      </c>
      <c r="B1188" s="54" t="s">
        <v>13544</v>
      </c>
      <c r="C1188" s="54" t="s">
        <v>13545</v>
      </c>
    </row>
    <row r="1189" hidden="1">
      <c r="A1189" s="61">
        <v>2.01905747E8</v>
      </c>
      <c r="B1189" s="54" t="s">
        <v>13546</v>
      </c>
      <c r="C1189" s="54" t="s">
        <v>13547</v>
      </c>
    </row>
    <row r="1190" hidden="1">
      <c r="A1190" s="61">
        <v>2.02103375E8</v>
      </c>
      <c r="B1190" s="54" t="s">
        <v>13548</v>
      </c>
      <c r="C1190" s="54" t="s">
        <v>13549</v>
      </c>
    </row>
    <row r="1191" hidden="1">
      <c r="A1191" s="61">
        <v>2.01100242E8</v>
      </c>
      <c r="B1191" s="54" t="s">
        <v>13550</v>
      </c>
      <c r="C1191" s="54" t="s">
        <v>11650</v>
      </c>
    </row>
    <row r="1192" hidden="1">
      <c r="A1192" s="61">
        <v>2.00604426E8</v>
      </c>
      <c r="B1192" s="54" t="s">
        <v>13551</v>
      </c>
      <c r="C1192" s="54" t="s">
        <v>13552</v>
      </c>
    </row>
    <row r="1193" hidden="1">
      <c r="A1193" s="61">
        <v>2.01307239E8</v>
      </c>
      <c r="B1193" s="54" t="s">
        <v>13553</v>
      </c>
      <c r="C1193" s="54" t="s">
        <v>13554</v>
      </c>
    </row>
    <row r="1194" hidden="1">
      <c r="A1194" s="61">
        <v>2.02009773E8</v>
      </c>
      <c r="B1194" s="54" t="s">
        <v>13555</v>
      </c>
      <c r="C1194" s="54" t="s">
        <v>13556</v>
      </c>
    </row>
    <row r="1195" hidden="1">
      <c r="A1195" s="61">
        <v>2.01905745E8</v>
      </c>
      <c r="B1195" s="54" t="s">
        <v>13557</v>
      </c>
      <c r="C1195" s="54" t="s">
        <v>13558</v>
      </c>
    </row>
    <row r="1196" hidden="1">
      <c r="A1196" s="61">
        <v>2.02107911E8</v>
      </c>
      <c r="B1196" s="54" t="s">
        <v>13559</v>
      </c>
      <c r="C1196" s="54" t="s">
        <v>11502</v>
      </c>
    </row>
    <row r="1197" hidden="1">
      <c r="A1197" s="61">
        <v>2.01603605E8</v>
      </c>
      <c r="B1197" s="54" t="s">
        <v>13560</v>
      </c>
      <c r="C1197" s="54" t="s">
        <v>12595</v>
      </c>
    </row>
    <row r="1198" hidden="1">
      <c r="A1198" s="61">
        <v>2.01607892E8</v>
      </c>
      <c r="B1198" s="54" t="s">
        <v>13561</v>
      </c>
      <c r="C1198" s="54" t="s">
        <v>12939</v>
      </c>
    </row>
    <row r="1199" hidden="1">
      <c r="A1199" s="61">
        <v>2.01800249E8</v>
      </c>
      <c r="B1199" s="54" t="s">
        <v>13562</v>
      </c>
      <c r="C1199" s="54" t="s">
        <v>13563</v>
      </c>
    </row>
    <row r="1200" hidden="1">
      <c r="A1200" s="61">
        <v>2.01106274E8</v>
      </c>
      <c r="B1200" s="54" t="s">
        <v>13564</v>
      </c>
      <c r="C1200" s="54" t="s">
        <v>13565</v>
      </c>
    </row>
    <row r="1201" hidden="1">
      <c r="A1201" s="61">
        <v>2.01705688E8</v>
      </c>
      <c r="B1201" s="54" t="s">
        <v>13566</v>
      </c>
      <c r="C1201" s="54" t="s">
        <v>13567</v>
      </c>
    </row>
    <row r="1202" hidden="1">
      <c r="A1202" s="61">
        <v>2.0170186E8</v>
      </c>
      <c r="B1202" s="54" t="s">
        <v>13568</v>
      </c>
      <c r="C1202" s="54" t="s">
        <v>13569</v>
      </c>
    </row>
    <row r="1203" hidden="1">
      <c r="A1203" s="61">
        <v>2.01905749E8</v>
      </c>
      <c r="B1203" s="54" t="s">
        <v>13570</v>
      </c>
      <c r="C1203" s="54" t="s">
        <v>13532</v>
      </c>
    </row>
    <row r="1204" hidden="1">
      <c r="A1204" s="61">
        <v>2.01701861E8</v>
      </c>
      <c r="B1204" s="54" t="s">
        <v>13571</v>
      </c>
      <c r="C1204" s="54" t="s">
        <v>13572</v>
      </c>
    </row>
    <row r="1205" hidden="1">
      <c r="A1205" s="61">
        <v>1.9990945E8</v>
      </c>
      <c r="B1205" s="54" t="s">
        <v>13573</v>
      </c>
      <c r="C1205" s="54" t="s">
        <v>13574</v>
      </c>
    </row>
    <row r="1206" hidden="1">
      <c r="A1206" s="61">
        <v>2.01300138E8</v>
      </c>
      <c r="B1206" s="54" t="s">
        <v>13575</v>
      </c>
      <c r="C1206" s="54" t="s">
        <v>13576</v>
      </c>
    </row>
    <row r="1207" hidden="1">
      <c r="A1207" s="61">
        <v>2.02009766E8</v>
      </c>
      <c r="B1207" s="54" t="s">
        <v>13577</v>
      </c>
      <c r="C1207" s="54" t="s">
        <v>13578</v>
      </c>
    </row>
    <row r="1208" hidden="1">
      <c r="A1208" s="61">
        <v>2.00806858E8</v>
      </c>
      <c r="B1208" s="54" t="s">
        <v>13579</v>
      </c>
      <c r="C1208" s="54" t="s">
        <v>13580</v>
      </c>
    </row>
    <row r="1209" hidden="1">
      <c r="A1209" s="61">
        <v>2.01506904E8</v>
      </c>
      <c r="B1209" s="54" t="s">
        <v>13581</v>
      </c>
      <c r="C1209" s="54" t="s">
        <v>13582</v>
      </c>
    </row>
    <row r="1210" hidden="1">
      <c r="A1210" s="61">
        <v>2.02001516E8</v>
      </c>
      <c r="B1210" s="54" t="s">
        <v>13583</v>
      </c>
      <c r="C1210" s="54" t="s">
        <v>12163</v>
      </c>
    </row>
    <row r="1211" hidden="1">
      <c r="A1211" s="61">
        <v>2.00806128E8</v>
      </c>
      <c r="B1211" s="54" t="s">
        <v>13584</v>
      </c>
      <c r="C1211" s="54" t="s">
        <v>12595</v>
      </c>
    </row>
    <row r="1212" hidden="1">
      <c r="A1212" s="61">
        <v>2.01504887E8</v>
      </c>
      <c r="B1212" s="54" t="s">
        <v>13585</v>
      </c>
      <c r="C1212" s="54" t="s">
        <v>13586</v>
      </c>
    </row>
    <row r="1213" hidden="1">
      <c r="A1213" s="61">
        <v>2.0190059E8</v>
      </c>
      <c r="B1213" s="54" t="s">
        <v>13587</v>
      </c>
      <c r="C1213" s="54" t="s">
        <v>13588</v>
      </c>
    </row>
    <row r="1214" hidden="1">
      <c r="A1214" s="61">
        <v>2.02009323E8</v>
      </c>
      <c r="B1214" s="54" t="s">
        <v>13589</v>
      </c>
      <c r="C1214" s="54" t="s">
        <v>13590</v>
      </c>
    </row>
    <row r="1215" hidden="1">
      <c r="A1215" s="61">
        <v>2.01407287E8</v>
      </c>
      <c r="B1215" s="54" t="s">
        <v>13591</v>
      </c>
      <c r="C1215" s="54" t="s">
        <v>13592</v>
      </c>
    </row>
    <row r="1216" hidden="1">
      <c r="A1216" s="61">
        <v>2.01801396E8</v>
      </c>
      <c r="B1216" s="54" t="s">
        <v>13593</v>
      </c>
      <c r="C1216" s="54" t="s">
        <v>13594</v>
      </c>
    </row>
    <row r="1217" hidden="1">
      <c r="A1217" s="61">
        <v>2.01709771E8</v>
      </c>
      <c r="B1217" s="54" t="s">
        <v>13595</v>
      </c>
      <c r="C1217" s="54" t="s">
        <v>13596</v>
      </c>
    </row>
    <row r="1218" hidden="1">
      <c r="A1218" s="61">
        <v>2.01909922E8</v>
      </c>
      <c r="B1218" s="54" t="s">
        <v>13597</v>
      </c>
      <c r="C1218" s="54" t="s">
        <v>13598</v>
      </c>
    </row>
    <row r="1219" hidden="1">
      <c r="A1219" s="61">
        <v>2.01603606E8</v>
      </c>
      <c r="B1219" s="54" t="s">
        <v>13599</v>
      </c>
      <c r="C1219" s="54" t="s">
        <v>13600</v>
      </c>
    </row>
    <row r="1220" hidden="1">
      <c r="A1220" s="61">
        <v>2.01900591E8</v>
      </c>
      <c r="B1220" s="54" t="s">
        <v>13601</v>
      </c>
      <c r="C1220" s="54" t="s">
        <v>12302</v>
      </c>
    </row>
    <row r="1221" hidden="1">
      <c r="A1221" s="61">
        <v>2.01809487E8</v>
      </c>
      <c r="B1221" s="54" t="s">
        <v>13602</v>
      </c>
      <c r="C1221" s="54" t="s">
        <v>13603</v>
      </c>
    </row>
    <row r="1222" hidden="1">
      <c r="A1222" s="61">
        <v>2.02000094E8</v>
      </c>
      <c r="B1222" s="54" t="s">
        <v>13604</v>
      </c>
      <c r="C1222" s="54" t="s">
        <v>13605</v>
      </c>
    </row>
    <row r="1223" hidden="1">
      <c r="A1223" s="61">
        <v>2.01809488E8</v>
      </c>
      <c r="B1223" s="54" t="s">
        <v>13606</v>
      </c>
      <c r="C1223" s="54" t="s">
        <v>13607</v>
      </c>
    </row>
    <row r="1224" hidden="1">
      <c r="A1224" s="61">
        <v>2.02103361E8</v>
      </c>
      <c r="B1224" s="54" t="s">
        <v>13608</v>
      </c>
      <c r="C1224" s="54" t="s">
        <v>12649</v>
      </c>
    </row>
    <row r="1225" hidden="1">
      <c r="A1225" s="61">
        <v>2.0130027E8</v>
      </c>
      <c r="B1225" s="54" t="s">
        <v>13609</v>
      </c>
      <c r="C1225" s="54" t="s">
        <v>13610</v>
      </c>
    </row>
    <row r="1226" hidden="1">
      <c r="A1226" s="61">
        <v>2.02000084E8</v>
      </c>
      <c r="B1226" s="54" t="s">
        <v>13611</v>
      </c>
      <c r="C1226" s="54" t="s">
        <v>13612</v>
      </c>
    </row>
    <row r="1227" hidden="1">
      <c r="A1227" s="61">
        <v>2.01308422E8</v>
      </c>
      <c r="B1227" s="54" t="s">
        <v>13613</v>
      </c>
      <c r="C1227" s="54" t="s">
        <v>13614</v>
      </c>
    </row>
    <row r="1228" hidden="1">
      <c r="A1228" s="61">
        <v>2.01603714E8</v>
      </c>
      <c r="B1228" s="54" t="s">
        <v>13615</v>
      </c>
      <c r="C1228" s="54" t="s">
        <v>12198</v>
      </c>
    </row>
    <row r="1229" hidden="1">
      <c r="A1229" s="61">
        <v>2.02001517E8</v>
      </c>
      <c r="B1229" s="54" t="s">
        <v>13616</v>
      </c>
      <c r="C1229" s="54" t="s">
        <v>11835</v>
      </c>
    </row>
    <row r="1230" hidden="1">
      <c r="A1230" s="61">
        <v>2.01504888E8</v>
      </c>
      <c r="B1230" s="54" t="s">
        <v>13617</v>
      </c>
      <c r="C1230" s="54" t="s">
        <v>13618</v>
      </c>
    </row>
    <row r="1231" hidden="1">
      <c r="A1231" s="61">
        <v>2.01504889E8</v>
      </c>
      <c r="B1231" s="54" t="s">
        <v>13619</v>
      </c>
      <c r="C1231" s="54" t="s">
        <v>13620</v>
      </c>
    </row>
    <row r="1232" hidden="1">
      <c r="A1232" s="61">
        <v>2.01906513E8</v>
      </c>
      <c r="B1232" s="54" t="s">
        <v>13621</v>
      </c>
      <c r="C1232" s="54" t="s">
        <v>13622</v>
      </c>
    </row>
    <row r="1233" hidden="1">
      <c r="A1233" s="61">
        <v>2.0190576E8</v>
      </c>
      <c r="B1233" s="54" t="s">
        <v>13623</v>
      </c>
      <c r="C1233" s="54" t="s">
        <v>13624</v>
      </c>
    </row>
    <row r="1234" hidden="1">
      <c r="A1234" s="61">
        <v>2.01201205E8</v>
      </c>
      <c r="B1234" s="54" t="s">
        <v>13625</v>
      </c>
      <c r="C1234" s="54" t="s">
        <v>13626</v>
      </c>
    </row>
    <row r="1235" hidden="1">
      <c r="A1235" s="61">
        <v>2.0200235E8</v>
      </c>
      <c r="B1235" s="54" t="s">
        <v>13627</v>
      </c>
      <c r="C1235" s="54" t="s">
        <v>13628</v>
      </c>
    </row>
    <row r="1236" hidden="1">
      <c r="A1236" s="61">
        <v>2.0190219E8</v>
      </c>
      <c r="B1236" s="54" t="s">
        <v>13629</v>
      </c>
      <c r="C1236" s="54" t="s">
        <v>13630</v>
      </c>
    </row>
    <row r="1237" hidden="1">
      <c r="A1237" s="61">
        <v>2.01606452E8</v>
      </c>
      <c r="B1237" s="54" t="s">
        <v>13631</v>
      </c>
      <c r="C1237" s="54" t="s">
        <v>13632</v>
      </c>
    </row>
    <row r="1238" hidden="1">
      <c r="A1238" s="61">
        <v>2.01512262E8</v>
      </c>
      <c r="B1238" s="54" t="s">
        <v>13633</v>
      </c>
      <c r="C1238" s="54" t="s">
        <v>12316</v>
      </c>
    </row>
    <row r="1239" hidden="1">
      <c r="A1239" s="61">
        <v>2.02102949E8</v>
      </c>
      <c r="B1239" s="54" t="s">
        <v>13634</v>
      </c>
      <c r="C1239" s="54" t="s">
        <v>13635</v>
      </c>
    </row>
    <row r="1240" hidden="1">
      <c r="A1240" s="61">
        <v>2.01902191E8</v>
      </c>
      <c r="B1240" s="54" t="s">
        <v>13634</v>
      </c>
      <c r="C1240" s="54" t="s">
        <v>13636</v>
      </c>
    </row>
    <row r="1241" hidden="1">
      <c r="A1241" s="61">
        <v>2.01110788E8</v>
      </c>
      <c r="B1241" s="54" t="s">
        <v>13637</v>
      </c>
      <c r="C1241" s="54" t="s">
        <v>13638</v>
      </c>
    </row>
    <row r="1242" hidden="1">
      <c r="A1242" s="61">
        <v>2.02103341E8</v>
      </c>
      <c r="B1242" s="54" t="s">
        <v>13639</v>
      </c>
      <c r="C1242" s="54" t="s">
        <v>13640</v>
      </c>
    </row>
    <row r="1243" hidden="1">
      <c r="A1243" s="61">
        <v>2.01200423E8</v>
      </c>
      <c r="B1243" s="54" t="s">
        <v>13641</v>
      </c>
      <c r="C1243" s="54" t="s">
        <v>12002</v>
      </c>
    </row>
    <row r="1244" hidden="1">
      <c r="A1244" s="61">
        <v>2.01400248E8</v>
      </c>
      <c r="B1244" s="54" t="s">
        <v>13642</v>
      </c>
      <c r="C1244" s="54" t="s">
        <v>13643</v>
      </c>
    </row>
    <row r="1245" hidden="1">
      <c r="A1245" s="61">
        <v>2.01010172E8</v>
      </c>
      <c r="B1245" s="54" t="s">
        <v>13644</v>
      </c>
      <c r="C1245" s="54" t="s">
        <v>13645</v>
      </c>
    </row>
    <row r="1246" hidden="1">
      <c r="A1246" s="61">
        <v>2.00809416E8</v>
      </c>
      <c r="B1246" s="54" t="s">
        <v>13646</v>
      </c>
      <c r="C1246" s="54" t="s">
        <v>12420</v>
      </c>
    </row>
    <row r="1247" hidden="1">
      <c r="A1247" s="61">
        <v>2.02000374E8</v>
      </c>
      <c r="B1247" s="54" t="s">
        <v>13647</v>
      </c>
      <c r="C1247" s="54" t="s">
        <v>13648</v>
      </c>
    </row>
    <row r="1248" hidden="1">
      <c r="A1248" s="61">
        <v>2.01809489E8</v>
      </c>
      <c r="B1248" s="54" t="s">
        <v>13649</v>
      </c>
      <c r="C1248" s="54" t="s">
        <v>11470</v>
      </c>
    </row>
    <row r="1249" hidden="1">
      <c r="A1249" s="61">
        <v>2.01009999E8</v>
      </c>
      <c r="B1249" s="54" t="s">
        <v>13650</v>
      </c>
      <c r="C1249" s="54" t="s">
        <v>13651</v>
      </c>
    </row>
    <row r="1250" hidden="1">
      <c r="A1250" s="61">
        <v>2.01502226E8</v>
      </c>
      <c r="B1250" s="54" t="s">
        <v>13652</v>
      </c>
      <c r="C1250" s="54" t="s">
        <v>13653</v>
      </c>
    </row>
    <row r="1251" hidden="1">
      <c r="A1251" s="61">
        <v>2.01800252E8</v>
      </c>
      <c r="B1251" s="54" t="s">
        <v>13654</v>
      </c>
      <c r="C1251" s="54" t="s">
        <v>13655</v>
      </c>
    </row>
    <row r="1252" hidden="1">
      <c r="A1252" s="61">
        <v>2.01502049E8</v>
      </c>
      <c r="B1252" s="54" t="s">
        <v>13656</v>
      </c>
      <c r="C1252" s="54" t="s">
        <v>13657</v>
      </c>
    </row>
    <row r="1253" hidden="1">
      <c r="A1253" s="61">
        <v>2.01902192E8</v>
      </c>
      <c r="B1253" s="54" t="s">
        <v>13658</v>
      </c>
      <c r="C1253" s="54" t="s">
        <v>13659</v>
      </c>
    </row>
    <row r="1254" hidden="1">
      <c r="A1254" s="61">
        <v>2.02105119E8</v>
      </c>
      <c r="B1254" s="54" t="s">
        <v>13660</v>
      </c>
      <c r="C1254" s="54" t="s">
        <v>13661</v>
      </c>
    </row>
    <row r="1255" hidden="1">
      <c r="A1255" s="61">
        <v>2.01400167E8</v>
      </c>
      <c r="B1255" s="54" t="s">
        <v>13662</v>
      </c>
      <c r="C1255" s="54" t="s">
        <v>13663</v>
      </c>
    </row>
    <row r="1256" hidden="1">
      <c r="A1256" s="61">
        <v>2.02103362E8</v>
      </c>
      <c r="B1256" s="54" t="s">
        <v>13664</v>
      </c>
      <c r="C1256" s="54" t="s">
        <v>13665</v>
      </c>
    </row>
    <row r="1257" hidden="1">
      <c r="A1257" s="61">
        <v>2.00808929E8</v>
      </c>
      <c r="B1257" s="54" t="s">
        <v>13666</v>
      </c>
      <c r="C1257" s="54" t="s">
        <v>13667</v>
      </c>
    </row>
    <row r="1258" hidden="1">
      <c r="A1258" s="61">
        <v>2.0200976E8</v>
      </c>
      <c r="B1258" s="54" t="s">
        <v>13668</v>
      </c>
      <c r="C1258" s="54" t="s">
        <v>13669</v>
      </c>
    </row>
    <row r="1259" hidden="1">
      <c r="A1259" s="61">
        <v>2.01403729E8</v>
      </c>
      <c r="B1259" s="54" t="s">
        <v>13670</v>
      </c>
      <c r="C1259" s="54" t="s">
        <v>13671</v>
      </c>
    </row>
    <row r="1260" hidden="1">
      <c r="A1260" s="61">
        <v>2.0030817E8</v>
      </c>
      <c r="B1260" s="54" t="s">
        <v>13672</v>
      </c>
      <c r="C1260" s="54" t="s">
        <v>12129</v>
      </c>
    </row>
    <row r="1261" hidden="1">
      <c r="A1261" s="61">
        <v>2.01606455E8</v>
      </c>
      <c r="B1261" s="54" t="s">
        <v>13673</v>
      </c>
      <c r="C1261" s="54" t="s">
        <v>13674</v>
      </c>
    </row>
    <row r="1262" hidden="1">
      <c r="A1262" s="61">
        <v>2.02000289E8</v>
      </c>
      <c r="B1262" s="54" t="s">
        <v>13675</v>
      </c>
      <c r="C1262" s="54" t="s">
        <v>13488</v>
      </c>
    </row>
    <row r="1263" hidden="1">
      <c r="A1263" s="61">
        <v>2.00901797E8</v>
      </c>
      <c r="B1263" s="54" t="s">
        <v>13676</v>
      </c>
      <c r="C1263" s="54" t="s">
        <v>13677</v>
      </c>
    </row>
    <row r="1264" hidden="1">
      <c r="A1264" s="61">
        <v>2.02000365E8</v>
      </c>
      <c r="B1264" s="54" t="s">
        <v>13678</v>
      </c>
      <c r="C1264" s="54" t="s">
        <v>11574</v>
      </c>
    </row>
    <row r="1265" hidden="1">
      <c r="A1265" s="61">
        <v>2.02001518E8</v>
      </c>
      <c r="B1265" s="54" t="s">
        <v>13679</v>
      </c>
      <c r="C1265" s="54" t="s">
        <v>13680</v>
      </c>
    </row>
    <row r="1266" hidden="1">
      <c r="A1266" s="61">
        <v>2.02002325E8</v>
      </c>
      <c r="B1266" s="54" t="s">
        <v>13681</v>
      </c>
      <c r="C1266" s="54" t="s">
        <v>12782</v>
      </c>
    </row>
    <row r="1267" hidden="1">
      <c r="A1267" s="61">
        <v>2.02001519E8</v>
      </c>
      <c r="B1267" s="54" t="s">
        <v>13682</v>
      </c>
      <c r="C1267" s="54" t="s">
        <v>13683</v>
      </c>
    </row>
    <row r="1268" hidden="1">
      <c r="A1268" s="61">
        <v>2.01309824E8</v>
      </c>
      <c r="B1268" s="54" t="s">
        <v>13684</v>
      </c>
      <c r="C1268" s="54" t="s">
        <v>13685</v>
      </c>
    </row>
    <row r="1269" hidden="1">
      <c r="A1269" s="61">
        <v>2.01800253E8</v>
      </c>
      <c r="B1269" s="54" t="s">
        <v>13686</v>
      </c>
      <c r="C1269" s="54" t="s">
        <v>12163</v>
      </c>
    </row>
    <row r="1270" hidden="1">
      <c r="A1270" s="61">
        <v>2.01900574E8</v>
      </c>
      <c r="B1270" s="54" t="s">
        <v>13687</v>
      </c>
      <c r="C1270" s="54" t="s">
        <v>13688</v>
      </c>
    </row>
    <row r="1271" hidden="1">
      <c r="A1271" s="61">
        <v>2.00406757E8</v>
      </c>
      <c r="B1271" s="54" t="s">
        <v>13689</v>
      </c>
      <c r="C1271" s="54" t="s">
        <v>13201</v>
      </c>
    </row>
    <row r="1272" hidden="1">
      <c r="A1272" s="61">
        <v>2.01410677E8</v>
      </c>
      <c r="B1272" s="54" t="s">
        <v>13690</v>
      </c>
      <c r="C1272" s="54" t="s">
        <v>13691</v>
      </c>
    </row>
    <row r="1273" hidden="1">
      <c r="A1273" s="61">
        <v>2.0200152E8</v>
      </c>
      <c r="B1273" s="54" t="s">
        <v>13692</v>
      </c>
      <c r="C1273" s="54" t="s">
        <v>13693</v>
      </c>
    </row>
    <row r="1274" hidden="1">
      <c r="A1274" s="61">
        <v>2.01307222E8</v>
      </c>
      <c r="B1274" s="54" t="s">
        <v>13694</v>
      </c>
      <c r="C1274" s="54" t="s">
        <v>12185</v>
      </c>
    </row>
    <row r="1275" hidden="1">
      <c r="A1275" s="61">
        <v>2.01803255E8</v>
      </c>
      <c r="B1275" s="54" t="s">
        <v>13695</v>
      </c>
      <c r="C1275" s="54" t="s">
        <v>12645</v>
      </c>
    </row>
    <row r="1276" hidden="1">
      <c r="A1276" s="61">
        <v>2.01505441E8</v>
      </c>
      <c r="B1276" s="54" t="s">
        <v>13696</v>
      </c>
      <c r="C1276" s="54" t="s">
        <v>13697</v>
      </c>
    </row>
    <row r="1277" hidden="1">
      <c r="A1277" s="61">
        <v>2.01603715E8</v>
      </c>
      <c r="B1277" s="54" t="s">
        <v>13698</v>
      </c>
      <c r="C1277" s="54" t="s">
        <v>13693</v>
      </c>
    </row>
    <row r="1278" hidden="1">
      <c r="A1278" s="61">
        <v>2.0100138E8</v>
      </c>
      <c r="B1278" s="54" t="s">
        <v>13699</v>
      </c>
      <c r="C1278" s="54" t="s">
        <v>11704</v>
      </c>
    </row>
    <row r="1279" hidden="1">
      <c r="A1279" s="61">
        <v>2.01704771E8</v>
      </c>
      <c r="B1279" s="54" t="s">
        <v>13700</v>
      </c>
      <c r="C1279" s="54" t="s">
        <v>11909</v>
      </c>
    </row>
    <row r="1280" hidden="1">
      <c r="A1280" s="61">
        <v>2.00901531E8</v>
      </c>
      <c r="B1280" s="54" t="s">
        <v>13701</v>
      </c>
      <c r="C1280" s="54" t="s">
        <v>13702</v>
      </c>
    </row>
    <row r="1281" hidden="1">
      <c r="A1281" s="61">
        <v>2.0190472E8</v>
      </c>
      <c r="B1281" s="54" t="s">
        <v>13703</v>
      </c>
      <c r="C1281" s="54" t="s">
        <v>13704</v>
      </c>
    </row>
    <row r="1282" hidden="1">
      <c r="A1282" s="61">
        <v>2.01512241E8</v>
      </c>
      <c r="B1282" s="54" t="s">
        <v>13705</v>
      </c>
      <c r="C1282" s="54" t="s">
        <v>13706</v>
      </c>
    </row>
    <row r="1283" hidden="1">
      <c r="A1283" s="61">
        <v>2.01603717E8</v>
      </c>
      <c r="B1283" s="54" t="s">
        <v>13707</v>
      </c>
      <c r="C1283" s="54" t="s">
        <v>13708</v>
      </c>
    </row>
    <row r="1284" hidden="1">
      <c r="A1284" s="61">
        <v>2.00200868E8</v>
      </c>
      <c r="B1284" s="54" t="s">
        <v>13709</v>
      </c>
      <c r="C1284" s="54" t="s">
        <v>13710</v>
      </c>
    </row>
    <row r="1285" hidden="1">
      <c r="A1285" s="61">
        <v>2.0180003E8</v>
      </c>
      <c r="B1285" s="54" t="s">
        <v>13711</v>
      </c>
      <c r="C1285" s="54" t="s">
        <v>13712</v>
      </c>
    </row>
    <row r="1286" hidden="1">
      <c r="A1286" s="61">
        <v>2.01906515E8</v>
      </c>
      <c r="B1286" s="54" t="s">
        <v>13713</v>
      </c>
      <c r="C1286" s="54" t="s">
        <v>13714</v>
      </c>
    </row>
    <row r="1287" hidden="1">
      <c r="A1287" s="61">
        <v>2.01308278E8</v>
      </c>
      <c r="B1287" s="54" t="s">
        <v>13715</v>
      </c>
      <c r="C1287" s="54" t="s">
        <v>13716</v>
      </c>
    </row>
    <row r="1288" hidden="1">
      <c r="A1288" s="61">
        <v>2.0180929E8</v>
      </c>
      <c r="B1288" s="54" t="s">
        <v>13717</v>
      </c>
      <c r="C1288" s="54" t="s">
        <v>13718</v>
      </c>
    </row>
    <row r="1289" hidden="1">
      <c r="A1289" s="61">
        <v>2.01701862E8</v>
      </c>
      <c r="B1289" s="54" t="s">
        <v>13719</v>
      </c>
      <c r="C1289" s="54" t="s">
        <v>13720</v>
      </c>
    </row>
    <row r="1290" hidden="1">
      <c r="A1290" s="61">
        <v>2.0210512E8</v>
      </c>
      <c r="B1290" s="54" t="s">
        <v>13721</v>
      </c>
      <c r="C1290" s="54" t="s">
        <v>13722</v>
      </c>
    </row>
    <row r="1291" hidden="1">
      <c r="A1291" s="61">
        <v>2.02002149E8</v>
      </c>
      <c r="B1291" s="54" t="s">
        <v>13721</v>
      </c>
      <c r="C1291" s="54" t="s">
        <v>11845</v>
      </c>
    </row>
    <row r="1292" hidden="1">
      <c r="A1292" s="61">
        <v>2.01700073E8</v>
      </c>
      <c r="B1292" s="54" t="s">
        <v>13723</v>
      </c>
      <c r="C1292" s="54" t="s">
        <v>11741</v>
      </c>
    </row>
    <row r="1293" hidden="1">
      <c r="A1293" s="61">
        <v>2.01703767E8</v>
      </c>
      <c r="B1293" s="54" t="s">
        <v>13724</v>
      </c>
      <c r="C1293" s="54" t="s">
        <v>13725</v>
      </c>
    </row>
    <row r="1294" hidden="1">
      <c r="A1294" s="61">
        <v>2.02009754E8</v>
      </c>
      <c r="B1294" s="54" t="s">
        <v>13726</v>
      </c>
      <c r="C1294" s="54" t="s">
        <v>13727</v>
      </c>
    </row>
    <row r="1295" hidden="1">
      <c r="A1295" s="61">
        <v>2.01512263E8</v>
      </c>
      <c r="B1295" s="54" t="s">
        <v>13728</v>
      </c>
      <c r="C1295" s="54" t="s">
        <v>12202</v>
      </c>
    </row>
    <row r="1296" hidden="1">
      <c r="A1296" s="61">
        <v>2.01505473E8</v>
      </c>
      <c r="B1296" s="54" t="s">
        <v>13729</v>
      </c>
      <c r="C1296" s="54" t="s">
        <v>13730</v>
      </c>
    </row>
    <row r="1297" hidden="1">
      <c r="A1297" s="61">
        <v>2.01905784E8</v>
      </c>
      <c r="B1297" s="54" t="s">
        <v>13731</v>
      </c>
      <c r="C1297" s="54" t="s">
        <v>12611</v>
      </c>
    </row>
    <row r="1298" hidden="1">
      <c r="A1298" s="61">
        <v>2.0210295E8</v>
      </c>
      <c r="B1298" s="54" t="s">
        <v>13732</v>
      </c>
      <c r="C1298" s="54" t="s">
        <v>12595</v>
      </c>
    </row>
    <row r="1299" hidden="1">
      <c r="A1299" s="61">
        <v>2.02105121E8</v>
      </c>
      <c r="B1299" s="54" t="s">
        <v>13733</v>
      </c>
      <c r="C1299" s="54" t="s">
        <v>11987</v>
      </c>
    </row>
    <row r="1300" hidden="1">
      <c r="A1300" s="61">
        <v>2.02102951E8</v>
      </c>
      <c r="B1300" s="54" t="s">
        <v>13734</v>
      </c>
      <c r="C1300" s="54" t="s">
        <v>13735</v>
      </c>
    </row>
    <row r="1301" hidden="1">
      <c r="A1301" s="61">
        <v>2.00703445E8</v>
      </c>
      <c r="B1301" s="54" t="s">
        <v>13736</v>
      </c>
      <c r="C1301" s="54" t="s">
        <v>13737</v>
      </c>
    </row>
    <row r="1302" hidden="1">
      <c r="A1302" s="61">
        <v>2.01508147E8</v>
      </c>
      <c r="B1302" s="54" t="s">
        <v>13738</v>
      </c>
      <c r="C1302" s="54" t="s">
        <v>13739</v>
      </c>
    </row>
    <row r="1303" hidden="1">
      <c r="A1303" s="61">
        <v>2.01700466E8</v>
      </c>
      <c r="B1303" s="54" t="s">
        <v>13740</v>
      </c>
      <c r="C1303" s="54" t="s">
        <v>13741</v>
      </c>
    </row>
    <row r="1304" hidden="1">
      <c r="A1304" s="61">
        <v>2.0040803E8</v>
      </c>
      <c r="B1304" s="54" t="s">
        <v>13742</v>
      </c>
      <c r="C1304" s="54" t="s">
        <v>11997</v>
      </c>
    </row>
    <row r="1305" hidden="1">
      <c r="A1305" s="61">
        <v>2.01905765E8</v>
      </c>
      <c r="B1305" s="54" t="s">
        <v>13743</v>
      </c>
      <c r="C1305" s="54" t="s">
        <v>12343</v>
      </c>
    </row>
    <row r="1306" hidden="1">
      <c r="A1306" s="61">
        <v>2.01801788E8</v>
      </c>
      <c r="B1306" s="54" t="s">
        <v>13744</v>
      </c>
      <c r="C1306" s="54" t="s">
        <v>11997</v>
      </c>
    </row>
    <row r="1307" hidden="1">
      <c r="A1307" s="61">
        <v>2.0200036E8</v>
      </c>
      <c r="B1307" s="54" t="s">
        <v>13745</v>
      </c>
      <c r="C1307" s="54" t="s">
        <v>13746</v>
      </c>
    </row>
    <row r="1308" hidden="1">
      <c r="A1308" s="61">
        <v>2.01200516E8</v>
      </c>
      <c r="B1308" s="54" t="s">
        <v>13747</v>
      </c>
      <c r="C1308" s="54" t="s">
        <v>13748</v>
      </c>
    </row>
    <row r="1309" hidden="1">
      <c r="A1309" s="61">
        <v>2.01200563E8</v>
      </c>
      <c r="B1309" s="54" t="s">
        <v>13749</v>
      </c>
      <c r="C1309" s="54" t="s">
        <v>13750</v>
      </c>
    </row>
    <row r="1310" hidden="1">
      <c r="A1310" s="61">
        <v>2.01400168E8</v>
      </c>
      <c r="B1310" s="54" t="s">
        <v>13751</v>
      </c>
      <c r="C1310" s="54" t="s">
        <v>13752</v>
      </c>
    </row>
    <row r="1311" hidden="1">
      <c r="A1311" s="61">
        <v>2.01410678E8</v>
      </c>
      <c r="B1311" s="54" t="s">
        <v>13753</v>
      </c>
      <c r="C1311" s="54" t="s">
        <v>13754</v>
      </c>
    </row>
    <row r="1312" hidden="1">
      <c r="A1312" s="61">
        <v>2.01309581E8</v>
      </c>
      <c r="B1312" s="54" t="s">
        <v>13755</v>
      </c>
      <c r="C1312" s="54" t="s">
        <v>13756</v>
      </c>
    </row>
    <row r="1313" hidden="1">
      <c r="A1313" s="61">
        <v>2.01701863E8</v>
      </c>
      <c r="B1313" s="54" t="s">
        <v>13757</v>
      </c>
      <c r="C1313" s="54" t="s">
        <v>13758</v>
      </c>
    </row>
    <row r="1314" hidden="1">
      <c r="A1314" s="61">
        <v>2.0210341E8</v>
      </c>
      <c r="B1314" s="54" t="s">
        <v>13759</v>
      </c>
      <c r="C1314" s="54" t="s">
        <v>13760</v>
      </c>
    </row>
    <row r="1315" hidden="1">
      <c r="A1315" s="61">
        <v>2.01506908E8</v>
      </c>
      <c r="B1315" s="54" t="s">
        <v>13761</v>
      </c>
      <c r="C1315" s="54" t="s">
        <v>13762</v>
      </c>
    </row>
    <row r="1316" hidden="1">
      <c r="A1316" s="61">
        <v>2.02105122E8</v>
      </c>
      <c r="B1316" s="54" t="s">
        <v>13763</v>
      </c>
      <c r="C1316" s="54" t="s">
        <v>11835</v>
      </c>
    </row>
    <row r="1317" hidden="1">
      <c r="A1317" s="61">
        <v>2.0160372E8</v>
      </c>
      <c r="B1317" s="54" t="s">
        <v>13764</v>
      </c>
      <c r="C1317" s="54" t="s">
        <v>13765</v>
      </c>
    </row>
    <row r="1318" hidden="1">
      <c r="A1318" s="61">
        <v>2.02005549E8</v>
      </c>
      <c r="B1318" s="54" t="s">
        <v>13766</v>
      </c>
      <c r="C1318" s="54" t="s">
        <v>13767</v>
      </c>
    </row>
    <row r="1319" hidden="1">
      <c r="A1319" s="61">
        <v>2.01909703E8</v>
      </c>
      <c r="B1319" s="54" t="s">
        <v>13768</v>
      </c>
      <c r="C1319" s="54" t="s">
        <v>13769</v>
      </c>
    </row>
    <row r="1320" hidden="1">
      <c r="A1320" s="61">
        <v>2.02009755E8</v>
      </c>
      <c r="B1320" s="54" t="s">
        <v>13770</v>
      </c>
      <c r="C1320" s="54" t="s">
        <v>13771</v>
      </c>
    </row>
    <row r="1321" hidden="1">
      <c r="A1321" s="61">
        <v>2.0101033E8</v>
      </c>
      <c r="B1321" s="54" t="s">
        <v>13770</v>
      </c>
      <c r="C1321" s="54" t="s">
        <v>13772</v>
      </c>
    </row>
    <row r="1322" hidden="1">
      <c r="A1322" s="61">
        <v>2.01406439E8</v>
      </c>
      <c r="B1322" s="54" t="s">
        <v>13773</v>
      </c>
      <c r="C1322" s="54" t="s">
        <v>13774</v>
      </c>
    </row>
    <row r="1323" hidden="1">
      <c r="A1323" s="61">
        <v>2.01508149E8</v>
      </c>
      <c r="B1323" s="54" t="s">
        <v>13775</v>
      </c>
      <c r="C1323" s="54" t="s">
        <v>13776</v>
      </c>
    </row>
    <row r="1324" hidden="1">
      <c r="A1324" s="61">
        <v>2.02107939E8</v>
      </c>
      <c r="B1324" s="54" t="s">
        <v>13777</v>
      </c>
      <c r="C1324" s="54" t="s">
        <v>12434</v>
      </c>
    </row>
    <row r="1325" hidden="1">
      <c r="A1325" s="61">
        <v>2.01603721E8</v>
      </c>
      <c r="B1325" s="54" t="s">
        <v>13778</v>
      </c>
      <c r="C1325" s="54" t="s">
        <v>11835</v>
      </c>
    </row>
    <row r="1326" hidden="1">
      <c r="A1326" s="61">
        <v>2.0060125E8</v>
      </c>
      <c r="B1326" s="54" t="s">
        <v>13779</v>
      </c>
      <c r="C1326" s="54" t="s">
        <v>13780</v>
      </c>
    </row>
    <row r="1327" hidden="1">
      <c r="A1327" s="61">
        <v>2.0180949E8</v>
      </c>
      <c r="B1327" s="54" t="s">
        <v>13781</v>
      </c>
      <c r="C1327" s="54" t="s">
        <v>13782</v>
      </c>
    </row>
    <row r="1328" hidden="1">
      <c r="A1328" s="61">
        <v>2.01909901E8</v>
      </c>
      <c r="B1328" s="54" t="s">
        <v>13783</v>
      </c>
      <c r="C1328" s="54" t="s">
        <v>13784</v>
      </c>
    </row>
    <row r="1329" hidden="1">
      <c r="A1329" s="61">
        <v>2.01101471E8</v>
      </c>
      <c r="B1329" s="54" t="s">
        <v>13785</v>
      </c>
      <c r="C1329" s="54" t="s">
        <v>11640</v>
      </c>
    </row>
    <row r="1330" hidden="1">
      <c r="A1330" s="61">
        <v>2.01701864E8</v>
      </c>
      <c r="B1330" s="54" t="s">
        <v>13786</v>
      </c>
      <c r="C1330" s="54" t="s">
        <v>11560</v>
      </c>
    </row>
    <row r="1331" hidden="1">
      <c r="A1331" s="61">
        <v>2.0200555E8</v>
      </c>
      <c r="B1331" s="54" t="s">
        <v>13787</v>
      </c>
      <c r="C1331" s="54" t="s">
        <v>12580</v>
      </c>
    </row>
    <row r="1332" hidden="1">
      <c r="A1332" s="61">
        <v>2.02001566E8</v>
      </c>
      <c r="B1332" s="54" t="s">
        <v>13788</v>
      </c>
      <c r="C1332" s="54" t="s">
        <v>12474</v>
      </c>
    </row>
    <row r="1333" hidden="1">
      <c r="A1333" s="61">
        <v>2.01409235E8</v>
      </c>
      <c r="B1333" s="54" t="s">
        <v>13789</v>
      </c>
      <c r="C1333" s="54" t="s">
        <v>13790</v>
      </c>
    </row>
    <row r="1334" hidden="1">
      <c r="A1334" s="61">
        <v>2.02001521E8</v>
      </c>
      <c r="B1334" s="54" t="s">
        <v>13791</v>
      </c>
      <c r="C1334" s="54" t="s">
        <v>11928</v>
      </c>
    </row>
    <row r="1335" hidden="1">
      <c r="A1335" s="61">
        <v>2.01801393E8</v>
      </c>
      <c r="B1335" s="54" t="s">
        <v>13791</v>
      </c>
      <c r="C1335" s="54" t="s">
        <v>13792</v>
      </c>
    </row>
    <row r="1336" hidden="1">
      <c r="A1336" s="61">
        <v>2.01506917E8</v>
      </c>
      <c r="B1336" s="54" t="s">
        <v>13793</v>
      </c>
      <c r="C1336" s="54" t="s">
        <v>13794</v>
      </c>
    </row>
    <row r="1337" hidden="1">
      <c r="A1337" s="61">
        <v>2.0150815E8</v>
      </c>
      <c r="B1337" s="54" t="s">
        <v>13795</v>
      </c>
      <c r="C1337" s="54" t="s">
        <v>13796</v>
      </c>
    </row>
    <row r="1338" hidden="1">
      <c r="A1338" s="61">
        <v>2.02103352E8</v>
      </c>
      <c r="B1338" s="54" t="s">
        <v>13795</v>
      </c>
      <c r="C1338" s="54" t="s">
        <v>13797</v>
      </c>
    </row>
    <row r="1339" hidden="1">
      <c r="A1339" s="61">
        <v>2.01502051E8</v>
      </c>
      <c r="B1339" s="54" t="s">
        <v>13798</v>
      </c>
      <c r="C1339" s="54" t="s">
        <v>13799</v>
      </c>
    </row>
    <row r="1340" hidden="1">
      <c r="A1340" s="61">
        <v>2.01809491E8</v>
      </c>
      <c r="B1340" s="54" t="s">
        <v>13800</v>
      </c>
      <c r="C1340" s="54" t="s">
        <v>13801</v>
      </c>
    </row>
    <row r="1341" hidden="1">
      <c r="A1341" s="61">
        <v>2.01603607E8</v>
      </c>
      <c r="B1341" s="54" t="s">
        <v>13802</v>
      </c>
      <c r="C1341" s="54" t="s">
        <v>13803</v>
      </c>
    </row>
    <row r="1342" hidden="1">
      <c r="A1342" s="61">
        <v>2.01701865E8</v>
      </c>
      <c r="B1342" s="54" t="s">
        <v>13804</v>
      </c>
      <c r="C1342" s="54" t="s">
        <v>13805</v>
      </c>
    </row>
    <row r="1343" hidden="1">
      <c r="A1343" s="61">
        <v>2.01300143E8</v>
      </c>
      <c r="B1343" s="54" t="s">
        <v>13806</v>
      </c>
      <c r="C1343" s="54" t="s">
        <v>13807</v>
      </c>
    </row>
    <row r="1344" hidden="1">
      <c r="A1344" s="61">
        <v>2.01902194E8</v>
      </c>
      <c r="B1344" s="54" t="s">
        <v>13808</v>
      </c>
      <c r="C1344" s="54" t="s">
        <v>13809</v>
      </c>
    </row>
    <row r="1345" hidden="1">
      <c r="A1345" s="61">
        <v>2.01700715E8</v>
      </c>
      <c r="B1345" s="54" t="s">
        <v>13810</v>
      </c>
      <c r="C1345" s="54" t="s">
        <v>12979</v>
      </c>
    </row>
    <row r="1346" hidden="1">
      <c r="A1346" s="61">
        <v>2.00707555E8</v>
      </c>
      <c r="B1346" s="54" t="s">
        <v>13811</v>
      </c>
      <c r="C1346" s="54" t="s">
        <v>11607</v>
      </c>
    </row>
    <row r="1347" hidden="1">
      <c r="A1347" s="61">
        <v>2.00105647E8</v>
      </c>
      <c r="B1347" s="54" t="s">
        <v>13812</v>
      </c>
      <c r="C1347" s="54" t="s">
        <v>12611</v>
      </c>
    </row>
    <row r="1348" hidden="1">
      <c r="A1348" s="61">
        <v>2.01612087E8</v>
      </c>
      <c r="B1348" s="54" t="s">
        <v>13813</v>
      </c>
      <c r="C1348" s="54" t="s">
        <v>13814</v>
      </c>
    </row>
    <row r="1349" hidden="1">
      <c r="A1349" s="61">
        <v>2.02001522E8</v>
      </c>
      <c r="B1349" s="54" t="s">
        <v>13815</v>
      </c>
      <c r="C1349" s="54" t="s">
        <v>11488</v>
      </c>
    </row>
    <row r="1350" hidden="1">
      <c r="A1350" s="61">
        <v>2.01512515E8</v>
      </c>
      <c r="B1350" s="54" t="s">
        <v>13816</v>
      </c>
      <c r="C1350" s="54" t="s">
        <v>12317</v>
      </c>
    </row>
    <row r="1351" hidden="1">
      <c r="A1351" s="61">
        <v>2.00401688E8</v>
      </c>
      <c r="B1351" s="54" t="s">
        <v>13817</v>
      </c>
      <c r="C1351" s="54" t="s">
        <v>13818</v>
      </c>
    </row>
    <row r="1352" hidden="1">
      <c r="A1352" s="61">
        <v>2.00602396E8</v>
      </c>
      <c r="B1352" s="54" t="s">
        <v>13819</v>
      </c>
      <c r="C1352" s="54" t="s">
        <v>13522</v>
      </c>
    </row>
    <row r="1353" hidden="1">
      <c r="A1353" s="61">
        <v>2.01704772E8</v>
      </c>
      <c r="B1353" s="54" t="s">
        <v>13820</v>
      </c>
      <c r="C1353" s="54" t="s">
        <v>13821</v>
      </c>
    </row>
    <row r="1354" hidden="1">
      <c r="A1354" s="61">
        <v>2.015057E8</v>
      </c>
      <c r="B1354" s="54" t="s">
        <v>13822</v>
      </c>
      <c r="C1354" s="54" t="s">
        <v>13823</v>
      </c>
    </row>
    <row r="1355" hidden="1">
      <c r="A1355" s="61">
        <v>2.02005552E8</v>
      </c>
      <c r="B1355" s="54" t="s">
        <v>13824</v>
      </c>
      <c r="C1355" s="54" t="s">
        <v>13825</v>
      </c>
    </row>
    <row r="1356" hidden="1">
      <c r="A1356" s="61">
        <v>2.01101025E8</v>
      </c>
      <c r="B1356" s="54" t="s">
        <v>13826</v>
      </c>
      <c r="C1356" s="54" t="s">
        <v>13827</v>
      </c>
    </row>
    <row r="1357" hidden="1">
      <c r="A1357" s="61">
        <v>2.01506905E8</v>
      </c>
      <c r="B1357" s="54" t="s">
        <v>13828</v>
      </c>
      <c r="C1357" s="54" t="s">
        <v>13829</v>
      </c>
    </row>
    <row r="1358" hidden="1">
      <c r="A1358" s="61">
        <v>2.0130912E8</v>
      </c>
      <c r="B1358" s="54" t="s">
        <v>13830</v>
      </c>
      <c r="C1358" s="54" t="s">
        <v>13831</v>
      </c>
    </row>
    <row r="1359" hidden="1">
      <c r="A1359" s="61">
        <v>2.01110791E8</v>
      </c>
      <c r="B1359" s="54" t="s">
        <v>13832</v>
      </c>
      <c r="C1359" s="54" t="s">
        <v>13833</v>
      </c>
    </row>
    <row r="1360" hidden="1">
      <c r="A1360" s="61">
        <v>2.00800963E8</v>
      </c>
      <c r="B1360" s="54" t="s">
        <v>13834</v>
      </c>
      <c r="C1360" s="54" t="s">
        <v>13017</v>
      </c>
    </row>
    <row r="1361" hidden="1">
      <c r="A1361" s="61">
        <v>2.01101413E8</v>
      </c>
      <c r="B1361" s="54" t="s">
        <v>13835</v>
      </c>
      <c r="C1361" s="54" t="s">
        <v>13836</v>
      </c>
    </row>
    <row r="1362" hidden="1">
      <c r="A1362" s="61">
        <v>2.00806189E8</v>
      </c>
      <c r="B1362" s="54" t="s">
        <v>13837</v>
      </c>
      <c r="C1362" s="54" t="s">
        <v>12844</v>
      </c>
    </row>
    <row r="1363" hidden="1">
      <c r="A1363" s="61">
        <v>2.0150415E8</v>
      </c>
      <c r="B1363" s="54" t="s">
        <v>13838</v>
      </c>
      <c r="C1363" s="54" t="s">
        <v>13839</v>
      </c>
    </row>
    <row r="1364" hidden="1">
      <c r="A1364" s="61">
        <v>2.01300221E8</v>
      </c>
      <c r="B1364" s="54" t="s">
        <v>13840</v>
      </c>
      <c r="C1364" s="54" t="s">
        <v>11456</v>
      </c>
    </row>
    <row r="1365" hidden="1">
      <c r="A1365" s="61">
        <v>2.02105123E8</v>
      </c>
      <c r="B1365" s="54" t="s">
        <v>13841</v>
      </c>
      <c r="C1365" s="54" t="s">
        <v>12390</v>
      </c>
    </row>
    <row r="1366" hidden="1">
      <c r="A1366" s="61">
        <v>2.00606678E8</v>
      </c>
      <c r="B1366" s="54" t="s">
        <v>13842</v>
      </c>
      <c r="C1366" s="54" t="s">
        <v>13843</v>
      </c>
    </row>
    <row r="1367" hidden="1">
      <c r="A1367" s="61">
        <v>2.02009768E8</v>
      </c>
      <c r="B1367" s="54" t="s">
        <v>13844</v>
      </c>
      <c r="C1367" s="54" t="s">
        <v>13845</v>
      </c>
    </row>
    <row r="1368" hidden="1">
      <c r="A1368" s="61">
        <v>2.01900213E8</v>
      </c>
      <c r="B1368" s="54" t="s">
        <v>13846</v>
      </c>
      <c r="C1368" s="54" t="s">
        <v>13847</v>
      </c>
    </row>
    <row r="1369" hidden="1">
      <c r="A1369" s="61">
        <v>2.0150489E8</v>
      </c>
      <c r="B1369" s="54" t="s">
        <v>13848</v>
      </c>
      <c r="C1369" s="54" t="s">
        <v>13849</v>
      </c>
    </row>
    <row r="1370" hidden="1">
      <c r="A1370" s="61">
        <v>2.01512192E8</v>
      </c>
      <c r="B1370" s="54" t="s">
        <v>13850</v>
      </c>
      <c r="C1370" s="54" t="s">
        <v>13851</v>
      </c>
    </row>
    <row r="1371" hidden="1">
      <c r="A1371" s="61">
        <v>2.01801789E8</v>
      </c>
      <c r="B1371" s="54" t="s">
        <v>13852</v>
      </c>
      <c r="C1371" s="54" t="s">
        <v>11456</v>
      </c>
    </row>
    <row r="1372" hidden="1">
      <c r="A1372" s="61">
        <v>2.0180179E8</v>
      </c>
      <c r="B1372" s="54" t="s">
        <v>13853</v>
      </c>
      <c r="C1372" s="54" t="s">
        <v>12159</v>
      </c>
    </row>
    <row r="1373" hidden="1">
      <c r="A1373" s="61">
        <v>2.02103353E8</v>
      </c>
      <c r="B1373" s="54" t="s">
        <v>13854</v>
      </c>
      <c r="C1373" s="54" t="s">
        <v>13855</v>
      </c>
    </row>
    <row r="1374" hidden="1">
      <c r="A1374" s="61">
        <v>2.0030108E8</v>
      </c>
      <c r="B1374" s="54" t="s">
        <v>13856</v>
      </c>
      <c r="C1374" s="54" t="s">
        <v>13857</v>
      </c>
    </row>
    <row r="1375" hidden="1">
      <c r="A1375" s="61">
        <v>2.0090882E8</v>
      </c>
      <c r="B1375" s="54" t="s">
        <v>13858</v>
      </c>
      <c r="C1375" s="54" t="s">
        <v>13859</v>
      </c>
    </row>
    <row r="1376" hidden="1">
      <c r="A1376" s="61">
        <v>2.01603608E8</v>
      </c>
      <c r="B1376" s="54" t="s">
        <v>13860</v>
      </c>
      <c r="C1376" s="54" t="s">
        <v>13861</v>
      </c>
    </row>
    <row r="1377" hidden="1">
      <c r="A1377" s="61">
        <v>2.01800032E8</v>
      </c>
      <c r="B1377" s="54" t="s">
        <v>13862</v>
      </c>
      <c r="C1377" s="54" t="s">
        <v>12390</v>
      </c>
    </row>
    <row r="1378" hidden="1">
      <c r="A1378" s="61">
        <v>2.02000371E8</v>
      </c>
      <c r="B1378" s="54" t="s">
        <v>13863</v>
      </c>
      <c r="C1378" s="54" t="s">
        <v>13864</v>
      </c>
    </row>
    <row r="1379" hidden="1">
      <c r="A1379" s="61">
        <v>2.02000417E8</v>
      </c>
      <c r="B1379" s="54" t="s">
        <v>13865</v>
      </c>
      <c r="C1379" s="54" t="s">
        <v>13866</v>
      </c>
    </row>
    <row r="1380" hidden="1">
      <c r="A1380" s="61">
        <v>2.0100563E8</v>
      </c>
      <c r="B1380" s="54" t="s">
        <v>13867</v>
      </c>
      <c r="C1380" s="54" t="s">
        <v>13534</v>
      </c>
    </row>
    <row r="1381" hidden="1">
      <c r="A1381" s="61">
        <v>2.01408592E8</v>
      </c>
      <c r="B1381" s="54" t="s">
        <v>13868</v>
      </c>
      <c r="C1381" s="54" t="s">
        <v>13869</v>
      </c>
    </row>
    <row r="1382" hidden="1">
      <c r="A1382" s="61">
        <v>2.01300146E8</v>
      </c>
      <c r="B1382" s="54" t="s">
        <v>13870</v>
      </c>
      <c r="C1382" s="54" t="s">
        <v>12897</v>
      </c>
    </row>
    <row r="1383" hidden="1">
      <c r="A1383" s="61">
        <v>2.02009796E8</v>
      </c>
      <c r="B1383" s="54" t="s">
        <v>13871</v>
      </c>
      <c r="C1383" s="54" t="s">
        <v>13872</v>
      </c>
    </row>
    <row r="1384" hidden="1">
      <c r="A1384" s="61">
        <v>2.01508507E8</v>
      </c>
      <c r="B1384" s="54" t="s">
        <v>13873</v>
      </c>
      <c r="C1384" s="54" t="s">
        <v>13874</v>
      </c>
    </row>
    <row r="1385" hidden="1">
      <c r="A1385" s="61">
        <v>2.01705679E8</v>
      </c>
      <c r="B1385" s="54" t="s">
        <v>13875</v>
      </c>
      <c r="C1385" s="54" t="s">
        <v>11613</v>
      </c>
    </row>
    <row r="1386" hidden="1">
      <c r="A1386" s="61">
        <v>2.00809187E8</v>
      </c>
      <c r="B1386" s="54" t="s">
        <v>13876</v>
      </c>
      <c r="C1386" s="54" t="s">
        <v>13877</v>
      </c>
    </row>
    <row r="1387" hidden="1">
      <c r="A1387" s="61">
        <v>2.01800255E8</v>
      </c>
      <c r="B1387" s="54" t="s">
        <v>13878</v>
      </c>
      <c r="C1387" s="54" t="s">
        <v>13121</v>
      </c>
    </row>
    <row r="1388" hidden="1">
      <c r="A1388" s="61">
        <v>2.02102952E8</v>
      </c>
      <c r="B1388" s="54" t="s">
        <v>13879</v>
      </c>
      <c r="C1388" s="54" t="s">
        <v>13880</v>
      </c>
    </row>
    <row r="1389" hidden="1">
      <c r="A1389" s="61">
        <v>2.01504891E8</v>
      </c>
      <c r="B1389" s="54" t="s">
        <v>13881</v>
      </c>
      <c r="C1389" s="54" t="s">
        <v>12317</v>
      </c>
    </row>
    <row r="1390" hidden="1">
      <c r="A1390" s="61">
        <v>2.01603723E8</v>
      </c>
      <c r="B1390" s="54" t="s">
        <v>13882</v>
      </c>
      <c r="C1390" s="54" t="s">
        <v>13883</v>
      </c>
    </row>
    <row r="1391" hidden="1">
      <c r="A1391" s="61">
        <v>2.01209081E8</v>
      </c>
      <c r="B1391" s="54" t="s">
        <v>13884</v>
      </c>
      <c r="C1391" s="54" t="s">
        <v>13885</v>
      </c>
    </row>
    <row r="1392" hidden="1">
      <c r="A1392" s="61">
        <v>2.01709766E8</v>
      </c>
      <c r="B1392" s="54" t="s">
        <v>13886</v>
      </c>
      <c r="C1392" s="54" t="s">
        <v>13887</v>
      </c>
    </row>
    <row r="1393" hidden="1">
      <c r="A1393" s="61">
        <v>2.01612064E8</v>
      </c>
      <c r="B1393" s="54" t="s">
        <v>13888</v>
      </c>
      <c r="C1393" s="54" t="s">
        <v>12782</v>
      </c>
    </row>
    <row r="1394" hidden="1">
      <c r="A1394" s="61">
        <v>2.01701701E8</v>
      </c>
      <c r="B1394" s="54" t="s">
        <v>13889</v>
      </c>
      <c r="C1394" s="54" t="s">
        <v>11729</v>
      </c>
    </row>
    <row r="1395" hidden="1">
      <c r="A1395" s="61">
        <v>2.02103364E8</v>
      </c>
      <c r="B1395" s="54" t="s">
        <v>13890</v>
      </c>
      <c r="C1395" s="54" t="s">
        <v>13891</v>
      </c>
    </row>
    <row r="1396" hidden="1">
      <c r="A1396" s="61">
        <v>2.01400253E8</v>
      </c>
      <c r="B1396" s="54" t="s">
        <v>13892</v>
      </c>
      <c r="C1396" s="54" t="s">
        <v>13893</v>
      </c>
    </row>
    <row r="1397" hidden="1">
      <c r="A1397" s="61">
        <v>2.02009797E8</v>
      </c>
      <c r="B1397" s="54" t="s">
        <v>13894</v>
      </c>
      <c r="C1397" s="54" t="s">
        <v>13507</v>
      </c>
    </row>
    <row r="1398" hidden="1">
      <c r="A1398" s="61">
        <v>2.0180793E8</v>
      </c>
      <c r="B1398" s="54" t="s">
        <v>13895</v>
      </c>
      <c r="C1398" s="54" t="s">
        <v>13896</v>
      </c>
    </row>
    <row r="1399" hidden="1">
      <c r="A1399" s="61">
        <v>2.01603724E8</v>
      </c>
      <c r="B1399" s="54" t="s">
        <v>13897</v>
      </c>
      <c r="C1399" s="54" t="s">
        <v>12682</v>
      </c>
    </row>
    <row r="1400" hidden="1">
      <c r="A1400" s="61">
        <v>2.01706618E8</v>
      </c>
      <c r="B1400" s="54" t="s">
        <v>13898</v>
      </c>
      <c r="C1400" s="54" t="s">
        <v>13899</v>
      </c>
    </row>
    <row r="1401" hidden="1">
      <c r="A1401" s="61">
        <v>2.01209083E8</v>
      </c>
      <c r="B1401" s="54" t="s">
        <v>13900</v>
      </c>
      <c r="C1401" s="54" t="s">
        <v>13901</v>
      </c>
    </row>
    <row r="1402" hidden="1">
      <c r="A1402" s="61">
        <v>2.02005553E8</v>
      </c>
      <c r="B1402" s="54" t="s">
        <v>13902</v>
      </c>
      <c r="C1402" s="54" t="s">
        <v>13903</v>
      </c>
    </row>
    <row r="1403" hidden="1">
      <c r="A1403" s="61">
        <v>2.02000419E8</v>
      </c>
      <c r="B1403" s="54" t="s">
        <v>13904</v>
      </c>
      <c r="C1403" s="54" t="s">
        <v>13905</v>
      </c>
    </row>
    <row r="1404" hidden="1">
      <c r="A1404" s="61">
        <v>2.00908471E8</v>
      </c>
      <c r="B1404" s="54" t="s">
        <v>13906</v>
      </c>
      <c r="C1404" s="54" t="s">
        <v>13907</v>
      </c>
    </row>
    <row r="1405" hidden="1">
      <c r="A1405" s="61">
        <v>2.02103412E8</v>
      </c>
      <c r="B1405" s="54" t="s">
        <v>13908</v>
      </c>
      <c r="C1405" s="54" t="s">
        <v>12746</v>
      </c>
    </row>
    <row r="1406" hidden="1">
      <c r="A1406" s="61">
        <v>2.01603028E8</v>
      </c>
      <c r="B1406" s="54" t="s">
        <v>13909</v>
      </c>
      <c r="C1406" s="54" t="s">
        <v>11674</v>
      </c>
    </row>
    <row r="1407" hidden="1">
      <c r="A1407" s="61">
        <v>2.01801387E8</v>
      </c>
      <c r="B1407" s="54" t="s">
        <v>13909</v>
      </c>
      <c r="C1407" s="54" t="s">
        <v>13910</v>
      </c>
    </row>
    <row r="1408" hidden="1">
      <c r="A1408" s="61">
        <v>2.01001383E8</v>
      </c>
      <c r="B1408" s="54" t="s">
        <v>13909</v>
      </c>
      <c r="C1408" s="54" t="s">
        <v>13257</v>
      </c>
    </row>
    <row r="1409" hidden="1">
      <c r="A1409" s="61">
        <v>2.00800966E8</v>
      </c>
      <c r="B1409" s="54" t="s">
        <v>13911</v>
      </c>
      <c r="C1409" s="54" t="s">
        <v>13912</v>
      </c>
    </row>
    <row r="1410" hidden="1">
      <c r="A1410" s="61">
        <v>2.01602994E8</v>
      </c>
      <c r="B1410" s="54" t="s">
        <v>13913</v>
      </c>
      <c r="C1410" s="54" t="s">
        <v>11784</v>
      </c>
    </row>
    <row r="1411" hidden="1">
      <c r="A1411" s="61">
        <v>2.01809291E8</v>
      </c>
      <c r="B1411" s="54" t="s">
        <v>13914</v>
      </c>
      <c r="C1411" s="54" t="s">
        <v>13915</v>
      </c>
    </row>
    <row r="1412" hidden="1">
      <c r="A1412" s="61">
        <v>2.01809292E8</v>
      </c>
      <c r="B1412" s="54" t="s">
        <v>13916</v>
      </c>
      <c r="C1412" s="54" t="s">
        <v>13917</v>
      </c>
    </row>
    <row r="1413" hidden="1">
      <c r="A1413" s="61">
        <v>2.02103332E8</v>
      </c>
      <c r="B1413" s="54" t="s">
        <v>13918</v>
      </c>
      <c r="C1413" s="54" t="s">
        <v>13919</v>
      </c>
    </row>
    <row r="1414" hidden="1">
      <c r="A1414" s="61">
        <v>2.02105124E8</v>
      </c>
      <c r="B1414" s="54" t="s">
        <v>13920</v>
      </c>
      <c r="C1414" s="54" t="s">
        <v>11478</v>
      </c>
    </row>
    <row r="1415" hidden="1">
      <c r="A1415" s="61">
        <v>2.01909925E8</v>
      </c>
      <c r="B1415" s="54" t="s">
        <v>13921</v>
      </c>
      <c r="C1415" s="54" t="s">
        <v>13922</v>
      </c>
    </row>
    <row r="1416" hidden="1">
      <c r="A1416" s="61">
        <v>2.01307224E8</v>
      </c>
      <c r="B1416" s="54" t="s">
        <v>13921</v>
      </c>
      <c r="C1416" s="54" t="s">
        <v>13923</v>
      </c>
    </row>
    <row r="1417" hidden="1">
      <c r="A1417" s="61">
        <v>2.02107929E8</v>
      </c>
      <c r="B1417" s="54" t="s">
        <v>13924</v>
      </c>
      <c r="C1417" s="54" t="s">
        <v>13925</v>
      </c>
    </row>
    <row r="1418" hidden="1">
      <c r="A1418" s="61">
        <v>1.99601631E8</v>
      </c>
      <c r="B1418" s="54" t="s">
        <v>13926</v>
      </c>
      <c r="C1418" s="54" t="s">
        <v>13927</v>
      </c>
    </row>
    <row r="1419" hidden="1">
      <c r="A1419" s="61">
        <v>2.02000104E8</v>
      </c>
      <c r="B1419" s="54" t="s">
        <v>13928</v>
      </c>
      <c r="C1419" s="54" t="s">
        <v>12682</v>
      </c>
    </row>
    <row r="1420" hidden="1">
      <c r="A1420" s="61">
        <v>2.019006E8</v>
      </c>
      <c r="B1420" s="54" t="s">
        <v>13929</v>
      </c>
      <c r="C1420" s="54" t="s">
        <v>13930</v>
      </c>
    </row>
    <row r="1421" hidden="1">
      <c r="A1421" s="61">
        <v>2.01512265E8</v>
      </c>
      <c r="B1421" s="54" t="s">
        <v>13931</v>
      </c>
      <c r="C1421" s="54" t="s">
        <v>12490</v>
      </c>
    </row>
    <row r="1422" hidden="1">
      <c r="A1422" s="61">
        <v>2.0210794E8</v>
      </c>
      <c r="B1422" s="54" t="s">
        <v>13932</v>
      </c>
      <c r="C1422" s="54" t="s">
        <v>13933</v>
      </c>
    </row>
    <row r="1423" hidden="1">
      <c r="A1423" s="61">
        <v>2.01809293E8</v>
      </c>
      <c r="B1423" s="54" t="s">
        <v>13934</v>
      </c>
      <c r="C1423" s="54" t="s">
        <v>13935</v>
      </c>
    </row>
    <row r="1424" hidden="1">
      <c r="A1424" s="61">
        <v>2.01805411E8</v>
      </c>
      <c r="B1424" s="54" t="s">
        <v>13936</v>
      </c>
      <c r="C1424" s="54" t="s">
        <v>13937</v>
      </c>
    </row>
    <row r="1425" hidden="1">
      <c r="A1425" s="61">
        <v>2.01400169E8</v>
      </c>
      <c r="B1425" s="54" t="s">
        <v>13938</v>
      </c>
      <c r="C1425" s="54" t="s">
        <v>13939</v>
      </c>
    </row>
    <row r="1426" hidden="1">
      <c r="A1426" s="61">
        <v>2.01603725E8</v>
      </c>
      <c r="B1426" s="54" t="s">
        <v>13940</v>
      </c>
      <c r="C1426" s="54" t="s">
        <v>12025</v>
      </c>
    </row>
    <row r="1427" hidden="1">
      <c r="A1427" s="61">
        <v>2.01001E8</v>
      </c>
      <c r="B1427" s="54" t="s">
        <v>13941</v>
      </c>
      <c r="C1427" s="54" t="s">
        <v>11845</v>
      </c>
    </row>
    <row r="1428" hidden="1">
      <c r="A1428" s="61">
        <v>2.01008019E8</v>
      </c>
      <c r="B1428" s="54" t="s">
        <v>13942</v>
      </c>
      <c r="C1428" s="54" t="s">
        <v>13943</v>
      </c>
    </row>
    <row r="1429" hidden="1">
      <c r="A1429" s="61">
        <v>2.01200566E8</v>
      </c>
      <c r="B1429" s="54" t="s">
        <v>13944</v>
      </c>
      <c r="C1429" s="54" t="s">
        <v>13945</v>
      </c>
    </row>
    <row r="1430" hidden="1">
      <c r="A1430" s="61">
        <v>2.01801389E8</v>
      </c>
      <c r="B1430" s="54" t="s">
        <v>13946</v>
      </c>
      <c r="C1430" s="54" t="s">
        <v>13947</v>
      </c>
    </row>
    <row r="1431" hidden="1">
      <c r="A1431" s="61">
        <v>2.01309557E8</v>
      </c>
      <c r="B1431" s="54" t="s">
        <v>13948</v>
      </c>
      <c r="C1431" s="54" t="s">
        <v>11995</v>
      </c>
    </row>
    <row r="1432" hidden="1">
      <c r="A1432" s="61">
        <v>2.01900225E8</v>
      </c>
      <c r="B1432" s="54" t="s">
        <v>13949</v>
      </c>
      <c r="C1432" s="54" t="s">
        <v>13950</v>
      </c>
    </row>
    <row r="1433" hidden="1">
      <c r="A1433" s="61">
        <v>2.01409237E8</v>
      </c>
      <c r="B1433" s="54" t="s">
        <v>13951</v>
      </c>
      <c r="C1433" s="54" t="s">
        <v>13952</v>
      </c>
    </row>
    <row r="1434" hidden="1">
      <c r="A1434" s="61">
        <v>2.02107941E8</v>
      </c>
      <c r="B1434" s="54" t="s">
        <v>13953</v>
      </c>
      <c r="C1434" s="54" t="s">
        <v>13954</v>
      </c>
    </row>
    <row r="1435" hidden="1">
      <c r="A1435" s="61">
        <v>2.01612089E8</v>
      </c>
      <c r="B1435" s="54" t="s">
        <v>13955</v>
      </c>
      <c r="C1435" s="54" t="s">
        <v>13956</v>
      </c>
    </row>
    <row r="1436" hidden="1">
      <c r="A1436" s="61">
        <v>2.02000097E8</v>
      </c>
      <c r="B1436" s="54" t="s">
        <v>13957</v>
      </c>
      <c r="C1436" s="54" t="s">
        <v>13958</v>
      </c>
    </row>
    <row r="1437" hidden="1">
      <c r="A1437" s="61">
        <v>2.01512242E8</v>
      </c>
      <c r="B1437" s="54" t="s">
        <v>13959</v>
      </c>
      <c r="C1437" s="54" t="s">
        <v>13960</v>
      </c>
    </row>
    <row r="1438" hidden="1">
      <c r="A1438" s="61">
        <v>2.01309584E8</v>
      </c>
      <c r="B1438" s="54" t="s">
        <v>13961</v>
      </c>
      <c r="C1438" s="54" t="s">
        <v>13962</v>
      </c>
    </row>
    <row r="1439" hidden="1">
      <c r="A1439" s="61">
        <v>2.00506091E8</v>
      </c>
      <c r="B1439" s="54" t="s">
        <v>13963</v>
      </c>
      <c r="C1439" s="54" t="s">
        <v>11472</v>
      </c>
    </row>
    <row r="1440" hidden="1">
      <c r="A1440" s="61">
        <v>2.00201401E8</v>
      </c>
      <c r="B1440" s="54" t="s">
        <v>13964</v>
      </c>
      <c r="C1440" s="54" t="s">
        <v>12206</v>
      </c>
    </row>
    <row r="1441" hidden="1">
      <c r="A1441" s="61">
        <v>2.02107688E8</v>
      </c>
      <c r="B1441" s="54" t="s">
        <v>13965</v>
      </c>
      <c r="C1441" s="54" t="s">
        <v>13966</v>
      </c>
    </row>
    <row r="1442" hidden="1">
      <c r="A1442" s="61">
        <v>2.02000086E8</v>
      </c>
      <c r="B1442" s="54" t="s">
        <v>13967</v>
      </c>
      <c r="C1442" s="54" t="s">
        <v>13968</v>
      </c>
    </row>
    <row r="1443" hidden="1">
      <c r="A1443" s="61">
        <v>2.01400255E8</v>
      </c>
      <c r="B1443" s="54" t="s">
        <v>13969</v>
      </c>
      <c r="C1443" s="54" t="s">
        <v>12206</v>
      </c>
    </row>
    <row r="1444" hidden="1">
      <c r="A1444" s="61">
        <v>2.02002354E8</v>
      </c>
      <c r="B1444" s="54" t="s">
        <v>13970</v>
      </c>
      <c r="C1444" s="54" t="s">
        <v>13971</v>
      </c>
    </row>
    <row r="1445" hidden="1">
      <c r="A1445" s="61">
        <v>2.02103378E8</v>
      </c>
      <c r="B1445" s="54" t="s">
        <v>13972</v>
      </c>
      <c r="C1445" s="54" t="s">
        <v>13973</v>
      </c>
    </row>
    <row r="1446" hidden="1">
      <c r="A1446" s="61">
        <v>2.0070095E8</v>
      </c>
      <c r="B1446" s="54" t="s">
        <v>13974</v>
      </c>
      <c r="C1446" s="54" t="s">
        <v>13975</v>
      </c>
    </row>
    <row r="1447" hidden="1">
      <c r="A1447" s="61">
        <v>2.01905751E8</v>
      </c>
      <c r="B1447" s="54" t="s">
        <v>13976</v>
      </c>
      <c r="C1447" s="54" t="s">
        <v>13977</v>
      </c>
    </row>
    <row r="1448" hidden="1">
      <c r="A1448" s="61">
        <v>2.02000361E8</v>
      </c>
      <c r="B1448" s="54" t="s">
        <v>13978</v>
      </c>
      <c r="C1448" s="54" t="s">
        <v>13979</v>
      </c>
    </row>
    <row r="1449" hidden="1">
      <c r="A1449" s="61">
        <v>2.02103333E8</v>
      </c>
      <c r="B1449" s="54" t="s">
        <v>13980</v>
      </c>
      <c r="C1449" s="54" t="s">
        <v>11704</v>
      </c>
    </row>
    <row r="1450" hidden="1">
      <c r="A1450" s="61">
        <v>2.01400256E8</v>
      </c>
      <c r="B1450" s="54" t="s">
        <v>13981</v>
      </c>
      <c r="C1450" s="54" t="s">
        <v>13982</v>
      </c>
    </row>
    <row r="1451" hidden="1">
      <c r="A1451" s="61">
        <v>1.99301398E8</v>
      </c>
      <c r="B1451" s="54" t="s">
        <v>13983</v>
      </c>
      <c r="C1451" s="54" t="s">
        <v>11691</v>
      </c>
    </row>
    <row r="1452" hidden="1">
      <c r="A1452" s="61">
        <v>2.01603726E8</v>
      </c>
      <c r="B1452" s="54" t="s">
        <v>13984</v>
      </c>
      <c r="C1452" s="54" t="s">
        <v>13985</v>
      </c>
    </row>
    <row r="1453" hidden="1">
      <c r="A1453" s="61">
        <v>2.01400318E8</v>
      </c>
      <c r="B1453" s="54" t="s">
        <v>13986</v>
      </c>
      <c r="C1453" s="54" t="s">
        <v>13987</v>
      </c>
    </row>
    <row r="1454" hidden="1">
      <c r="A1454" s="61">
        <v>2.00907352E8</v>
      </c>
      <c r="B1454" s="54" t="s">
        <v>13988</v>
      </c>
      <c r="C1454" s="54" t="s">
        <v>13989</v>
      </c>
    </row>
    <row r="1455" hidden="1">
      <c r="A1455" s="61">
        <v>2.01200482E8</v>
      </c>
      <c r="B1455" s="54" t="s">
        <v>13990</v>
      </c>
      <c r="C1455" s="54" t="s">
        <v>13991</v>
      </c>
    </row>
    <row r="1456" hidden="1">
      <c r="A1456" s="61">
        <v>2.00707488E8</v>
      </c>
      <c r="B1456" s="54" t="s">
        <v>13992</v>
      </c>
      <c r="C1456" s="54" t="s">
        <v>13993</v>
      </c>
    </row>
    <row r="1457" hidden="1">
      <c r="A1457" s="61">
        <v>2.01700717E8</v>
      </c>
      <c r="B1457" s="54" t="s">
        <v>13994</v>
      </c>
      <c r="C1457" s="54" t="s">
        <v>13995</v>
      </c>
    </row>
    <row r="1458" hidden="1">
      <c r="A1458" s="61">
        <v>2.01909707E8</v>
      </c>
      <c r="B1458" s="54" t="s">
        <v>13996</v>
      </c>
      <c r="C1458" s="54" t="s">
        <v>13997</v>
      </c>
    </row>
    <row r="1459" hidden="1">
      <c r="A1459" s="61">
        <v>2.00607638E8</v>
      </c>
      <c r="B1459" s="54" t="s">
        <v>13998</v>
      </c>
      <c r="C1459" s="54" t="s">
        <v>13999</v>
      </c>
    </row>
    <row r="1460" hidden="1">
      <c r="A1460" s="61">
        <v>2.0080825E8</v>
      </c>
      <c r="B1460" s="54" t="s">
        <v>14000</v>
      </c>
      <c r="C1460" s="54" t="s">
        <v>14001</v>
      </c>
    </row>
    <row r="1461" hidden="1">
      <c r="A1461" s="61">
        <v>2.01000821E8</v>
      </c>
      <c r="B1461" s="54" t="s">
        <v>14002</v>
      </c>
      <c r="C1461" s="54" t="s">
        <v>14003</v>
      </c>
    </row>
    <row r="1462" hidden="1">
      <c r="A1462" s="61">
        <v>2.01709767E8</v>
      </c>
      <c r="B1462" s="54" t="s">
        <v>14004</v>
      </c>
      <c r="C1462" s="54" t="s">
        <v>12542</v>
      </c>
    </row>
    <row r="1463" hidden="1">
      <c r="A1463" s="61">
        <v>2.01003194E8</v>
      </c>
      <c r="B1463" s="54" t="s">
        <v>14005</v>
      </c>
      <c r="C1463" s="54" t="s">
        <v>14006</v>
      </c>
    </row>
    <row r="1464" hidden="1">
      <c r="A1464" s="61">
        <v>2.00901201E8</v>
      </c>
      <c r="B1464" s="54" t="s">
        <v>14007</v>
      </c>
      <c r="C1464" s="54" t="s">
        <v>14008</v>
      </c>
    </row>
    <row r="1465" hidden="1">
      <c r="A1465" s="61">
        <v>2.01709768E8</v>
      </c>
      <c r="B1465" s="54" t="s">
        <v>14009</v>
      </c>
      <c r="C1465" s="54" t="s">
        <v>14010</v>
      </c>
    </row>
    <row r="1466" hidden="1">
      <c r="A1466" s="61">
        <v>2.01506923E8</v>
      </c>
      <c r="B1466" s="54" t="s">
        <v>14011</v>
      </c>
      <c r="C1466" s="54" t="s">
        <v>12151</v>
      </c>
    </row>
    <row r="1467" hidden="1">
      <c r="A1467" s="61">
        <v>2.01409238E8</v>
      </c>
      <c r="B1467" s="54" t="s">
        <v>14012</v>
      </c>
      <c r="C1467" s="54" t="s">
        <v>14013</v>
      </c>
    </row>
    <row r="1468" hidden="1">
      <c r="A1468" s="61">
        <v>2.01001385E8</v>
      </c>
      <c r="B1468" s="54" t="s">
        <v>14014</v>
      </c>
      <c r="C1468" s="54" t="s">
        <v>11613</v>
      </c>
    </row>
    <row r="1469" hidden="1">
      <c r="A1469" s="61">
        <v>2.01800258E8</v>
      </c>
      <c r="B1469" s="54" t="s">
        <v>14015</v>
      </c>
      <c r="C1469" s="54" t="s">
        <v>14016</v>
      </c>
    </row>
    <row r="1470" hidden="1">
      <c r="A1470" s="61">
        <v>2.01300148E8</v>
      </c>
      <c r="B1470" s="54" t="s">
        <v>14017</v>
      </c>
      <c r="C1470" s="54" t="s">
        <v>14018</v>
      </c>
    </row>
    <row r="1471" hidden="1">
      <c r="A1471" s="61">
        <v>2.0151102E8</v>
      </c>
      <c r="B1471" s="54" t="s">
        <v>14019</v>
      </c>
      <c r="C1471" s="54" t="s">
        <v>12382</v>
      </c>
    </row>
    <row r="1472" hidden="1">
      <c r="A1472" s="61">
        <v>2.00709764E8</v>
      </c>
      <c r="B1472" s="54" t="s">
        <v>14020</v>
      </c>
      <c r="C1472" s="54" t="s">
        <v>14021</v>
      </c>
    </row>
    <row r="1473" hidden="1">
      <c r="A1473" s="61">
        <v>2.01400171E8</v>
      </c>
      <c r="B1473" s="54" t="s">
        <v>14022</v>
      </c>
      <c r="C1473" s="54" t="s">
        <v>14023</v>
      </c>
    </row>
    <row r="1474" hidden="1">
      <c r="A1474" s="61">
        <v>2.01407317E8</v>
      </c>
      <c r="B1474" s="54" t="s">
        <v>14024</v>
      </c>
      <c r="C1474" s="54" t="s">
        <v>11490</v>
      </c>
    </row>
    <row r="1475" hidden="1">
      <c r="A1475" s="61">
        <v>2.02102953E8</v>
      </c>
      <c r="B1475" s="54" t="s">
        <v>14025</v>
      </c>
      <c r="C1475" s="54" t="s">
        <v>14026</v>
      </c>
    </row>
    <row r="1476" hidden="1">
      <c r="A1476" s="61">
        <v>2.02005555E8</v>
      </c>
      <c r="B1476" s="54" t="s">
        <v>14027</v>
      </c>
      <c r="C1476" s="54" t="s">
        <v>14028</v>
      </c>
    </row>
    <row r="1477" hidden="1">
      <c r="A1477" s="61">
        <v>2.01602995E8</v>
      </c>
      <c r="B1477" s="54" t="s">
        <v>14029</v>
      </c>
      <c r="C1477" s="54" t="s">
        <v>14030</v>
      </c>
    </row>
    <row r="1478" hidden="1">
      <c r="A1478" s="61">
        <v>2.01607894E8</v>
      </c>
      <c r="B1478" s="54" t="s">
        <v>14029</v>
      </c>
      <c r="C1478" s="54" t="s">
        <v>14031</v>
      </c>
    </row>
    <row r="1479" hidden="1">
      <c r="A1479" s="61">
        <v>2.01904686E8</v>
      </c>
      <c r="B1479" s="54" t="s">
        <v>14029</v>
      </c>
      <c r="C1479" s="54" t="s">
        <v>13532</v>
      </c>
    </row>
    <row r="1480" hidden="1">
      <c r="A1480" s="61">
        <v>2.02103318E8</v>
      </c>
      <c r="B1480" s="54" t="s">
        <v>14032</v>
      </c>
      <c r="C1480" s="54" t="s">
        <v>11798</v>
      </c>
    </row>
    <row r="1481" hidden="1">
      <c r="A1481" s="61">
        <v>2.01000926E8</v>
      </c>
      <c r="B1481" s="54" t="s">
        <v>14033</v>
      </c>
      <c r="C1481" s="54" t="s">
        <v>14034</v>
      </c>
    </row>
    <row r="1482" hidden="1">
      <c r="A1482" s="61">
        <v>2.0060764E8</v>
      </c>
      <c r="B1482" s="54" t="s">
        <v>14035</v>
      </c>
      <c r="C1482" s="54" t="s">
        <v>14036</v>
      </c>
    </row>
    <row r="1483" hidden="1">
      <c r="A1483" s="61">
        <v>2.01801786E8</v>
      </c>
      <c r="B1483" s="54" t="s">
        <v>14037</v>
      </c>
      <c r="C1483" s="54" t="s">
        <v>14038</v>
      </c>
    </row>
    <row r="1484" hidden="1">
      <c r="A1484" s="61">
        <v>2.02002331E8</v>
      </c>
      <c r="B1484" s="54" t="s">
        <v>14039</v>
      </c>
      <c r="C1484" s="54" t="s">
        <v>14040</v>
      </c>
    </row>
    <row r="1485" hidden="1">
      <c r="A1485" s="61">
        <v>2.0160361E8</v>
      </c>
      <c r="B1485" s="54" t="s">
        <v>14041</v>
      </c>
      <c r="C1485" s="54" t="s">
        <v>14042</v>
      </c>
    </row>
    <row r="1486" hidden="1">
      <c r="A1486" s="61">
        <v>2.0140085E8</v>
      </c>
      <c r="B1486" s="54" t="s">
        <v>14041</v>
      </c>
      <c r="C1486" s="54" t="s">
        <v>11835</v>
      </c>
    </row>
    <row r="1487" hidden="1">
      <c r="A1487" s="61">
        <v>2.01505111E8</v>
      </c>
      <c r="B1487" s="54" t="s">
        <v>14041</v>
      </c>
      <c r="C1487" s="54" t="s">
        <v>12770</v>
      </c>
    </row>
    <row r="1488" hidden="1">
      <c r="A1488" s="61">
        <v>2.01602996E8</v>
      </c>
      <c r="B1488" s="54" t="s">
        <v>14041</v>
      </c>
      <c r="C1488" s="54" t="s">
        <v>12724</v>
      </c>
    </row>
    <row r="1489" hidden="1">
      <c r="A1489" s="61">
        <v>2.02105125E8</v>
      </c>
      <c r="B1489" s="54" t="s">
        <v>14043</v>
      </c>
      <c r="C1489" s="54" t="s">
        <v>12314</v>
      </c>
    </row>
    <row r="1490" hidden="1">
      <c r="A1490" s="61">
        <v>2.01410681E8</v>
      </c>
      <c r="B1490" s="54" t="s">
        <v>14044</v>
      </c>
      <c r="C1490" s="54" t="s">
        <v>14045</v>
      </c>
    </row>
    <row r="1491" hidden="1">
      <c r="A1491" s="61">
        <v>2.00200461E8</v>
      </c>
      <c r="B1491" s="54" t="s">
        <v>14046</v>
      </c>
      <c r="C1491" s="54" t="s">
        <v>14047</v>
      </c>
    </row>
    <row r="1492" hidden="1">
      <c r="A1492" s="61">
        <v>2.01612317E8</v>
      </c>
      <c r="B1492" s="54" t="s">
        <v>14048</v>
      </c>
      <c r="C1492" s="54" t="s">
        <v>12881</v>
      </c>
    </row>
    <row r="1493" hidden="1">
      <c r="A1493" s="61">
        <v>2.02005556E8</v>
      </c>
      <c r="B1493" s="54" t="s">
        <v>14049</v>
      </c>
      <c r="C1493" s="54" t="s">
        <v>11991</v>
      </c>
    </row>
    <row r="1494" hidden="1">
      <c r="A1494" s="61">
        <v>2.02000081E8</v>
      </c>
      <c r="B1494" s="54" t="s">
        <v>14050</v>
      </c>
      <c r="C1494" s="54" t="s">
        <v>14051</v>
      </c>
    </row>
    <row r="1495" hidden="1">
      <c r="A1495" s="61">
        <v>2.02105126E8</v>
      </c>
      <c r="B1495" s="54" t="s">
        <v>14052</v>
      </c>
      <c r="C1495" s="54" t="s">
        <v>13017</v>
      </c>
    </row>
    <row r="1496" hidden="1">
      <c r="A1496" s="61">
        <v>2.01704773E8</v>
      </c>
      <c r="B1496" s="54" t="s">
        <v>14053</v>
      </c>
      <c r="C1496" s="54" t="s">
        <v>14054</v>
      </c>
    </row>
    <row r="1497" hidden="1">
      <c r="A1497" s="61">
        <v>2.01800259E8</v>
      </c>
      <c r="B1497" s="54" t="s">
        <v>14053</v>
      </c>
      <c r="C1497" s="54" t="s">
        <v>13488</v>
      </c>
    </row>
    <row r="1498" hidden="1">
      <c r="A1498" s="61">
        <v>2.01410682E8</v>
      </c>
      <c r="B1498" s="54" t="s">
        <v>14053</v>
      </c>
      <c r="C1498" s="54" t="s">
        <v>14055</v>
      </c>
    </row>
    <row r="1499" hidden="1">
      <c r="A1499" s="61">
        <v>2.01400319E8</v>
      </c>
      <c r="B1499" s="54" t="s">
        <v>14056</v>
      </c>
      <c r="C1499" s="54" t="s">
        <v>14057</v>
      </c>
    </row>
    <row r="1500" hidden="1">
      <c r="A1500" s="61">
        <v>2.01604737E8</v>
      </c>
      <c r="B1500" s="54" t="s">
        <v>14058</v>
      </c>
      <c r="C1500" s="54" t="s">
        <v>14059</v>
      </c>
    </row>
    <row r="1501" hidden="1">
      <c r="A1501" s="61">
        <v>2.01602998E8</v>
      </c>
      <c r="B1501" s="54" t="s">
        <v>14060</v>
      </c>
      <c r="C1501" s="54" t="s">
        <v>14061</v>
      </c>
    </row>
    <row r="1502" hidden="1">
      <c r="A1502" s="61">
        <v>2.01400056E8</v>
      </c>
      <c r="B1502" s="54" t="s">
        <v>14062</v>
      </c>
      <c r="C1502" s="54" t="s">
        <v>14063</v>
      </c>
    </row>
    <row r="1503" hidden="1">
      <c r="A1503" s="61">
        <v>2.02001524E8</v>
      </c>
      <c r="B1503" s="54" t="s">
        <v>14064</v>
      </c>
      <c r="C1503" s="54" t="s">
        <v>14065</v>
      </c>
    </row>
    <row r="1504" hidden="1">
      <c r="A1504" s="61">
        <v>2.01400259E8</v>
      </c>
      <c r="B1504" s="54" t="s">
        <v>14066</v>
      </c>
      <c r="C1504" s="54" t="s">
        <v>14067</v>
      </c>
    </row>
    <row r="1505" hidden="1">
      <c r="A1505" s="61">
        <v>2.02107886E8</v>
      </c>
      <c r="B1505" s="54" t="s">
        <v>14068</v>
      </c>
      <c r="C1505" s="54" t="s">
        <v>14069</v>
      </c>
    </row>
    <row r="1506" hidden="1">
      <c r="A1506" s="61">
        <v>2.01200517E8</v>
      </c>
      <c r="B1506" s="54" t="s">
        <v>14070</v>
      </c>
      <c r="C1506" s="54" t="s">
        <v>12270</v>
      </c>
    </row>
    <row r="1507" hidden="1">
      <c r="A1507" s="61">
        <v>2.01603729E8</v>
      </c>
      <c r="B1507" s="54" t="s">
        <v>14071</v>
      </c>
      <c r="C1507" s="54" t="s">
        <v>14072</v>
      </c>
    </row>
    <row r="1508" hidden="1">
      <c r="A1508" s="61">
        <v>2.01100245E8</v>
      </c>
      <c r="B1508" s="54" t="s">
        <v>14073</v>
      </c>
      <c r="C1508" s="54" t="s">
        <v>14074</v>
      </c>
    </row>
    <row r="1509" hidden="1">
      <c r="A1509" s="61">
        <v>2.01809411E8</v>
      </c>
      <c r="B1509" s="54" t="s">
        <v>14075</v>
      </c>
      <c r="C1509" s="54" t="s">
        <v>11512</v>
      </c>
    </row>
    <row r="1510" hidden="1">
      <c r="A1510" s="61">
        <v>2.0160373E8</v>
      </c>
      <c r="B1510" s="54" t="s">
        <v>14075</v>
      </c>
      <c r="C1510" s="54" t="s">
        <v>14076</v>
      </c>
    </row>
    <row r="1511" hidden="1">
      <c r="A1511" s="61">
        <v>2.01902197E8</v>
      </c>
      <c r="B1511" s="54" t="s">
        <v>14077</v>
      </c>
      <c r="C1511" s="54" t="s">
        <v>14078</v>
      </c>
    </row>
    <row r="1512" hidden="1">
      <c r="A1512" s="61">
        <v>2.0140026E8</v>
      </c>
      <c r="B1512" s="54" t="s">
        <v>14079</v>
      </c>
      <c r="C1512" s="54" t="s">
        <v>14080</v>
      </c>
    </row>
    <row r="1513" hidden="1">
      <c r="A1513" s="61">
        <v>2.01603731E8</v>
      </c>
      <c r="B1513" s="54" t="s">
        <v>14081</v>
      </c>
      <c r="C1513" s="54" t="s">
        <v>11707</v>
      </c>
    </row>
    <row r="1514" hidden="1">
      <c r="A1514" s="61">
        <v>2.01400174E8</v>
      </c>
      <c r="B1514" s="54" t="s">
        <v>14082</v>
      </c>
      <c r="C1514" s="54" t="s">
        <v>14083</v>
      </c>
    </row>
    <row r="1515" hidden="1">
      <c r="A1515" s="61">
        <v>2.02000408E8</v>
      </c>
      <c r="B1515" s="54" t="s">
        <v>14084</v>
      </c>
      <c r="C1515" s="54" t="s">
        <v>11490</v>
      </c>
    </row>
    <row r="1516" hidden="1">
      <c r="A1516" s="61">
        <v>2.01900227E8</v>
      </c>
      <c r="B1516" s="54" t="s">
        <v>14085</v>
      </c>
      <c r="C1516" s="54" t="s">
        <v>14086</v>
      </c>
    </row>
    <row r="1517" hidden="1">
      <c r="A1517" s="61">
        <v>2.01902198E8</v>
      </c>
      <c r="B1517" s="54" t="s">
        <v>14087</v>
      </c>
      <c r="C1517" s="54" t="s">
        <v>14088</v>
      </c>
    </row>
    <row r="1518" hidden="1">
      <c r="A1518" s="61">
        <v>2.01612065E8</v>
      </c>
      <c r="B1518" s="54" t="s">
        <v>14087</v>
      </c>
      <c r="C1518" s="54" t="s">
        <v>14089</v>
      </c>
    </row>
    <row r="1519" hidden="1">
      <c r="A1519" s="61">
        <v>2.01606459E8</v>
      </c>
      <c r="B1519" s="54" t="s">
        <v>14090</v>
      </c>
      <c r="C1519" s="54" t="s">
        <v>14091</v>
      </c>
    </row>
    <row r="1520" hidden="1">
      <c r="A1520" s="61">
        <v>2.0130015E8</v>
      </c>
      <c r="B1520" s="54" t="s">
        <v>14092</v>
      </c>
      <c r="C1520" s="54" t="s">
        <v>13141</v>
      </c>
    </row>
    <row r="1521" hidden="1">
      <c r="A1521" s="61">
        <v>2.01706724E8</v>
      </c>
      <c r="B1521" s="54" t="s">
        <v>14093</v>
      </c>
      <c r="C1521" s="54" t="s">
        <v>12151</v>
      </c>
    </row>
    <row r="1522" hidden="1">
      <c r="A1522" s="61">
        <v>2.01904724E8</v>
      </c>
      <c r="B1522" s="54" t="s">
        <v>14094</v>
      </c>
      <c r="C1522" s="54" t="s">
        <v>14095</v>
      </c>
    </row>
    <row r="1523" hidden="1">
      <c r="A1523" s="61">
        <v>2.01603611E8</v>
      </c>
      <c r="B1523" s="54" t="s">
        <v>14096</v>
      </c>
      <c r="C1523" s="54" t="s">
        <v>14097</v>
      </c>
    </row>
    <row r="1524" hidden="1">
      <c r="A1524" s="61">
        <v>2.00005793E8</v>
      </c>
      <c r="B1524" s="54" t="s">
        <v>14098</v>
      </c>
      <c r="C1524" s="54" t="s">
        <v>12107</v>
      </c>
    </row>
    <row r="1525" hidden="1">
      <c r="A1525" s="61">
        <v>2.00908473E8</v>
      </c>
      <c r="B1525" s="54" t="s">
        <v>14099</v>
      </c>
      <c r="C1525" s="54" t="s">
        <v>11707</v>
      </c>
    </row>
    <row r="1526" hidden="1">
      <c r="A1526" s="61">
        <v>2.01407318E8</v>
      </c>
      <c r="B1526" s="54" t="s">
        <v>14100</v>
      </c>
      <c r="C1526" s="54" t="s">
        <v>14101</v>
      </c>
    </row>
    <row r="1527" hidden="1">
      <c r="A1527" s="61">
        <v>2.01307358E8</v>
      </c>
      <c r="B1527" s="54" t="s">
        <v>14102</v>
      </c>
      <c r="C1527" s="54" t="s">
        <v>11525</v>
      </c>
    </row>
    <row r="1528" hidden="1">
      <c r="A1528" s="61">
        <v>2.01700719E8</v>
      </c>
      <c r="B1528" s="54" t="s">
        <v>14103</v>
      </c>
      <c r="C1528" s="54" t="s">
        <v>14104</v>
      </c>
    </row>
    <row r="1529" hidden="1">
      <c r="A1529" s="61">
        <v>2.0160025E8</v>
      </c>
      <c r="B1529" s="54" t="s">
        <v>14105</v>
      </c>
      <c r="C1529" s="54" t="s">
        <v>14106</v>
      </c>
    </row>
    <row r="1530" hidden="1">
      <c r="A1530" s="61">
        <v>2.01909898E8</v>
      </c>
      <c r="B1530" s="54" t="s">
        <v>14107</v>
      </c>
      <c r="C1530" s="54" t="s">
        <v>14108</v>
      </c>
    </row>
    <row r="1531" hidden="1">
      <c r="A1531" s="61">
        <v>2.01704907E8</v>
      </c>
      <c r="B1531" s="54" t="s">
        <v>14109</v>
      </c>
      <c r="C1531" s="54" t="s">
        <v>11658</v>
      </c>
    </row>
    <row r="1532" hidden="1">
      <c r="A1532" s="61">
        <v>2.01800033E8</v>
      </c>
      <c r="B1532" s="54" t="s">
        <v>14110</v>
      </c>
      <c r="C1532" s="54" t="s">
        <v>11525</v>
      </c>
    </row>
    <row r="1533" hidden="1">
      <c r="A1533" s="61">
        <v>2.01507378E8</v>
      </c>
      <c r="B1533" s="54" t="s">
        <v>14111</v>
      </c>
      <c r="C1533" s="54" t="s">
        <v>14112</v>
      </c>
    </row>
    <row r="1534" hidden="1">
      <c r="A1534" s="61">
        <v>2.00601266E8</v>
      </c>
      <c r="B1534" s="54" t="s">
        <v>14113</v>
      </c>
      <c r="C1534" s="54" t="s">
        <v>14114</v>
      </c>
    </row>
    <row r="1535" hidden="1">
      <c r="A1535" s="61">
        <v>2.01701866E8</v>
      </c>
      <c r="B1535" s="54" t="s">
        <v>14115</v>
      </c>
      <c r="C1535" s="54" t="s">
        <v>14116</v>
      </c>
    </row>
    <row r="1536" hidden="1">
      <c r="A1536" s="61">
        <v>2.02002333E8</v>
      </c>
      <c r="B1536" s="54" t="s">
        <v>14117</v>
      </c>
      <c r="C1536" s="54" t="s">
        <v>12595</v>
      </c>
    </row>
    <row r="1537" hidden="1">
      <c r="A1537" s="61">
        <v>2.02102954E8</v>
      </c>
      <c r="B1537" s="54" t="s">
        <v>14118</v>
      </c>
      <c r="C1537" s="54" t="s">
        <v>14119</v>
      </c>
    </row>
    <row r="1538" hidden="1">
      <c r="A1538" s="61">
        <v>2.00901647E8</v>
      </c>
      <c r="B1538" s="54" t="s">
        <v>14120</v>
      </c>
      <c r="C1538" s="54" t="s">
        <v>14121</v>
      </c>
    </row>
    <row r="1539" hidden="1">
      <c r="A1539" s="61">
        <v>2.02107943E8</v>
      </c>
      <c r="B1539" s="54" t="s">
        <v>14122</v>
      </c>
      <c r="C1539" s="54" t="s">
        <v>14123</v>
      </c>
    </row>
    <row r="1540" hidden="1">
      <c r="A1540" s="61">
        <v>2.01502235E8</v>
      </c>
      <c r="B1540" s="54" t="s">
        <v>14124</v>
      </c>
      <c r="C1540" s="54" t="s">
        <v>14125</v>
      </c>
    </row>
    <row r="1541" hidden="1">
      <c r="A1541" s="61">
        <v>2.02107902E8</v>
      </c>
      <c r="B1541" s="54" t="s">
        <v>14126</v>
      </c>
      <c r="C1541" s="54" t="s">
        <v>14127</v>
      </c>
    </row>
    <row r="1542" hidden="1">
      <c r="A1542" s="61">
        <v>2.0160646E8</v>
      </c>
      <c r="B1542" s="54" t="s">
        <v>14128</v>
      </c>
      <c r="C1542" s="54" t="s">
        <v>11928</v>
      </c>
    </row>
    <row r="1543" hidden="1">
      <c r="A1543" s="61">
        <v>2.01902199E8</v>
      </c>
      <c r="B1543" s="54" t="s">
        <v>14129</v>
      </c>
      <c r="C1543" s="54" t="s">
        <v>11484</v>
      </c>
    </row>
    <row r="1544" hidden="1">
      <c r="A1544" s="61">
        <v>2.01309585E8</v>
      </c>
      <c r="B1544" s="54" t="s">
        <v>14130</v>
      </c>
      <c r="C1544" s="54" t="s">
        <v>14131</v>
      </c>
    </row>
    <row r="1545" hidden="1">
      <c r="A1545" s="61">
        <v>2.01308305E8</v>
      </c>
      <c r="B1545" s="54" t="s">
        <v>14132</v>
      </c>
      <c r="C1545" s="54" t="s">
        <v>14133</v>
      </c>
    </row>
    <row r="1546" hidden="1">
      <c r="A1546" s="61">
        <v>2.01612091E8</v>
      </c>
      <c r="B1546" s="54" t="s">
        <v>14134</v>
      </c>
      <c r="C1546" s="54" t="s">
        <v>12122</v>
      </c>
    </row>
    <row r="1547" hidden="1">
      <c r="A1547" s="61">
        <v>2.01508156E8</v>
      </c>
      <c r="B1547" s="54" t="s">
        <v>14135</v>
      </c>
      <c r="C1547" s="54" t="s">
        <v>14136</v>
      </c>
    </row>
    <row r="1548" hidden="1">
      <c r="A1548" s="61">
        <v>2.02107887E8</v>
      </c>
      <c r="B1548" s="54" t="s">
        <v>14137</v>
      </c>
      <c r="C1548" s="54" t="s">
        <v>14138</v>
      </c>
    </row>
    <row r="1549" hidden="1">
      <c r="A1549" s="61">
        <v>2.00006094E8</v>
      </c>
      <c r="B1549" s="54" t="s">
        <v>14139</v>
      </c>
      <c r="C1549" s="54" t="s">
        <v>14140</v>
      </c>
    </row>
    <row r="1550" hidden="1">
      <c r="A1550" s="61">
        <v>2.01506894E8</v>
      </c>
      <c r="B1550" s="54" t="s">
        <v>14141</v>
      </c>
      <c r="C1550" s="54" t="s">
        <v>14142</v>
      </c>
    </row>
    <row r="1551" hidden="1">
      <c r="A1551" s="61">
        <v>2.00802395E8</v>
      </c>
      <c r="B1551" s="54" t="s">
        <v>14143</v>
      </c>
      <c r="C1551" s="54" t="s">
        <v>14144</v>
      </c>
    </row>
    <row r="1552" hidden="1">
      <c r="A1552" s="61">
        <v>2.01603733E8</v>
      </c>
      <c r="B1552" s="54" t="s">
        <v>14145</v>
      </c>
      <c r="C1552" s="54" t="s">
        <v>14146</v>
      </c>
    </row>
    <row r="1553" hidden="1">
      <c r="A1553" s="61">
        <v>2.01904687E8</v>
      </c>
      <c r="B1553" s="54" t="s">
        <v>14147</v>
      </c>
      <c r="C1553" s="54" t="s">
        <v>14148</v>
      </c>
    </row>
    <row r="1554" hidden="1">
      <c r="A1554" s="61">
        <v>2.0210788E8</v>
      </c>
      <c r="B1554" s="54" t="s">
        <v>14149</v>
      </c>
      <c r="C1554" s="54" t="s">
        <v>14150</v>
      </c>
    </row>
    <row r="1555" hidden="1">
      <c r="A1555" s="61">
        <v>2.01700718E8</v>
      </c>
      <c r="B1555" s="54" t="s">
        <v>14151</v>
      </c>
      <c r="C1555" s="54" t="s">
        <v>14152</v>
      </c>
    </row>
    <row r="1556" hidden="1">
      <c r="A1556" s="61">
        <v>2.00901206E8</v>
      </c>
      <c r="B1556" s="54" t="s">
        <v>14153</v>
      </c>
      <c r="C1556" s="54" t="s">
        <v>14154</v>
      </c>
    </row>
    <row r="1557" hidden="1">
      <c r="A1557" s="61">
        <v>2.01200518E8</v>
      </c>
      <c r="B1557" s="54" t="s">
        <v>14155</v>
      </c>
      <c r="C1557" s="54" t="s">
        <v>14156</v>
      </c>
    </row>
    <row r="1558" hidden="1">
      <c r="A1558" s="61">
        <v>2.01904675E8</v>
      </c>
      <c r="B1558" s="54" t="s">
        <v>14157</v>
      </c>
      <c r="C1558" s="54" t="s">
        <v>14158</v>
      </c>
    </row>
    <row r="1559" hidden="1">
      <c r="A1559" s="61">
        <v>2.019022E8</v>
      </c>
      <c r="B1559" s="54" t="s">
        <v>14159</v>
      </c>
      <c r="C1559" s="54" t="s">
        <v>14160</v>
      </c>
    </row>
    <row r="1560" hidden="1">
      <c r="A1560" s="61">
        <v>2.01409367E8</v>
      </c>
      <c r="B1560" s="54" t="s">
        <v>14161</v>
      </c>
      <c r="C1560" s="54" t="s">
        <v>14162</v>
      </c>
    </row>
    <row r="1561" hidden="1">
      <c r="A1561" s="61">
        <v>2.01603734E8</v>
      </c>
      <c r="B1561" s="54" t="s">
        <v>14163</v>
      </c>
      <c r="C1561" s="54" t="s">
        <v>14164</v>
      </c>
    </row>
    <row r="1562" hidden="1">
      <c r="A1562" s="61">
        <v>2.01802045E8</v>
      </c>
      <c r="B1562" s="54" t="s">
        <v>14165</v>
      </c>
      <c r="C1562" s="54" t="s">
        <v>14166</v>
      </c>
    </row>
    <row r="1563" hidden="1">
      <c r="A1563" s="61">
        <v>2.01400262E8</v>
      </c>
      <c r="B1563" s="54" t="s">
        <v>14167</v>
      </c>
      <c r="C1563" s="54" t="s">
        <v>12317</v>
      </c>
    </row>
    <row r="1564" hidden="1">
      <c r="A1564" s="61">
        <v>2.01902201E8</v>
      </c>
      <c r="B1564" s="54" t="s">
        <v>14168</v>
      </c>
      <c r="C1564" s="54" t="s">
        <v>14008</v>
      </c>
    </row>
    <row r="1565" hidden="1">
      <c r="A1565" s="61">
        <v>2.01900248E8</v>
      </c>
      <c r="B1565" s="54" t="s">
        <v>14169</v>
      </c>
      <c r="C1565" s="54" t="s">
        <v>14170</v>
      </c>
    </row>
    <row r="1566" hidden="1">
      <c r="A1566" s="61">
        <v>2.01300223E8</v>
      </c>
      <c r="B1566" s="54" t="s">
        <v>14171</v>
      </c>
      <c r="C1566" s="54" t="s">
        <v>14172</v>
      </c>
    </row>
    <row r="1567" hidden="1">
      <c r="A1567" s="61">
        <v>2.02002151E8</v>
      </c>
      <c r="B1567" s="54" t="s">
        <v>14173</v>
      </c>
      <c r="C1567" s="54" t="s">
        <v>14174</v>
      </c>
    </row>
    <row r="1568" hidden="1">
      <c r="A1568" s="61">
        <v>2.02000426E8</v>
      </c>
      <c r="B1568" s="54" t="s">
        <v>14175</v>
      </c>
      <c r="C1568" s="54" t="s">
        <v>14176</v>
      </c>
    </row>
    <row r="1569" hidden="1">
      <c r="A1569" s="61">
        <v>2.01900242E8</v>
      </c>
      <c r="B1569" s="54" t="s">
        <v>14177</v>
      </c>
      <c r="C1569" s="54" t="s">
        <v>14178</v>
      </c>
    </row>
    <row r="1570" hidden="1">
      <c r="A1570" s="61">
        <v>2.01300154E8</v>
      </c>
      <c r="B1570" s="54" t="s">
        <v>14179</v>
      </c>
      <c r="C1570" s="54" t="s">
        <v>14180</v>
      </c>
    </row>
    <row r="1571" hidden="1">
      <c r="A1571" s="61">
        <v>2.01512607E8</v>
      </c>
      <c r="B1571" s="54" t="s">
        <v>14181</v>
      </c>
      <c r="C1571" s="54" t="s">
        <v>14182</v>
      </c>
    </row>
    <row r="1572" hidden="1">
      <c r="A1572" s="61">
        <v>2.02009775E8</v>
      </c>
      <c r="B1572" s="54" t="s">
        <v>14183</v>
      </c>
      <c r="C1572" s="54" t="s">
        <v>14184</v>
      </c>
    </row>
    <row r="1573" hidden="1">
      <c r="A1573" s="61">
        <v>2.01400176E8</v>
      </c>
      <c r="B1573" s="54" t="s">
        <v>14185</v>
      </c>
      <c r="C1573" s="54" t="s">
        <v>14186</v>
      </c>
    </row>
    <row r="1574" hidden="1">
      <c r="A1574" s="61">
        <v>2.02000414E8</v>
      </c>
      <c r="B1574" s="54" t="s">
        <v>14187</v>
      </c>
      <c r="C1574" s="54" t="s">
        <v>13039</v>
      </c>
    </row>
    <row r="1575" hidden="1">
      <c r="A1575" s="61">
        <v>2.01100327E8</v>
      </c>
      <c r="B1575" s="54" t="s">
        <v>14188</v>
      </c>
      <c r="C1575" s="54" t="s">
        <v>14189</v>
      </c>
    </row>
    <row r="1576" hidden="1">
      <c r="A1576" s="61">
        <v>2.01300155E8</v>
      </c>
      <c r="B1576" s="54" t="s">
        <v>14190</v>
      </c>
      <c r="C1576" s="54" t="s">
        <v>14191</v>
      </c>
    </row>
    <row r="1577" hidden="1">
      <c r="A1577" s="61">
        <v>2.00501531E8</v>
      </c>
      <c r="B1577" s="54" t="s">
        <v>14192</v>
      </c>
      <c r="C1577" s="54" t="s">
        <v>14193</v>
      </c>
    </row>
    <row r="1578" hidden="1">
      <c r="A1578" s="61">
        <v>2.01001388E8</v>
      </c>
      <c r="B1578" s="54" t="s">
        <v>14194</v>
      </c>
      <c r="C1578" s="54" t="s">
        <v>11691</v>
      </c>
    </row>
    <row r="1579" hidden="1">
      <c r="A1579" s="61">
        <v>2.01612092E8</v>
      </c>
      <c r="B1579" s="54" t="s">
        <v>14195</v>
      </c>
      <c r="C1579" s="54" t="s">
        <v>14196</v>
      </c>
    </row>
    <row r="1580" hidden="1">
      <c r="A1580" s="61">
        <v>2.01400769E8</v>
      </c>
      <c r="B1580" s="54" t="s">
        <v>14197</v>
      </c>
      <c r="C1580" s="54" t="s">
        <v>11835</v>
      </c>
    </row>
    <row r="1581" hidden="1">
      <c r="A1581" s="61">
        <v>2.01800261E8</v>
      </c>
      <c r="B1581" s="54" t="s">
        <v>14198</v>
      </c>
      <c r="C1581" s="54" t="s">
        <v>11525</v>
      </c>
    </row>
    <row r="1582" hidden="1">
      <c r="A1582" s="61">
        <v>2.01508157E8</v>
      </c>
      <c r="B1582" s="54" t="s">
        <v>14199</v>
      </c>
      <c r="C1582" s="54" t="s">
        <v>12204</v>
      </c>
    </row>
    <row r="1583" hidden="1">
      <c r="A1583" s="61">
        <v>2.02009776E8</v>
      </c>
      <c r="B1583" s="54" t="s">
        <v>14200</v>
      </c>
      <c r="C1583" s="54" t="s">
        <v>14201</v>
      </c>
    </row>
    <row r="1584" hidden="1">
      <c r="A1584" s="61">
        <v>2.01100396E8</v>
      </c>
      <c r="B1584" s="54" t="s">
        <v>14202</v>
      </c>
      <c r="C1584" s="54" t="s">
        <v>12129</v>
      </c>
    </row>
    <row r="1585" hidden="1">
      <c r="A1585" s="61">
        <v>2.02107913E8</v>
      </c>
      <c r="B1585" s="54" t="s">
        <v>14203</v>
      </c>
      <c r="C1585" s="54" t="s">
        <v>11782</v>
      </c>
    </row>
    <row r="1586" hidden="1">
      <c r="A1586" s="61">
        <v>2.02001528E8</v>
      </c>
      <c r="B1586" s="54" t="s">
        <v>14204</v>
      </c>
      <c r="C1586" s="54" t="s">
        <v>14205</v>
      </c>
    </row>
    <row r="1587" hidden="1">
      <c r="A1587" s="61">
        <v>2.01300274E8</v>
      </c>
      <c r="B1587" s="54" t="s">
        <v>14206</v>
      </c>
      <c r="C1587" s="54" t="s">
        <v>14008</v>
      </c>
    </row>
    <row r="1588" hidden="1">
      <c r="A1588" s="61">
        <v>2.01705668E8</v>
      </c>
      <c r="B1588" s="54" t="s">
        <v>14207</v>
      </c>
      <c r="C1588" s="54" t="s">
        <v>12939</v>
      </c>
    </row>
    <row r="1589" hidden="1">
      <c r="A1589" s="61">
        <v>2.01607898E8</v>
      </c>
      <c r="B1589" s="54" t="s">
        <v>14208</v>
      </c>
      <c r="C1589" s="54" t="s">
        <v>11909</v>
      </c>
    </row>
    <row r="1590" hidden="1">
      <c r="A1590" s="61">
        <v>2.01900622E8</v>
      </c>
      <c r="B1590" s="54" t="s">
        <v>14209</v>
      </c>
      <c r="C1590" s="54" t="s">
        <v>14210</v>
      </c>
    </row>
    <row r="1591" hidden="1">
      <c r="A1591" s="61">
        <v>2.02002356E8</v>
      </c>
      <c r="B1591" s="54" t="s">
        <v>14211</v>
      </c>
      <c r="C1591" s="54" t="s">
        <v>14212</v>
      </c>
    </row>
    <row r="1592" hidden="1">
      <c r="A1592" s="61">
        <v>2.01904726E8</v>
      </c>
      <c r="B1592" s="54" t="s">
        <v>14213</v>
      </c>
      <c r="C1592" s="54" t="s">
        <v>14214</v>
      </c>
    </row>
    <row r="1593" hidden="1">
      <c r="A1593" s="61">
        <v>2.008093E8</v>
      </c>
      <c r="B1593" s="54" t="s">
        <v>14215</v>
      </c>
      <c r="C1593" s="54" t="s">
        <v>12055</v>
      </c>
    </row>
    <row r="1594" hidden="1">
      <c r="A1594" s="61">
        <v>2.02103379E8</v>
      </c>
      <c r="B1594" s="54" t="s">
        <v>14216</v>
      </c>
      <c r="C1594" s="54" t="s">
        <v>13534</v>
      </c>
    </row>
    <row r="1595" hidden="1">
      <c r="A1595" s="61">
        <v>2.00801172E8</v>
      </c>
      <c r="B1595" s="54" t="s">
        <v>14217</v>
      </c>
      <c r="C1595" s="54" t="s">
        <v>11845</v>
      </c>
    </row>
    <row r="1596" hidden="1">
      <c r="A1596" s="61">
        <v>2.01803265E8</v>
      </c>
      <c r="B1596" s="54" t="s">
        <v>14218</v>
      </c>
      <c r="C1596" s="54" t="s">
        <v>12372</v>
      </c>
    </row>
    <row r="1597" hidden="1">
      <c r="A1597" s="61">
        <v>2.00801163E8</v>
      </c>
      <c r="B1597" s="54" t="s">
        <v>14219</v>
      </c>
      <c r="C1597" s="54" t="s">
        <v>14220</v>
      </c>
    </row>
    <row r="1598" hidden="1">
      <c r="A1598" s="61">
        <v>2.00801499E8</v>
      </c>
      <c r="B1598" s="54" t="s">
        <v>14221</v>
      </c>
      <c r="C1598" s="54" t="s">
        <v>12442</v>
      </c>
    </row>
    <row r="1599" hidden="1">
      <c r="A1599" s="61">
        <v>2.00201442E8</v>
      </c>
      <c r="B1599" s="54" t="s">
        <v>14222</v>
      </c>
      <c r="C1599" s="54" t="s">
        <v>14223</v>
      </c>
    </row>
    <row r="1600" hidden="1">
      <c r="A1600" s="61">
        <v>2.02002357E8</v>
      </c>
      <c r="B1600" s="54" t="s">
        <v>14224</v>
      </c>
      <c r="C1600" s="54" t="s">
        <v>14225</v>
      </c>
    </row>
    <row r="1601" hidden="1">
      <c r="A1601" s="61">
        <v>2.01300158E8</v>
      </c>
      <c r="B1601" s="54" t="s">
        <v>14226</v>
      </c>
      <c r="C1601" s="54" t="s">
        <v>14227</v>
      </c>
    </row>
    <row r="1602" hidden="1">
      <c r="A1602" s="61">
        <v>2.01904713E8</v>
      </c>
      <c r="B1602" s="54" t="s">
        <v>14228</v>
      </c>
      <c r="C1602" s="54" t="s">
        <v>11476</v>
      </c>
    </row>
    <row r="1603" hidden="1">
      <c r="A1603" s="61">
        <v>2.01800262E8</v>
      </c>
      <c r="B1603" s="54" t="s">
        <v>14229</v>
      </c>
      <c r="C1603" s="54" t="s">
        <v>11762</v>
      </c>
    </row>
    <row r="1604" hidden="1">
      <c r="A1604" s="61">
        <v>2.00809422E8</v>
      </c>
      <c r="B1604" s="54" t="s">
        <v>14230</v>
      </c>
      <c r="C1604" s="54" t="s">
        <v>14231</v>
      </c>
    </row>
    <row r="1605" hidden="1">
      <c r="A1605" s="61">
        <v>2.01900564E8</v>
      </c>
      <c r="B1605" s="54" t="s">
        <v>14232</v>
      </c>
      <c r="C1605" s="54" t="s">
        <v>14233</v>
      </c>
    </row>
    <row r="1606" hidden="1">
      <c r="A1606" s="61">
        <v>2.01101262E8</v>
      </c>
      <c r="B1606" s="54" t="s">
        <v>14234</v>
      </c>
      <c r="C1606" s="54" t="s">
        <v>14235</v>
      </c>
    </row>
    <row r="1607" hidden="1">
      <c r="A1607" s="61">
        <v>2.01110793E8</v>
      </c>
      <c r="B1607" s="54" t="s">
        <v>14236</v>
      </c>
      <c r="C1607" s="54" t="s">
        <v>14237</v>
      </c>
    </row>
    <row r="1608" hidden="1">
      <c r="A1608" s="61">
        <v>2.01512267E8</v>
      </c>
      <c r="B1608" s="54" t="s">
        <v>14238</v>
      </c>
      <c r="C1608" s="54" t="s">
        <v>11928</v>
      </c>
    </row>
    <row r="1609" hidden="1">
      <c r="A1609" s="61">
        <v>2.02107914E8</v>
      </c>
      <c r="B1609" s="54" t="s">
        <v>14238</v>
      </c>
      <c r="C1609" s="54" t="s">
        <v>14239</v>
      </c>
    </row>
    <row r="1610" hidden="1">
      <c r="A1610" s="61">
        <v>2.00903086E8</v>
      </c>
      <c r="B1610" s="54" t="s">
        <v>14240</v>
      </c>
      <c r="C1610" s="54" t="s">
        <v>14241</v>
      </c>
    </row>
    <row r="1611" hidden="1">
      <c r="A1611" s="61">
        <v>2.01603738E8</v>
      </c>
      <c r="B1611" s="54" t="s">
        <v>14242</v>
      </c>
      <c r="C1611" s="54" t="s">
        <v>14243</v>
      </c>
    </row>
    <row r="1612" hidden="1">
      <c r="A1612" s="61">
        <v>2.01603739E8</v>
      </c>
      <c r="B1612" s="54" t="s">
        <v>14244</v>
      </c>
      <c r="C1612" s="54" t="s">
        <v>12382</v>
      </c>
    </row>
    <row r="1613" hidden="1">
      <c r="A1613" s="61">
        <v>2.01206874E8</v>
      </c>
      <c r="B1613" s="54" t="s">
        <v>14245</v>
      </c>
      <c r="C1613" s="54" t="s">
        <v>11909</v>
      </c>
    </row>
    <row r="1614" hidden="1">
      <c r="A1614" s="61">
        <v>2.01505454E8</v>
      </c>
      <c r="B1614" s="54" t="s">
        <v>14246</v>
      </c>
      <c r="C1614" s="54" t="s">
        <v>13429</v>
      </c>
    </row>
    <row r="1615" hidden="1">
      <c r="A1615" s="61">
        <v>2.00607154E8</v>
      </c>
      <c r="B1615" s="54" t="s">
        <v>14247</v>
      </c>
      <c r="C1615" s="54" t="s">
        <v>11640</v>
      </c>
    </row>
    <row r="1616" hidden="1">
      <c r="A1616" s="61">
        <v>2.01400264E8</v>
      </c>
      <c r="B1616" s="54" t="s">
        <v>14248</v>
      </c>
      <c r="C1616" s="54" t="s">
        <v>14249</v>
      </c>
    </row>
    <row r="1617" hidden="1">
      <c r="A1617" s="61">
        <v>2.01612093E8</v>
      </c>
      <c r="B1617" s="54" t="s">
        <v>14250</v>
      </c>
      <c r="C1617" s="54" t="s">
        <v>14227</v>
      </c>
    </row>
    <row r="1618" hidden="1">
      <c r="A1618" s="61">
        <v>2.01909892E8</v>
      </c>
      <c r="B1618" s="54" t="s">
        <v>14251</v>
      </c>
      <c r="C1618" s="54" t="s">
        <v>12206</v>
      </c>
    </row>
    <row r="1619" hidden="1">
      <c r="A1619" s="61">
        <v>2.0130016E8</v>
      </c>
      <c r="B1619" s="54" t="s">
        <v>14252</v>
      </c>
      <c r="C1619" s="54" t="s">
        <v>14253</v>
      </c>
    </row>
    <row r="1620" hidden="1">
      <c r="A1620" s="61">
        <v>2.02001529E8</v>
      </c>
      <c r="B1620" s="54" t="s">
        <v>14254</v>
      </c>
      <c r="C1620" s="54" t="s">
        <v>11729</v>
      </c>
    </row>
    <row r="1621" hidden="1">
      <c r="A1621" s="61">
        <v>2.02102955E8</v>
      </c>
      <c r="B1621" s="54" t="s">
        <v>14255</v>
      </c>
      <c r="C1621" s="54" t="s">
        <v>12176</v>
      </c>
    </row>
    <row r="1622" hidden="1">
      <c r="A1622" s="61">
        <v>2.01603E8</v>
      </c>
      <c r="B1622" s="54" t="s">
        <v>14256</v>
      </c>
      <c r="C1622" s="54" t="s">
        <v>14210</v>
      </c>
    </row>
    <row r="1623" hidden="1">
      <c r="A1623" s="61">
        <v>2.02103328E8</v>
      </c>
      <c r="B1623" s="54" t="s">
        <v>14257</v>
      </c>
      <c r="C1623" s="54" t="s">
        <v>14258</v>
      </c>
    </row>
    <row r="1624" hidden="1">
      <c r="A1624" s="61">
        <v>2.01701867E8</v>
      </c>
      <c r="B1624" s="54" t="s">
        <v>14259</v>
      </c>
      <c r="C1624" s="54" t="s">
        <v>14260</v>
      </c>
    </row>
    <row r="1625" hidden="1">
      <c r="A1625" s="61">
        <v>2.01904727E8</v>
      </c>
      <c r="B1625" s="54" t="s">
        <v>14261</v>
      </c>
      <c r="C1625" s="54" t="s">
        <v>14262</v>
      </c>
    </row>
    <row r="1626" hidden="1">
      <c r="A1626" s="61">
        <v>2.02103313E8</v>
      </c>
      <c r="B1626" s="54" t="s">
        <v>14263</v>
      </c>
      <c r="C1626" s="54" t="s">
        <v>14264</v>
      </c>
    </row>
    <row r="1627" hidden="1">
      <c r="A1627" s="61">
        <v>2.00603057E8</v>
      </c>
      <c r="B1627" s="54" t="s">
        <v>14265</v>
      </c>
      <c r="C1627" s="54" t="s">
        <v>12185</v>
      </c>
    </row>
    <row r="1628" hidden="1">
      <c r="A1628" s="61">
        <v>2.00707193E8</v>
      </c>
      <c r="B1628" s="54" t="s">
        <v>14266</v>
      </c>
      <c r="C1628" s="54" t="s">
        <v>14267</v>
      </c>
    </row>
    <row r="1629" hidden="1">
      <c r="A1629" s="61">
        <v>2.00607652E8</v>
      </c>
      <c r="B1629" s="54" t="s">
        <v>14268</v>
      </c>
      <c r="C1629" s="54" t="s">
        <v>14269</v>
      </c>
    </row>
    <row r="1630" hidden="1">
      <c r="A1630" s="61">
        <v>2.01801385E8</v>
      </c>
      <c r="B1630" s="54" t="s">
        <v>14270</v>
      </c>
      <c r="C1630" s="54" t="s">
        <v>14271</v>
      </c>
    </row>
    <row r="1631" hidden="1">
      <c r="A1631" s="61">
        <v>1.99800564E8</v>
      </c>
      <c r="B1631" s="54" t="s">
        <v>14272</v>
      </c>
      <c r="C1631" s="54" t="s">
        <v>12682</v>
      </c>
    </row>
    <row r="1632" hidden="1">
      <c r="A1632" s="61">
        <v>2.0190579E8</v>
      </c>
      <c r="B1632" s="54" t="s">
        <v>14273</v>
      </c>
      <c r="C1632" s="54" t="s">
        <v>13488</v>
      </c>
    </row>
    <row r="1633" hidden="1">
      <c r="A1633" s="61">
        <v>2.02009798E8</v>
      </c>
      <c r="B1633" s="54" t="s">
        <v>14274</v>
      </c>
      <c r="C1633" s="54" t="s">
        <v>14275</v>
      </c>
    </row>
    <row r="1634" hidden="1">
      <c r="A1634" s="61">
        <v>2.01001004E8</v>
      </c>
      <c r="B1634" s="54" t="s">
        <v>14276</v>
      </c>
      <c r="C1634" s="54" t="s">
        <v>14277</v>
      </c>
    </row>
    <row r="1635" hidden="1">
      <c r="A1635" s="61">
        <v>2.00901947E8</v>
      </c>
      <c r="B1635" s="54" t="s">
        <v>14278</v>
      </c>
      <c r="C1635" s="54" t="s">
        <v>14279</v>
      </c>
    </row>
    <row r="1636" hidden="1">
      <c r="A1636" s="61">
        <v>2.01407329E8</v>
      </c>
      <c r="B1636" s="54" t="s">
        <v>14280</v>
      </c>
      <c r="C1636" s="54" t="s">
        <v>14281</v>
      </c>
    </row>
    <row r="1637" hidden="1">
      <c r="A1637" s="61">
        <v>2.01001391E8</v>
      </c>
      <c r="B1637" s="54" t="s">
        <v>14282</v>
      </c>
      <c r="C1637" s="54" t="s">
        <v>14283</v>
      </c>
    </row>
    <row r="1638" hidden="1">
      <c r="A1638" s="61">
        <v>2.0111056E8</v>
      </c>
      <c r="B1638" s="54" t="s">
        <v>14284</v>
      </c>
      <c r="C1638" s="54" t="s">
        <v>14285</v>
      </c>
    </row>
    <row r="1639" hidden="1">
      <c r="A1639" s="61">
        <v>2.01410179E8</v>
      </c>
      <c r="B1639" s="54" t="s">
        <v>14286</v>
      </c>
      <c r="C1639" s="54" t="s">
        <v>11851</v>
      </c>
    </row>
    <row r="1640" hidden="1">
      <c r="A1640" s="61">
        <v>2.01900588E8</v>
      </c>
      <c r="B1640" s="54" t="s">
        <v>14287</v>
      </c>
      <c r="C1640" s="54" t="s">
        <v>14288</v>
      </c>
    </row>
    <row r="1641" hidden="1">
      <c r="A1641" s="61">
        <v>2.02005558E8</v>
      </c>
      <c r="B1641" s="54" t="s">
        <v>14289</v>
      </c>
      <c r="C1641" s="54" t="s">
        <v>14290</v>
      </c>
    </row>
    <row r="1642" hidden="1">
      <c r="A1642" s="61">
        <v>2.01603741E8</v>
      </c>
      <c r="B1642" s="54" t="s">
        <v>14291</v>
      </c>
      <c r="C1642" s="54" t="s">
        <v>14292</v>
      </c>
    </row>
    <row r="1643" hidden="1">
      <c r="A1643" s="61">
        <v>2.01506896E8</v>
      </c>
      <c r="B1643" s="54" t="s">
        <v>14293</v>
      </c>
      <c r="C1643" s="54" t="s">
        <v>14294</v>
      </c>
    </row>
    <row r="1644" hidden="1">
      <c r="A1644" s="61">
        <v>2.01307227E8</v>
      </c>
      <c r="B1644" s="54" t="s">
        <v>14295</v>
      </c>
      <c r="C1644" s="54" t="s">
        <v>14296</v>
      </c>
    </row>
    <row r="1645" hidden="1">
      <c r="A1645" s="61">
        <v>2.01400265E8</v>
      </c>
      <c r="B1645" s="54" t="s">
        <v>14297</v>
      </c>
      <c r="C1645" s="54" t="s">
        <v>13697</v>
      </c>
    </row>
    <row r="1646" hidden="1">
      <c r="A1646" s="61">
        <v>2.01612095E8</v>
      </c>
      <c r="B1646" s="54" t="s">
        <v>14298</v>
      </c>
      <c r="C1646" s="54" t="s">
        <v>14299</v>
      </c>
    </row>
    <row r="1647" hidden="1">
      <c r="A1647" s="61">
        <v>2.01904732E8</v>
      </c>
      <c r="B1647" s="54" t="s">
        <v>14300</v>
      </c>
      <c r="C1647" s="54" t="s">
        <v>14301</v>
      </c>
    </row>
    <row r="1648" hidden="1">
      <c r="A1648" s="61">
        <v>2.01003196E8</v>
      </c>
      <c r="B1648" s="54" t="s">
        <v>14302</v>
      </c>
      <c r="C1648" s="54" t="s">
        <v>12555</v>
      </c>
    </row>
    <row r="1649" hidden="1">
      <c r="A1649" s="61">
        <v>2.01710353E8</v>
      </c>
      <c r="B1649" s="54" t="s">
        <v>14303</v>
      </c>
      <c r="C1649" s="54" t="s">
        <v>14304</v>
      </c>
    </row>
    <row r="1650" hidden="1">
      <c r="A1650" s="61">
        <v>2.01701868E8</v>
      </c>
      <c r="B1650" s="54" t="s">
        <v>14305</v>
      </c>
      <c r="C1650" s="54" t="s">
        <v>14306</v>
      </c>
    </row>
    <row r="1651" hidden="1">
      <c r="A1651" s="61">
        <v>2.02103366E8</v>
      </c>
      <c r="B1651" s="54" t="s">
        <v>14307</v>
      </c>
      <c r="C1651" s="54" t="s">
        <v>12055</v>
      </c>
    </row>
    <row r="1652" hidden="1">
      <c r="A1652" s="61">
        <v>2.02105127E8</v>
      </c>
      <c r="B1652" s="54" t="s">
        <v>14308</v>
      </c>
      <c r="C1652" s="54" t="s">
        <v>11909</v>
      </c>
    </row>
    <row r="1653" hidden="1">
      <c r="A1653" s="61">
        <v>2.01706647E8</v>
      </c>
      <c r="B1653" s="54" t="s">
        <v>14308</v>
      </c>
      <c r="C1653" s="54" t="s">
        <v>14309</v>
      </c>
    </row>
    <row r="1654" hidden="1">
      <c r="A1654" s="61">
        <v>2.01900623E8</v>
      </c>
      <c r="B1654" s="54" t="s">
        <v>14310</v>
      </c>
      <c r="C1654" s="54" t="s">
        <v>14311</v>
      </c>
    </row>
    <row r="1655" hidden="1">
      <c r="A1655" s="61">
        <v>2.02002153E8</v>
      </c>
      <c r="B1655" s="54" t="s">
        <v>14312</v>
      </c>
      <c r="C1655" s="54" t="s">
        <v>14313</v>
      </c>
    </row>
    <row r="1656" hidden="1">
      <c r="A1656" s="61">
        <v>2.0180327E8</v>
      </c>
      <c r="B1656" s="54" t="s">
        <v>14314</v>
      </c>
      <c r="C1656" s="54" t="s">
        <v>14315</v>
      </c>
    </row>
    <row r="1657" hidden="1">
      <c r="A1657" s="61">
        <v>2.01706812E8</v>
      </c>
      <c r="B1657" s="54" t="s">
        <v>14316</v>
      </c>
      <c r="C1657" s="54" t="s">
        <v>13435</v>
      </c>
    </row>
    <row r="1658" hidden="1">
      <c r="A1658" s="61">
        <v>2.02005559E8</v>
      </c>
      <c r="B1658" s="54" t="s">
        <v>14317</v>
      </c>
      <c r="C1658" s="54" t="s">
        <v>13193</v>
      </c>
    </row>
    <row r="1659" hidden="1">
      <c r="A1659" s="61">
        <v>2.00901685E8</v>
      </c>
      <c r="B1659" s="54" t="s">
        <v>14318</v>
      </c>
      <c r="C1659" s="54" t="s">
        <v>14319</v>
      </c>
    </row>
    <row r="1660" hidden="1">
      <c r="A1660" s="61">
        <v>2.01101418E8</v>
      </c>
      <c r="B1660" s="54" t="s">
        <v>14320</v>
      </c>
      <c r="C1660" s="54" t="s">
        <v>14321</v>
      </c>
    </row>
    <row r="1661" hidden="1">
      <c r="A1661" s="61">
        <v>2.01909903E8</v>
      </c>
      <c r="B1661" s="54" t="s">
        <v>14322</v>
      </c>
      <c r="C1661" s="54" t="s">
        <v>14323</v>
      </c>
    </row>
    <row r="1662" hidden="1">
      <c r="A1662" s="61">
        <v>2.01612066E8</v>
      </c>
      <c r="B1662" s="54" t="s">
        <v>14324</v>
      </c>
      <c r="C1662" s="54" t="s">
        <v>14325</v>
      </c>
    </row>
    <row r="1663" hidden="1">
      <c r="A1663" s="61">
        <v>2.02000368E8</v>
      </c>
      <c r="B1663" s="54" t="s">
        <v>14324</v>
      </c>
      <c r="C1663" s="54" t="s">
        <v>11733</v>
      </c>
    </row>
    <row r="1664" hidden="1">
      <c r="A1664" s="61">
        <v>2.02001531E8</v>
      </c>
      <c r="B1664" s="54" t="s">
        <v>14326</v>
      </c>
      <c r="C1664" s="54" t="s">
        <v>12474</v>
      </c>
    </row>
    <row r="1665" hidden="1">
      <c r="A1665" s="61">
        <v>2.021034E8</v>
      </c>
      <c r="B1665" s="54" t="s">
        <v>14327</v>
      </c>
      <c r="C1665" s="54" t="s">
        <v>14328</v>
      </c>
    </row>
    <row r="1666" hidden="1">
      <c r="A1666" s="61">
        <v>2.01603615E8</v>
      </c>
      <c r="B1666" s="54" t="s">
        <v>14329</v>
      </c>
      <c r="C1666" s="54" t="s">
        <v>12819</v>
      </c>
    </row>
    <row r="1667" hidden="1">
      <c r="A1667" s="61">
        <v>2.01808E8</v>
      </c>
      <c r="B1667" s="54" t="s">
        <v>14330</v>
      </c>
      <c r="C1667" s="54" t="s">
        <v>11674</v>
      </c>
    </row>
    <row r="1668" hidden="1">
      <c r="A1668" s="61">
        <v>2.01904715E8</v>
      </c>
      <c r="B1668" s="54" t="s">
        <v>14331</v>
      </c>
      <c r="C1668" s="54" t="s">
        <v>11835</v>
      </c>
    </row>
    <row r="1669" hidden="1">
      <c r="A1669" s="61">
        <v>2.01603616E8</v>
      </c>
      <c r="B1669" s="54" t="s">
        <v>14332</v>
      </c>
      <c r="C1669" s="54" t="s">
        <v>14333</v>
      </c>
    </row>
    <row r="1670" hidden="1">
      <c r="A1670" s="61">
        <v>2.01905758E8</v>
      </c>
      <c r="B1670" s="54" t="s">
        <v>14334</v>
      </c>
      <c r="C1670" s="54" t="s">
        <v>12382</v>
      </c>
    </row>
    <row r="1671" hidden="1">
      <c r="A1671" s="61">
        <v>2.0140924E8</v>
      </c>
      <c r="B1671" s="54" t="s">
        <v>14335</v>
      </c>
      <c r="C1671" s="54" t="s">
        <v>14336</v>
      </c>
    </row>
    <row r="1672" hidden="1">
      <c r="A1672" s="61">
        <v>2.02009777E8</v>
      </c>
      <c r="B1672" s="54" t="s">
        <v>14337</v>
      </c>
      <c r="C1672" s="54" t="s">
        <v>14338</v>
      </c>
    </row>
    <row r="1673" hidden="1">
      <c r="A1673" s="61">
        <v>2.02103344E8</v>
      </c>
      <c r="B1673" s="54" t="s">
        <v>14339</v>
      </c>
      <c r="C1673" s="54" t="s">
        <v>12939</v>
      </c>
    </row>
    <row r="1674" hidden="1">
      <c r="A1674" s="61">
        <v>2.0111069E8</v>
      </c>
      <c r="B1674" s="54" t="s">
        <v>14340</v>
      </c>
      <c r="C1674" s="54" t="s">
        <v>14341</v>
      </c>
    </row>
    <row r="1675" hidden="1">
      <c r="A1675" s="61">
        <v>2.01300225E8</v>
      </c>
      <c r="B1675" s="54" t="s">
        <v>14342</v>
      </c>
      <c r="C1675" s="54" t="s">
        <v>14343</v>
      </c>
    </row>
    <row r="1676" hidden="1">
      <c r="A1676" s="61">
        <v>2.01512243E8</v>
      </c>
      <c r="B1676" s="54" t="s">
        <v>14344</v>
      </c>
      <c r="C1676" s="54" t="s">
        <v>14345</v>
      </c>
    </row>
    <row r="1677" hidden="1">
      <c r="A1677" s="61">
        <v>2.02001532E8</v>
      </c>
      <c r="B1677" s="54" t="s">
        <v>14346</v>
      </c>
      <c r="C1677" s="54" t="s">
        <v>14347</v>
      </c>
    </row>
    <row r="1678" hidden="1">
      <c r="A1678" s="61">
        <v>2.01100331E8</v>
      </c>
      <c r="B1678" s="54" t="s">
        <v>14348</v>
      </c>
      <c r="C1678" s="54" t="s">
        <v>12204</v>
      </c>
    </row>
    <row r="1679" hidden="1">
      <c r="A1679" s="61">
        <v>2.01603617E8</v>
      </c>
      <c r="B1679" s="54" t="s">
        <v>14349</v>
      </c>
      <c r="C1679" s="54" t="s">
        <v>14350</v>
      </c>
    </row>
    <row r="1680" hidden="1">
      <c r="A1680" s="61">
        <v>2.01300164E8</v>
      </c>
      <c r="B1680" s="54" t="s">
        <v>14351</v>
      </c>
      <c r="C1680" s="54" t="s">
        <v>14352</v>
      </c>
    </row>
    <row r="1681" hidden="1">
      <c r="A1681" s="61">
        <v>2.01705681E8</v>
      </c>
      <c r="B1681" s="54" t="s">
        <v>14353</v>
      </c>
      <c r="C1681" s="54" t="s">
        <v>14354</v>
      </c>
    </row>
    <row r="1682" hidden="1">
      <c r="A1682" s="61">
        <v>2.01612096E8</v>
      </c>
      <c r="B1682" s="54" t="s">
        <v>14355</v>
      </c>
      <c r="C1682" s="54" t="s">
        <v>14356</v>
      </c>
    </row>
    <row r="1683" hidden="1">
      <c r="A1683" s="61">
        <v>2.02107932E8</v>
      </c>
      <c r="B1683" s="54" t="s">
        <v>14357</v>
      </c>
      <c r="C1683" s="54" t="s">
        <v>14358</v>
      </c>
    </row>
    <row r="1684" hidden="1">
      <c r="A1684" s="61">
        <v>2.02107888E8</v>
      </c>
      <c r="B1684" s="54" t="s">
        <v>14357</v>
      </c>
      <c r="C1684" s="54" t="s">
        <v>11851</v>
      </c>
    </row>
    <row r="1685" hidden="1">
      <c r="A1685" s="61">
        <v>2.01603001E8</v>
      </c>
      <c r="B1685" s="54" t="s">
        <v>14359</v>
      </c>
      <c r="C1685" s="54" t="s">
        <v>14360</v>
      </c>
    </row>
    <row r="1686" hidden="1">
      <c r="A1686" s="61">
        <v>2.0110628E8</v>
      </c>
      <c r="B1686" s="54" t="s">
        <v>14361</v>
      </c>
      <c r="C1686" s="54" t="s">
        <v>11583</v>
      </c>
    </row>
    <row r="1687" hidden="1">
      <c r="A1687" s="61">
        <v>2.01400177E8</v>
      </c>
      <c r="B1687" s="54" t="s">
        <v>14362</v>
      </c>
      <c r="C1687" s="54" t="s">
        <v>14363</v>
      </c>
    </row>
    <row r="1688" hidden="1">
      <c r="A1688" s="61">
        <v>2.01603002E8</v>
      </c>
      <c r="B1688" s="54" t="s">
        <v>14364</v>
      </c>
      <c r="C1688" s="54" t="s">
        <v>11835</v>
      </c>
    </row>
    <row r="1689" hidden="1">
      <c r="A1689" s="61">
        <v>2.01900603E8</v>
      </c>
      <c r="B1689" s="54" t="s">
        <v>14365</v>
      </c>
      <c r="C1689" s="54" t="s">
        <v>14366</v>
      </c>
    </row>
    <row r="1690" hidden="1">
      <c r="A1690" s="61">
        <v>2.01502055E8</v>
      </c>
      <c r="B1690" s="54" t="s">
        <v>14367</v>
      </c>
      <c r="C1690" s="54" t="s">
        <v>14368</v>
      </c>
    </row>
    <row r="1691" hidden="1">
      <c r="A1691" s="61">
        <v>2.01709755E8</v>
      </c>
      <c r="B1691" s="54" t="s">
        <v>14369</v>
      </c>
      <c r="C1691" s="54" t="s">
        <v>11570</v>
      </c>
    </row>
    <row r="1692" hidden="1">
      <c r="A1692" s="61">
        <v>2.01603742E8</v>
      </c>
      <c r="B1692" s="54" t="s">
        <v>14370</v>
      </c>
      <c r="C1692" s="54" t="s">
        <v>14371</v>
      </c>
    </row>
    <row r="1693" hidden="1">
      <c r="A1693" s="61">
        <v>2.016079E8</v>
      </c>
      <c r="B1693" s="54" t="s">
        <v>14372</v>
      </c>
      <c r="C1693" s="54" t="s">
        <v>14373</v>
      </c>
    </row>
    <row r="1694" hidden="1">
      <c r="A1694" s="61">
        <v>2.01209107E8</v>
      </c>
      <c r="B1694" s="54" t="s">
        <v>14374</v>
      </c>
      <c r="C1694" s="54" t="s">
        <v>14375</v>
      </c>
    </row>
    <row r="1695" hidden="1">
      <c r="A1695" s="61">
        <v>2.01401212E8</v>
      </c>
      <c r="B1695" s="54" t="s">
        <v>14376</v>
      </c>
      <c r="C1695" s="54" t="s">
        <v>14377</v>
      </c>
    </row>
    <row r="1696" hidden="1">
      <c r="A1696" s="61">
        <v>2.01400321E8</v>
      </c>
      <c r="B1696" s="54" t="s">
        <v>14378</v>
      </c>
      <c r="C1696" s="54" t="s">
        <v>14379</v>
      </c>
    </row>
    <row r="1697" hidden="1">
      <c r="A1697" s="61">
        <v>2.01603743E8</v>
      </c>
      <c r="B1697" s="54" t="s">
        <v>14380</v>
      </c>
      <c r="C1697" s="54" t="s">
        <v>14381</v>
      </c>
    </row>
    <row r="1698" hidden="1">
      <c r="A1698" s="61">
        <v>2.02009749E8</v>
      </c>
      <c r="B1698" s="54" t="s">
        <v>14382</v>
      </c>
      <c r="C1698" s="54" t="s">
        <v>14383</v>
      </c>
    </row>
    <row r="1699" hidden="1">
      <c r="A1699" s="61">
        <v>2.01902204E8</v>
      </c>
      <c r="B1699" s="54" t="s">
        <v>14384</v>
      </c>
      <c r="C1699" s="54" t="s">
        <v>14385</v>
      </c>
    </row>
    <row r="1700" hidden="1">
      <c r="A1700" s="61">
        <v>2.01800263E8</v>
      </c>
      <c r="B1700" s="54" t="s">
        <v>14386</v>
      </c>
      <c r="C1700" s="54" t="s">
        <v>14387</v>
      </c>
    </row>
    <row r="1701" hidden="1">
      <c r="A1701" s="61">
        <v>2.01603744E8</v>
      </c>
      <c r="B1701" s="54" t="s">
        <v>14388</v>
      </c>
      <c r="C1701" s="54" t="s">
        <v>14389</v>
      </c>
    </row>
    <row r="1702" hidden="1">
      <c r="A1702" s="61">
        <v>2.01904679E8</v>
      </c>
      <c r="B1702" s="54" t="s">
        <v>14390</v>
      </c>
      <c r="C1702" s="54" t="s">
        <v>14391</v>
      </c>
    </row>
    <row r="1703" hidden="1">
      <c r="A1703" s="61">
        <v>2.02107945E8</v>
      </c>
      <c r="B1703" s="54" t="s">
        <v>14392</v>
      </c>
      <c r="C1703" s="54" t="s">
        <v>14393</v>
      </c>
    </row>
    <row r="1704" hidden="1">
      <c r="A1704" s="61">
        <v>2.01410684E8</v>
      </c>
      <c r="B1704" s="54" t="s">
        <v>14394</v>
      </c>
      <c r="C1704" s="54" t="s">
        <v>14395</v>
      </c>
    </row>
    <row r="1705" hidden="1">
      <c r="A1705" s="61">
        <v>2.0170187E8</v>
      </c>
      <c r="B1705" s="54" t="s">
        <v>14396</v>
      </c>
      <c r="C1705" s="54" t="s">
        <v>14397</v>
      </c>
    </row>
    <row r="1706" hidden="1">
      <c r="A1706" s="61">
        <v>1.99802136E8</v>
      </c>
      <c r="B1706" s="54" t="s">
        <v>14398</v>
      </c>
      <c r="C1706" s="54" t="s">
        <v>11512</v>
      </c>
    </row>
    <row r="1707" hidden="1">
      <c r="A1707" s="61">
        <v>2.00710207E8</v>
      </c>
      <c r="B1707" s="54" t="s">
        <v>14399</v>
      </c>
      <c r="C1707" s="54" t="s">
        <v>14400</v>
      </c>
    </row>
    <row r="1708" hidden="1">
      <c r="A1708" s="61">
        <v>2.01809493E8</v>
      </c>
      <c r="B1708" s="54" t="s">
        <v>14401</v>
      </c>
      <c r="C1708" s="54" t="s">
        <v>11634</v>
      </c>
    </row>
    <row r="1709" hidden="1">
      <c r="A1709" s="61">
        <v>2.01603745E8</v>
      </c>
      <c r="B1709" s="54" t="s">
        <v>14402</v>
      </c>
      <c r="C1709" s="54" t="s">
        <v>14403</v>
      </c>
    </row>
    <row r="1710" hidden="1">
      <c r="A1710" s="61">
        <v>2.01512536E8</v>
      </c>
      <c r="B1710" s="54" t="s">
        <v>14404</v>
      </c>
      <c r="C1710" s="54" t="s">
        <v>14405</v>
      </c>
    </row>
    <row r="1711" hidden="1">
      <c r="A1711" s="61">
        <v>2.02103321E8</v>
      </c>
      <c r="B1711" s="54" t="s">
        <v>14406</v>
      </c>
      <c r="C1711" s="54" t="s">
        <v>14407</v>
      </c>
    </row>
    <row r="1712" hidden="1">
      <c r="A1712" s="61">
        <v>2.01801382E8</v>
      </c>
      <c r="B1712" s="54" t="s">
        <v>14408</v>
      </c>
      <c r="C1712" s="54" t="s">
        <v>14409</v>
      </c>
    </row>
    <row r="1713" hidden="1">
      <c r="A1713" s="61">
        <v>2.01905757E8</v>
      </c>
      <c r="B1713" s="54" t="s">
        <v>14410</v>
      </c>
      <c r="C1713" s="54" t="s">
        <v>13056</v>
      </c>
    </row>
    <row r="1714" hidden="1">
      <c r="A1714" s="61">
        <v>2.01803281E8</v>
      </c>
      <c r="B1714" s="54" t="s">
        <v>14410</v>
      </c>
      <c r="C1714" s="54" t="s">
        <v>14411</v>
      </c>
    </row>
    <row r="1715" hidden="1">
      <c r="A1715" s="61">
        <v>2.0210338E8</v>
      </c>
      <c r="B1715" s="54" t="s">
        <v>14412</v>
      </c>
      <c r="C1715" s="54" t="s">
        <v>14413</v>
      </c>
    </row>
    <row r="1716" hidden="1">
      <c r="A1716" s="61">
        <v>2.01701871E8</v>
      </c>
      <c r="B1716" s="54" t="s">
        <v>14414</v>
      </c>
      <c r="C1716" s="54" t="s">
        <v>14415</v>
      </c>
    </row>
    <row r="1717" hidden="1">
      <c r="A1717" s="61">
        <v>2.01800264E8</v>
      </c>
      <c r="B1717" s="54" t="s">
        <v>14416</v>
      </c>
      <c r="C1717" s="54" t="s">
        <v>14417</v>
      </c>
    </row>
    <row r="1718" hidden="1">
      <c r="A1718" s="61">
        <v>2.01003197E8</v>
      </c>
      <c r="B1718" s="54" t="s">
        <v>14418</v>
      </c>
      <c r="C1718" s="54" t="s">
        <v>14419</v>
      </c>
    </row>
    <row r="1719" hidden="1">
      <c r="A1719" s="61">
        <v>2.01809294E8</v>
      </c>
      <c r="B1719" s="54" t="s">
        <v>14420</v>
      </c>
      <c r="C1719" s="54" t="s">
        <v>14421</v>
      </c>
    </row>
    <row r="1720" hidden="1">
      <c r="A1720" s="61">
        <v>2.02103335E8</v>
      </c>
      <c r="B1720" s="54" t="s">
        <v>14422</v>
      </c>
      <c r="C1720" s="54" t="s">
        <v>11784</v>
      </c>
    </row>
    <row r="1721" hidden="1">
      <c r="A1721" s="61">
        <v>2.02009778E8</v>
      </c>
      <c r="B1721" s="54" t="s">
        <v>14423</v>
      </c>
      <c r="C1721" s="54" t="s">
        <v>14424</v>
      </c>
    </row>
    <row r="1722" hidden="1">
      <c r="A1722" s="61">
        <v>2.01603746E8</v>
      </c>
      <c r="B1722" s="54" t="s">
        <v>14425</v>
      </c>
      <c r="C1722" s="54" t="s">
        <v>11525</v>
      </c>
    </row>
    <row r="1723" hidden="1">
      <c r="A1723" s="61">
        <v>2.02103356E8</v>
      </c>
      <c r="B1723" s="54" t="s">
        <v>14426</v>
      </c>
      <c r="C1723" s="54" t="s">
        <v>14427</v>
      </c>
    </row>
    <row r="1724" hidden="1">
      <c r="A1724" s="61">
        <v>2.02102956E8</v>
      </c>
      <c r="B1724" s="54" t="s">
        <v>14428</v>
      </c>
      <c r="C1724" s="54" t="s">
        <v>14429</v>
      </c>
    </row>
    <row r="1725" hidden="1">
      <c r="A1725" s="61">
        <v>2.02103345E8</v>
      </c>
      <c r="B1725" s="54" t="s">
        <v>14430</v>
      </c>
      <c r="C1725" s="54" t="s">
        <v>11835</v>
      </c>
    </row>
    <row r="1726" hidden="1">
      <c r="A1726" s="61">
        <v>2.01710351E8</v>
      </c>
      <c r="B1726" s="54" t="s">
        <v>14430</v>
      </c>
      <c r="C1726" s="54" t="s">
        <v>11784</v>
      </c>
    </row>
    <row r="1727" hidden="1">
      <c r="A1727" s="61">
        <v>2.02106552E8</v>
      </c>
      <c r="B1727" s="54" t="s">
        <v>14431</v>
      </c>
      <c r="C1727" s="54" t="s">
        <v>12041</v>
      </c>
    </row>
    <row r="1728" hidden="1">
      <c r="A1728" s="61">
        <v>2.01902205E8</v>
      </c>
      <c r="B1728" s="54" t="s">
        <v>14432</v>
      </c>
      <c r="C1728" s="54" t="s">
        <v>13578</v>
      </c>
    </row>
    <row r="1729" hidden="1">
      <c r="A1729" s="61">
        <v>2.02009757E8</v>
      </c>
      <c r="B1729" s="54" t="s">
        <v>14433</v>
      </c>
      <c r="C1729" s="54" t="s">
        <v>14434</v>
      </c>
    </row>
    <row r="1730" hidden="1">
      <c r="A1730" s="61">
        <v>2.01902206E8</v>
      </c>
      <c r="B1730" s="54" t="s">
        <v>14435</v>
      </c>
      <c r="C1730" s="54" t="s">
        <v>14436</v>
      </c>
    </row>
    <row r="1731" hidden="1">
      <c r="A1731" s="61">
        <v>2.02000377E8</v>
      </c>
      <c r="B1731" s="54" t="s">
        <v>14437</v>
      </c>
      <c r="C1731" s="54" t="s">
        <v>12804</v>
      </c>
    </row>
    <row r="1732" hidden="1">
      <c r="A1732" s="61">
        <v>2.01110796E8</v>
      </c>
      <c r="B1732" s="54" t="s">
        <v>14438</v>
      </c>
      <c r="C1732" s="54" t="s">
        <v>14439</v>
      </c>
    </row>
    <row r="1733" hidden="1">
      <c r="A1733" s="61">
        <v>2.01809494E8</v>
      </c>
      <c r="B1733" s="54" t="s">
        <v>14438</v>
      </c>
      <c r="C1733" s="54" t="s">
        <v>14440</v>
      </c>
    </row>
    <row r="1734" hidden="1">
      <c r="A1734" s="61">
        <v>2.01200567E8</v>
      </c>
      <c r="B1734" s="54" t="s">
        <v>14441</v>
      </c>
      <c r="C1734" s="54" t="s">
        <v>14442</v>
      </c>
    </row>
    <row r="1735" hidden="1">
      <c r="A1735" s="61">
        <v>2.02102957E8</v>
      </c>
      <c r="B1735" s="54" t="s">
        <v>14443</v>
      </c>
      <c r="C1735" s="54" t="s">
        <v>14444</v>
      </c>
    </row>
    <row r="1736" hidden="1">
      <c r="A1736" s="61">
        <v>2.0140018E8</v>
      </c>
      <c r="B1736" s="54" t="s">
        <v>14445</v>
      </c>
      <c r="C1736" s="54" t="s">
        <v>12129</v>
      </c>
    </row>
    <row r="1737" hidden="1">
      <c r="A1737" s="61">
        <v>2.01900589E8</v>
      </c>
      <c r="B1737" s="54" t="s">
        <v>14446</v>
      </c>
      <c r="C1737" s="54" t="s">
        <v>14447</v>
      </c>
    </row>
    <row r="1738" hidden="1">
      <c r="A1738" s="61">
        <v>2.01902207E8</v>
      </c>
      <c r="B1738" s="54" t="s">
        <v>14448</v>
      </c>
      <c r="C1738" s="54" t="s">
        <v>11982</v>
      </c>
    </row>
    <row r="1739" hidden="1">
      <c r="A1739" s="61">
        <v>2.01505707E8</v>
      </c>
      <c r="B1739" s="54" t="s">
        <v>14449</v>
      </c>
      <c r="C1739" s="54" t="s">
        <v>12724</v>
      </c>
    </row>
    <row r="1740" hidden="1">
      <c r="A1740" s="61">
        <v>2.01701873E8</v>
      </c>
      <c r="B1740" s="54" t="s">
        <v>14450</v>
      </c>
      <c r="C1740" s="54" t="s">
        <v>14451</v>
      </c>
    </row>
    <row r="1741" hidden="1">
      <c r="A1741" s="61">
        <v>2.01801795E8</v>
      </c>
      <c r="B1741" s="54" t="s">
        <v>14452</v>
      </c>
      <c r="C1741" s="54" t="s">
        <v>14453</v>
      </c>
    </row>
    <row r="1742" hidden="1">
      <c r="A1742" s="61">
        <v>2.01505435E8</v>
      </c>
      <c r="B1742" s="54" t="s">
        <v>14454</v>
      </c>
      <c r="C1742" s="54" t="s">
        <v>14455</v>
      </c>
    </row>
    <row r="1743" hidden="1">
      <c r="A1743" s="61">
        <v>2.01003198E8</v>
      </c>
      <c r="B1743" s="54" t="s">
        <v>14456</v>
      </c>
      <c r="C1743" s="54" t="s">
        <v>14457</v>
      </c>
    </row>
    <row r="1744" hidden="1">
      <c r="A1744" s="61">
        <v>2.00605525E8</v>
      </c>
      <c r="B1744" s="54" t="s">
        <v>14458</v>
      </c>
      <c r="C1744" s="54" t="s">
        <v>14459</v>
      </c>
    </row>
    <row r="1745" hidden="1">
      <c r="A1745" s="61">
        <v>2.02103346E8</v>
      </c>
      <c r="B1745" s="54" t="s">
        <v>14460</v>
      </c>
      <c r="C1745" s="54" t="s">
        <v>14461</v>
      </c>
    </row>
    <row r="1746" hidden="1">
      <c r="A1746" s="61">
        <v>2.02002335E8</v>
      </c>
      <c r="B1746" s="54" t="s">
        <v>14462</v>
      </c>
      <c r="C1746" s="54" t="s">
        <v>14463</v>
      </c>
    </row>
    <row r="1747" hidden="1">
      <c r="A1747" s="61">
        <v>2.01904716E8</v>
      </c>
      <c r="B1747" s="54" t="s">
        <v>14464</v>
      </c>
      <c r="C1747" s="54" t="s">
        <v>12124</v>
      </c>
    </row>
    <row r="1748" hidden="1">
      <c r="A1748" s="61">
        <v>2.01801796E8</v>
      </c>
      <c r="B1748" s="54" t="s">
        <v>14465</v>
      </c>
      <c r="C1748" s="54" t="s">
        <v>14466</v>
      </c>
    </row>
    <row r="1749" hidden="1">
      <c r="A1749" s="61">
        <v>2.01800849E8</v>
      </c>
      <c r="B1749" s="54" t="s">
        <v>14467</v>
      </c>
      <c r="C1749" s="54" t="s">
        <v>14468</v>
      </c>
    </row>
    <row r="1750" hidden="1">
      <c r="A1750" s="61">
        <v>2.01502056E8</v>
      </c>
      <c r="B1750" s="54" t="s">
        <v>14469</v>
      </c>
      <c r="C1750" s="54" t="s">
        <v>11903</v>
      </c>
    </row>
    <row r="1751" hidden="1">
      <c r="A1751" s="61">
        <v>2.02103357E8</v>
      </c>
      <c r="B1751" s="54" t="s">
        <v>14470</v>
      </c>
      <c r="C1751" s="54" t="s">
        <v>14471</v>
      </c>
    </row>
    <row r="1752" hidden="1">
      <c r="A1752" s="61">
        <v>2.01502057E8</v>
      </c>
      <c r="B1752" s="54" t="s">
        <v>14472</v>
      </c>
      <c r="C1752" s="54" t="s">
        <v>14473</v>
      </c>
    </row>
    <row r="1753" hidden="1">
      <c r="A1753" s="61">
        <v>2.01010341E8</v>
      </c>
      <c r="B1753" s="54" t="s">
        <v>14474</v>
      </c>
      <c r="C1753" s="54" t="s">
        <v>14475</v>
      </c>
    </row>
    <row r="1754" hidden="1">
      <c r="A1754" s="61">
        <v>2.01400267E8</v>
      </c>
      <c r="B1754" s="54" t="s">
        <v>14476</v>
      </c>
      <c r="C1754" s="54" t="s">
        <v>14477</v>
      </c>
    </row>
    <row r="1755" hidden="1">
      <c r="A1755" s="61">
        <v>2.01904697E8</v>
      </c>
      <c r="B1755" s="54" t="s">
        <v>14478</v>
      </c>
      <c r="C1755" s="54" t="s">
        <v>14479</v>
      </c>
    </row>
    <row r="1756" hidden="1">
      <c r="A1756" s="61">
        <v>2.02102958E8</v>
      </c>
      <c r="B1756" s="54" t="s">
        <v>14480</v>
      </c>
      <c r="C1756" s="54" t="s">
        <v>14481</v>
      </c>
    </row>
    <row r="1757" hidden="1">
      <c r="A1757" s="61">
        <v>2.01309124E8</v>
      </c>
      <c r="B1757" s="54" t="s">
        <v>14482</v>
      </c>
      <c r="C1757" s="54" t="s">
        <v>14483</v>
      </c>
    </row>
    <row r="1758" hidden="1">
      <c r="A1758" s="61">
        <v>2.01612097E8</v>
      </c>
      <c r="B1758" s="54" t="s">
        <v>14484</v>
      </c>
      <c r="C1758" s="54" t="s">
        <v>14485</v>
      </c>
    </row>
    <row r="1759" hidden="1">
      <c r="A1759" s="61">
        <v>2.01612098E8</v>
      </c>
      <c r="B1759" s="54" t="s">
        <v>14486</v>
      </c>
      <c r="C1759" s="54" t="s">
        <v>12151</v>
      </c>
    </row>
    <row r="1760" hidden="1">
      <c r="A1760" s="61">
        <v>2.02000386E8</v>
      </c>
      <c r="B1760" s="54" t="s">
        <v>14487</v>
      </c>
      <c r="C1760" s="54" t="s">
        <v>14488</v>
      </c>
    </row>
    <row r="1761" hidden="1">
      <c r="A1761" s="61">
        <v>2.01607901E8</v>
      </c>
      <c r="B1761" s="54" t="s">
        <v>14489</v>
      </c>
      <c r="C1761" s="54" t="s">
        <v>14490</v>
      </c>
    </row>
    <row r="1762" hidden="1">
      <c r="A1762" s="61">
        <v>2.01801378E8</v>
      </c>
      <c r="B1762" s="54" t="s">
        <v>14491</v>
      </c>
      <c r="C1762" s="54" t="s">
        <v>14492</v>
      </c>
    </row>
    <row r="1763" hidden="1">
      <c r="A1763" s="61">
        <v>2.01911364E8</v>
      </c>
      <c r="B1763" s="54" t="s">
        <v>14493</v>
      </c>
      <c r="C1763" s="54" t="s">
        <v>11583</v>
      </c>
    </row>
    <row r="1764" hidden="1">
      <c r="A1764" s="61">
        <v>2.01300228E8</v>
      </c>
      <c r="B1764" s="54" t="s">
        <v>14494</v>
      </c>
      <c r="C1764" s="54" t="s">
        <v>14495</v>
      </c>
    </row>
    <row r="1765" hidden="1">
      <c r="A1765" s="61">
        <v>2.01400182E8</v>
      </c>
      <c r="B1765" s="54" t="s">
        <v>14496</v>
      </c>
      <c r="C1765" s="54" t="s">
        <v>11845</v>
      </c>
    </row>
    <row r="1766" hidden="1">
      <c r="A1766" s="61">
        <v>2.02001533E8</v>
      </c>
      <c r="B1766" s="54" t="s">
        <v>14497</v>
      </c>
      <c r="C1766" s="54" t="s">
        <v>12782</v>
      </c>
    </row>
    <row r="1767" hidden="1">
      <c r="A1767" s="61">
        <v>2.02103402E8</v>
      </c>
      <c r="B1767" s="54" t="s">
        <v>14498</v>
      </c>
      <c r="C1767" s="54" t="s">
        <v>14499</v>
      </c>
    </row>
    <row r="1768" hidden="1">
      <c r="A1768" s="61">
        <v>2.01701875E8</v>
      </c>
      <c r="B1768" s="54" t="s">
        <v>14498</v>
      </c>
      <c r="C1768" s="54" t="s">
        <v>11691</v>
      </c>
    </row>
    <row r="1769" hidden="1">
      <c r="A1769" s="61">
        <v>2.01200568E8</v>
      </c>
      <c r="B1769" s="54" t="s">
        <v>14500</v>
      </c>
      <c r="C1769" s="54" t="s">
        <v>11662</v>
      </c>
    </row>
    <row r="1770" hidden="1">
      <c r="A1770" s="61">
        <v>2.00709762E8</v>
      </c>
      <c r="B1770" s="54" t="s">
        <v>14501</v>
      </c>
      <c r="C1770" s="54" t="s">
        <v>14502</v>
      </c>
    </row>
    <row r="1771" hidden="1">
      <c r="A1771" s="61">
        <v>2.02001567E8</v>
      </c>
      <c r="B1771" s="54" t="s">
        <v>14503</v>
      </c>
      <c r="C1771" s="54" t="s">
        <v>11909</v>
      </c>
    </row>
    <row r="1772" hidden="1">
      <c r="A1772" s="61">
        <v>2.0180138E8</v>
      </c>
      <c r="B1772" s="54" t="s">
        <v>14504</v>
      </c>
      <c r="C1772" s="54" t="s">
        <v>14505</v>
      </c>
    </row>
    <row r="1773" hidden="1">
      <c r="A1773" s="61">
        <v>2.02102959E8</v>
      </c>
      <c r="B1773" s="54" t="s">
        <v>14506</v>
      </c>
      <c r="C1773" s="54" t="s">
        <v>14507</v>
      </c>
    </row>
    <row r="1774" hidden="1">
      <c r="A1774" s="61">
        <v>2.01705682E8</v>
      </c>
      <c r="B1774" s="54" t="s">
        <v>14508</v>
      </c>
      <c r="C1774" s="54" t="s">
        <v>11674</v>
      </c>
    </row>
    <row r="1775" hidden="1">
      <c r="A1775" s="61">
        <v>2.02103336E8</v>
      </c>
      <c r="B1775" s="54" t="s">
        <v>14509</v>
      </c>
      <c r="C1775" s="54" t="s">
        <v>14510</v>
      </c>
    </row>
    <row r="1776" hidden="1">
      <c r="A1776" s="61">
        <v>2.01206875E8</v>
      </c>
      <c r="B1776" s="54" t="s">
        <v>14511</v>
      </c>
      <c r="C1776" s="54" t="s">
        <v>14512</v>
      </c>
    </row>
    <row r="1777" hidden="1">
      <c r="A1777" s="61">
        <v>2.02005561E8</v>
      </c>
      <c r="B1777" s="54" t="s">
        <v>14513</v>
      </c>
      <c r="C1777" s="54" t="s">
        <v>14514</v>
      </c>
    </row>
    <row r="1778" hidden="1">
      <c r="A1778" s="61">
        <v>2.02103322E8</v>
      </c>
      <c r="B1778" s="54" t="s">
        <v>14515</v>
      </c>
      <c r="C1778" s="54" t="s">
        <v>14516</v>
      </c>
    </row>
    <row r="1779" hidden="1">
      <c r="A1779" s="61">
        <v>2.01101265E8</v>
      </c>
      <c r="B1779" s="54" t="s">
        <v>14515</v>
      </c>
      <c r="C1779" s="54" t="s">
        <v>14517</v>
      </c>
    </row>
    <row r="1780" hidden="1">
      <c r="A1780" s="61">
        <v>2.02103417E8</v>
      </c>
      <c r="B1780" s="54" t="s">
        <v>14515</v>
      </c>
      <c r="C1780" s="54" t="s">
        <v>11845</v>
      </c>
    </row>
    <row r="1781" hidden="1">
      <c r="A1781" s="61">
        <v>2.00204809E8</v>
      </c>
      <c r="B1781" s="54" t="s">
        <v>14518</v>
      </c>
      <c r="C1781" s="54" t="s">
        <v>14519</v>
      </c>
    </row>
    <row r="1782" hidden="1">
      <c r="A1782" s="61">
        <v>2.01400269E8</v>
      </c>
      <c r="B1782" s="54" t="s">
        <v>14520</v>
      </c>
      <c r="C1782" s="54" t="s">
        <v>13558</v>
      </c>
    </row>
    <row r="1783" hidden="1">
      <c r="A1783" s="61">
        <v>2.01803673E8</v>
      </c>
      <c r="B1783" s="54" t="s">
        <v>14521</v>
      </c>
      <c r="C1783" s="54" t="s">
        <v>14522</v>
      </c>
    </row>
    <row r="1784" hidden="1">
      <c r="A1784" s="61">
        <v>2.00707171E8</v>
      </c>
      <c r="B1784" s="54" t="s">
        <v>14523</v>
      </c>
      <c r="C1784" s="54" t="s">
        <v>13065</v>
      </c>
    </row>
    <row r="1785" hidden="1">
      <c r="A1785" s="61">
        <v>2.01612124E8</v>
      </c>
      <c r="B1785" s="54" t="s">
        <v>14524</v>
      </c>
      <c r="C1785" s="54" t="s">
        <v>11510</v>
      </c>
    </row>
    <row r="1786" hidden="1">
      <c r="A1786" s="61">
        <v>2.02001534E8</v>
      </c>
      <c r="B1786" s="54" t="s">
        <v>14525</v>
      </c>
      <c r="C1786" s="54" t="s">
        <v>14526</v>
      </c>
    </row>
    <row r="1787" hidden="1">
      <c r="A1787" s="61">
        <v>2.00809425E8</v>
      </c>
      <c r="B1787" s="54" t="s">
        <v>14527</v>
      </c>
      <c r="C1787" s="54" t="s">
        <v>12317</v>
      </c>
    </row>
    <row r="1788" hidden="1">
      <c r="A1788" s="61">
        <v>2.01606467E8</v>
      </c>
      <c r="B1788" s="54" t="s">
        <v>14528</v>
      </c>
      <c r="C1788" s="54" t="s">
        <v>14529</v>
      </c>
    </row>
    <row r="1789" hidden="1">
      <c r="A1789" s="61">
        <v>2.01400183E8</v>
      </c>
      <c r="B1789" s="54" t="s">
        <v>14530</v>
      </c>
      <c r="C1789" s="54" t="s">
        <v>12202</v>
      </c>
    </row>
    <row r="1790" hidden="1">
      <c r="A1790" s="61">
        <v>2.00401926E8</v>
      </c>
      <c r="B1790" s="54" t="s">
        <v>14531</v>
      </c>
      <c r="C1790" s="54" t="s">
        <v>14532</v>
      </c>
    </row>
    <row r="1791" hidden="1">
      <c r="A1791" s="61">
        <v>2.02001536E8</v>
      </c>
      <c r="B1791" s="54" t="s">
        <v>14533</v>
      </c>
      <c r="C1791" s="54" t="s">
        <v>14534</v>
      </c>
    </row>
    <row r="1792" hidden="1">
      <c r="A1792" s="61">
        <v>2.01502058E8</v>
      </c>
      <c r="B1792" s="54" t="s">
        <v>14535</v>
      </c>
      <c r="C1792" s="54" t="s">
        <v>14536</v>
      </c>
    </row>
    <row r="1793" hidden="1">
      <c r="A1793" s="61">
        <v>2.01607902E8</v>
      </c>
      <c r="B1793" s="54" t="s">
        <v>14537</v>
      </c>
      <c r="C1793" s="54" t="s">
        <v>11470</v>
      </c>
    </row>
    <row r="1794" hidden="1">
      <c r="A1794" s="61">
        <v>2.01809496E8</v>
      </c>
      <c r="B1794" s="54" t="s">
        <v>14537</v>
      </c>
      <c r="C1794" s="54" t="s">
        <v>14538</v>
      </c>
    </row>
    <row r="1795" hidden="1">
      <c r="A1795" s="61">
        <v>2.00908478E8</v>
      </c>
      <c r="B1795" s="54" t="s">
        <v>14539</v>
      </c>
      <c r="C1795" s="54" t="s">
        <v>14540</v>
      </c>
    </row>
    <row r="1796" hidden="1">
      <c r="A1796" s="61">
        <v>2.02000427E8</v>
      </c>
      <c r="B1796" s="54" t="s">
        <v>14541</v>
      </c>
      <c r="C1796" s="54" t="s">
        <v>14542</v>
      </c>
    </row>
    <row r="1797" hidden="1">
      <c r="A1797" s="61">
        <v>2.01407285E8</v>
      </c>
      <c r="B1797" s="54" t="s">
        <v>14543</v>
      </c>
      <c r="C1797" s="54" t="s">
        <v>14325</v>
      </c>
    </row>
    <row r="1798" hidden="1">
      <c r="A1798" s="61">
        <v>2.02105128E8</v>
      </c>
      <c r="B1798" s="54" t="s">
        <v>14544</v>
      </c>
      <c r="C1798" s="54" t="s">
        <v>14545</v>
      </c>
    </row>
    <row r="1799" hidden="1">
      <c r="A1799" s="61">
        <v>2.02008722E8</v>
      </c>
      <c r="B1799" s="54" t="s">
        <v>14546</v>
      </c>
      <c r="C1799" s="54" t="s">
        <v>12025</v>
      </c>
    </row>
    <row r="1800" hidden="1">
      <c r="A1800" s="61">
        <v>2.01505656E8</v>
      </c>
      <c r="B1800" s="54" t="s">
        <v>14547</v>
      </c>
      <c r="C1800" s="54" t="s">
        <v>14028</v>
      </c>
    </row>
    <row r="1801" hidden="1">
      <c r="A1801" s="61">
        <v>2.0210296E8</v>
      </c>
      <c r="B1801" s="54" t="s">
        <v>14548</v>
      </c>
      <c r="C1801" s="54" t="s">
        <v>14549</v>
      </c>
    </row>
    <row r="1802" hidden="1">
      <c r="A1802" s="61">
        <v>2.01008161E8</v>
      </c>
      <c r="B1802" s="54" t="s">
        <v>14550</v>
      </c>
      <c r="C1802" s="54" t="s">
        <v>12317</v>
      </c>
    </row>
    <row r="1803" hidden="1">
      <c r="A1803" s="61">
        <v>2.01400184E8</v>
      </c>
      <c r="B1803" s="54" t="s">
        <v>14551</v>
      </c>
      <c r="C1803" s="54" t="s">
        <v>14552</v>
      </c>
    </row>
    <row r="1804" hidden="1">
      <c r="A1804" s="61">
        <v>2.02001537E8</v>
      </c>
      <c r="B1804" s="54" t="s">
        <v>14553</v>
      </c>
      <c r="C1804" s="54" t="s">
        <v>14554</v>
      </c>
    </row>
    <row r="1805" hidden="1">
      <c r="A1805" s="61">
        <v>2.01502059E8</v>
      </c>
      <c r="B1805" s="54" t="s">
        <v>14555</v>
      </c>
      <c r="C1805" s="54" t="s">
        <v>12328</v>
      </c>
    </row>
    <row r="1806" hidden="1">
      <c r="A1806" s="61">
        <v>2.01400272E8</v>
      </c>
      <c r="B1806" s="54" t="s">
        <v>14556</v>
      </c>
      <c r="C1806" s="54" t="s">
        <v>12474</v>
      </c>
    </row>
    <row r="1807" hidden="1">
      <c r="A1807" s="61">
        <v>2.01700724E8</v>
      </c>
      <c r="B1807" s="54" t="s">
        <v>14557</v>
      </c>
      <c r="C1807" s="54" t="s">
        <v>14558</v>
      </c>
    </row>
    <row r="1808" hidden="1">
      <c r="A1808" s="61">
        <v>1.99301261E8</v>
      </c>
      <c r="B1808" s="54" t="s">
        <v>14559</v>
      </c>
      <c r="C1808" s="54" t="s">
        <v>14560</v>
      </c>
    </row>
    <row r="1809" hidden="1">
      <c r="A1809" s="61">
        <v>2.01900232E8</v>
      </c>
      <c r="B1809" s="54" t="s">
        <v>14561</v>
      </c>
      <c r="C1809" s="54" t="s">
        <v>14562</v>
      </c>
    </row>
    <row r="1810" hidden="1">
      <c r="A1810" s="61">
        <v>2.01505598E8</v>
      </c>
      <c r="B1810" s="54" t="s">
        <v>14563</v>
      </c>
      <c r="C1810" s="54" t="s">
        <v>14564</v>
      </c>
    </row>
    <row r="1811" hidden="1">
      <c r="A1811" s="61">
        <v>2.01704774E8</v>
      </c>
      <c r="B1811" s="54" t="s">
        <v>14565</v>
      </c>
      <c r="C1811" s="54" t="s">
        <v>14566</v>
      </c>
    </row>
    <row r="1812" hidden="1">
      <c r="A1812" s="61">
        <v>2.02005562E8</v>
      </c>
      <c r="B1812" s="54" t="s">
        <v>14567</v>
      </c>
      <c r="C1812" s="54" t="s">
        <v>14568</v>
      </c>
    </row>
    <row r="1813" hidden="1">
      <c r="A1813" s="61">
        <v>2.01801373E8</v>
      </c>
      <c r="B1813" s="54" t="s">
        <v>14569</v>
      </c>
      <c r="C1813" s="54" t="s">
        <v>14570</v>
      </c>
    </row>
    <row r="1814" hidden="1">
      <c r="A1814" s="61">
        <v>2.01801798E8</v>
      </c>
      <c r="B1814" s="54" t="s">
        <v>14571</v>
      </c>
      <c r="C1814" s="54" t="s">
        <v>14572</v>
      </c>
    </row>
    <row r="1815" hidden="1">
      <c r="A1815" s="61">
        <v>2.01705683E8</v>
      </c>
      <c r="B1815" s="54" t="s">
        <v>14573</v>
      </c>
      <c r="C1815" s="54" t="s">
        <v>14574</v>
      </c>
    </row>
    <row r="1816" hidden="1">
      <c r="A1816" s="61">
        <v>2.01700674E8</v>
      </c>
      <c r="B1816" s="54" t="s">
        <v>14575</v>
      </c>
      <c r="C1816" s="54" t="s">
        <v>13576</v>
      </c>
    </row>
    <row r="1817" hidden="1">
      <c r="A1817" s="61">
        <v>2.0140096E8</v>
      </c>
      <c r="B1817" s="54" t="s">
        <v>14576</v>
      </c>
      <c r="C1817" s="54" t="s">
        <v>13282</v>
      </c>
    </row>
    <row r="1818" hidden="1">
      <c r="A1818" s="61">
        <v>2.01400185E8</v>
      </c>
      <c r="B1818" s="54" t="s">
        <v>14577</v>
      </c>
      <c r="C1818" s="54" t="s">
        <v>11670</v>
      </c>
    </row>
    <row r="1819" hidden="1">
      <c r="A1819" s="61">
        <v>2.02001303E8</v>
      </c>
      <c r="B1819" s="54" t="s">
        <v>14578</v>
      </c>
      <c r="C1819" s="54" t="s">
        <v>14579</v>
      </c>
    </row>
    <row r="1820" hidden="1">
      <c r="A1820" s="61">
        <v>2.01709756E8</v>
      </c>
      <c r="B1820" s="54" t="s">
        <v>14580</v>
      </c>
      <c r="C1820" s="54" t="s">
        <v>14581</v>
      </c>
    </row>
    <row r="1821" hidden="1">
      <c r="A1821" s="61">
        <v>1.99909003E8</v>
      </c>
      <c r="B1821" s="54" t="s">
        <v>14582</v>
      </c>
      <c r="C1821" s="54" t="s">
        <v>14583</v>
      </c>
    </row>
    <row r="1822" hidden="1">
      <c r="A1822" s="61">
        <v>2.0190221E8</v>
      </c>
      <c r="B1822" s="54" t="s">
        <v>14584</v>
      </c>
      <c r="C1822" s="54" t="s">
        <v>14585</v>
      </c>
    </row>
    <row r="1823" hidden="1">
      <c r="A1823" s="61">
        <v>2.01605998E8</v>
      </c>
      <c r="B1823" s="54" t="s">
        <v>14586</v>
      </c>
      <c r="C1823" s="54" t="s">
        <v>14587</v>
      </c>
    </row>
    <row r="1824" hidden="1">
      <c r="A1824" s="61">
        <v>2.01404264E8</v>
      </c>
      <c r="B1824" s="54" t="s">
        <v>14588</v>
      </c>
      <c r="C1824" s="54" t="s">
        <v>14589</v>
      </c>
    </row>
    <row r="1825" hidden="1">
      <c r="A1825" s="61">
        <v>2.01400273E8</v>
      </c>
      <c r="B1825" s="54" t="s">
        <v>14590</v>
      </c>
      <c r="C1825" s="54" t="s">
        <v>11521</v>
      </c>
    </row>
    <row r="1826" hidden="1">
      <c r="A1826" s="61">
        <v>2.01801799E8</v>
      </c>
      <c r="B1826" s="54" t="s">
        <v>14591</v>
      </c>
      <c r="C1826" s="54" t="s">
        <v>14592</v>
      </c>
    </row>
    <row r="1827" hidden="1">
      <c r="A1827" s="61">
        <v>2.02105129E8</v>
      </c>
      <c r="B1827" s="54" t="s">
        <v>14593</v>
      </c>
      <c r="C1827" s="54" t="s">
        <v>11484</v>
      </c>
    </row>
    <row r="1828" hidden="1">
      <c r="A1828" s="61">
        <v>2.01701876E8</v>
      </c>
      <c r="B1828" s="54" t="s">
        <v>14594</v>
      </c>
      <c r="C1828" s="54" t="s">
        <v>14595</v>
      </c>
    </row>
    <row r="1829" hidden="1">
      <c r="A1829" s="61">
        <v>2.01400961E8</v>
      </c>
      <c r="B1829" s="54" t="s">
        <v>14594</v>
      </c>
      <c r="C1829" s="54" t="s">
        <v>14596</v>
      </c>
    </row>
    <row r="1830" hidden="1">
      <c r="A1830" s="61">
        <v>2.01800034E8</v>
      </c>
      <c r="B1830" s="54" t="s">
        <v>14597</v>
      </c>
      <c r="C1830" s="54" t="s">
        <v>14598</v>
      </c>
    </row>
    <row r="1831" hidden="1">
      <c r="A1831" s="61">
        <v>2.02001539E8</v>
      </c>
      <c r="B1831" s="54" t="s">
        <v>14599</v>
      </c>
      <c r="C1831" s="54" t="s">
        <v>14600</v>
      </c>
    </row>
    <row r="1832" hidden="1">
      <c r="A1832" s="61">
        <v>2.02005563E8</v>
      </c>
      <c r="B1832" s="54" t="s">
        <v>14601</v>
      </c>
      <c r="C1832" s="54" t="s">
        <v>14602</v>
      </c>
    </row>
    <row r="1833" hidden="1">
      <c r="A1833" s="61">
        <v>2.01603747E8</v>
      </c>
      <c r="B1833" s="54" t="s">
        <v>14603</v>
      </c>
      <c r="C1833" s="54" t="s">
        <v>14604</v>
      </c>
    </row>
    <row r="1834" hidden="1">
      <c r="A1834" s="61">
        <v>2.02000369E8</v>
      </c>
      <c r="B1834" s="54" t="s">
        <v>14605</v>
      </c>
      <c r="C1834" s="54" t="s">
        <v>14606</v>
      </c>
    </row>
    <row r="1835" hidden="1">
      <c r="A1835" s="61">
        <v>2.01709765E8</v>
      </c>
      <c r="B1835" s="54" t="s">
        <v>14607</v>
      </c>
      <c r="C1835" s="54" t="s">
        <v>14608</v>
      </c>
    </row>
    <row r="1836" hidden="1">
      <c r="A1836" s="61">
        <v>2.01709754E8</v>
      </c>
      <c r="B1836" s="54" t="s">
        <v>14609</v>
      </c>
      <c r="C1836" s="54" t="s">
        <v>13610</v>
      </c>
    </row>
    <row r="1837" hidden="1">
      <c r="A1837" s="61">
        <v>2.01400774E8</v>
      </c>
      <c r="B1837" s="54" t="s">
        <v>14610</v>
      </c>
      <c r="C1837" s="54" t="s">
        <v>14611</v>
      </c>
    </row>
    <row r="1838" hidden="1">
      <c r="A1838" s="61">
        <v>2.00901214E8</v>
      </c>
      <c r="B1838" s="54" t="s">
        <v>14612</v>
      </c>
      <c r="C1838" s="54" t="s">
        <v>14613</v>
      </c>
    </row>
    <row r="1839" hidden="1">
      <c r="A1839" s="61">
        <v>2.01106438E8</v>
      </c>
      <c r="B1839" s="54" t="s">
        <v>14614</v>
      </c>
      <c r="C1839" s="54" t="s">
        <v>12925</v>
      </c>
    </row>
    <row r="1840" hidden="1">
      <c r="A1840" s="61">
        <v>2.01010003E8</v>
      </c>
      <c r="B1840" s="54" t="s">
        <v>14615</v>
      </c>
      <c r="C1840" s="54" t="s">
        <v>14616</v>
      </c>
    </row>
    <row r="1841" hidden="1">
      <c r="A1841" s="61">
        <v>2.02002186E8</v>
      </c>
      <c r="B1841" s="54" t="s">
        <v>14617</v>
      </c>
      <c r="C1841" s="54" t="s">
        <v>14618</v>
      </c>
    </row>
    <row r="1842" hidden="1">
      <c r="A1842" s="61">
        <v>2.01900575E8</v>
      </c>
      <c r="B1842" s="54" t="s">
        <v>14619</v>
      </c>
      <c r="C1842" s="54" t="s">
        <v>11505</v>
      </c>
    </row>
    <row r="1843" hidden="1">
      <c r="A1843" s="61">
        <v>2.01700725E8</v>
      </c>
      <c r="B1843" s="54" t="s">
        <v>14620</v>
      </c>
      <c r="C1843" s="54" t="s">
        <v>14621</v>
      </c>
    </row>
    <row r="1844" hidden="1">
      <c r="A1844" s="61">
        <v>2.00800986E8</v>
      </c>
      <c r="B1844" s="54" t="s">
        <v>14622</v>
      </c>
      <c r="C1844" s="54" t="s">
        <v>11490</v>
      </c>
    </row>
    <row r="1845" hidden="1">
      <c r="A1845" s="61">
        <v>2.02102961E8</v>
      </c>
      <c r="B1845" s="54" t="s">
        <v>14623</v>
      </c>
      <c r="C1845" s="54" t="s">
        <v>14624</v>
      </c>
    </row>
    <row r="1846" hidden="1">
      <c r="A1846" s="61">
        <v>2.0190021E8</v>
      </c>
      <c r="B1846" s="54" t="s">
        <v>14625</v>
      </c>
      <c r="C1846" s="54" t="s">
        <v>11484</v>
      </c>
    </row>
    <row r="1847" hidden="1">
      <c r="A1847" s="61">
        <v>2.01603748E8</v>
      </c>
      <c r="B1847" s="54" t="s">
        <v>14626</v>
      </c>
      <c r="C1847" s="54" t="s">
        <v>14627</v>
      </c>
    </row>
    <row r="1848" hidden="1">
      <c r="A1848" s="61">
        <v>2.01800265E8</v>
      </c>
      <c r="B1848" s="54" t="s">
        <v>14628</v>
      </c>
      <c r="C1848" s="54" t="s">
        <v>14568</v>
      </c>
    </row>
    <row r="1849" hidden="1">
      <c r="A1849" s="61">
        <v>2.01005028E8</v>
      </c>
      <c r="B1849" s="54" t="s">
        <v>14629</v>
      </c>
      <c r="C1849" s="54" t="s">
        <v>14630</v>
      </c>
    </row>
    <row r="1850" hidden="1">
      <c r="A1850" s="61">
        <v>2.02103368E8</v>
      </c>
      <c r="B1850" s="54" t="s">
        <v>14631</v>
      </c>
      <c r="C1850" s="54" t="s">
        <v>14379</v>
      </c>
    </row>
    <row r="1851" hidden="1">
      <c r="A1851" s="61">
        <v>2.01101658E8</v>
      </c>
      <c r="B1851" s="54" t="s">
        <v>14632</v>
      </c>
      <c r="C1851" s="54" t="s">
        <v>12341</v>
      </c>
    </row>
    <row r="1852" hidden="1">
      <c r="A1852" s="61">
        <v>2.00707168E8</v>
      </c>
      <c r="B1852" s="54" t="s">
        <v>14633</v>
      </c>
      <c r="C1852" s="54" t="s">
        <v>14634</v>
      </c>
    </row>
    <row r="1853" hidden="1">
      <c r="A1853" s="61">
        <v>1.99401476E8</v>
      </c>
      <c r="B1853" s="54" t="s">
        <v>14635</v>
      </c>
      <c r="C1853" s="54" t="s">
        <v>14636</v>
      </c>
    </row>
    <row r="1854" hidden="1">
      <c r="A1854" s="61">
        <v>2.01110798E8</v>
      </c>
      <c r="B1854" s="54" t="s">
        <v>14637</v>
      </c>
      <c r="C1854" s="54" t="s">
        <v>14638</v>
      </c>
    </row>
    <row r="1855" hidden="1">
      <c r="A1855" s="61">
        <v>2.01400322E8</v>
      </c>
      <c r="B1855" s="54" t="s">
        <v>14639</v>
      </c>
      <c r="C1855" s="54" t="s">
        <v>14436</v>
      </c>
    </row>
    <row r="1856" hidden="1">
      <c r="A1856" s="61">
        <v>2.00607666E8</v>
      </c>
      <c r="B1856" s="54" t="s">
        <v>14640</v>
      </c>
      <c r="C1856" s="54" t="s">
        <v>11691</v>
      </c>
    </row>
    <row r="1857" hidden="1">
      <c r="A1857" s="61">
        <v>2.01512244E8</v>
      </c>
      <c r="B1857" s="54" t="s">
        <v>14641</v>
      </c>
      <c r="C1857" s="54" t="s">
        <v>13610</v>
      </c>
    </row>
    <row r="1858" hidden="1">
      <c r="A1858" s="61">
        <v>2.01800266E8</v>
      </c>
      <c r="B1858" s="54" t="s">
        <v>14642</v>
      </c>
      <c r="C1858" s="54" t="s">
        <v>14643</v>
      </c>
    </row>
    <row r="1859" hidden="1">
      <c r="A1859" s="61">
        <v>2.018018E8</v>
      </c>
      <c r="B1859" s="54" t="s">
        <v>14644</v>
      </c>
      <c r="C1859" s="54" t="s">
        <v>12638</v>
      </c>
    </row>
    <row r="1860" hidden="1">
      <c r="A1860" s="61">
        <v>2.01508159E8</v>
      </c>
      <c r="B1860" s="54" t="s">
        <v>14645</v>
      </c>
      <c r="C1860" s="54" t="s">
        <v>14646</v>
      </c>
    </row>
    <row r="1861" hidden="1">
      <c r="A1861" s="61">
        <v>2.01700726E8</v>
      </c>
      <c r="B1861" s="54" t="s">
        <v>14647</v>
      </c>
      <c r="C1861" s="54" t="s">
        <v>14648</v>
      </c>
    </row>
    <row r="1862" hidden="1">
      <c r="A1862" s="61">
        <v>1.99802134E8</v>
      </c>
      <c r="B1862" s="54" t="s">
        <v>14649</v>
      </c>
      <c r="C1862" s="54" t="s">
        <v>11837</v>
      </c>
    </row>
    <row r="1863" hidden="1">
      <c r="A1863" s="61">
        <v>2.00100828E8</v>
      </c>
      <c r="B1863" s="54" t="s">
        <v>14650</v>
      </c>
      <c r="C1863" s="54" t="s">
        <v>14651</v>
      </c>
    </row>
    <row r="1864" hidden="1">
      <c r="A1864" s="61">
        <v>2.01606469E8</v>
      </c>
      <c r="B1864" s="54" t="s">
        <v>14652</v>
      </c>
      <c r="C1864" s="54" t="s">
        <v>14653</v>
      </c>
    </row>
    <row r="1865" hidden="1">
      <c r="A1865" s="61">
        <v>2.00001044E8</v>
      </c>
      <c r="B1865" s="54" t="s">
        <v>14654</v>
      </c>
      <c r="C1865" s="54" t="s">
        <v>14655</v>
      </c>
    </row>
    <row r="1866" hidden="1">
      <c r="A1866" s="61">
        <v>2.01407284E8</v>
      </c>
      <c r="B1866" s="54" t="s">
        <v>14656</v>
      </c>
      <c r="C1866" s="54" t="s">
        <v>14657</v>
      </c>
    </row>
    <row r="1867" hidden="1">
      <c r="A1867" s="61">
        <v>2.01603026E8</v>
      </c>
      <c r="B1867" s="54" t="s">
        <v>14658</v>
      </c>
      <c r="C1867" s="54" t="s">
        <v>14659</v>
      </c>
    </row>
    <row r="1868" hidden="1">
      <c r="A1868" s="61">
        <v>2.01309588E8</v>
      </c>
      <c r="B1868" s="54" t="s">
        <v>14660</v>
      </c>
      <c r="C1868" s="54" t="s">
        <v>14661</v>
      </c>
    </row>
    <row r="1869" hidden="1">
      <c r="A1869" s="61">
        <v>2.0200154E8</v>
      </c>
      <c r="B1869" s="54" t="s">
        <v>14662</v>
      </c>
      <c r="C1869" s="54" t="s">
        <v>12860</v>
      </c>
    </row>
    <row r="1870" hidden="1">
      <c r="A1870" s="61">
        <v>2.01107036E8</v>
      </c>
      <c r="B1870" s="54" t="s">
        <v>14663</v>
      </c>
      <c r="C1870" s="54" t="s">
        <v>14664</v>
      </c>
    </row>
    <row r="1871" hidden="1">
      <c r="A1871" s="61">
        <v>2.01512227E8</v>
      </c>
      <c r="B1871" s="54" t="s">
        <v>14665</v>
      </c>
      <c r="C1871" s="54" t="s">
        <v>14666</v>
      </c>
    </row>
    <row r="1872" hidden="1">
      <c r="A1872" s="61">
        <v>2.01907659E8</v>
      </c>
      <c r="B1872" s="54" t="s">
        <v>14667</v>
      </c>
      <c r="C1872" s="54" t="s">
        <v>11505</v>
      </c>
    </row>
    <row r="1873" hidden="1">
      <c r="A1873" s="61">
        <v>2.00200604E8</v>
      </c>
      <c r="B1873" s="54" t="s">
        <v>14668</v>
      </c>
      <c r="C1873" s="54" t="s">
        <v>11997</v>
      </c>
    </row>
    <row r="1874" hidden="1">
      <c r="A1874" s="61">
        <v>2.01800267E8</v>
      </c>
      <c r="B1874" s="54" t="s">
        <v>14669</v>
      </c>
      <c r="C1874" s="54" t="s">
        <v>14670</v>
      </c>
    </row>
    <row r="1875" hidden="1">
      <c r="A1875" s="61">
        <v>2.01607906E8</v>
      </c>
      <c r="B1875" s="54" t="s">
        <v>14671</v>
      </c>
      <c r="C1875" s="54" t="s">
        <v>14672</v>
      </c>
    </row>
    <row r="1876" hidden="1">
      <c r="A1876" s="61">
        <v>2.01512245E8</v>
      </c>
      <c r="B1876" s="54" t="s">
        <v>14673</v>
      </c>
      <c r="C1876" s="54" t="s">
        <v>13409</v>
      </c>
    </row>
    <row r="1877" hidden="1">
      <c r="A1877" s="61">
        <v>2.01900221E8</v>
      </c>
      <c r="B1877" s="54" t="s">
        <v>14674</v>
      </c>
      <c r="C1877" s="54" t="s">
        <v>11831</v>
      </c>
    </row>
    <row r="1878" hidden="1">
      <c r="A1878" s="61">
        <v>2.01308274E8</v>
      </c>
      <c r="B1878" s="54" t="s">
        <v>14675</v>
      </c>
      <c r="C1878" s="54" t="s">
        <v>14676</v>
      </c>
    </row>
    <row r="1879" hidden="1">
      <c r="A1879" s="61">
        <v>2.01512269E8</v>
      </c>
      <c r="B1879" s="54" t="s">
        <v>14677</v>
      </c>
      <c r="C1879" s="54" t="s">
        <v>11570</v>
      </c>
    </row>
    <row r="1880" hidden="1">
      <c r="A1880" s="61">
        <v>2.01703768E8</v>
      </c>
      <c r="B1880" s="54" t="s">
        <v>14678</v>
      </c>
      <c r="C1880" s="54" t="s">
        <v>14679</v>
      </c>
    </row>
    <row r="1881" hidden="1">
      <c r="A1881" s="61">
        <v>2.01900234E8</v>
      </c>
      <c r="B1881" s="54" t="s">
        <v>14680</v>
      </c>
      <c r="C1881" s="54" t="s">
        <v>14681</v>
      </c>
    </row>
    <row r="1882" hidden="1">
      <c r="A1882" s="61">
        <v>2.0090848E8</v>
      </c>
      <c r="B1882" s="54" t="s">
        <v>14682</v>
      </c>
      <c r="C1882" s="54" t="s">
        <v>14683</v>
      </c>
    </row>
    <row r="1883" hidden="1">
      <c r="A1883" s="61">
        <v>2.01309559E8</v>
      </c>
      <c r="B1883" s="54" t="s">
        <v>14684</v>
      </c>
      <c r="C1883" s="54" t="s">
        <v>14685</v>
      </c>
    </row>
    <row r="1884" hidden="1">
      <c r="A1884" s="61">
        <v>2.0130956E8</v>
      </c>
      <c r="B1884" s="54" t="s">
        <v>14686</v>
      </c>
      <c r="C1884" s="54" t="s">
        <v>12151</v>
      </c>
    </row>
    <row r="1885" hidden="1">
      <c r="A1885" s="61">
        <v>2.01300282E8</v>
      </c>
      <c r="B1885" s="54" t="s">
        <v>14687</v>
      </c>
      <c r="C1885" s="54" t="s">
        <v>14688</v>
      </c>
    </row>
    <row r="1886" hidden="1">
      <c r="A1886" s="61">
        <v>2.02103403E8</v>
      </c>
      <c r="B1886" s="54" t="s">
        <v>14689</v>
      </c>
      <c r="C1886" s="54" t="s">
        <v>14690</v>
      </c>
    </row>
    <row r="1887" hidden="1">
      <c r="A1887" s="61">
        <v>2.01100636E8</v>
      </c>
      <c r="B1887" s="54" t="s">
        <v>14691</v>
      </c>
      <c r="C1887" s="54" t="s">
        <v>14692</v>
      </c>
    </row>
    <row r="1888" hidden="1">
      <c r="A1888" s="61">
        <v>2.01701879E8</v>
      </c>
      <c r="B1888" s="54" t="s">
        <v>14693</v>
      </c>
      <c r="C1888" s="54" t="s">
        <v>14694</v>
      </c>
    </row>
    <row r="1889" hidden="1">
      <c r="A1889" s="61">
        <v>2.0160375E8</v>
      </c>
      <c r="B1889" s="54" t="s">
        <v>14693</v>
      </c>
      <c r="C1889" s="54" t="s">
        <v>14695</v>
      </c>
    </row>
    <row r="1890" hidden="1">
      <c r="A1890" s="61">
        <v>2.01603751E8</v>
      </c>
      <c r="B1890" s="54" t="s">
        <v>14696</v>
      </c>
      <c r="C1890" s="54" t="s">
        <v>13363</v>
      </c>
    </row>
    <row r="1891" hidden="1">
      <c r="A1891" s="61">
        <v>2.0160647E8</v>
      </c>
      <c r="B1891" s="54" t="s">
        <v>14697</v>
      </c>
      <c r="C1891" s="54" t="s">
        <v>12595</v>
      </c>
    </row>
    <row r="1892" hidden="1">
      <c r="A1892" s="61">
        <v>2.01400187E8</v>
      </c>
      <c r="B1892" s="54" t="s">
        <v>14698</v>
      </c>
      <c r="C1892" s="54" t="s">
        <v>14699</v>
      </c>
    </row>
    <row r="1893" hidden="1">
      <c r="A1893" s="61">
        <v>2.01805408E8</v>
      </c>
      <c r="B1893" s="54" t="s">
        <v>14700</v>
      </c>
      <c r="C1893" s="54" t="s">
        <v>14701</v>
      </c>
    </row>
    <row r="1894" hidden="1">
      <c r="A1894" s="61">
        <v>2.02000101E8</v>
      </c>
      <c r="B1894" s="54" t="s">
        <v>14702</v>
      </c>
      <c r="C1894" s="54" t="s">
        <v>14703</v>
      </c>
    </row>
    <row r="1895" hidden="1">
      <c r="A1895" s="61">
        <v>2.01508434E8</v>
      </c>
      <c r="B1895" s="54" t="s">
        <v>14704</v>
      </c>
      <c r="C1895" s="54" t="s">
        <v>12302</v>
      </c>
    </row>
    <row r="1896" hidden="1">
      <c r="A1896" s="61">
        <v>2.01506867E8</v>
      </c>
      <c r="B1896" s="54" t="s">
        <v>14705</v>
      </c>
      <c r="C1896" s="54" t="s">
        <v>14706</v>
      </c>
    </row>
    <row r="1897" hidden="1">
      <c r="A1897" s="61">
        <v>2.01603752E8</v>
      </c>
      <c r="B1897" s="54" t="s">
        <v>14707</v>
      </c>
      <c r="C1897" s="54" t="s">
        <v>14708</v>
      </c>
    </row>
    <row r="1898" hidden="1">
      <c r="A1898" s="61">
        <v>2.01603005E8</v>
      </c>
      <c r="B1898" s="54" t="s">
        <v>14709</v>
      </c>
      <c r="C1898" s="54" t="s">
        <v>14710</v>
      </c>
    </row>
    <row r="1899" hidden="1">
      <c r="A1899" s="61">
        <v>2.01209109E8</v>
      </c>
      <c r="B1899" s="54" t="s">
        <v>14711</v>
      </c>
      <c r="C1899" s="54" t="s">
        <v>14712</v>
      </c>
    </row>
    <row r="1900" hidden="1">
      <c r="A1900" s="61">
        <v>2.01900211E8</v>
      </c>
      <c r="B1900" s="54" t="s">
        <v>14713</v>
      </c>
      <c r="C1900" s="54" t="s">
        <v>14714</v>
      </c>
    </row>
    <row r="1901" hidden="1">
      <c r="A1901" s="61">
        <v>2.01904692E8</v>
      </c>
      <c r="B1901" s="54" t="s">
        <v>14715</v>
      </c>
      <c r="C1901" s="54" t="s">
        <v>14716</v>
      </c>
    </row>
    <row r="1902" hidden="1">
      <c r="A1902" s="61">
        <v>2.02103324E8</v>
      </c>
      <c r="B1902" s="54" t="s">
        <v>14717</v>
      </c>
      <c r="C1902" s="54" t="s">
        <v>14718</v>
      </c>
    </row>
    <row r="1903" hidden="1">
      <c r="A1903" s="61">
        <v>2.00206499E8</v>
      </c>
      <c r="B1903" s="54" t="s">
        <v>14719</v>
      </c>
      <c r="C1903" s="54" t="s">
        <v>14436</v>
      </c>
    </row>
    <row r="1904" hidden="1">
      <c r="A1904" s="61">
        <v>2.01603753E8</v>
      </c>
      <c r="B1904" s="54" t="s">
        <v>14720</v>
      </c>
      <c r="C1904" s="54" t="s">
        <v>14721</v>
      </c>
    </row>
    <row r="1905" hidden="1">
      <c r="A1905" s="61">
        <v>2.01709753E8</v>
      </c>
      <c r="B1905" s="54" t="s">
        <v>14722</v>
      </c>
      <c r="C1905" s="54" t="s">
        <v>14723</v>
      </c>
    </row>
    <row r="1906" hidden="1">
      <c r="A1906" s="61">
        <v>2.01909716E8</v>
      </c>
      <c r="B1906" s="54" t="s">
        <v>14724</v>
      </c>
      <c r="C1906" s="54" t="s">
        <v>13922</v>
      </c>
    </row>
    <row r="1907" hidden="1">
      <c r="A1907" s="61">
        <v>2.01502063E8</v>
      </c>
      <c r="B1907" s="54" t="s">
        <v>14725</v>
      </c>
      <c r="C1907" s="54" t="s">
        <v>11525</v>
      </c>
    </row>
    <row r="1908" hidden="1">
      <c r="A1908" s="61">
        <v>2.01611059E8</v>
      </c>
      <c r="B1908" s="54" t="s">
        <v>14726</v>
      </c>
      <c r="C1908" s="54" t="s">
        <v>14727</v>
      </c>
    </row>
    <row r="1909" hidden="1">
      <c r="A1909" s="61">
        <v>2.01706621E8</v>
      </c>
      <c r="B1909" s="54" t="s">
        <v>14728</v>
      </c>
      <c r="C1909" s="54" t="s">
        <v>14729</v>
      </c>
    </row>
    <row r="1910" hidden="1">
      <c r="A1910" s="61">
        <v>2.01100341E8</v>
      </c>
      <c r="B1910" s="54" t="s">
        <v>14730</v>
      </c>
      <c r="C1910" s="54" t="s">
        <v>12366</v>
      </c>
    </row>
    <row r="1911" hidden="1">
      <c r="A1911" s="61">
        <v>2.01809497E8</v>
      </c>
      <c r="B1911" s="54" t="s">
        <v>14731</v>
      </c>
      <c r="C1911" s="54" t="s">
        <v>11634</v>
      </c>
    </row>
    <row r="1912" hidden="1">
      <c r="A1912" s="61">
        <v>2.01409243E8</v>
      </c>
      <c r="B1912" s="54" t="s">
        <v>14732</v>
      </c>
      <c r="C1912" s="54" t="s">
        <v>14733</v>
      </c>
    </row>
    <row r="1913" hidden="1">
      <c r="A1913" s="61">
        <v>2.01502064E8</v>
      </c>
      <c r="B1913" s="54" t="s">
        <v>14734</v>
      </c>
      <c r="C1913" s="54" t="s">
        <v>14735</v>
      </c>
    </row>
    <row r="1914" hidden="1">
      <c r="A1914" s="61">
        <v>2.02107946E8</v>
      </c>
      <c r="B1914" s="54" t="s">
        <v>14736</v>
      </c>
      <c r="C1914" s="54" t="s">
        <v>14737</v>
      </c>
    </row>
    <row r="1915" hidden="1">
      <c r="A1915" s="61">
        <v>2.01001098E8</v>
      </c>
      <c r="B1915" s="54" t="s">
        <v>14738</v>
      </c>
      <c r="C1915" s="54" t="s">
        <v>14739</v>
      </c>
    </row>
    <row r="1916" hidden="1">
      <c r="A1916" s="61">
        <v>2.00703053E8</v>
      </c>
      <c r="B1916" s="54" t="s">
        <v>14740</v>
      </c>
      <c r="C1916" s="54" t="s">
        <v>14741</v>
      </c>
    </row>
    <row r="1917" hidden="1">
      <c r="A1917" s="61">
        <v>2.01904731E8</v>
      </c>
      <c r="B1917" s="54" t="s">
        <v>14742</v>
      </c>
      <c r="C1917" s="54" t="s">
        <v>14743</v>
      </c>
    </row>
    <row r="1918" hidden="1">
      <c r="A1918" s="61">
        <v>2.00206444E8</v>
      </c>
      <c r="B1918" s="54" t="s">
        <v>14744</v>
      </c>
      <c r="C1918" s="54" t="s">
        <v>14745</v>
      </c>
    </row>
    <row r="1919" hidden="1">
      <c r="A1919" s="61">
        <v>2.02002352E8</v>
      </c>
      <c r="B1919" s="54" t="s">
        <v>14746</v>
      </c>
      <c r="C1919" s="54" t="s">
        <v>14747</v>
      </c>
    </row>
    <row r="1920" hidden="1">
      <c r="A1920" s="61">
        <v>2.01506911E8</v>
      </c>
      <c r="B1920" s="54" t="s">
        <v>14748</v>
      </c>
      <c r="C1920" s="54" t="s">
        <v>14749</v>
      </c>
    </row>
    <row r="1921" hidden="1">
      <c r="A1921" s="61">
        <v>2.02000405E8</v>
      </c>
      <c r="B1921" s="54" t="s">
        <v>14750</v>
      </c>
      <c r="C1921" s="54" t="s">
        <v>14751</v>
      </c>
    </row>
    <row r="1922" hidden="1">
      <c r="A1922" s="61">
        <v>2.01809498E8</v>
      </c>
      <c r="B1922" s="54" t="s">
        <v>14752</v>
      </c>
      <c r="C1922" s="54" t="s">
        <v>12823</v>
      </c>
    </row>
    <row r="1923" hidden="1">
      <c r="A1923" s="61">
        <v>2.01010336E8</v>
      </c>
      <c r="B1923" s="54" t="s">
        <v>14753</v>
      </c>
      <c r="C1923" s="54" t="s">
        <v>14754</v>
      </c>
    </row>
    <row r="1924" hidden="1">
      <c r="A1924" s="61">
        <v>2.0190971E8</v>
      </c>
      <c r="B1924" s="54" t="s">
        <v>14755</v>
      </c>
      <c r="C1924" s="54" t="s">
        <v>11871</v>
      </c>
    </row>
    <row r="1925" hidden="1">
      <c r="A1925" s="61">
        <v>2.01603756E8</v>
      </c>
      <c r="B1925" s="54" t="s">
        <v>14756</v>
      </c>
      <c r="C1925" s="54" t="s">
        <v>12682</v>
      </c>
    </row>
    <row r="1926" hidden="1">
      <c r="A1926" s="61">
        <v>2.01300168E8</v>
      </c>
      <c r="B1926" s="54" t="s">
        <v>14757</v>
      </c>
      <c r="C1926" s="54" t="s">
        <v>12778</v>
      </c>
    </row>
    <row r="1927" hidden="1">
      <c r="A1927" s="61">
        <v>2.01603757E8</v>
      </c>
      <c r="B1927" s="54" t="s">
        <v>14758</v>
      </c>
      <c r="C1927" s="54" t="s">
        <v>13121</v>
      </c>
    </row>
    <row r="1928" hidden="1">
      <c r="A1928" s="61">
        <v>2.01902212E8</v>
      </c>
      <c r="B1928" s="54" t="s">
        <v>14759</v>
      </c>
      <c r="C1928" s="54" t="s">
        <v>14760</v>
      </c>
    </row>
    <row r="1929" hidden="1">
      <c r="A1929" s="61">
        <v>2.01502065E8</v>
      </c>
      <c r="B1929" s="54" t="s">
        <v>14761</v>
      </c>
      <c r="C1929" s="54" t="s">
        <v>14271</v>
      </c>
    </row>
    <row r="1930" hidden="1">
      <c r="A1930" s="61">
        <v>2.01400447E8</v>
      </c>
      <c r="B1930" s="54" t="s">
        <v>14762</v>
      </c>
      <c r="C1930" s="54" t="s">
        <v>12689</v>
      </c>
    </row>
    <row r="1931" hidden="1">
      <c r="A1931" s="61">
        <v>2.01508162E8</v>
      </c>
      <c r="B1931" s="54" t="s">
        <v>14763</v>
      </c>
      <c r="C1931" s="54" t="s">
        <v>14764</v>
      </c>
    </row>
    <row r="1932" hidden="1">
      <c r="A1932" s="61">
        <v>2.0210513E8</v>
      </c>
      <c r="B1932" s="54" t="s">
        <v>14765</v>
      </c>
      <c r="C1932" s="54" t="s">
        <v>11826</v>
      </c>
    </row>
    <row r="1933" hidden="1">
      <c r="A1933" s="61">
        <v>2.01309589E8</v>
      </c>
      <c r="B1933" s="54" t="s">
        <v>14766</v>
      </c>
      <c r="C1933" s="54" t="s">
        <v>14767</v>
      </c>
    </row>
    <row r="1934" hidden="1">
      <c r="A1934" s="61">
        <v>2.01809499E8</v>
      </c>
      <c r="B1934" s="54" t="s">
        <v>14768</v>
      </c>
      <c r="C1934" s="54" t="s">
        <v>14769</v>
      </c>
    </row>
    <row r="1935" hidden="1">
      <c r="A1935" s="61">
        <v>2.01100342E8</v>
      </c>
      <c r="B1935" s="54" t="s">
        <v>14770</v>
      </c>
      <c r="C1935" s="54" t="s">
        <v>14771</v>
      </c>
    </row>
    <row r="1936" hidden="1">
      <c r="A1936" s="61">
        <v>2.01001009E8</v>
      </c>
      <c r="B1936" s="54" t="s">
        <v>14772</v>
      </c>
      <c r="C1936" s="54" t="s">
        <v>12605</v>
      </c>
    </row>
    <row r="1937" hidden="1">
      <c r="A1937" s="61">
        <v>2.00002419E8</v>
      </c>
      <c r="B1937" s="54" t="s">
        <v>14773</v>
      </c>
      <c r="C1937" s="54" t="s">
        <v>14774</v>
      </c>
    </row>
    <row r="1938" hidden="1">
      <c r="A1938" s="61">
        <v>2.02102963E8</v>
      </c>
      <c r="B1938" s="54" t="s">
        <v>14775</v>
      </c>
      <c r="C1938" s="54" t="s">
        <v>14776</v>
      </c>
    </row>
    <row r="1939" hidden="1">
      <c r="A1939" s="61">
        <v>2.01909884E8</v>
      </c>
      <c r="B1939" s="54" t="s">
        <v>14777</v>
      </c>
      <c r="C1939" s="54" t="s">
        <v>14778</v>
      </c>
    </row>
    <row r="1940" hidden="1">
      <c r="A1940" s="61">
        <v>2.02001541E8</v>
      </c>
      <c r="B1940" s="54" t="s">
        <v>14779</v>
      </c>
      <c r="C1940" s="54" t="s">
        <v>12002</v>
      </c>
    </row>
    <row r="1941" hidden="1">
      <c r="A1941" s="61">
        <v>2.0170188E8</v>
      </c>
      <c r="B1941" s="54" t="s">
        <v>14780</v>
      </c>
      <c r="C1941" s="54" t="s">
        <v>14781</v>
      </c>
    </row>
    <row r="1942" hidden="1">
      <c r="A1942" s="61">
        <v>2.01904693E8</v>
      </c>
      <c r="B1942" s="54" t="s">
        <v>14782</v>
      </c>
      <c r="C1942" s="54" t="s">
        <v>14783</v>
      </c>
    </row>
    <row r="1943" hidden="1">
      <c r="A1943" s="61">
        <v>2.02102962E8</v>
      </c>
      <c r="B1943" s="54" t="s">
        <v>14784</v>
      </c>
      <c r="C1943" s="54" t="s">
        <v>14785</v>
      </c>
    </row>
    <row r="1944" hidden="1">
      <c r="A1944" s="61">
        <v>2.01801368E8</v>
      </c>
      <c r="B1944" s="54" t="s">
        <v>14786</v>
      </c>
      <c r="C1944" s="54" t="s">
        <v>14787</v>
      </c>
    </row>
    <row r="1945" hidden="1">
      <c r="A1945" s="61">
        <v>2.01800584E8</v>
      </c>
      <c r="B1945" s="54" t="s">
        <v>14788</v>
      </c>
      <c r="C1945" s="54" t="s">
        <v>14789</v>
      </c>
    </row>
    <row r="1946" hidden="1">
      <c r="A1946" s="61">
        <v>2.02105131E8</v>
      </c>
      <c r="B1946" s="54" t="s">
        <v>14790</v>
      </c>
      <c r="C1946" s="54" t="s">
        <v>14791</v>
      </c>
    </row>
    <row r="1947" hidden="1">
      <c r="A1947" s="61">
        <v>2.0120109E8</v>
      </c>
      <c r="B1947" s="54" t="s">
        <v>14792</v>
      </c>
      <c r="C1947" s="54" t="s">
        <v>12943</v>
      </c>
    </row>
    <row r="1948" hidden="1">
      <c r="A1948" s="61">
        <v>2.01902211E8</v>
      </c>
      <c r="B1948" s="54" t="s">
        <v>14793</v>
      </c>
      <c r="C1948" s="54" t="s">
        <v>14794</v>
      </c>
    </row>
    <row r="1949" hidden="1">
      <c r="A1949" s="61">
        <v>2.01504897E8</v>
      </c>
      <c r="B1949" s="54" t="s">
        <v>14795</v>
      </c>
      <c r="C1949" s="54" t="s">
        <v>12129</v>
      </c>
    </row>
    <row r="1950" hidden="1">
      <c r="A1950" s="61">
        <v>2.01603754E8</v>
      </c>
      <c r="B1950" s="54" t="s">
        <v>14796</v>
      </c>
      <c r="C1950" s="54" t="s">
        <v>14797</v>
      </c>
    </row>
    <row r="1951" hidden="1">
      <c r="A1951" s="61">
        <v>2.01607908E8</v>
      </c>
      <c r="B1951" s="54" t="s">
        <v>14798</v>
      </c>
      <c r="C1951" s="54" t="s">
        <v>14608</v>
      </c>
    </row>
    <row r="1952" hidden="1">
      <c r="A1952" s="61">
        <v>2.0160012E8</v>
      </c>
      <c r="B1952" s="54" t="s">
        <v>14799</v>
      </c>
      <c r="C1952" s="54" t="s">
        <v>14800</v>
      </c>
    </row>
    <row r="1953" hidden="1">
      <c r="A1953" s="61">
        <v>2.01603918E8</v>
      </c>
      <c r="B1953" s="54" t="s">
        <v>14801</v>
      </c>
      <c r="C1953" s="54" t="s">
        <v>14802</v>
      </c>
    </row>
    <row r="1954" hidden="1">
      <c r="A1954" s="61">
        <v>2.0130723E8</v>
      </c>
      <c r="B1954" s="54" t="s">
        <v>14803</v>
      </c>
      <c r="C1954" s="54" t="s">
        <v>13693</v>
      </c>
    </row>
    <row r="1955" hidden="1">
      <c r="A1955" s="61">
        <v>2.01700729E8</v>
      </c>
      <c r="B1955" s="54" t="s">
        <v>14804</v>
      </c>
      <c r="C1955" s="54" t="s">
        <v>12778</v>
      </c>
    </row>
    <row r="1956" hidden="1">
      <c r="A1956" s="61">
        <v>2.00905002E8</v>
      </c>
      <c r="B1956" s="54" t="s">
        <v>14805</v>
      </c>
      <c r="C1956" s="54" t="s">
        <v>14806</v>
      </c>
    </row>
    <row r="1957" hidden="1">
      <c r="A1957" s="61">
        <v>2.01504899E8</v>
      </c>
      <c r="B1957" s="54" t="s">
        <v>14807</v>
      </c>
      <c r="C1957" s="54" t="s">
        <v>11674</v>
      </c>
    </row>
    <row r="1958" hidden="1">
      <c r="A1958" s="61">
        <v>2.02107934E8</v>
      </c>
      <c r="B1958" s="54" t="s">
        <v>14808</v>
      </c>
      <c r="C1958" s="54" t="s">
        <v>14809</v>
      </c>
    </row>
    <row r="1959" hidden="1">
      <c r="A1959" s="61">
        <v>2.01900222E8</v>
      </c>
      <c r="B1959" s="54" t="s">
        <v>14810</v>
      </c>
      <c r="C1959" s="54" t="s">
        <v>14811</v>
      </c>
    </row>
    <row r="1960" hidden="1">
      <c r="A1960" s="61">
        <v>2.00808248E8</v>
      </c>
      <c r="B1960" s="54" t="s">
        <v>14812</v>
      </c>
      <c r="C1960" s="54" t="s">
        <v>14813</v>
      </c>
    </row>
    <row r="1961" hidden="1">
      <c r="A1961" s="61">
        <v>2.02105132E8</v>
      </c>
      <c r="B1961" s="54" t="s">
        <v>14814</v>
      </c>
      <c r="C1961" s="54" t="s">
        <v>14815</v>
      </c>
    </row>
    <row r="1962" hidden="1">
      <c r="A1962" s="61">
        <v>2.02103325E8</v>
      </c>
      <c r="B1962" s="54" t="s">
        <v>14816</v>
      </c>
      <c r="C1962" s="54" t="s">
        <v>14817</v>
      </c>
    </row>
    <row r="1963" hidden="1">
      <c r="A1963" s="61">
        <v>2.01904722E8</v>
      </c>
      <c r="B1963" s="54" t="s">
        <v>14818</v>
      </c>
      <c r="C1963" s="54" t="s">
        <v>14819</v>
      </c>
    </row>
    <row r="1964" hidden="1">
      <c r="A1964" s="61">
        <v>2.02001542E8</v>
      </c>
      <c r="B1964" s="54" t="s">
        <v>14820</v>
      </c>
      <c r="C1964" s="54" t="s">
        <v>13594</v>
      </c>
    </row>
    <row r="1965" hidden="1">
      <c r="A1965" s="61">
        <v>2.01508473E8</v>
      </c>
      <c r="B1965" s="54" t="s">
        <v>14821</v>
      </c>
      <c r="C1965" s="54" t="s">
        <v>13017</v>
      </c>
    </row>
    <row r="1966" hidden="1">
      <c r="A1966" s="61">
        <v>2.02103381E8</v>
      </c>
      <c r="B1966" s="54" t="s">
        <v>14822</v>
      </c>
      <c r="C1966" s="54" t="s">
        <v>14823</v>
      </c>
    </row>
    <row r="1967" hidden="1">
      <c r="A1967" s="61">
        <v>2.00703452E8</v>
      </c>
      <c r="B1967" s="54" t="s">
        <v>14824</v>
      </c>
      <c r="C1967" s="54" t="s">
        <v>14825</v>
      </c>
    </row>
    <row r="1968" hidden="1">
      <c r="A1968" s="61">
        <v>2.01905779E8</v>
      </c>
      <c r="B1968" s="54" t="s">
        <v>14826</v>
      </c>
      <c r="C1968" s="54" t="s">
        <v>12409</v>
      </c>
    </row>
    <row r="1969" hidden="1">
      <c r="A1969" s="61">
        <v>2.01900618E8</v>
      </c>
      <c r="B1969" s="54" t="s">
        <v>14827</v>
      </c>
      <c r="C1969" s="54" t="s">
        <v>14828</v>
      </c>
    </row>
    <row r="1970" hidden="1">
      <c r="A1970" s="61">
        <v>2.02000406E8</v>
      </c>
      <c r="B1970" s="54" t="s">
        <v>14829</v>
      </c>
      <c r="C1970" s="54" t="s">
        <v>14830</v>
      </c>
    </row>
    <row r="1971" hidden="1">
      <c r="A1971" s="61">
        <v>2.01400277E8</v>
      </c>
      <c r="B1971" s="54" t="s">
        <v>14831</v>
      </c>
      <c r="C1971" s="54" t="s">
        <v>14325</v>
      </c>
    </row>
    <row r="1972" hidden="1">
      <c r="A1972" s="61">
        <v>2.01801431E8</v>
      </c>
      <c r="B1972" s="54" t="s">
        <v>14832</v>
      </c>
      <c r="C1972" s="54" t="s">
        <v>12420</v>
      </c>
    </row>
    <row r="1973" hidden="1">
      <c r="A1973" s="61">
        <v>2.01704775E8</v>
      </c>
      <c r="B1973" s="54" t="s">
        <v>14833</v>
      </c>
      <c r="C1973" s="54" t="s">
        <v>13839</v>
      </c>
    </row>
    <row r="1974" hidden="1">
      <c r="A1974" s="61">
        <v>2.01800269E8</v>
      </c>
      <c r="B1974" s="54" t="s">
        <v>14834</v>
      </c>
      <c r="C1974" s="54" t="s">
        <v>14835</v>
      </c>
    </row>
    <row r="1975" hidden="1">
      <c r="A1975" s="61">
        <v>2.00806464E8</v>
      </c>
      <c r="B1975" s="54" t="s">
        <v>14836</v>
      </c>
      <c r="C1975" s="54" t="s">
        <v>14837</v>
      </c>
    </row>
    <row r="1976" hidden="1">
      <c r="A1976" s="61">
        <v>2.0210337E8</v>
      </c>
      <c r="B1976" s="54" t="s">
        <v>14838</v>
      </c>
      <c r="C1976" s="54" t="s">
        <v>13767</v>
      </c>
    </row>
    <row r="1977" hidden="1">
      <c r="A1977" s="61">
        <v>2.01309133E8</v>
      </c>
      <c r="B1977" s="54" t="s">
        <v>14839</v>
      </c>
      <c r="C1977" s="54" t="s">
        <v>11711</v>
      </c>
    </row>
    <row r="1978" hidden="1">
      <c r="A1978" s="61">
        <v>2.02105133E8</v>
      </c>
      <c r="B1978" s="54" t="s">
        <v>14840</v>
      </c>
      <c r="C1978" s="54" t="s">
        <v>14841</v>
      </c>
    </row>
    <row r="1979" hidden="1">
      <c r="A1979" s="61">
        <v>2.00902889E8</v>
      </c>
      <c r="B1979" s="54" t="s">
        <v>14842</v>
      </c>
      <c r="C1979" s="54" t="s">
        <v>12055</v>
      </c>
    </row>
    <row r="1980" hidden="1">
      <c r="A1980" s="61">
        <v>2.01603007E8</v>
      </c>
      <c r="B1980" s="54" t="s">
        <v>14843</v>
      </c>
      <c r="C1980" s="54" t="s">
        <v>12151</v>
      </c>
    </row>
    <row r="1981" hidden="1">
      <c r="A1981" s="61">
        <v>2.02009761E8</v>
      </c>
      <c r="B1981" s="54" t="s">
        <v>14844</v>
      </c>
      <c r="C1981" s="54" t="s">
        <v>14845</v>
      </c>
    </row>
    <row r="1982" hidden="1">
      <c r="A1982" s="61">
        <v>2.02001545E8</v>
      </c>
      <c r="B1982" s="54" t="s">
        <v>14846</v>
      </c>
      <c r="C1982" s="54" t="s">
        <v>12341</v>
      </c>
    </row>
    <row r="1983" hidden="1">
      <c r="A1983" s="61">
        <v>2.0020085E8</v>
      </c>
      <c r="B1983" s="54" t="s">
        <v>14847</v>
      </c>
      <c r="C1983" s="54" t="s">
        <v>14848</v>
      </c>
    </row>
    <row r="1984" hidden="1">
      <c r="A1984" s="61">
        <v>2.0130959E8</v>
      </c>
      <c r="B1984" s="54" t="s">
        <v>14849</v>
      </c>
      <c r="C1984" s="54" t="s">
        <v>14850</v>
      </c>
    </row>
    <row r="1985" hidden="1">
      <c r="A1985" s="61">
        <v>2.02102964E8</v>
      </c>
      <c r="B1985" s="54" t="s">
        <v>14851</v>
      </c>
      <c r="C1985" s="54" t="s">
        <v>13282</v>
      </c>
    </row>
    <row r="1986" hidden="1">
      <c r="A1986" s="61">
        <v>2.02107947E8</v>
      </c>
      <c r="B1986" s="54" t="s">
        <v>14852</v>
      </c>
      <c r="C1986" s="54" t="s">
        <v>11845</v>
      </c>
    </row>
    <row r="1987" hidden="1">
      <c r="A1987" s="61">
        <v>2.02001546E8</v>
      </c>
      <c r="B1987" s="54" t="s">
        <v>14853</v>
      </c>
      <c r="C1987" s="54" t="s">
        <v>14854</v>
      </c>
    </row>
    <row r="1988" hidden="1">
      <c r="A1988" s="61">
        <v>2.01208497E8</v>
      </c>
      <c r="B1988" s="54" t="s">
        <v>14855</v>
      </c>
      <c r="C1988" s="54" t="s">
        <v>14856</v>
      </c>
    </row>
    <row r="1989" hidden="1">
      <c r="A1989" s="61">
        <v>2.01200489E8</v>
      </c>
      <c r="B1989" s="54" t="s">
        <v>14857</v>
      </c>
      <c r="C1989" s="54" t="s">
        <v>14483</v>
      </c>
    </row>
    <row r="1990" hidden="1">
      <c r="A1990" s="61">
        <v>2.01508164E8</v>
      </c>
      <c r="B1990" s="54" t="s">
        <v>14858</v>
      </c>
      <c r="C1990" s="54" t="s">
        <v>14076</v>
      </c>
    </row>
    <row r="1991" hidden="1">
      <c r="A1991" s="61">
        <v>2.0160376E8</v>
      </c>
      <c r="B1991" s="54" t="s">
        <v>14859</v>
      </c>
      <c r="C1991" s="54" t="s">
        <v>11704</v>
      </c>
    </row>
    <row r="1992" hidden="1">
      <c r="A1992" s="61">
        <v>2.02000113E8</v>
      </c>
      <c r="B1992" s="54" t="s">
        <v>14860</v>
      </c>
      <c r="C1992" s="54" t="s">
        <v>11784</v>
      </c>
    </row>
    <row r="1993" hidden="1">
      <c r="A1993" s="61">
        <v>2.01809295E8</v>
      </c>
      <c r="B1993" s="54" t="s">
        <v>14861</v>
      </c>
      <c r="C1993" s="54" t="s">
        <v>12328</v>
      </c>
    </row>
    <row r="1994" hidden="1">
      <c r="A1994" s="61">
        <v>2.0130017E8</v>
      </c>
      <c r="B1994" s="54" t="s">
        <v>14862</v>
      </c>
      <c r="C1994" s="54" t="s">
        <v>12328</v>
      </c>
    </row>
    <row r="1995" hidden="1">
      <c r="A1995" s="61">
        <v>2.01003202E8</v>
      </c>
      <c r="B1995" s="54" t="s">
        <v>14863</v>
      </c>
      <c r="C1995" s="54" t="s">
        <v>14864</v>
      </c>
    </row>
    <row r="1996" hidden="1">
      <c r="A1996" s="61">
        <v>2.01110537E8</v>
      </c>
      <c r="B1996" s="54" t="s">
        <v>14865</v>
      </c>
      <c r="C1996" s="54" t="s">
        <v>14866</v>
      </c>
    </row>
    <row r="1997" hidden="1">
      <c r="A1997" s="61">
        <v>2.02009751E8</v>
      </c>
      <c r="B1997" s="54" t="s">
        <v>14867</v>
      </c>
      <c r="C1997" s="54" t="s">
        <v>14868</v>
      </c>
    </row>
    <row r="1998" hidden="1">
      <c r="A1998" s="61">
        <v>2.01400189E8</v>
      </c>
      <c r="B1998" s="54" t="s">
        <v>14869</v>
      </c>
      <c r="C1998" s="54" t="s">
        <v>14870</v>
      </c>
    </row>
    <row r="1999" hidden="1">
      <c r="A1999" s="61">
        <v>2.00703453E8</v>
      </c>
      <c r="B1999" s="54" t="s">
        <v>14871</v>
      </c>
      <c r="C1999" s="54" t="s">
        <v>14872</v>
      </c>
    </row>
    <row r="2000" hidden="1">
      <c r="A2000" s="61">
        <v>2.01200572E8</v>
      </c>
      <c r="B2000" s="54" t="s">
        <v>14873</v>
      </c>
      <c r="C2000" s="54" t="s">
        <v>12580</v>
      </c>
    </row>
    <row r="2001" hidden="1">
      <c r="A2001" s="61">
        <v>2.02103371E8</v>
      </c>
      <c r="B2001" s="54" t="s">
        <v>14874</v>
      </c>
      <c r="C2001" s="54" t="s">
        <v>14875</v>
      </c>
    </row>
    <row r="2002" hidden="1">
      <c r="A2002" s="61">
        <v>2.0170073E8</v>
      </c>
      <c r="B2002" s="54" t="s">
        <v>14876</v>
      </c>
      <c r="C2002" s="54" t="s">
        <v>14877</v>
      </c>
    </row>
    <row r="2003" hidden="1">
      <c r="A2003" s="61">
        <v>2.01904701E8</v>
      </c>
      <c r="B2003" s="54" t="s">
        <v>14878</v>
      </c>
      <c r="C2003" s="54" t="s">
        <v>12597</v>
      </c>
    </row>
    <row r="2004" hidden="1">
      <c r="A2004" s="61">
        <v>2.02000096E8</v>
      </c>
      <c r="B2004" s="54" t="s">
        <v>14879</v>
      </c>
      <c r="C2004" s="54" t="s">
        <v>14016</v>
      </c>
    </row>
    <row r="2005" hidden="1">
      <c r="A2005" s="61">
        <v>2.01801806E8</v>
      </c>
      <c r="B2005" s="54" t="s">
        <v>14880</v>
      </c>
      <c r="C2005" s="54" t="s">
        <v>11831</v>
      </c>
    </row>
    <row r="2006" hidden="1">
      <c r="A2006" s="61">
        <v>2.01502067E8</v>
      </c>
      <c r="B2006" s="54" t="s">
        <v>14881</v>
      </c>
      <c r="C2006" s="54" t="s">
        <v>14540</v>
      </c>
    </row>
    <row r="2007" hidden="1">
      <c r="A2007" s="61">
        <v>2.02000428E8</v>
      </c>
      <c r="B2007" s="54" t="s">
        <v>14881</v>
      </c>
      <c r="C2007" s="54" t="s">
        <v>14882</v>
      </c>
    </row>
    <row r="2008" hidden="1">
      <c r="A2008" s="61">
        <v>2.00001047E8</v>
      </c>
      <c r="B2008" s="54" t="s">
        <v>14883</v>
      </c>
      <c r="C2008" s="54" t="s">
        <v>14884</v>
      </c>
    </row>
    <row r="2009" hidden="1">
      <c r="A2009" s="61">
        <v>2.01300286E8</v>
      </c>
      <c r="B2009" s="54" t="s">
        <v>14885</v>
      </c>
      <c r="C2009" s="54" t="s">
        <v>13039</v>
      </c>
    </row>
    <row r="2010" hidden="1">
      <c r="A2010" s="61">
        <v>2.01709785E8</v>
      </c>
      <c r="B2010" s="54" t="s">
        <v>14886</v>
      </c>
      <c r="C2010" s="54" t="s">
        <v>12498</v>
      </c>
    </row>
    <row r="2011" hidden="1">
      <c r="A2011" s="61">
        <v>2.01409245E8</v>
      </c>
      <c r="B2011" s="54" t="s">
        <v>14887</v>
      </c>
      <c r="C2011" s="54" t="s">
        <v>14888</v>
      </c>
    </row>
    <row r="2012" hidden="1">
      <c r="A2012" s="61">
        <v>2.02103404E8</v>
      </c>
      <c r="B2012" s="54" t="s">
        <v>14889</v>
      </c>
      <c r="C2012" s="54" t="s">
        <v>11691</v>
      </c>
    </row>
    <row r="2013" hidden="1">
      <c r="A2013" s="61">
        <v>2.02107869E8</v>
      </c>
      <c r="B2013" s="54" t="s">
        <v>14890</v>
      </c>
      <c r="C2013" s="54" t="s">
        <v>14891</v>
      </c>
    </row>
    <row r="2014" hidden="1">
      <c r="A2014" s="61">
        <v>2.01603763E8</v>
      </c>
      <c r="B2014" s="54" t="s">
        <v>14892</v>
      </c>
      <c r="C2014" s="54" t="s">
        <v>14893</v>
      </c>
    </row>
    <row r="2015" hidden="1">
      <c r="A2015" s="61">
        <v>2.00603089E8</v>
      </c>
      <c r="B2015" s="54" t="s">
        <v>14894</v>
      </c>
      <c r="C2015" s="54" t="s">
        <v>14895</v>
      </c>
    </row>
    <row r="2016" hidden="1">
      <c r="A2016" s="61">
        <v>2.016121E8</v>
      </c>
      <c r="B2016" s="54" t="s">
        <v>14896</v>
      </c>
      <c r="C2016" s="54" t="s">
        <v>14897</v>
      </c>
    </row>
    <row r="2017" hidden="1">
      <c r="A2017" s="61">
        <v>2.01504978E8</v>
      </c>
      <c r="B2017" s="54" t="s">
        <v>14898</v>
      </c>
      <c r="C2017" s="54" t="s">
        <v>11674</v>
      </c>
    </row>
    <row r="2018" hidden="1">
      <c r="A2018" s="61">
        <v>2.02000397E8</v>
      </c>
      <c r="B2018" s="54" t="s">
        <v>14899</v>
      </c>
      <c r="C2018" s="54" t="s">
        <v>14900</v>
      </c>
    </row>
    <row r="2019" hidden="1">
      <c r="A2019" s="61">
        <v>2.00904452E8</v>
      </c>
      <c r="B2019" s="54" t="s">
        <v>14901</v>
      </c>
      <c r="C2019" s="54" t="s">
        <v>14902</v>
      </c>
    </row>
    <row r="2020" hidden="1">
      <c r="A2020" s="61">
        <v>2.01708239E8</v>
      </c>
      <c r="B2020" s="54" t="s">
        <v>14903</v>
      </c>
      <c r="C2020" s="54" t="s">
        <v>14904</v>
      </c>
    </row>
    <row r="2021" hidden="1">
      <c r="A2021" s="61">
        <v>2.02001549E8</v>
      </c>
      <c r="B2021" s="54" t="s">
        <v>14905</v>
      </c>
      <c r="C2021" s="54" t="s">
        <v>14906</v>
      </c>
    </row>
    <row r="2022" hidden="1">
      <c r="A2022" s="61">
        <v>2.01201168E8</v>
      </c>
      <c r="B2022" s="54" t="s">
        <v>14907</v>
      </c>
      <c r="C2022" s="54" t="s">
        <v>14908</v>
      </c>
    </row>
    <row r="2023" hidden="1">
      <c r="A2023" s="61">
        <v>2.00902891E8</v>
      </c>
      <c r="B2023" s="54" t="s">
        <v>14909</v>
      </c>
      <c r="C2023" s="54" t="s">
        <v>11991</v>
      </c>
    </row>
    <row r="2024" hidden="1">
      <c r="A2024" s="61">
        <v>2.00506099E8</v>
      </c>
      <c r="B2024" s="54" t="s">
        <v>14910</v>
      </c>
      <c r="C2024" s="54" t="s">
        <v>11521</v>
      </c>
    </row>
    <row r="2025" hidden="1">
      <c r="A2025" s="61">
        <v>2.02107892E8</v>
      </c>
      <c r="B2025" s="54" t="s">
        <v>14911</v>
      </c>
      <c r="C2025" s="54" t="s">
        <v>14592</v>
      </c>
    </row>
    <row r="2026" hidden="1">
      <c r="A2026" s="61">
        <v>2.01902216E8</v>
      </c>
      <c r="B2026" s="54" t="s">
        <v>14912</v>
      </c>
      <c r="C2026" s="54" t="s">
        <v>14913</v>
      </c>
    </row>
    <row r="2027" hidden="1">
      <c r="A2027" s="61">
        <v>2.00903894E8</v>
      </c>
      <c r="B2027" s="54" t="s">
        <v>14914</v>
      </c>
      <c r="C2027" s="54" t="s">
        <v>14915</v>
      </c>
    </row>
    <row r="2028" hidden="1">
      <c r="A2028" s="61">
        <v>2.01709786E8</v>
      </c>
      <c r="B2028" s="54" t="s">
        <v>14916</v>
      </c>
      <c r="C2028" s="54" t="s">
        <v>14917</v>
      </c>
    </row>
    <row r="2029" hidden="1">
      <c r="A2029" s="61">
        <v>2.015049E8</v>
      </c>
      <c r="B2029" s="54" t="s">
        <v>14916</v>
      </c>
      <c r="C2029" s="54" t="s">
        <v>14918</v>
      </c>
    </row>
    <row r="2030" hidden="1">
      <c r="A2030" s="61">
        <v>2.00605568E8</v>
      </c>
      <c r="B2030" s="54" t="s">
        <v>14919</v>
      </c>
      <c r="C2030" s="54" t="s">
        <v>11982</v>
      </c>
    </row>
    <row r="2031" hidden="1">
      <c r="A2031" s="61">
        <v>2.02000407E8</v>
      </c>
      <c r="B2031" s="54" t="s">
        <v>14919</v>
      </c>
      <c r="C2031" s="54" t="s">
        <v>14920</v>
      </c>
    </row>
    <row r="2032" hidden="1">
      <c r="A2032" s="61">
        <v>2.01309591E8</v>
      </c>
      <c r="B2032" s="54" t="s">
        <v>14919</v>
      </c>
      <c r="C2032" s="54" t="s">
        <v>11472</v>
      </c>
    </row>
    <row r="2033" hidden="1">
      <c r="A2033" s="61">
        <v>2.01612067E8</v>
      </c>
      <c r="B2033" s="54" t="s">
        <v>14921</v>
      </c>
      <c r="C2033" s="54" t="s">
        <v>14922</v>
      </c>
    </row>
    <row r="2034" hidden="1">
      <c r="A2034" s="61">
        <v>2.0150575E8</v>
      </c>
      <c r="B2034" s="54" t="s">
        <v>14923</v>
      </c>
      <c r="C2034" s="54" t="s">
        <v>11666</v>
      </c>
    </row>
    <row r="2035" hidden="1">
      <c r="A2035" s="61">
        <v>2.01010068E8</v>
      </c>
      <c r="B2035" s="54" t="s">
        <v>14924</v>
      </c>
      <c r="C2035" s="54" t="s">
        <v>11997</v>
      </c>
    </row>
    <row r="2036" hidden="1">
      <c r="A2036" s="61">
        <v>2.00902892E8</v>
      </c>
      <c r="B2036" s="54" t="s">
        <v>14925</v>
      </c>
      <c r="C2036" s="54" t="s">
        <v>11835</v>
      </c>
    </row>
    <row r="2037" hidden="1">
      <c r="A2037" s="61">
        <v>2.02103372E8</v>
      </c>
      <c r="B2037" s="54" t="s">
        <v>14926</v>
      </c>
      <c r="C2037" s="54" t="s">
        <v>14927</v>
      </c>
    </row>
    <row r="2038" hidden="1">
      <c r="A2038" s="61">
        <v>2.01300665E8</v>
      </c>
      <c r="B2038" s="54" t="s">
        <v>14928</v>
      </c>
      <c r="C2038" s="54" t="s">
        <v>14929</v>
      </c>
    </row>
    <row r="2039" hidden="1">
      <c r="A2039" s="61">
        <v>2.01612068E8</v>
      </c>
      <c r="B2039" s="54" t="s">
        <v>14930</v>
      </c>
      <c r="C2039" s="54" t="s">
        <v>11845</v>
      </c>
    </row>
    <row r="2040" hidden="1">
      <c r="A2040" s="61">
        <v>2.01603765E8</v>
      </c>
      <c r="B2040" s="54" t="s">
        <v>14930</v>
      </c>
      <c r="C2040" s="54" t="s">
        <v>14931</v>
      </c>
    </row>
    <row r="2041" hidden="1">
      <c r="A2041" s="61">
        <v>2.01709752E8</v>
      </c>
      <c r="B2041" s="54" t="s">
        <v>14930</v>
      </c>
      <c r="C2041" s="54" t="s">
        <v>14281</v>
      </c>
    </row>
    <row r="2042" hidden="1">
      <c r="A2042" s="61">
        <v>2.01909718E8</v>
      </c>
      <c r="B2042" s="54" t="s">
        <v>14932</v>
      </c>
      <c r="C2042" s="54" t="s">
        <v>14933</v>
      </c>
    </row>
    <row r="2043" hidden="1">
      <c r="A2043" s="61">
        <v>2.01300232E8</v>
      </c>
      <c r="B2043" s="54" t="s">
        <v>14934</v>
      </c>
      <c r="C2043" s="54" t="s">
        <v>14935</v>
      </c>
    </row>
    <row r="2044" hidden="1">
      <c r="A2044" s="61">
        <v>2.01100249E8</v>
      </c>
      <c r="B2044" s="54" t="s">
        <v>14936</v>
      </c>
      <c r="C2044" s="54" t="s">
        <v>14937</v>
      </c>
    </row>
    <row r="2045" hidden="1">
      <c r="A2045" s="61">
        <v>2.01612101E8</v>
      </c>
      <c r="B2045" s="54" t="s">
        <v>14938</v>
      </c>
      <c r="C2045" s="54" t="s">
        <v>12910</v>
      </c>
    </row>
    <row r="2046" hidden="1">
      <c r="A2046" s="61">
        <v>2.01003204E8</v>
      </c>
      <c r="B2046" s="54" t="s">
        <v>14939</v>
      </c>
      <c r="C2046" s="54" t="s">
        <v>14940</v>
      </c>
    </row>
    <row r="2047" hidden="1">
      <c r="A2047" s="61">
        <v>2.01709787E8</v>
      </c>
      <c r="B2047" s="54" t="s">
        <v>14941</v>
      </c>
      <c r="C2047" s="54" t="s">
        <v>14942</v>
      </c>
    </row>
    <row r="2048" hidden="1">
      <c r="A2048" s="61">
        <v>2.01110538E8</v>
      </c>
      <c r="B2048" s="54" t="s">
        <v>14943</v>
      </c>
      <c r="C2048" s="54" t="s">
        <v>11845</v>
      </c>
    </row>
    <row r="2049" hidden="1">
      <c r="A2049" s="61">
        <v>2.01502068E8</v>
      </c>
      <c r="B2049" s="54" t="s">
        <v>14944</v>
      </c>
      <c r="C2049" s="54" t="s">
        <v>14945</v>
      </c>
    </row>
    <row r="2050" hidden="1">
      <c r="A2050" s="61">
        <v>2.02103347E8</v>
      </c>
      <c r="B2050" s="54" t="s">
        <v>14946</v>
      </c>
      <c r="C2050" s="54" t="s">
        <v>14947</v>
      </c>
    </row>
    <row r="2051" hidden="1">
      <c r="A2051" s="61">
        <v>2.0210787E8</v>
      </c>
      <c r="B2051" s="54" t="s">
        <v>14948</v>
      </c>
      <c r="C2051" s="54" t="s">
        <v>14949</v>
      </c>
    </row>
    <row r="2052" hidden="1">
      <c r="A2052" s="61">
        <v>2.01801811E8</v>
      </c>
      <c r="B2052" s="54" t="s">
        <v>14950</v>
      </c>
      <c r="C2052" s="54" t="s">
        <v>14951</v>
      </c>
    </row>
    <row r="2053" hidden="1">
      <c r="A2053" s="61">
        <v>2.01504901E8</v>
      </c>
      <c r="B2053" s="54" t="s">
        <v>14952</v>
      </c>
      <c r="C2053" s="54" t="s">
        <v>14953</v>
      </c>
    </row>
    <row r="2054" hidden="1">
      <c r="A2054" s="61">
        <v>2.01400279E8</v>
      </c>
      <c r="B2054" s="54" t="s">
        <v>14954</v>
      </c>
      <c r="C2054" s="54" t="s">
        <v>14955</v>
      </c>
    </row>
    <row r="2055" hidden="1">
      <c r="A2055" s="61">
        <v>2.01900239E8</v>
      </c>
      <c r="B2055" s="54" t="s">
        <v>14956</v>
      </c>
      <c r="C2055" s="54" t="s">
        <v>14088</v>
      </c>
    </row>
    <row r="2056" hidden="1">
      <c r="A2056" s="61">
        <v>2.01900604E8</v>
      </c>
      <c r="B2056" s="54" t="s">
        <v>14957</v>
      </c>
      <c r="C2056" s="54" t="s">
        <v>11784</v>
      </c>
    </row>
    <row r="2057" hidden="1">
      <c r="A2057" s="61">
        <v>2.01502066E8</v>
      </c>
      <c r="B2057" s="54" t="s">
        <v>14958</v>
      </c>
      <c r="C2057" s="54" t="s">
        <v>14959</v>
      </c>
    </row>
    <row r="2058" hidden="1">
      <c r="A2058" s="61">
        <v>2.01909926E8</v>
      </c>
      <c r="B2058" s="54" t="s">
        <v>14960</v>
      </c>
      <c r="C2058" s="54" t="s">
        <v>11951</v>
      </c>
    </row>
    <row r="2059" hidden="1">
      <c r="A2059" s="61">
        <v>2.01905768E8</v>
      </c>
      <c r="B2059" s="54" t="s">
        <v>14961</v>
      </c>
      <c r="C2059" s="54" t="s">
        <v>11762</v>
      </c>
    </row>
    <row r="2060" hidden="1">
      <c r="A2060" s="61">
        <v>2.01909917E8</v>
      </c>
      <c r="B2060" s="54" t="s">
        <v>14962</v>
      </c>
      <c r="C2060" s="54" t="s">
        <v>14963</v>
      </c>
    </row>
    <row r="2061" hidden="1">
      <c r="A2061" s="61">
        <v>2.01709719E8</v>
      </c>
      <c r="B2061" s="54" t="s">
        <v>14964</v>
      </c>
      <c r="C2061" s="54" t="s">
        <v>14965</v>
      </c>
    </row>
    <row r="2062" hidden="1">
      <c r="A2062" s="61">
        <v>2.01703764E8</v>
      </c>
      <c r="B2062" s="54" t="s">
        <v>14966</v>
      </c>
      <c r="C2062" s="54" t="s">
        <v>11837</v>
      </c>
    </row>
    <row r="2063" hidden="1">
      <c r="A2063" s="61">
        <v>2.01603767E8</v>
      </c>
      <c r="B2063" s="54" t="s">
        <v>14967</v>
      </c>
      <c r="C2063" s="54" t="s">
        <v>14968</v>
      </c>
    </row>
    <row r="2064" hidden="1">
      <c r="A2064" s="61">
        <v>2.01300667E8</v>
      </c>
      <c r="B2064" s="54" t="s">
        <v>14969</v>
      </c>
      <c r="C2064" s="54" t="s">
        <v>14970</v>
      </c>
    </row>
    <row r="2065" hidden="1">
      <c r="A2065" s="61">
        <v>2.00707195E8</v>
      </c>
      <c r="B2065" s="54" t="s">
        <v>14971</v>
      </c>
      <c r="C2065" s="54" t="s">
        <v>12314</v>
      </c>
    </row>
    <row r="2066" hidden="1">
      <c r="A2066" s="61">
        <v>2.02103382E8</v>
      </c>
      <c r="B2066" s="54" t="s">
        <v>14972</v>
      </c>
      <c r="C2066" s="54" t="s">
        <v>14973</v>
      </c>
    </row>
    <row r="2067" hidden="1">
      <c r="A2067" s="61">
        <v>2.01801366E8</v>
      </c>
      <c r="B2067" s="54" t="s">
        <v>14974</v>
      </c>
      <c r="C2067" s="54" t="s">
        <v>14975</v>
      </c>
    </row>
    <row r="2068" hidden="1">
      <c r="A2068" s="61">
        <v>2.02005566E8</v>
      </c>
      <c r="B2068" s="54" t="s">
        <v>14976</v>
      </c>
      <c r="C2068" s="54" t="s">
        <v>14977</v>
      </c>
    </row>
    <row r="2069" hidden="1">
      <c r="A2069" s="61">
        <v>2.01508167E8</v>
      </c>
      <c r="B2069" s="54" t="s">
        <v>14978</v>
      </c>
      <c r="C2069" s="54" t="s">
        <v>14979</v>
      </c>
    </row>
    <row r="2070" hidden="1">
      <c r="A2070" s="61">
        <v>2.00105761E8</v>
      </c>
      <c r="B2070" s="54" t="s">
        <v>14980</v>
      </c>
      <c r="C2070" s="54" t="s">
        <v>13437</v>
      </c>
    </row>
    <row r="2071" hidden="1">
      <c r="A2071" s="61">
        <v>2.018095E8</v>
      </c>
      <c r="B2071" s="54" t="s">
        <v>14981</v>
      </c>
      <c r="C2071" s="54" t="s">
        <v>12492</v>
      </c>
    </row>
    <row r="2072" hidden="1">
      <c r="A2072" s="61">
        <v>2.00908483E8</v>
      </c>
      <c r="B2072" s="54" t="s">
        <v>14981</v>
      </c>
      <c r="C2072" s="54" t="s">
        <v>11650</v>
      </c>
    </row>
    <row r="2073" hidden="1">
      <c r="A2073" s="61">
        <v>2.01809296E8</v>
      </c>
      <c r="B2073" s="54" t="s">
        <v>14982</v>
      </c>
      <c r="C2073" s="54" t="s">
        <v>11560</v>
      </c>
    </row>
    <row r="2074" hidden="1">
      <c r="A2074" s="61">
        <v>2.01809297E8</v>
      </c>
      <c r="B2074" s="54" t="s">
        <v>14983</v>
      </c>
      <c r="C2074" s="54" t="s">
        <v>14984</v>
      </c>
    </row>
    <row r="2075" hidden="1">
      <c r="A2075" s="61">
        <v>2.02107906E8</v>
      </c>
      <c r="B2075" s="54" t="s">
        <v>14985</v>
      </c>
      <c r="C2075" s="54" t="s">
        <v>14986</v>
      </c>
    </row>
    <row r="2076" hidden="1">
      <c r="A2076" s="61">
        <v>2.01603619E8</v>
      </c>
      <c r="B2076" s="54" t="s">
        <v>14987</v>
      </c>
      <c r="C2076" s="54" t="s">
        <v>14988</v>
      </c>
    </row>
    <row r="2077" hidden="1">
      <c r="A2077" s="61">
        <v>2.01309593E8</v>
      </c>
      <c r="B2077" s="54" t="s">
        <v>14989</v>
      </c>
      <c r="C2077" s="54" t="s">
        <v>11632</v>
      </c>
    </row>
    <row r="2078" hidden="1">
      <c r="A2078" s="61">
        <v>2.01705709E8</v>
      </c>
      <c r="B2078" s="54" t="s">
        <v>14990</v>
      </c>
      <c r="C2078" s="54" t="s">
        <v>14991</v>
      </c>
    </row>
    <row r="2079" hidden="1">
      <c r="A2079" s="61">
        <v>2.01001013E8</v>
      </c>
      <c r="B2079" s="54" t="s">
        <v>14992</v>
      </c>
      <c r="C2079" s="54" t="s">
        <v>14993</v>
      </c>
    </row>
    <row r="2080" hidden="1">
      <c r="A2080" s="61">
        <v>2.02107948E8</v>
      </c>
      <c r="B2080" s="54" t="s">
        <v>14994</v>
      </c>
      <c r="C2080" s="54" t="s">
        <v>14995</v>
      </c>
    </row>
    <row r="2081" hidden="1">
      <c r="A2081" s="61">
        <v>2.01106287E8</v>
      </c>
      <c r="B2081" s="54" t="s">
        <v>14996</v>
      </c>
      <c r="C2081" s="54" t="s">
        <v>11670</v>
      </c>
    </row>
    <row r="2082" hidden="1">
      <c r="A2082" s="61">
        <v>2.01803279E8</v>
      </c>
      <c r="B2082" s="54" t="s">
        <v>14997</v>
      </c>
      <c r="C2082" s="54" t="s">
        <v>14998</v>
      </c>
    </row>
    <row r="2083" hidden="1">
      <c r="A2083" s="61">
        <v>2.01705666E8</v>
      </c>
      <c r="B2083" s="54" t="s">
        <v>14999</v>
      </c>
      <c r="C2083" s="54" t="s">
        <v>12638</v>
      </c>
    </row>
    <row r="2084" hidden="1">
      <c r="A2084" s="61">
        <v>2.01010087E8</v>
      </c>
      <c r="B2084" s="54" t="s">
        <v>15000</v>
      </c>
      <c r="C2084" s="54" t="s">
        <v>15001</v>
      </c>
    </row>
    <row r="2085" hidden="1">
      <c r="A2085" s="61">
        <v>2.01905752E8</v>
      </c>
      <c r="B2085" s="54" t="s">
        <v>15002</v>
      </c>
      <c r="C2085" s="54" t="s">
        <v>15003</v>
      </c>
    </row>
    <row r="2086" hidden="1">
      <c r="A2086" s="61">
        <v>2.01709749E8</v>
      </c>
      <c r="B2086" s="54" t="s">
        <v>15004</v>
      </c>
      <c r="C2086" s="54" t="s">
        <v>15005</v>
      </c>
    </row>
    <row r="2087" hidden="1">
      <c r="A2087" s="61">
        <v>2.01001014E8</v>
      </c>
      <c r="B2087" s="54" t="s">
        <v>15006</v>
      </c>
      <c r="C2087" s="54" t="s">
        <v>15007</v>
      </c>
    </row>
    <row r="2088" hidden="1">
      <c r="A2088" s="61">
        <v>2.01400324E8</v>
      </c>
      <c r="B2088" s="54" t="s">
        <v>15008</v>
      </c>
      <c r="C2088" s="54" t="s">
        <v>15009</v>
      </c>
    </row>
    <row r="2089" hidden="1">
      <c r="A2089" s="61">
        <v>2.01809501E8</v>
      </c>
      <c r="B2089" s="54" t="s">
        <v>15010</v>
      </c>
      <c r="C2089" s="54" t="s">
        <v>15011</v>
      </c>
    </row>
    <row r="2090" hidden="1">
      <c r="A2090" s="61">
        <v>2.01800271E8</v>
      </c>
      <c r="B2090" s="54" t="s">
        <v>15012</v>
      </c>
      <c r="C2090" s="54" t="s">
        <v>11482</v>
      </c>
    </row>
    <row r="2091" hidden="1">
      <c r="A2091" s="61">
        <v>2.01409246E8</v>
      </c>
      <c r="B2091" s="54" t="s">
        <v>15013</v>
      </c>
      <c r="C2091" s="54" t="s">
        <v>15014</v>
      </c>
    </row>
    <row r="2092" hidden="1">
      <c r="A2092" s="61">
        <v>2.02105135E8</v>
      </c>
      <c r="B2092" s="54" t="s">
        <v>15015</v>
      </c>
      <c r="C2092" s="54" t="s">
        <v>11963</v>
      </c>
    </row>
    <row r="2093" hidden="1">
      <c r="A2093" s="61">
        <v>2.01801365E8</v>
      </c>
      <c r="B2093" s="54" t="s">
        <v>15016</v>
      </c>
      <c r="C2093" s="54" t="s">
        <v>15017</v>
      </c>
    </row>
    <row r="2094" hidden="1">
      <c r="A2094" s="61">
        <v>2.02002353E8</v>
      </c>
      <c r="B2094" s="54" t="s">
        <v>15018</v>
      </c>
      <c r="C2094" s="54" t="s">
        <v>15019</v>
      </c>
    </row>
    <row r="2095" hidden="1">
      <c r="A2095" s="61">
        <v>2.01905754E8</v>
      </c>
      <c r="B2095" s="54" t="s">
        <v>15020</v>
      </c>
      <c r="C2095" s="54" t="s">
        <v>15021</v>
      </c>
    </row>
    <row r="2096" hidden="1">
      <c r="A2096" s="61">
        <v>2.0200155E8</v>
      </c>
      <c r="B2096" s="54" t="s">
        <v>15022</v>
      </c>
      <c r="C2096" s="54" t="s">
        <v>11987</v>
      </c>
    </row>
    <row r="2097" hidden="1">
      <c r="A2097" s="61">
        <v>2.01409247E8</v>
      </c>
      <c r="B2097" s="54" t="s">
        <v>15023</v>
      </c>
      <c r="C2097" s="54" t="s">
        <v>11845</v>
      </c>
    </row>
    <row r="2098" hidden="1">
      <c r="A2098" s="61">
        <v>2.02105136E8</v>
      </c>
      <c r="B2098" s="54" t="s">
        <v>15024</v>
      </c>
      <c r="C2098" s="54" t="s">
        <v>11478</v>
      </c>
    </row>
    <row r="2099" hidden="1">
      <c r="A2099" s="61">
        <v>1.9960153E8</v>
      </c>
      <c r="B2099" s="54" t="s">
        <v>15025</v>
      </c>
      <c r="C2099" s="54" t="s">
        <v>15026</v>
      </c>
    </row>
    <row r="2100" hidden="1">
      <c r="A2100" s="61">
        <v>2.00200595E8</v>
      </c>
      <c r="B2100" s="54" t="s">
        <v>15027</v>
      </c>
      <c r="C2100" s="54" t="s">
        <v>11695</v>
      </c>
    </row>
    <row r="2101" hidden="1">
      <c r="A2101" s="61">
        <v>2.01900214E8</v>
      </c>
      <c r="B2101" s="54" t="s">
        <v>15028</v>
      </c>
      <c r="C2101" s="54" t="s">
        <v>15029</v>
      </c>
    </row>
    <row r="2102" hidden="1">
      <c r="A2102" s="61">
        <v>2.01004844E8</v>
      </c>
      <c r="B2102" s="54" t="s">
        <v>15030</v>
      </c>
      <c r="C2102" s="54" t="s">
        <v>15031</v>
      </c>
    </row>
    <row r="2103" hidden="1">
      <c r="A2103" s="61">
        <v>2.01900594E8</v>
      </c>
      <c r="B2103" s="54" t="s">
        <v>15032</v>
      </c>
      <c r="C2103" s="54" t="s">
        <v>12316</v>
      </c>
    </row>
    <row r="2104" hidden="1">
      <c r="A2104" s="61">
        <v>2.00101067E8</v>
      </c>
      <c r="B2104" s="54" t="s">
        <v>15033</v>
      </c>
      <c r="C2104" s="54" t="s">
        <v>15034</v>
      </c>
    </row>
    <row r="2105" hidden="1">
      <c r="A2105" s="61">
        <v>2.01802059E8</v>
      </c>
      <c r="B2105" s="54" t="s">
        <v>15035</v>
      </c>
      <c r="C2105" s="54" t="s">
        <v>15036</v>
      </c>
    </row>
    <row r="2106" hidden="1">
      <c r="A2106" s="61">
        <v>2.01708715E8</v>
      </c>
      <c r="B2106" s="54" t="s">
        <v>15037</v>
      </c>
      <c r="C2106" s="54" t="s">
        <v>11837</v>
      </c>
    </row>
    <row r="2107" hidden="1">
      <c r="A2107" s="61">
        <v>2.01803253E8</v>
      </c>
      <c r="B2107" s="54" t="s">
        <v>15038</v>
      </c>
      <c r="C2107" s="54" t="s">
        <v>15039</v>
      </c>
    </row>
    <row r="2108" hidden="1">
      <c r="A2108" s="61">
        <v>2.02103385E8</v>
      </c>
      <c r="B2108" s="54" t="s">
        <v>15040</v>
      </c>
      <c r="C2108" s="54" t="s">
        <v>15041</v>
      </c>
    </row>
    <row r="2109" hidden="1">
      <c r="A2109" s="61">
        <v>2.0200009E8</v>
      </c>
      <c r="B2109" s="54" t="s">
        <v>15042</v>
      </c>
      <c r="C2109" s="54" t="s">
        <v>15043</v>
      </c>
    </row>
    <row r="2110" hidden="1">
      <c r="A2110" s="61">
        <v>2.00809309E8</v>
      </c>
      <c r="B2110" s="54" t="s">
        <v>15044</v>
      </c>
      <c r="C2110" s="54" t="s">
        <v>15045</v>
      </c>
    </row>
    <row r="2111" hidden="1">
      <c r="A2111" s="61">
        <v>2.01607909E8</v>
      </c>
      <c r="B2111" s="54" t="s">
        <v>15046</v>
      </c>
      <c r="C2111" s="54" t="s">
        <v>15047</v>
      </c>
    </row>
    <row r="2112" hidden="1">
      <c r="A2112" s="61">
        <v>2.02103386E8</v>
      </c>
      <c r="B2112" s="54" t="s">
        <v>15048</v>
      </c>
      <c r="C2112" s="54" t="s">
        <v>15049</v>
      </c>
    </row>
    <row r="2113" hidden="1">
      <c r="A2113" s="61">
        <v>2.01902219E8</v>
      </c>
      <c r="B2113" s="54" t="s">
        <v>15050</v>
      </c>
      <c r="C2113" s="54" t="s">
        <v>12673</v>
      </c>
    </row>
    <row r="2114" hidden="1">
      <c r="A2114" s="61">
        <v>2.0190473E8</v>
      </c>
      <c r="B2114" s="54" t="s">
        <v>15051</v>
      </c>
      <c r="C2114" s="54" t="s">
        <v>14347</v>
      </c>
    </row>
    <row r="2115" hidden="1">
      <c r="A2115" s="61">
        <v>2.0160362E8</v>
      </c>
      <c r="B2115" s="54" t="s">
        <v>15052</v>
      </c>
      <c r="C2115" s="54" t="s">
        <v>15053</v>
      </c>
    </row>
    <row r="2116" hidden="1">
      <c r="A2116" s="61">
        <v>2.015069E8</v>
      </c>
      <c r="B2116" s="54" t="s">
        <v>15054</v>
      </c>
      <c r="C2116" s="54" t="s">
        <v>11574</v>
      </c>
    </row>
    <row r="2117" hidden="1">
      <c r="A2117" s="61">
        <v>2.01209111E8</v>
      </c>
      <c r="B2117" s="54" t="s">
        <v>15055</v>
      </c>
      <c r="C2117" s="54" t="s">
        <v>15056</v>
      </c>
    </row>
    <row r="2118" hidden="1">
      <c r="A2118" s="61">
        <v>2.00702421E8</v>
      </c>
      <c r="B2118" s="54" t="s">
        <v>15057</v>
      </c>
      <c r="C2118" s="54" t="s">
        <v>15058</v>
      </c>
    </row>
    <row r="2119" hidden="1">
      <c r="A2119" s="61">
        <v>2.01409248E8</v>
      </c>
      <c r="B2119" s="54" t="s">
        <v>15059</v>
      </c>
      <c r="C2119" s="54" t="s">
        <v>13626</v>
      </c>
    </row>
    <row r="2120" hidden="1">
      <c r="A2120" s="61">
        <v>2.00402122E8</v>
      </c>
      <c r="B2120" s="54" t="s">
        <v>15060</v>
      </c>
      <c r="C2120" s="54" t="s">
        <v>15061</v>
      </c>
    </row>
    <row r="2121" hidden="1">
      <c r="A2121" s="61">
        <v>2.01705705E8</v>
      </c>
      <c r="B2121" s="54" t="s">
        <v>15062</v>
      </c>
      <c r="C2121" s="54" t="s">
        <v>15063</v>
      </c>
    </row>
    <row r="2122" hidden="1">
      <c r="A2122" s="61">
        <v>2.01705714E8</v>
      </c>
      <c r="B2122" s="54" t="s">
        <v>15064</v>
      </c>
      <c r="C2122" s="54" t="s">
        <v>11674</v>
      </c>
    </row>
    <row r="2123" hidden="1">
      <c r="A2123" s="61">
        <v>2.01504902E8</v>
      </c>
      <c r="B2123" s="54" t="s">
        <v>15065</v>
      </c>
      <c r="C2123" s="54" t="s">
        <v>15066</v>
      </c>
    </row>
    <row r="2124" hidden="1">
      <c r="A2124" s="61">
        <v>2.01409249E8</v>
      </c>
      <c r="B2124" s="54" t="s">
        <v>15067</v>
      </c>
      <c r="C2124" s="54" t="s">
        <v>12462</v>
      </c>
    </row>
    <row r="2125" hidden="1">
      <c r="A2125" s="61">
        <v>2.01904707E8</v>
      </c>
      <c r="B2125" s="54" t="s">
        <v>15068</v>
      </c>
      <c r="C2125" s="54" t="s">
        <v>11951</v>
      </c>
    </row>
    <row r="2126" hidden="1">
      <c r="A2126" s="61">
        <v>2.02103359E8</v>
      </c>
      <c r="B2126" s="54" t="s">
        <v>15069</v>
      </c>
      <c r="C2126" s="54" t="s">
        <v>15070</v>
      </c>
    </row>
    <row r="2127" hidden="1">
      <c r="A2127" s="61">
        <v>2.01409326E8</v>
      </c>
      <c r="B2127" s="54" t="s">
        <v>15071</v>
      </c>
      <c r="C2127" s="54" t="s">
        <v>15072</v>
      </c>
    </row>
    <row r="2128" hidden="1">
      <c r="A2128" s="61">
        <v>2.01400458E8</v>
      </c>
      <c r="B2128" s="54" t="s">
        <v>15073</v>
      </c>
      <c r="C2128" s="54" t="s">
        <v>15074</v>
      </c>
    </row>
    <row r="2129" hidden="1">
      <c r="A2129" s="61">
        <v>2.0140925E8</v>
      </c>
      <c r="B2129" s="54" t="s">
        <v>15075</v>
      </c>
      <c r="C2129" s="54" t="s">
        <v>15076</v>
      </c>
    </row>
    <row r="2130" hidden="1">
      <c r="A2130" s="61">
        <v>2.01300289E8</v>
      </c>
      <c r="B2130" s="54" t="s">
        <v>15077</v>
      </c>
      <c r="C2130" s="54" t="s">
        <v>15078</v>
      </c>
    </row>
    <row r="2131" hidden="1">
      <c r="A2131" s="61">
        <v>2.01705667E8</v>
      </c>
      <c r="B2131" s="54" t="s">
        <v>15079</v>
      </c>
      <c r="C2131" s="54" t="s">
        <v>15080</v>
      </c>
    </row>
    <row r="2132" hidden="1">
      <c r="A2132" s="61">
        <v>2.0130029E8</v>
      </c>
      <c r="B2132" s="54" t="s">
        <v>15081</v>
      </c>
      <c r="C2132" s="54" t="s">
        <v>15082</v>
      </c>
    </row>
    <row r="2133" hidden="1">
      <c r="A2133" s="61">
        <v>2.01800272E8</v>
      </c>
      <c r="B2133" s="54" t="s">
        <v>15083</v>
      </c>
      <c r="C2133" s="54" t="s">
        <v>15084</v>
      </c>
    </row>
    <row r="2134" hidden="1">
      <c r="A2134" s="61">
        <v>2.01904691E8</v>
      </c>
      <c r="B2134" s="54" t="s">
        <v>15085</v>
      </c>
      <c r="C2134" s="54" t="s">
        <v>15086</v>
      </c>
    </row>
    <row r="2135" hidden="1">
      <c r="A2135" s="61">
        <v>2.01504904E8</v>
      </c>
      <c r="B2135" s="54" t="s">
        <v>15087</v>
      </c>
      <c r="C2135" s="54" t="s">
        <v>15088</v>
      </c>
    </row>
    <row r="2136" hidden="1">
      <c r="A2136" s="61">
        <v>2.02002329E8</v>
      </c>
      <c r="B2136" s="54" t="s">
        <v>15089</v>
      </c>
      <c r="C2136" s="54" t="s">
        <v>11583</v>
      </c>
    </row>
    <row r="2137" hidden="1">
      <c r="A2137" s="61">
        <v>2.00703148E8</v>
      </c>
      <c r="B2137" s="54" t="s">
        <v>15090</v>
      </c>
      <c r="C2137" s="54" t="s">
        <v>15091</v>
      </c>
    </row>
    <row r="2138" hidden="1">
      <c r="A2138" s="61">
        <v>2.02001551E8</v>
      </c>
      <c r="B2138" s="54" t="s">
        <v>15092</v>
      </c>
      <c r="C2138" s="54" t="s">
        <v>12927</v>
      </c>
    </row>
    <row r="2139" hidden="1">
      <c r="A2139" s="61">
        <v>2.01704776E8</v>
      </c>
      <c r="B2139" s="54" t="s">
        <v>15093</v>
      </c>
      <c r="C2139" s="54" t="s">
        <v>15094</v>
      </c>
    </row>
    <row r="2140" hidden="1">
      <c r="A2140" s="61">
        <v>2.01708271E8</v>
      </c>
      <c r="B2140" s="54" t="s">
        <v>15095</v>
      </c>
      <c r="C2140" s="54" t="s">
        <v>15096</v>
      </c>
    </row>
    <row r="2141" hidden="1">
      <c r="A2141" s="61">
        <v>2.01603621E8</v>
      </c>
      <c r="B2141" s="54" t="s">
        <v>15097</v>
      </c>
      <c r="C2141" s="54" t="s">
        <v>12682</v>
      </c>
    </row>
    <row r="2142" hidden="1">
      <c r="A2142" s="61">
        <v>2.01612535E8</v>
      </c>
      <c r="B2142" s="54" t="s">
        <v>15098</v>
      </c>
      <c r="C2142" s="54" t="s">
        <v>15099</v>
      </c>
    </row>
    <row r="2143" hidden="1">
      <c r="A2143" s="61">
        <v>2.0150817E8</v>
      </c>
      <c r="B2143" s="54" t="s">
        <v>15100</v>
      </c>
      <c r="C2143" s="54" t="s">
        <v>15101</v>
      </c>
    </row>
    <row r="2144" hidden="1">
      <c r="A2144" s="61">
        <v>2.01309888E8</v>
      </c>
      <c r="B2144" s="54" t="s">
        <v>15102</v>
      </c>
      <c r="C2144" s="54" t="s">
        <v>15103</v>
      </c>
    </row>
    <row r="2145" hidden="1">
      <c r="A2145" s="61">
        <v>2.02107882E8</v>
      </c>
      <c r="B2145" s="54" t="s">
        <v>15104</v>
      </c>
      <c r="C2145" s="54" t="s">
        <v>15105</v>
      </c>
    </row>
    <row r="2146" hidden="1">
      <c r="A2146" s="61">
        <v>2.01800274E8</v>
      </c>
      <c r="B2146" s="54" t="s">
        <v>15106</v>
      </c>
      <c r="C2146" s="54" t="s">
        <v>15107</v>
      </c>
    </row>
    <row r="2147" hidden="1">
      <c r="A2147" s="61">
        <v>2.01802048E8</v>
      </c>
      <c r="B2147" s="54" t="s">
        <v>15108</v>
      </c>
      <c r="C2147" s="54" t="s">
        <v>12912</v>
      </c>
    </row>
    <row r="2148" hidden="1">
      <c r="A2148" s="61">
        <v>2.01100405E8</v>
      </c>
      <c r="B2148" s="54" t="s">
        <v>15109</v>
      </c>
      <c r="C2148" s="54" t="s">
        <v>15110</v>
      </c>
    </row>
    <row r="2149" hidden="1">
      <c r="A2149" s="61">
        <v>2.00901227E8</v>
      </c>
      <c r="B2149" s="54" t="s">
        <v>15111</v>
      </c>
      <c r="C2149" s="54" t="s">
        <v>15112</v>
      </c>
    </row>
    <row r="2150" hidden="1">
      <c r="A2150" s="61">
        <v>2.01100406E8</v>
      </c>
      <c r="B2150" s="54" t="s">
        <v>15113</v>
      </c>
      <c r="C2150" s="54" t="s">
        <v>11490</v>
      </c>
    </row>
    <row r="2151" hidden="1">
      <c r="A2151" s="61">
        <v>2.02105137E8</v>
      </c>
      <c r="B2151" s="54" t="s">
        <v>15114</v>
      </c>
      <c r="C2151" s="54" t="s">
        <v>11705</v>
      </c>
    </row>
    <row r="2152" hidden="1">
      <c r="A2152" s="61">
        <v>2.01701882E8</v>
      </c>
      <c r="B2152" s="54" t="s">
        <v>15115</v>
      </c>
      <c r="C2152" s="54" t="s">
        <v>15116</v>
      </c>
    </row>
    <row r="2153" hidden="1">
      <c r="A2153" s="61">
        <v>2.01400281E8</v>
      </c>
      <c r="B2153" s="54" t="s">
        <v>15117</v>
      </c>
      <c r="C2153" s="54" t="s">
        <v>15118</v>
      </c>
    </row>
    <row r="2154" hidden="1">
      <c r="A2154" s="61">
        <v>2.01606473E8</v>
      </c>
      <c r="B2154" s="54" t="s">
        <v>15119</v>
      </c>
      <c r="C2154" s="54" t="s">
        <v>12740</v>
      </c>
    </row>
    <row r="2155" hidden="1">
      <c r="A2155" s="61">
        <v>2.01003053E8</v>
      </c>
      <c r="B2155" s="54" t="s">
        <v>15120</v>
      </c>
      <c r="C2155" s="54" t="s">
        <v>11897</v>
      </c>
    </row>
    <row r="2156" hidden="1">
      <c r="A2156" s="61">
        <v>2.01612103E8</v>
      </c>
      <c r="B2156" s="54" t="s">
        <v>15120</v>
      </c>
      <c r="C2156" s="54" t="s">
        <v>15121</v>
      </c>
    </row>
    <row r="2157" hidden="1">
      <c r="A2157" s="61">
        <v>2.0111054E8</v>
      </c>
      <c r="B2157" s="54" t="s">
        <v>15120</v>
      </c>
      <c r="C2157" s="54" t="s">
        <v>15122</v>
      </c>
    </row>
    <row r="2158" hidden="1">
      <c r="A2158" s="61">
        <v>2.02003738E8</v>
      </c>
      <c r="B2158" s="54" t="s">
        <v>15123</v>
      </c>
      <c r="C2158" s="54" t="s">
        <v>11907</v>
      </c>
    </row>
    <row r="2159" hidden="1">
      <c r="A2159" s="61">
        <v>2.00301561E8</v>
      </c>
      <c r="B2159" s="54" t="s">
        <v>15124</v>
      </c>
      <c r="C2159" s="54" t="s">
        <v>11490</v>
      </c>
    </row>
    <row r="2160" hidden="1">
      <c r="A2160" s="61">
        <v>2.01603768E8</v>
      </c>
      <c r="B2160" s="54" t="s">
        <v>15125</v>
      </c>
      <c r="C2160" s="54" t="s">
        <v>15021</v>
      </c>
    </row>
    <row r="2161" hidden="1">
      <c r="A2161" s="61">
        <v>2.00903039E8</v>
      </c>
      <c r="B2161" s="54" t="s">
        <v>15126</v>
      </c>
      <c r="C2161" s="54" t="s">
        <v>15127</v>
      </c>
    </row>
    <row r="2162" hidden="1">
      <c r="A2162" s="61">
        <v>2.02107937E8</v>
      </c>
      <c r="B2162" s="54" t="s">
        <v>15128</v>
      </c>
      <c r="C2162" s="54" t="s">
        <v>12484</v>
      </c>
    </row>
    <row r="2163" hidden="1">
      <c r="A2163" s="61">
        <v>2.00501595E8</v>
      </c>
      <c r="B2163" s="54" t="s">
        <v>15129</v>
      </c>
      <c r="C2163" s="54" t="s">
        <v>11640</v>
      </c>
    </row>
    <row r="2164" hidden="1">
      <c r="A2164" s="61">
        <v>2.02107919E8</v>
      </c>
      <c r="B2164" s="54" t="s">
        <v>15130</v>
      </c>
      <c r="C2164" s="54" t="s">
        <v>12202</v>
      </c>
    </row>
    <row r="2165" hidden="1">
      <c r="A2165" s="61">
        <v>2.01603769E8</v>
      </c>
      <c r="B2165" s="54" t="s">
        <v>15131</v>
      </c>
      <c r="C2165" s="54" t="s">
        <v>12746</v>
      </c>
    </row>
    <row r="2166" hidden="1">
      <c r="A2166" s="61">
        <v>2.01700734E8</v>
      </c>
      <c r="B2166" s="54" t="s">
        <v>15132</v>
      </c>
      <c r="C2166" s="54" t="s">
        <v>11634</v>
      </c>
    </row>
    <row r="2167" hidden="1">
      <c r="A2167" s="61">
        <v>2.01900626E8</v>
      </c>
      <c r="B2167" s="54" t="s">
        <v>15133</v>
      </c>
      <c r="C2167" s="54" t="s">
        <v>15134</v>
      </c>
    </row>
    <row r="2168" hidden="1">
      <c r="A2168" s="61">
        <v>2.00408601E8</v>
      </c>
      <c r="B2168" s="54" t="s">
        <v>15135</v>
      </c>
      <c r="C2168" s="54" t="s">
        <v>14968</v>
      </c>
    </row>
    <row r="2169" hidden="1">
      <c r="A2169" s="61">
        <v>2.01809502E8</v>
      </c>
      <c r="B2169" s="54" t="s">
        <v>15136</v>
      </c>
      <c r="C2169" s="54" t="s">
        <v>15137</v>
      </c>
    </row>
    <row r="2170" hidden="1">
      <c r="A2170" s="61">
        <v>2.01709751E8</v>
      </c>
      <c r="B2170" s="54" t="s">
        <v>15138</v>
      </c>
      <c r="C2170" s="54" t="s">
        <v>15139</v>
      </c>
    </row>
    <row r="2171" hidden="1">
      <c r="A2171" s="61">
        <v>2.02103388E8</v>
      </c>
      <c r="B2171" s="54" t="s">
        <v>15140</v>
      </c>
      <c r="C2171" s="54" t="s">
        <v>15141</v>
      </c>
    </row>
    <row r="2172" hidden="1">
      <c r="A2172" s="61">
        <v>2.01612104E8</v>
      </c>
      <c r="B2172" s="54" t="s">
        <v>15142</v>
      </c>
      <c r="C2172" s="54" t="s">
        <v>15143</v>
      </c>
    </row>
    <row r="2173" hidden="1">
      <c r="A2173" s="61">
        <v>2.01801812E8</v>
      </c>
      <c r="B2173" s="54" t="s">
        <v>15144</v>
      </c>
      <c r="C2173" s="54" t="s">
        <v>15145</v>
      </c>
    </row>
    <row r="2174" hidden="1">
      <c r="A2174" s="61">
        <v>2.01809298E8</v>
      </c>
      <c r="B2174" s="54" t="s">
        <v>15146</v>
      </c>
      <c r="C2174" s="54" t="s">
        <v>15147</v>
      </c>
    </row>
    <row r="2175" hidden="1">
      <c r="A2175" s="61">
        <v>2.02103374E8</v>
      </c>
      <c r="B2175" s="54" t="s">
        <v>15148</v>
      </c>
      <c r="C2175" s="54" t="s">
        <v>15149</v>
      </c>
    </row>
    <row r="2176" hidden="1">
      <c r="A2176" s="61">
        <v>2.02107908E8</v>
      </c>
      <c r="B2176" s="54" t="s">
        <v>15150</v>
      </c>
      <c r="C2176" s="54" t="s">
        <v>15151</v>
      </c>
    </row>
    <row r="2177" hidden="1">
      <c r="A2177" s="61">
        <v>2.01807899E8</v>
      </c>
      <c r="B2177" s="54" t="s">
        <v>15152</v>
      </c>
      <c r="C2177" s="54" t="s">
        <v>15153</v>
      </c>
    </row>
    <row r="2178" hidden="1">
      <c r="A2178" s="61">
        <v>2.02103405E8</v>
      </c>
      <c r="B2178" s="54" t="s">
        <v>15154</v>
      </c>
      <c r="C2178" s="54" t="s">
        <v>11613</v>
      </c>
    </row>
    <row r="2179" hidden="1">
      <c r="A2179" s="61">
        <v>2.01803269E8</v>
      </c>
      <c r="B2179" s="54" t="s">
        <v>15155</v>
      </c>
      <c r="C2179" s="54" t="s">
        <v>11845</v>
      </c>
    </row>
    <row r="2180" hidden="1">
      <c r="A2180" s="61">
        <v>2.00703458E8</v>
      </c>
      <c r="B2180" s="54" t="s">
        <v>15156</v>
      </c>
      <c r="C2180" s="54" t="s">
        <v>15157</v>
      </c>
    </row>
    <row r="2181" hidden="1">
      <c r="A2181" s="61">
        <v>2.02009785E8</v>
      </c>
      <c r="B2181" s="54" t="s">
        <v>15158</v>
      </c>
      <c r="C2181" s="54" t="s">
        <v>11946</v>
      </c>
    </row>
    <row r="2182" hidden="1">
      <c r="A2182" s="61">
        <v>2.02107938E8</v>
      </c>
      <c r="B2182" s="54" t="s">
        <v>15159</v>
      </c>
      <c r="C2182" s="54" t="s">
        <v>15160</v>
      </c>
    </row>
    <row r="2183" hidden="1">
      <c r="A2183" s="61">
        <v>2.02107885E8</v>
      </c>
      <c r="B2183" s="54" t="s">
        <v>15159</v>
      </c>
      <c r="C2183" s="54" t="s">
        <v>12124</v>
      </c>
    </row>
    <row r="2184" hidden="1">
      <c r="A2184" s="61">
        <v>2.00402158E8</v>
      </c>
      <c r="B2184" s="54" t="s">
        <v>15159</v>
      </c>
      <c r="C2184" s="54" t="s">
        <v>15161</v>
      </c>
    </row>
    <row r="2185" hidden="1">
      <c r="A2185" s="61">
        <v>2.01701883E8</v>
      </c>
      <c r="B2185" s="54" t="s">
        <v>15162</v>
      </c>
      <c r="C2185" s="54" t="s">
        <v>11512</v>
      </c>
    </row>
    <row r="2186" hidden="1">
      <c r="A2186" s="61">
        <v>2.02104052E8</v>
      </c>
      <c r="B2186" s="54" t="s">
        <v>15163</v>
      </c>
      <c r="C2186" s="54" t="s">
        <v>14723</v>
      </c>
    </row>
    <row r="2187" hidden="1">
      <c r="A2187" s="61">
        <v>2.01603623E8</v>
      </c>
      <c r="B2187" s="54" t="s">
        <v>15164</v>
      </c>
      <c r="C2187" s="54" t="s">
        <v>15165</v>
      </c>
    </row>
    <row r="2188" hidden="1">
      <c r="A2188" s="61">
        <v>2.02105138E8</v>
      </c>
      <c r="B2188" s="54" t="s">
        <v>15166</v>
      </c>
      <c r="C2188" s="54" t="s">
        <v>15167</v>
      </c>
    </row>
    <row r="2189" hidden="1">
      <c r="A2189" s="61">
        <v>2.01100351E8</v>
      </c>
      <c r="B2189" s="54" t="s">
        <v>15168</v>
      </c>
      <c r="C2189" s="54" t="s">
        <v>15169</v>
      </c>
    </row>
    <row r="2190" hidden="1">
      <c r="A2190" s="61">
        <v>2.01309889E8</v>
      </c>
      <c r="B2190" s="54" t="s">
        <v>15170</v>
      </c>
      <c r="C2190" s="54" t="s">
        <v>12420</v>
      </c>
    </row>
    <row r="2191" hidden="1">
      <c r="A2191" s="61">
        <v>2.02000203E8</v>
      </c>
      <c r="B2191" s="54" t="s">
        <v>15171</v>
      </c>
      <c r="C2191" s="54" t="s">
        <v>13106</v>
      </c>
    </row>
    <row r="2192" hidden="1">
      <c r="A2192" s="61">
        <v>2.01400282E8</v>
      </c>
      <c r="B2192" s="54" t="s">
        <v>15172</v>
      </c>
      <c r="C2192" s="54" t="s">
        <v>15173</v>
      </c>
    </row>
    <row r="2193" hidden="1">
      <c r="A2193" s="61">
        <v>2.01604783E8</v>
      </c>
      <c r="B2193" s="54" t="s">
        <v>15174</v>
      </c>
      <c r="C2193" s="54" t="s">
        <v>13903</v>
      </c>
    </row>
    <row r="2194" hidden="1">
      <c r="A2194" s="61">
        <v>2.01612105E8</v>
      </c>
      <c r="B2194" s="54" t="s">
        <v>15175</v>
      </c>
      <c r="C2194" s="54" t="s">
        <v>12676</v>
      </c>
    </row>
    <row r="2195" hidden="1">
      <c r="A2195" s="61">
        <v>2.01600249E8</v>
      </c>
      <c r="B2195" s="54" t="s">
        <v>15176</v>
      </c>
      <c r="C2195" s="54" t="s">
        <v>15177</v>
      </c>
    </row>
    <row r="2196" hidden="1">
      <c r="A2196" s="61">
        <v>2.0190577E8</v>
      </c>
      <c r="B2196" s="54" t="s">
        <v>15178</v>
      </c>
      <c r="C2196" s="54" t="s">
        <v>11570</v>
      </c>
    </row>
    <row r="2197" hidden="1">
      <c r="A2197" s="61">
        <v>2.01508172E8</v>
      </c>
      <c r="B2197" s="54" t="s">
        <v>15178</v>
      </c>
      <c r="C2197" s="54" t="s">
        <v>15179</v>
      </c>
    </row>
    <row r="2198" hidden="1">
      <c r="A2198" s="61">
        <v>2.01904671E8</v>
      </c>
      <c r="B2198" s="54" t="s">
        <v>15180</v>
      </c>
      <c r="C2198" s="54" t="s">
        <v>15181</v>
      </c>
    </row>
    <row r="2199" hidden="1">
      <c r="A2199" s="61">
        <v>2.01803275E8</v>
      </c>
      <c r="B2199" s="54" t="s">
        <v>15182</v>
      </c>
      <c r="C2199" s="54" t="s">
        <v>12782</v>
      </c>
    </row>
    <row r="2200" hidden="1">
      <c r="A2200" s="61">
        <v>2.02107909E8</v>
      </c>
      <c r="B2200" s="54" t="s">
        <v>15183</v>
      </c>
      <c r="C2200" s="54" t="s">
        <v>11583</v>
      </c>
    </row>
    <row r="2201" hidden="1">
      <c r="A2201" s="61">
        <v>2.01010281E8</v>
      </c>
      <c r="B2201" s="54" t="s">
        <v>15184</v>
      </c>
      <c r="C2201" s="54" t="s">
        <v>15185</v>
      </c>
    </row>
    <row r="2202" hidden="1">
      <c r="A2202" s="61">
        <v>2.01200529E8</v>
      </c>
      <c r="B2202" s="54" t="s">
        <v>15186</v>
      </c>
      <c r="C2202" s="54" t="s">
        <v>12314</v>
      </c>
    </row>
    <row r="2203" hidden="1">
      <c r="A2203" s="61">
        <v>2.01001322E8</v>
      </c>
      <c r="B2203" s="54" t="s">
        <v>15187</v>
      </c>
      <c r="C2203" s="54" t="s">
        <v>15188</v>
      </c>
    </row>
    <row r="2204" hidden="1">
      <c r="A2204" s="61">
        <v>2.02106809E8</v>
      </c>
      <c r="B2204" s="54" t="s">
        <v>15189</v>
      </c>
      <c r="C2204" s="54" t="s">
        <v>13273</v>
      </c>
    </row>
    <row r="2205" hidden="1">
      <c r="A2205" s="61">
        <v>2.01800276E8</v>
      </c>
      <c r="B2205" s="54" t="s">
        <v>15190</v>
      </c>
      <c r="C2205" s="54" t="s">
        <v>15191</v>
      </c>
    </row>
    <row r="2206" hidden="1">
      <c r="A2206" s="61">
        <v>2.0150207E8</v>
      </c>
      <c r="B2206" s="54" t="s">
        <v>15190</v>
      </c>
      <c r="C2206" s="54" t="s">
        <v>11909</v>
      </c>
    </row>
    <row r="2207" hidden="1">
      <c r="A2207" s="61">
        <v>2.02107896E8</v>
      </c>
      <c r="B2207" s="54" t="s">
        <v>15192</v>
      </c>
      <c r="C2207" s="54" t="s">
        <v>15193</v>
      </c>
    </row>
    <row r="2208" hidden="1">
      <c r="A2208" s="61">
        <v>2.01800277E8</v>
      </c>
      <c r="B2208" s="54" t="s">
        <v>15194</v>
      </c>
      <c r="C2208" s="54" t="s">
        <v>15195</v>
      </c>
    </row>
    <row r="2209" hidden="1">
      <c r="A2209" s="61">
        <v>2.01502071E8</v>
      </c>
      <c r="B2209" s="54" t="s">
        <v>15196</v>
      </c>
      <c r="C2209" s="54" t="s">
        <v>11470</v>
      </c>
    </row>
    <row r="2210" hidden="1">
      <c r="A2210" s="61">
        <v>2.01603013E8</v>
      </c>
      <c r="B2210" s="54" t="s">
        <v>15196</v>
      </c>
      <c r="C2210" s="54" t="s">
        <v>13903</v>
      </c>
    </row>
    <row r="2211" hidden="1">
      <c r="A2211" s="61">
        <v>2.01909896E8</v>
      </c>
      <c r="B2211" s="54" t="s">
        <v>15197</v>
      </c>
      <c r="C2211" s="54" t="s">
        <v>15198</v>
      </c>
    </row>
    <row r="2212" hidden="1">
      <c r="A2212" s="61">
        <v>2.01110627E8</v>
      </c>
      <c r="B2212" s="54" t="s">
        <v>15199</v>
      </c>
      <c r="C2212" s="54" t="s">
        <v>13645</v>
      </c>
    </row>
    <row r="2213" hidden="1">
      <c r="A2213" s="61">
        <v>2.02005567E8</v>
      </c>
      <c r="B2213" s="54" t="s">
        <v>15200</v>
      </c>
      <c r="C2213" s="54" t="s">
        <v>15201</v>
      </c>
    </row>
    <row r="2214" hidden="1">
      <c r="A2214" s="61">
        <v>2.01709748E8</v>
      </c>
      <c r="B2214" s="54" t="s">
        <v>15202</v>
      </c>
      <c r="C2214" s="54" t="s">
        <v>12597</v>
      </c>
    </row>
    <row r="2215" hidden="1">
      <c r="A2215" s="61">
        <v>2.01701884E8</v>
      </c>
      <c r="B2215" s="54" t="s">
        <v>15203</v>
      </c>
      <c r="C2215" s="54" t="s">
        <v>11470</v>
      </c>
    </row>
    <row r="2216" hidden="1">
      <c r="A2216" s="61">
        <v>2.01607912E8</v>
      </c>
      <c r="B2216" s="54" t="s">
        <v>15204</v>
      </c>
      <c r="C2216" s="54" t="s">
        <v>11679</v>
      </c>
    </row>
    <row r="2217" hidden="1">
      <c r="A2217" s="61">
        <v>2.011108E8</v>
      </c>
      <c r="B2217" s="54" t="s">
        <v>15205</v>
      </c>
      <c r="C2217" s="54" t="s">
        <v>11995</v>
      </c>
    </row>
    <row r="2218" hidden="1">
      <c r="A2218" s="61">
        <v>2.01211E8</v>
      </c>
      <c r="B2218" s="54" t="s">
        <v>15206</v>
      </c>
      <c r="C2218" s="54" t="s">
        <v>15207</v>
      </c>
    </row>
    <row r="2219" hidden="1">
      <c r="A2219" s="61">
        <v>2.01311169E8</v>
      </c>
      <c r="B2219" s="54" t="s">
        <v>15208</v>
      </c>
      <c r="C2219" s="54" t="s">
        <v>12328</v>
      </c>
    </row>
    <row r="2220" hidden="1">
      <c r="A2220" s="61">
        <v>2.01803252E8</v>
      </c>
      <c r="B2220" s="54" t="s">
        <v>15209</v>
      </c>
      <c r="C2220" s="54" t="s">
        <v>15210</v>
      </c>
    </row>
    <row r="2221" hidden="1">
      <c r="A2221" s="61">
        <v>2.01307233E8</v>
      </c>
      <c r="B2221" s="54" t="s">
        <v>15211</v>
      </c>
      <c r="C2221" s="54" t="s">
        <v>14281</v>
      </c>
    </row>
    <row r="2222" hidden="1">
      <c r="A2222" s="61">
        <v>2.01200686E8</v>
      </c>
      <c r="B2222" s="54" t="s">
        <v>15212</v>
      </c>
      <c r="C2222" s="54" t="s">
        <v>15213</v>
      </c>
    </row>
    <row r="2223" hidden="1">
      <c r="A2223" s="61">
        <v>2.02004918E8</v>
      </c>
      <c r="B2223" s="54" t="s">
        <v>15214</v>
      </c>
      <c r="C2223" s="54" t="s">
        <v>13594</v>
      </c>
    </row>
    <row r="2224" hidden="1">
      <c r="A2224" s="61">
        <v>2.00809196E8</v>
      </c>
      <c r="B2224" s="54" t="s">
        <v>15214</v>
      </c>
      <c r="C2224" s="54" t="s">
        <v>15215</v>
      </c>
    </row>
    <row r="2225" hidden="1">
      <c r="A2225" s="61">
        <v>2.01803264E8</v>
      </c>
      <c r="B2225" s="54" t="s">
        <v>15216</v>
      </c>
      <c r="C2225" s="54" t="s">
        <v>15217</v>
      </c>
    </row>
    <row r="2226" hidden="1">
      <c r="A2226" s="61">
        <v>2.0160377E8</v>
      </c>
      <c r="B2226" s="54" t="s">
        <v>15218</v>
      </c>
      <c r="C2226" s="54" t="s">
        <v>11835</v>
      </c>
    </row>
    <row r="2227" hidden="1">
      <c r="A2227" s="61">
        <v>2.02107689E8</v>
      </c>
      <c r="B2227" s="54" t="s">
        <v>15219</v>
      </c>
      <c r="C2227" s="54" t="s">
        <v>15220</v>
      </c>
    </row>
    <row r="2228" hidden="1">
      <c r="A2228" s="61">
        <v>2.00809197E8</v>
      </c>
      <c r="B2228" s="54" t="s">
        <v>15221</v>
      </c>
      <c r="C2228" s="54" t="s">
        <v>15222</v>
      </c>
    </row>
    <row r="2229" hidden="1">
      <c r="A2229" s="61">
        <v>2.02002322E8</v>
      </c>
      <c r="B2229" s="54" t="s">
        <v>15223</v>
      </c>
      <c r="C2229" s="54" t="s">
        <v>15224</v>
      </c>
    </row>
    <row r="2230" hidden="1">
      <c r="A2230" s="61">
        <v>2.01512247E8</v>
      </c>
      <c r="B2230" s="54" t="s">
        <v>15225</v>
      </c>
      <c r="C2230" s="54" t="s">
        <v>12270</v>
      </c>
    </row>
    <row r="2231" hidden="1">
      <c r="A2231" s="61">
        <v>2.01801814E8</v>
      </c>
      <c r="B2231" s="54" t="s">
        <v>15226</v>
      </c>
      <c r="C2231" s="54" t="s">
        <v>15227</v>
      </c>
    </row>
    <row r="2232" hidden="1">
      <c r="A2232" s="61">
        <v>2.01603625E8</v>
      </c>
      <c r="B2232" s="54" t="s">
        <v>15228</v>
      </c>
      <c r="C2232" s="54" t="s">
        <v>15229</v>
      </c>
    </row>
    <row r="2233" hidden="1">
      <c r="A2233" s="61">
        <v>2.00807529E8</v>
      </c>
      <c r="B2233" s="54" t="s">
        <v>15230</v>
      </c>
      <c r="C2233" s="54" t="s">
        <v>12580</v>
      </c>
    </row>
    <row r="2234" hidden="1">
      <c r="A2234" s="61">
        <v>2.01106288E8</v>
      </c>
      <c r="B2234" s="54" t="s">
        <v>15231</v>
      </c>
      <c r="C2234" s="54" t="s">
        <v>11961</v>
      </c>
    </row>
    <row r="2235" hidden="1">
      <c r="A2235" s="61">
        <v>2.02000367E8</v>
      </c>
      <c r="B2235" s="54" t="s">
        <v>15232</v>
      </c>
      <c r="C2235" s="54" t="s">
        <v>15233</v>
      </c>
    </row>
    <row r="2236" hidden="1">
      <c r="A2236" s="61">
        <v>2.01803292E8</v>
      </c>
      <c r="B2236" s="54" t="s">
        <v>15234</v>
      </c>
      <c r="C2236" s="54" t="s">
        <v>15235</v>
      </c>
    </row>
    <row r="2237" hidden="1">
      <c r="A2237" s="61">
        <v>2.01801808E8</v>
      </c>
      <c r="B2237" s="54" t="s">
        <v>15236</v>
      </c>
      <c r="C2237" s="54" t="s">
        <v>15237</v>
      </c>
    </row>
    <row r="2238" hidden="1">
      <c r="A2238" s="61">
        <v>2.01401227E8</v>
      </c>
      <c r="B2238" s="54" t="s">
        <v>15238</v>
      </c>
      <c r="C2238" s="54" t="s">
        <v>14010</v>
      </c>
    </row>
    <row r="2239" hidden="1">
      <c r="A2239" s="61">
        <v>2.01106289E8</v>
      </c>
      <c r="B2239" s="54" t="s">
        <v>15239</v>
      </c>
      <c r="C2239" s="54" t="s">
        <v>11909</v>
      </c>
    </row>
    <row r="2240" hidden="1">
      <c r="A2240" s="61">
        <v>2.01909899E8</v>
      </c>
      <c r="B2240" s="54" t="s">
        <v>15240</v>
      </c>
      <c r="C2240" s="54" t="s">
        <v>15241</v>
      </c>
    </row>
    <row r="2241" hidden="1">
      <c r="A2241" s="61">
        <v>2.02001552E8</v>
      </c>
      <c r="B2241" s="54" t="s">
        <v>15242</v>
      </c>
      <c r="C2241" s="54" t="s">
        <v>15243</v>
      </c>
    </row>
    <row r="2242" hidden="1">
      <c r="A2242" s="61">
        <v>2.01108081E8</v>
      </c>
      <c r="B2242" s="54" t="s">
        <v>15244</v>
      </c>
      <c r="C2242" s="54" t="s">
        <v>15245</v>
      </c>
    </row>
    <row r="2243" hidden="1">
      <c r="A2243" s="61">
        <v>2.01502073E8</v>
      </c>
      <c r="B2243" s="54" t="s">
        <v>15244</v>
      </c>
      <c r="C2243" s="54" t="s">
        <v>11835</v>
      </c>
    </row>
    <row r="2244" hidden="1">
      <c r="A2244" s="61">
        <v>2.01410688E8</v>
      </c>
      <c r="B2244" s="54" t="s">
        <v>15244</v>
      </c>
      <c r="C2244" s="54" t="s">
        <v>15246</v>
      </c>
    </row>
    <row r="2245" hidden="1">
      <c r="A2245" s="61">
        <v>2.018093E8</v>
      </c>
      <c r="B2245" s="54" t="s">
        <v>15247</v>
      </c>
      <c r="C2245" s="54" t="s">
        <v>15248</v>
      </c>
    </row>
    <row r="2246" hidden="1">
      <c r="A2246" s="61">
        <v>2.02103406E8</v>
      </c>
      <c r="B2246" s="54" t="s">
        <v>15249</v>
      </c>
      <c r="C2246" s="54" t="s">
        <v>15250</v>
      </c>
    </row>
    <row r="2247" hidden="1">
      <c r="A2247" s="61">
        <v>2.01801427E8</v>
      </c>
      <c r="B2247" s="54" t="s">
        <v>15251</v>
      </c>
      <c r="C2247" s="54" t="s">
        <v>15252</v>
      </c>
    </row>
    <row r="2248" hidden="1">
      <c r="A2248" s="61">
        <v>2.02102965E8</v>
      </c>
      <c r="B2248" s="54" t="s">
        <v>15251</v>
      </c>
      <c r="C2248" s="54" t="s">
        <v>15253</v>
      </c>
    </row>
    <row r="2249" hidden="1">
      <c r="A2249" s="61">
        <v>2.01400285E8</v>
      </c>
      <c r="B2249" s="54" t="s">
        <v>15254</v>
      </c>
      <c r="C2249" s="54" t="s">
        <v>15255</v>
      </c>
    </row>
    <row r="2250" hidden="1">
      <c r="A2250" s="61">
        <v>2.01512334E8</v>
      </c>
      <c r="B2250" s="54" t="s">
        <v>15256</v>
      </c>
      <c r="C2250" s="54" t="s">
        <v>13273</v>
      </c>
    </row>
    <row r="2251" hidden="1">
      <c r="A2251" s="61">
        <v>2.01704777E8</v>
      </c>
      <c r="B2251" s="54" t="s">
        <v>15257</v>
      </c>
      <c r="C2251" s="54" t="s">
        <v>11777</v>
      </c>
    </row>
    <row r="2252" hidden="1">
      <c r="A2252" s="61">
        <v>2.01400286E8</v>
      </c>
      <c r="B2252" s="54" t="s">
        <v>15258</v>
      </c>
      <c r="C2252" s="54" t="s">
        <v>15259</v>
      </c>
    </row>
    <row r="2253" hidden="1">
      <c r="A2253" s="61">
        <v>2.01900566E8</v>
      </c>
      <c r="B2253" s="54" t="s">
        <v>15260</v>
      </c>
      <c r="C2253" s="54" t="s">
        <v>15261</v>
      </c>
    </row>
    <row r="2254" hidden="1">
      <c r="A2254" s="61">
        <v>2.01800035E8</v>
      </c>
      <c r="B2254" s="54" t="s">
        <v>15262</v>
      </c>
      <c r="C2254" s="54" t="s">
        <v>15263</v>
      </c>
    </row>
    <row r="2255" hidden="1">
      <c r="A2255" s="61">
        <v>2.01504906E8</v>
      </c>
      <c r="B2255" s="54" t="s">
        <v>15264</v>
      </c>
      <c r="C2255" s="54" t="s">
        <v>13479</v>
      </c>
    </row>
    <row r="2256" hidden="1">
      <c r="A2256" s="61">
        <v>2.01800278E8</v>
      </c>
      <c r="B2256" s="54" t="s">
        <v>15265</v>
      </c>
      <c r="C2256" s="54" t="s">
        <v>15266</v>
      </c>
    </row>
    <row r="2257" hidden="1">
      <c r="A2257" s="61">
        <v>2.01603772E8</v>
      </c>
      <c r="B2257" s="54" t="s">
        <v>15267</v>
      </c>
      <c r="C2257" s="54" t="s">
        <v>15268</v>
      </c>
    </row>
    <row r="2258" hidden="1">
      <c r="A2258" s="61">
        <v>2.01809235E8</v>
      </c>
      <c r="B2258" s="54" t="s">
        <v>15269</v>
      </c>
      <c r="C2258" s="54" t="s">
        <v>15270</v>
      </c>
    </row>
    <row r="2259" hidden="1">
      <c r="A2259" s="61">
        <v>2.01700739E8</v>
      </c>
      <c r="B2259" s="54" t="s">
        <v>15271</v>
      </c>
      <c r="C2259" s="54" t="s">
        <v>15272</v>
      </c>
    </row>
    <row r="2260" hidden="1">
      <c r="A2260" s="61">
        <v>2.01809301E8</v>
      </c>
      <c r="B2260" s="54" t="s">
        <v>15273</v>
      </c>
      <c r="C2260" s="54" t="s">
        <v>12778</v>
      </c>
    </row>
    <row r="2261" hidden="1">
      <c r="A2261" s="61">
        <v>2.0190222E8</v>
      </c>
      <c r="B2261" s="54" t="s">
        <v>15274</v>
      </c>
      <c r="C2261" s="54" t="s">
        <v>14076</v>
      </c>
    </row>
    <row r="2262" hidden="1">
      <c r="A2262" s="61">
        <v>2.01201098E8</v>
      </c>
      <c r="B2262" s="54" t="s">
        <v>15275</v>
      </c>
      <c r="C2262" s="54" t="s">
        <v>15276</v>
      </c>
    </row>
    <row r="2263" hidden="1">
      <c r="A2263" s="61">
        <v>2.00902894E8</v>
      </c>
      <c r="B2263" s="54" t="s">
        <v>15277</v>
      </c>
      <c r="C2263" s="54" t="s">
        <v>15278</v>
      </c>
    </row>
    <row r="2264" hidden="1">
      <c r="A2264" s="61">
        <v>2.01207576E8</v>
      </c>
      <c r="B2264" s="54" t="s">
        <v>15279</v>
      </c>
      <c r="C2264" s="54" t="s">
        <v>14008</v>
      </c>
    </row>
    <row r="2265" hidden="1">
      <c r="A2265" s="61">
        <v>2.01603774E8</v>
      </c>
      <c r="B2265" s="54" t="s">
        <v>15280</v>
      </c>
      <c r="C2265" s="54" t="s">
        <v>15281</v>
      </c>
    </row>
    <row r="2266" hidden="1">
      <c r="A2266" s="61">
        <v>2.01603775E8</v>
      </c>
      <c r="B2266" s="54" t="s">
        <v>15282</v>
      </c>
      <c r="C2266" s="54" t="s">
        <v>15283</v>
      </c>
    </row>
    <row r="2267" hidden="1">
      <c r="A2267" s="61">
        <v>2.01600556E8</v>
      </c>
      <c r="B2267" s="54" t="s">
        <v>15284</v>
      </c>
      <c r="C2267" s="54" t="s">
        <v>15285</v>
      </c>
    </row>
    <row r="2268" hidden="1">
      <c r="A2268" s="61">
        <v>2.01612069E8</v>
      </c>
      <c r="B2268" s="54" t="s">
        <v>15286</v>
      </c>
      <c r="C2268" s="54" t="s">
        <v>15287</v>
      </c>
    </row>
    <row r="2269" hidden="1">
      <c r="A2269" s="61">
        <v>2.01502075E8</v>
      </c>
      <c r="B2269" s="54" t="s">
        <v>15288</v>
      </c>
      <c r="C2269" s="54" t="s">
        <v>12235</v>
      </c>
    </row>
    <row r="2270" hidden="1">
      <c r="A2270" s="61">
        <v>2.01506891E8</v>
      </c>
      <c r="B2270" s="54" t="s">
        <v>15289</v>
      </c>
      <c r="C2270" s="54" t="s">
        <v>12687</v>
      </c>
    </row>
    <row r="2271" hidden="1">
      <c r="A2271" s="61">
        <v>2.01300175E8</v>
      </c>
      <c r="B2271" s="54" t="s">
        <v>15290</v>
      </c>
      <c r="C2271" s="54" t="s">
        <v>15291</v>
      </c>
    </row>
    <row r="2272" hidden="1">
      <c r="A2272" s="61">
        <v>2.01110801E8</v>
      </c>
      <c r="B2272" s="54" t="s">
        <v>15292</v>
      </c>
      <c r="C2272" s="54" t="s">
        <v>15293</v>
      </c>
    </row>
    <row r="2273" hidden="1">
      <c r="A2273" s="61">
        <v>2.01603626E8</v>
      </c>
      <c r="B2273" s="54" t="s">
        <v>15294</v>
      </c>
      <c r="C2273" s="54" t="s">
        <v>15295</v>
      </c>
    </row>
    <row r="2274" hidden="1">
      <c r="A2274" s="61">
        <v>2.01603776E8</v>
      </c>
      <c r="B2274" s="54" t="s">
        <v>15296</v>
      </c>
      <c r="C2274" s="54" t="s">
        <v>15297</v>
      </c>
    </row>
    <row r="2275" hidden="1">
      <c r="A2275" s="61">
        <v>2.01607914E8</v>
      </c>
      <c r="B2275" s="54" t="s">
        <v>15298</v>
      </c>
      <c r="C2275" s="54" t="s">
        <v>11634</v>
      </c>
    </row>
    <row r="2276" hidden="1">
      <c r="A2276" s="61">
        <v>2.01709773E8</v>
      </c>
      <c r="B2276" s="54" t="s">
        <v>15299</v>
      </c>
      <c r="C2276" s="54" t="s">
        <v>15300</v>
      </c>
    </row>
    <row r="2277" hidden="1">
      <c r="A2277" s="61">
        <v>2.01400091E8</v>
      </c>
      <c r="B2277" s="54" t="s">
        <v>15301</v>
      </c>
      <c r="C2277" s="54" t="s">
        <v>15302</v>
      </c>
    </row>
    <row r="2278" hidden="1">
      <c r="A2278" s="61">
        <v>2.00001689E8</v>
      </c>
      <c r="B2278" s="54" t="s">
        <v>15303</v>
      </c>
      <c r="C2278" s="54" t="s">
        <v>15304</v>
      </c>
    </row>
    <row r="2279" hidden="1">
      <c r="A2279" s="61">
        <v>2.01301082E8</v>
      </c>
      <c r="B2279" s="54" t="s">
        <v>15305</v>
      </c>
      <c r="C2279" s="54" t="s">
        <v>11691</v>
      </c>
    </row>
    <row r="2280" hidden="1">
      <c r="A2280" s="61">
        <v>2.01801412E8</v>
      </c>
      <c r="B2280" s="54" t="s">
        <v>15306</v>
      </c>
      <c r="C2280" s="54" t="s">
        <v>15307</v>
      </c>
    </row>
    <row r="2281" hidden="1">
      <c r="A2281" s="61">
        <v>2.02102966E8</v>
      </c>
      <c r="B2281" s="54" t="s">
        <v>15308</v>
      </c>
      <c r="C2281" s="54" t="s">
        <v>15309</v>
      </c>
    </row>
    <row r="2282" hidden="1">
      <c r="A2282" s="61">
        <v>2.01603628E8</v>
      </c>
      <c r="B2282" s="54" t="s">
        <v>15310</v>
      </c>
      <c r="C2282" s="54" t="s">
        <v>15311</v>
      </c>
    </row>
    <row r="2283" hidden="1">
      <c r="A2283" s="61">
        <v>2.01709961E8</v>
      </c>
      <c r="B2283" s="54" t="s">
        <v>15312</v>
      </c>
      <c r="C2283" s="54" t="s">
        <v>15313</v>
      </c>
    </row>
    <row r="2284" hidden="1">
      <c r="A2284" s="61">
        <v>2.00801338E8</v>
      </c>
      <c r="B2284" s="54" t="s">
        <v>15314</v>
      </c>
      <c r="C2284" s="54" t="s">
        <v>11741</v>
      </c>
    </row>
    <row r="2285" hidden="1">
      <c r="A2285" s="61">
        <v>2.01300176E8</v>
      </c>
      <c r="B2285" s="54" t="s">
        <v>15315</v>
      </c>
      <c r="C2285" s="54" t="s">
        <v>12492</v>
      </c>
    </row>
    <row r="2286" hidden="1">
      <c r="A2286" s="61">
        <v>2.02002326E8</v>
      </c>
      <c r="B2286" s="54" t="s">
        <v>15316</v>
      </c>
      <c r="C2286" s="54" t="s">
        <v>15317</v>
      </c>
    </row>
    <row r="2287" hidden="1">
      <c r="A2287" s="61">
        <v>2.01701885E8</v>
      </c>
      <c r="B2287" s="54" t="s">
        <v>15318</v>
      </c>
      <c r="C2287" s="54" t="s">
        <v>15319</v>
      </c>
    </row>
    <row r="2288" hidden="1">
      <c r="A2288" s="61">
        <v>2.01709774E8</v>
      </c>
      <c r="B2288" s="54" t="s">
        <v>15320</v>
      </c>
      <c r="C2288" s="54" t="s">
        <v>15321</v>
      </c>
    </row>
    <row r="2289" hidden="1">
      <c r="A2289" s="61">
        <v>2.02103416E8</v>
      </c>
      <c r="B2289" s="54" t="s">
        <v>15322</v>
      </c>
      <c r="C2289" s="54" t="s">
        <v>15323</v>
      </c>
    </row>
    <row r="2290" hidden="1">
      <c r="A2290" s="61">
        <v>2.01210328E8</v>
      </c>
      <c r="B2290" s="54" t="s">
        <v>15324</v>
      </c>
      <c r="C2290" s="54" t="s">
        <v>15325</v>
      </c>
    </row>
    <row r="2291" hidden="1">
      <c r="A2291" s="61">
        <v>2.01800036E8</v>
      </c>
      <c r="B2291" s="54" t="s">
        <v>15326</v>
      </c>
      <c r="C2291" s="54" t="s">
        <v>14076</v>
      </c>
    </row>
    <row r="2292" hidden="1">
      <c r="A2292" s="61">
        <v>2.01902221E8</v>
      </c>
      <c r="B2292" s="54" t="s">
        <v>15327</v>
      </c>
      <c r="C2292" s="54" t="s">
        <v>11837</v>
      </c>
    </row>
    <row r="2293" hidden="1">
      <c r="A2293" s="61">
        <v>2.02007381E8</v>
      </c>
      <c r="B2293" s="54" t="s">
        <v>15328</v>
      </c>
      <c r="C2293" s="54" t="s">
        <v>15147</v>
      </c>
    </row>
    <row r="2294" hidden="1">
      <c r="A2294" s="61">
        <v>1.99501926E8</v>
      </c>
      <c r="B2294" s="54" t="s">
        <v>15329</v>
      </c>
      <c r="C2294" s="54" t="s">
        <v>15330</v>
      </c>
    </row>
    <row r="2295" hidden="1">
      <c r="A2295" s="61">
        <v>2.01704778E8</v>
      </c>
      <c r="B2295" s="54" t="s">
        <v>15331</v>
      </c>
      <c r="C2295" s="54" t="s">
        <v>15332</v>
      </c>
    </row>
    <row r="2296" hidden="1">
      <c r="A2296" s="61">
        <v>2.01700741E8</v>
      </c>
      <c r="B2296" s="54" t="s">
        <v>15333</v>
      </c>
      <c r="C2296" s="54" t="s">
        <v>15334</v>
      </c>
    </row>
    <row r="2297" hidden="1">
      <c r="A2297" s="61">
        <v>2.01300294E8</v>
      </c>
      <c r="B2297" s="54" t="s">
        <v>15335</v>
      </c>
      <c r="C2297" s="54" t="s">
        <v>12941</v>
      </c>
    </row>
    <row r="2298" hidden="1">
      <c r="A2298" s="61">
        <v>2.01300177E8</v>
      </c>
      <c r="B2298" s="54" t="s">
        <v>15336</v>
      </c>
      <c r="C2298" s="54" t="s">
        <v>12910</v>
      </c>
    </row>
    <row r="2299" hidden="1">
      <c r="A2299" s="61">
        <v>2.01100408E8</v>
      </c>
      <c r="B2299" s="54" t="s">
        <v>15337</v>
      </c>
      <c r="C2299" s="54" t="s">
        <v>12096</v>
      </c>
    </row>
    <row r="2300" hidden="1">
      <c r="A2300" s="61">
        <v>2.01310566E8</v>
      </c>
      <c r="B2300" s="54" t="s">
        <v>15338</v>
      </c>
      <c r="C2300" s="54" t="s">
        <v>15339</v>
      </c>
    </row>
    <row r="2301" hidden="1">
      <c r="A2301" s="61">
        <v>2.01300958E8</v>
      </c>
      <c r="B2301" s="54" t="s">
        <v>15340</v>
      </c>
      <c r="C2301" s="54" t="s">
        <v>15341</v>
      </c>
    </row>
    <row r="2302" hidden="1">
      <c r="A2302" s="61">
        <v>2.01909897E8</v>
      </c>
      <c r="B2302" s="54" t="s">
        <v>15342</v>
      </c>
      <c r="C2302" s="54" t="s">
        <v>11809</v>
      </c>
    </row>
    <row r="2303" hidden="1">
      <c r="A2303" s="61">
        <v>1.99002502E8</v>
      </c>
      <c r="B2303" s="54" t="s">
        <v>15343</v>
      </c>
      <c r="C2303" s="54" t="s">
        <v>15344</v>
      </c>
    </row>
    <row r="2304" hidden="1">
      <c r="A2304" s="61">
        <v>2.01709743E8</v>
      </c>
      <c r="B2304" s="54" t="s">
        <v>15345</v>
      </c>
      <c r="C2304" s="54" t="s">
        <v>12151</v>
      </c>
    </row>
    <row r="2305" hidden="1">
      <c r="A2305" s="61">
        <v>2.01607917E8</v>
      </c>
      <c r="B2305" s="54" t="s">
        <v>15346</v>
      </c>
      <c r="C2305" s="54" t="s">
        <v>11570</v>
      </c>
    </row>
    <row r="2306" hidden="1">
      <c r="A2306" s="61">
        <v>2.02107921E8</v>
      </c>
      <c r="B2306" s="54" t="s">
        <v>15347</v>
      </c>
      <c r="C2306" s="54" t="s">
        <v>11488</v>
      </c>
    </row>
    <row r="2307" hidden="1">
      <c r="A2307" s="61">
        <v>2.02107928E8</v>
      </c>
      <c r="B2307" s="54" t="s">
        <v>15348</v>
      </c>
      <c r="C2307" s="54" t="s">
        <v>15349</v>
      </c>
    </row>
    <row r="2308" hidden="1">
      <c r="A2308" s="61">
        <v>2.01909891E8</v>
      </c>
      <c r="B2308" s="54" t="s">
        <v>15350</v>
      </c>
      <c r="C2308" s="54" t="s">
        <v>15351</v>
      </c>
    </row>
    <row r="2309" hidden="1">
      <c r="A2309" s="61">
        <v>2.01106894E8</v>
      </c>
      <c r="B2309" s="54" t="s">
        <v>15352</v>
      </c>
      <c r="C2309" s="54" t="s">
        <v>11835</v>
      </c>
    </row>
    <row r="2310" hidden="1">
      <c r="A2310" s="61">
        <v>2.01200492E8</v>
      </c>
      <c r="B2310" s="54" t="s">
        <v>15353</v>
      </c>
      <c r="C2310" s="54" t="s">
        <v>11512</v>
      </c>
    </row>
    <row r="2311" hidden="1">
      <c r="A2311" s="61">
        <v>2.02001553E8</v>
      </c>
      <c r="B2311" s="54" t="s">
        <v>15354</v>
      </c>
      <c r="C2311" s="54" t="s">
        <v>11909</v>
      </c>
    </row>
    <row r="2312" hidden="1">
      <c r="A2312" s="61">
        <v>2.01508174E8</v>
      </c>
      <c r="B2312" s="54" t="s">
        <v>15355</v>
      </c>
      <c r="C2312" s="54" t="s">
        <v>15356</v>
      </c>
    </row>
    <row r="2313" hidden="1">
      <c r="A2313" s="61">
        <v>2.01705673E8</v>
      </c>
      <c r="B2313" s="54" t="s">
        <v>15357</v>
      </c>
      <c r="C2313" s="54" t="s">
        <v>11813</v>
      </c>
    </row>
    <row r="2314" hidden="1">
      <c r="A2314" s="61">
        <v>2.01300296E8</v>
      </c>
      <c r="B2314" s="54" t="s">
        <v>15358</v>
      </c>
      <c r="C2314" s="54" t="s">
        <v>15359</v>
      </c>
    </row>
    <row r="2315" hidden="1">
      <c r="A2315" s="61">
        <v>2.0130829E8</v>
      </c>
      <c r="B2315" s="54" t="s">
        <v>15360</v>
      </c>
      <c r="C2315" s="54" t="s">
        <v>15019</v>
      </c>
    </row>
    <row r="2316" hidden="1">
      <c r="A2316" s="61">
        <v>2.00901234E8</v>
      </c>
      <c r="B2316" s="54" t="s">
        <v>15361</v>
      </c>
      <c r="C2316" s="54" t="s">
        <v>15362</v>
      </c>
    </row>
    <row r="2317" hidden="1">
      <c r="A2317" s="61">
        <v>2.01900246E8</v>
      </c>
      <c r="B2317" s="54" t="s">
        <v>15363</v>
      </c>
      <c r="C2317" s="54" t="s">
        <v>11482</v>
      </c>
    </row>
    <row r="2318" hidden="1">
      <c r="A2318" s="61">
        <v>2.01310392E8</v>
      </c>
      <c r="B2318" s="54" t="s">
        <v>15364</v>
      </c>
      <c r="C2318" s="54" t="s">
        <v>15365</v>
      </c>
    </row>
    <row r="2319" hidden="1">
      <c r="A2319" s="61">
        <v>2.00808252E8</v>
      </c>
      <c r="B2319" s="54" t="s">
        <v>15366</v>
      </c>
      <c r="C2319" s="54" t="s">
        <v>15367</v>
      </c>
    </row>
    <row r="2320" hidden="1">
      <c r="A2320" s="61">
        <v>2.02107863E8</v>
      </c>
      <c r="B2320" s="54" t="s">
        <v>15368</v>
      </c>
      <c r="C2320" s="54" t="s">
        <v>15369</v>
      </c>
    </row>
    <row r="2321" hidden="1">
      <c r="A2321" s="61">
        <v>2.01300178E8</v>
      </c>
      <c r="B2321" s="54" t="s">
        <v>15370</v>
      </c>
      <c r="C2321" s="54" t="s">
        <v>12375</v>
      </c>
    </row>
    <row r="2322" hidden="1">
      <c r="A2322" s="61">
        <v>2.01900223E8</v>
      </c>
      <c r="B2322" s="54" t="s">
        <v>15371</v>
      </c>
      <c r="C2322" s="54" t="s">
        <v>13532</v>
      </c>
    </row>
    <row r="2323" hidden="1">
      <c r="A2323" s="61">
        <v>2.0140729E8</v>
      </c>
      <c r="B2323" s="54" t="s">
        <v>15372</v>
      </c>
      <c r="C2323" s="54" t="s">
        <v>12939</v>
      </c>
    </row>
    <row r="2324" hidden="1">
      <c r="A2324" s="61">
        <v>2.02005572E8</v>
      </c>
      <c r="B2324" s="54" t="s">
        <v>15373</v>
      </c>
      <c r="C2324" s="54" t="s">
        <v>12645</v>
      </c>
    </row>
    <row r="2325" hidden="1">
      <c r="A2325" s="61">
        <v>2.01904682E8</v>
      </c>
      <c r="B2325" s="54" t="s">
        <v>15374</v>
      </c>
      <c r="C2325" s="54" t="s">
        <v>15375</v>
      </c>
    </row>
    <row r="2326" hidden="1">
      <c r="A2326" s="61">
        <v>2.00100919E8</v>
      </c>
      <c r="B2326" s="54" t="s">
        <v>15376</v>
      </c>
      <c r="C2326" s="54" t="s">
        <v>15377</v>
      </c>
    </row>
    <row r="2327" hidden="1">
      <c r="A2327" s="61">
        <v>2.01409253E8</v>
      </c>
      <c r="B2327" s="54" t="s">
        <v>15378</v>
      </c>
      <c r="C2327" s="54" t="s">
        <v>15379</v>
      </c>
    </row>
    <row r="2328" hidden="1">
      <c r="A2328" s="61">
        <v>2.01309595E8</v>
      </c>
      <c r="B2328" s="54" t="s">
        <v>15380</v>
      </c>
      <c r="C2328" s="54" t="s">
        <v>15381</v>
      </c>
    </row>
    <row r="2329" hidden="1">
      <c r="A2329" s="61">
        <v>2.00708417E8</v>
      </c>
      <c r="B2329" s="54" t="s">
        <v>15382</v>
      </c>
      <c r="C2329" s="54" t="s">
        <v>15383</v>
      </c>
    </row>
    <row r="2330" hidden="1">
      <c r="A2330" s="61">
        <v>2.01110542E8</v>
      </c>
      <c r="B2330" s="54" t="s">
        <v>15384</v>
      </c>
      <c r="C2330" s="54" t="s">
        <v>15385</v>
      </c>
    </row>
    <row r="2331" hidden="1">
      <c r="A2331" s="61">
        <v>2.0160363E8</v>
      </c>
      <c r="B2331" s="54" t="s">
        <v>15386</v>
      </c>
      <c r="C2331" s="54" t="s">
        <v>11845</v>
      </c>
    </row>
    <row r="2332" hidden="1">
      <c r="A2332" s="61">
        <v>2.01400194E8</v>
      </c>
      <c r="B2332" s="54" t="s">
        <v>15387</v>
      </c>
      <c r="C2332" s="54" t="s">
        <v>15388</v>
      </c>
    </row>
    <row r="2333" hidden="1">
      <c r="A2333" s="61">
        <v>2.01008279E8</v>
      </c>
      <c r="B2333" s="54" t="s">
        <v>15389</v>
      </c>
      <c r="C2333" s="54" t="s">
        <v>15390</v>
      </c>
    </row>
    <row r="2334" hidden="1">
      <c r="A2334" s="61">
        <v>2.01904683E8</v>
      </c>
      <c r="B2334" s="54" t="s">
        <v>15391</v>
      </c>
      <c r="C2334" s="54" t="s">
        <v>15235</v>
      </c>
    </row>
    <row r="2335" hidden="1">
      <c r="A2335" s="61">
        <v>2.00201608E8</v>
      </c>
      <c r="B2335" s="54" t="s">
        <v>15392</v>
      </c>
      <c r="C2335" s="54" t="s">
        <v>15393</v>
      </c>
    </row>
    <row r="2336" hidden="1">
      <c r="A2336" s="61">
        <v>2.01705708E8</v>
      </c>
      <c r="B2336" s="54" t="s">
        <v>15394</v>
      </c>
      <c r="C2336" s="54" t="s">
        <v>15395</v>
      </c>
    </row>
    <row r="2337" hidden="1">
      <c r="A2337" s="61">
        <v>2.01909908E8</v>
      </c>
      <c r="B2337" s="54" t="s">
        <v>15396</v>
      </c>
      <c r="C2337" s="54" t="s">
        <v>11893</v>
      </c>
    </row>
    <row r="2338" hidden="1">
      <c r="A2338" s="61">
        <v>2.01512271E8</v>
      </c>
      <c r="B2338" s="54" t="s">
        <v>15397</v>
      </c>
      <c r="C2338" s="54" t="s">
        <v>12833</v>
      </c>
    </row>
    <row r="2339" hidden="1">
      <c r="A2339" s="61">
        <v>2.02005573E8</v>
      </c>
      <c r="B2339" s="54" t="s">
        <v>15398</v>
      </c>
      <c r="C2339" s="54" t="s">
        <v>12732</v>
      </c>
    </row>
    <row r="2340" hidden="1">
      <c r="A2340" s="61">
        <v>2.01400288E8</v>
      </c>
      <c r="B2340" s="54" t="s">
        <v>15399</v>
      </c>
      <c r="C2340" s="54" t="s">
        <v>15400</v>
      </c>
    </row>
    <row r="2341" hidden="1">
      <c r="A2341" s="61">
        <v>2.01801809E8</v>
      </c>
      <c r="B2341" s="54" t="s">
        <v>15401</v>
      </c>
      <c r="C2341" s="54" t="s">
        <v>15402</v>
      </c>
    </row>
    <row r="2342" hidden="1">
      <c r="A2342" s="61">
        <v>2.01504907E8</v>
      </c>
      <c r="B2342" s="54" t="s">
        <v>15403</v>
      </c>
      <c r="C2342" s="54" t="s">
        <v>15404</v>
      </c>
    </row>
    <row r="2343" hidden="1">
      <c r="A2343" s="61">
        <v>2.01701886E8</v>
      </c>
      <c r="B2343" s="54" t="s">
        <v>15405</v>
      </c>
      <c r="C2343" s="54" t="s">
        <v>11871</v>
      </c>
    </row>
    <row r="2344" hidden="1">
      <c r="A2344" s="61">
        <v>2.01701887E8</v>
      </c>
      <c r="B2344" s="54" t="s">
        <v>15406</v>
      </c>
      <c r="C2344" s="54" t="s">
        <v>15407</v>
      </c>
    </row>
    <row r="2345" hidden="1">
      <c r="A2345" s="61">
        <v>2.01512272E8</v>
      </c>
      <c r="B2345" s="54" t="s">
        <v>15408</v>
      </c>
      <c r="C2345" s="54" t="s">
        <v>11863</v>
      </c>
    </row>
    <row r="2346" hidden="1">
      <c r="A2346" s="61">
        <v>2.01603778E8</v>
      </c>
      <c r="B2346" s="54" t="s">
        <v>15409</v>
      </c>
      <c r="C2346" s="54" t="s">
        <v>12002</v>
      </c>
    </row>
    <row r="2347" hidden="1">
      <c r="A2347" s="61">
        <v>2.01604669E8</v>
      </c>
      <c r="B2347" s="54" t="s">
        <v>15410</v>
      </c>
      <c r="C2347" s="54" t="s">
        <v>15411</v>
      </c>
    </row>
    <row r="2348" hidden="1">
      <c r="A2348" s="61">
        <v>2.01209089E8</v>
      </c>
      <c r="B2348" s="54" t="s">
        <v>15412</v>
      </c>
      <c r="C2348" s="54" t="s">
        <v>12804</v>
      </c>
    </row>
    <row r="2349" hidden="1">
      <c r="A2349" s="61">
        <v>2.01407325E8</v>
      </c>
      <c r="B2349" s="54" t="s">
        <v>15413</v>
      </c>
      <c r="C2349" s="54" t="s">
        <v>13737</v>
      </c>
    </row>
    <row r="2350" hidden="1">
      <c r="A2350" s="61">
        <v>2.01801409E8</v>
      </c>
      <c r="B2350" s="54" t="s">
        <v>15414</v>
      </c>
      <c r="C2350" s="54" t="s">
        <v>15415</v>
      </c>
    </row>
    <row r="2351" hidden="1">
      <c r="A2351" s="61">
        <v>2.01502254E8</v>
      </c>
      <c r="B2351" s="54" t="s">
        <v>15416</v>
      </c>
      <c r="C2351" s="54" t="s">
        <v>11835</v>
      </c>
    </row>
    <row r="2352" hidden="1">
      <c r="A2352" s="61">
        <v>2.01502076E8</v>
      </c>
      <c r="B2352" s="54" t="s">
        <v>15417</v>
      </c>
      <c r="C2352" s="54" t="s">
        <v>15418</v>
      </c>
    </row>
    <row r="2353" hidden="1">
      <c r="A2353" s="61">
        <v>2.00710212E8</v>
      </c>
      <c r="B2353" s="54" t="s">
        <v>15419</v>
      </c>
      <c r="C2353" s="54" t="s">
        <v>15420</v>
      </c>
    </row>
    <row r="2354" hidden="1">
      <c r="A2354" s="61">
        <v>2.0210793E8</v>
      </c>
      <c r="B2354" s="54" t="s">
        <v>15421</v>
      </c>
      <c r="C2354" s="54" t="s">
        <v>15422</v>
      </c>
    </row>
    <row r="2355" hidden="1">
      <c r="A2355" s="61">
        <v>2.01607918E8</v>
      </c>
      <c r="B2355" s="54" t="s">
        <v>15421</v>
      </c>
      <c r="C2355" s="54" t="s">
        <v>15423</v>
      </c>
    </row>
    <row r="2356" hidden="1">
      <c r="A2356" s="61">
        <v>2.01201102E8</v>
      </c>
      <c r="B2356" s="54" t="s">
        <v>15424</v>
      </c>
      <c r="C2356" s="54" t="s">
        <v>12002</v>
      </c>
    </row>
    <row r="2357" hidden="1">
      <c r="A2357" s="61">
        <v>2.01902223E8</v>
      </c>
      <c r="B2357" s="54" t="s">
        <v>15425</v>
      </c>
      <c r="C2357" s="54" t="s">
        <v>15426</v>
      </c>
    </row>
    <row r="2358" hidden="1">
      <c r="A2358" s="61">
        <v>1.99301386E8</v>
      </c>
      <c r="B2358" s="54" t="s">
        <v>15427</v>
      </c>
      <c r="C2358" s="54" t="s">
        <v>15428</v>
      </c>
    </row>
    <row r="2359" hidden="1">
      <c r="A2359" s="61">
        <v>2.01300236E8</v>
      </c>
      <c r="B2359" s="54" t="s">
        <v>15429</v>
      </c>
      <c r="C2359" s="54" t="s">
        <v>15430</v>
      </c>
    </row>
    <row r="2360" hidden="1">
      <c r="A2360" s="61">
        <v>2.0160378E8</v>
      </c>
      <c r="B2360" s="54" t="s">
        <v>15431</v>
      </c>
      <c r="C2360" s="54" t="s">
        <v>15432</v>
      </c>
    </row>
    <row r="2361" hidden="1">
      <c r="A2361" s="61">
        <v>2.00605946E8</v>
      </c>
      <c r="B2361" s="54" t="s">
        <v>15433</v>
      </c>
      <c r="C2361" s="54" t="s">
        <v>11634</v>
      </c>
    </row>
    <row r="2362" hidden="1">
      <c r="A2362" s="61">
        <v>2.00707743E8</v>
      </c>
      <c r="B2362" s="54" t="s">
        <v>15433</v>
      </c>
      <c r="C2362" s="54" t="s">
        <v>15434</v>
      </c>
    </row>
    <row r="2363" hidden="1">
      <c r="A2363" s="61">
        <v>2.00809547E8</v>
      </c>
      <c r="B2363" s="54" t="s">
        <v>15435</v>
      </c>
      <c r="C2363" s="54" t="s">
        <v>11871</v>
      </c>
    </row>
    <row r="2364" hidden="1">
      <c r="A2364" s="61">
        <v>2.01508176E8</v>
      </c>
      <c r="B2364" s="54" t="s">
        <v>15436</v>
      </c>
      <c r="C2364" s="54" t="s">
        <v>15437</v>
      </c>
    </row>
    <row r="2365" hidden="1">
      <c r="A2365" s="61">
        <v>2.01700742E8</v>
      </c>
      <c r="B2365" s="54" t="s">
        <v>15438</v>
      </c>
      <c r="C2365" s="54" t="s">
        <v>15439</v>
      </c>
    </row>
    <row r="2366" hidden="1">
      <c r="A2366" s="61">
        <v>2.00505896E8</v>
      </c>
      <c r="B2366" s="54" t="s">
        <v>15440</v>
      </c>
      <c r="C2366" s="54" t="s">
        <v>15441</v>
      </c>
    </row>
    <row r="2367" hidden="1">
      <c r="A2367" s="61">
        <v>2.01603781E8</v>
      </c>
      <c r="B2367" s="54" t="s">
        <v>15442</v>
      </c>
      <c r="C2367" s="54" t="s">
        <v>15443</v>
      </c>
    </row>
    <row r="2368" hidden="1">
      <c r="A2368" s="61">
        <v>2.01709745E8</v>
      </c>
      <c r="B2368" s="54" t="s">
        <v>15444</v>
      </c>
      <c r="C2368" s="54" t="s">
        <v>12366</v>
      </c>
    </row>
    <row r="2369" hidden="1">
      <c r="A2369" s="61">
        <v>2.0180141E8</v>
      </c>
      <c r="B2369" s="54" t="s">
        <v>15445</v>
      </c>
      <c r="C2369" s="54" t="s">
        <v>11897</v>
      </c>
    </row>
    <row r="2370" hidden="1">
      <c r="A2370" s="61">
        <v>2.01606475E8</v>
      </c>
      <c r="B2370" s="54" t="s">
        <v>15446</v>
      </c>
      <c r="C2370" s="54" t="s">
        <v>14227</v>
      </c>
    </row>
    <row r="2371" hidden="1">
      <c r="A2371" s="61">
        <v>2.00908825E8</v>
      </c>
      <c r="B2371" s="54" t="s">
        <v>15446</v>
      </c>
      <c r="C2371" s="54" t="s">
        <v>15447</v>
      </c>
    </row>
    <row r="2372" hidden="1">
      <c r="A2372" s="61">
        <v>2.01300182E8</v>
      </c>
      <c r="B2372" s="54" t="s">
        <v>15448</v>
      </c>
      <c r="C2372" s="54" t="s">
        <v>15449</v>
      </c>
    </row>
    <row r="2373" hidden="1">
      <c r="A2373" s="61">
        <v>2.01603631E8</v>
      </c>
      <c r="B2373" s="54" t="s">
        <v>15450</v>
      </c>
      <c r="C2373" s="54" t="s">
        <v>15451</v>
      </c>
    </row>
    <row r="2374" hidden="1">
      <c r="A2374" s="61">
        <v>2.0111087E8</v>
      </c>
      <c r="B2374" s="54" t="s">
        <v>15452</v>
      </c>
      <c r="C2374" s="54" t="s">
        <v>11525</v>
      </c>
    </row>
    <row r="2375" hidden="1">
      <c r="A2375" s="61">
        <v>2.01603782E8</v>
      </c>
      <c r="B2375" s="54" t="s">
        <v>15453</v>
      </c>
      <c r="C2375" s="54" t="s">
        <v>15454</v>
      </c>
    </row>
    <row r="2376" hidden="1">
      <c r="A2376" s="61">
        <v>2.01508177E8</v>
      </c>
      <c r="B2376" s="54" t="s">
        <v>15455</v>
      </c>
      <c r="C2376" s="54" t="s">
        <v>15456</v>
      </c>
    </row>
    <row r="2377" hidden="1">
      <c r="A2377" s="61">
        <v>2.01110803E8</v>
      </c>
      <c r="B2377" s="54" t="s">
        <v>15457</v>
      </c>
      <c r="C2377" s="54" t="s">
        <v>15458</v>
      </c>
    </row>
    <row r="2378" hidden="1">
      <c r="A2378" s="61">
        <v>2.00201101E8</v>
      </c>
      <c r="B2378" s="54" t="s">
        <v>15459</v>
      </c>
      <c r="C2378" s="54" t="s">
        <v>15460</v>
      </c>
    </row>
    <row r="2379" hidden="1">
      <c r="A2379" s="61">
        <v>2.02002346E8</v>
      </c>
      <c r="B2379" s="54" t="s">
        <v>15461</v>
      </c>
      <c r="C2379" s="54" t="s">
        <v>15462</v>
      </c>
    </row>
    <row r="2380" hidden="1">
      <c r="A2380" s="61">
        <v>2.0210681E8</v>
      </c>
      <c r="B2380" s="54" t="s">
        <v>15463</v>
      </c>
      <c r="C2380" s="54" t="s">
        <v>15464</v>
      </c>
    </row>
    <row r="2381" hidden="1">
      <c r="A2381" s="61">
        <v>2.01603783E8</v>
      </c>
      <c r="B2381" s="54" t="s">
        <v>15465</v>
      </c>
      <c r="C2381" s="54" t="s">
        <v>12687</v>
      </c>
    </row>
    <row r="2382" hidden="1">
      <c r="A2382" s="61">
        <v>2.01705722E8</v>
      </c>
      <c r="B2382" s="54" t="s">
        <v>15466</v>
      </c>
      <c r="C2382" s="54" t="s">
        <v>11521</v>
      </c>
    </row>
    <row r="2383" hidden="1">
      <c r="A2383" s="61">
        <v>2.01603016E8</v>
      </c>
      <c r="B2383" s="54" t="s">
        <v>15467</v>
      </c>
      <c r="C2383" s="54" t="s">
        <v>15468</v>
      </c>
    </row>
    <row r="2384" hidden="1">
      <c r="A2384" s="61">
        <v>2.01900224E8</v>
      </c>
      <c r="B2384" s="54" t="s">
        <v>15469</v>
      </c>
      <c r="C2384" s="54" t="s">
        <v>15470</v>
      </c>
    </row>
    <row r="2385" hidden="1">
      <c r="A2385" s="61">
        <v>2.00908955E8</v>
      </c>
      <c r="B2385" s="54" t="s">
        <v>15471</v>
      </c>
      <c r="C2385" s="54" t="s">
        <v>15472</v>
      </c>
    </row>
    <row r="2386" hidden="1">
      <c r="A2386" s="61">
        <v>2.01309597E8</v>
      </c>
      <c r="B2386" s="54" t="s">
        <v>15473</v>
      </c>
      <c r="C2386" s="54" t="s">
        <v>13435</v>
      </c>
    </row>
    <row r="2387" hidden="1">
      <c r="A2387" s="61">
        <v>2.01902224E8</v>
      </c>
      <c r="B2387" s="54" t="s">
        <v>15474</v>
      </c>
      <c r="C2387" s="54" t="s">
        <v>12004</v>
      </c>
    </row>
    <row r="2388" hidden="1">
      <c r="A2388" s="61">
        <v>2.02103401E8</v>
      </c>
      <c r="B2388" s="54" t="s">
        <v>15475</v>
      </c>
      <c r="C2388" s="54" t="s">
        <v>15476</v>
      </c>
    </row>
    <row r="2389" hidden="1">
      <c r="A2389" s="61">
        <v>2.01200494E8</v>
      </c>
      <c r="B2389" s="54" t="s">
        <v>15477</v>
      </c>
      <c r="C2389" s="54" t="s">
        <v>13903</v>
      </c>
    </row>
    <row r="2390" hidden="1">
      <c r="A2390" s="61">
        <v>2.01209178E8</v>
      </c>
      <c r="B2390" s="54" t="s">
        <v>15478</v>
      </c>
      <c r="C2390" s="54" t="s">
        <v>12180</v>
      </c>
    </row>
    <row r="2391" hidden="1">
      <c r="A2391" s="61">
        <v>2.01503011E8</v>
      </c>
      <c r="B2391" s="54" t="s">
        <v>15479</v>
      </c>
      <c r="C2391" s="54" t="s">
        <v>15480</v>
      </c>
    </row>
    <row r="2392" hidden="1">
      <c r="A2392" s="61">
        <v>2.01902225E8</v>
      </c>
      <c r="B2392" s="54" t="s">
        <v>15481</v>
      </c>
      <c r="C2392" s="54" t="s">
        <v>15482</v>
      </c>
    </row>
    <row r="2393" hidden="1">
      <c r="A2393" s="61">
        <v>2.01900215E8</v>
      </c>
      <c r="B2393" s="54" t="s">
        <v>15483</v>
      </c>
      <c r="C2393" s="54" t="s">
        <v>15484</v>
      </c>
    </row>
    <row r="2394" hidden="1">
      <c r="A2394" s="61">
        <v>2.00908196E8</v>
      </c>
      <c r="B2394" s="54" t="s">
        <v>15485</v>
      </c>
      <c r="C2394" s="54" t="s">
        <v>15486</v>
      </c>
    </row>
    <row r="2395" hidden="1">
      <c r="A2395" s="61">
        <v>2.01200495E8</v>
      </c>
      <c r="B2395" s="54" t="s">
        <v>15487</v>
      </c>
      <c r="C2395" s="54" t="s">
        <v>15019</v>
      </c>
    </row>
    <row r="2396" hidden="1">
      <c r="A2396" s="61">
        <v>2.02000089E8</v>
      </c>
      <c r="B2396" s="54" t="s">
        <v>15488</v>
      </c>
      <c r="C2396" s="54" t="s">
        <v>15489</v>
      </c>
    </row>
    <row r="2397" hidden="1">
      <c r="A2397" s="61">
        <v>2.01705723E8</v>
      </c>
      <c r="B2397" s="54" t="s">
        <v>15490</v>
      </c>
      <c r="C2397" s="54" t="s">
        <v>15491</v>
      </c>
    </row>
    <row r="2398" hidden="1">
      <c r="A2398" s="61">
        <v>2.00402304E8</v>
      </c>
      <c r="B2398" s="54" t="s">
        <v>15492</v>
      </c>
      <c r="C2398" s="54" t="s">
        <v>11775</v>
      </c>
    </row>
    <row r="2399" hidden="1">
      <c r="A2399" s="61">
        <v>2.01904718E8</v>
      </c>
      <c r="B2399" s="54" t="s">
        <v>15493</v>
      </c>
      <c r="C2399" s="54" t="s">
        <v>11707</v>
      </c>
    </row>
    <row r="2400" hidden="1">
      <c r="A2400" s="61">
        <v>2.02107862E8</v>
      </c>
      <c r="B2400" s="54" t="s">
        <v>15494</v>
      </c>
      <c r="C2400" s="54" t="s">
        <v>15495</v>
      </c>
    </row>
    <row r="2401" hidden="1">
      <c r="A2401" s="61">
        <v>2.00904662E8</v>
      </c>
      <c r="B2401" s="54" t="s">
        <v>15496</v>
      </c>
      <c r="C2401" s="54" t="s">
        <v>11982</v>
      </c>
    </row>
    <row r="2402" hidden="1">
      <c r="A2402" s="61">
        <v>2.02102967E8</v>
      </c>
      <c r="B2402" s="54" t="s">
        <v>15497</v>
      </c>
      <c r="C2402" s="54" t="s">
        <v>15498</v>
      </c>
    </row>
    <row r="2403" hidden="1">
      <c r="A2403" s="61">
        <v>2.01701888E8</v>
      </c>
      <c r="B2403" s="54" t="s">
        <v>15499</v>
      </c>
      <c r="C2403" s="54" t="s">
        <v>15500</v>
      </c>
    </row>
    <row r="2404" hidden="1">
      <c r="A2404" s="61">
        <v>1.99802135E8</v>
      </c>
      <c r="B2404" s="54" t="s">
        <v>15501</v>
      </c>
      <c r="C2404" s="54" t="s">
        <v>15502</v>
      </c>
    </row>
    <row r="2405" hidden="1">
      <c r="A2405" s="61">
        <v>2.01706622E8</v>
      </c>
      <c r="B2405" s="54" t="s">
        <v>15503</v>
      </c>
      <c r="C2405" s="54" t="s">
        <v>14436</v>
      </c>
    </row>
    <row r="2406" hidden="1">
      <c r="A2406" s="61">
        <v>2.0080765E8</v>
      </c>
      <c r="B2406" s="54" t="s">
        <v>15504</v>
      </c>
      <c r="C2406" s="54" t="s">
        <v>15505</v>
      </c>
    </row>
    <row r="2407" hidden="1">
      <c r="A2407" s="61">
        <v>2.01409255E8</v>
      </c>
      <c r="B2407" s="54" t="s">
        <v>15506</v>
      </c>
      <c r="C2407" s="54" t="s">
        <v>15507</v>
      </c>
    </row>
    <row r="2408" hidden="1">
      <c r="A2408" s="61">
        <v>2.01001656E8</v>
      </c>
      <c r="B2408" s="54" t="s">
        <v>15508</v>
      </c>
      <c r="C2408" s="54" t="s">
        <v>15509</v>
      </c>
    </row>
    <row r="2409" hidden="1">
      <c r="A2409" s="61">
        <v>2.01603786E8</v>
      </c>
      <c r="B2409" s="54" t="s">
        <v>15510</v>
      </c>
      <c r="C2409" s="54" t="s">
        <v>15511</v>
      </c>
    </row>
    <row r="2410" hidden="1">
      <c r="A2410" s="61">
        <v>2.0110041E8</v>
      </c>
      <c r="B2410" s="54" t="s">
        <v>15512</v>
      </c>
      <c r="C2410" s="54" t="s">
        <v>15513</v>
      </c>
    </row>
    <row r="2411" hidden="1">
      <c r="A2411" s="61">
        <v>2.02000423E8</v>
      </c>
      <c r="B2411" s="54" t="s">
        <v>15514</v>
      </c>
      <c r="C2411" s="54" t="s">
        <v>12860</v>
      </c>
    </row>
    <row r="2412" hidden="1">
      <c r="A2412" s="61">
        <v>2.0160792E8</v>
      </c>
      <c r="B2412" s="54" t="s">
        <v>15515</v>
      </c>
      <c r="C2412" s="54" t="s">
        <v>11525</v>
      </c>
    </row>
    <row r="2413" hidden="1">
      <c r="A2413" s="61">
        <v>2.01700593E8</v>
      </c>
      <c r="B2413" s="54" t="s">
        <v>15516</v>
      </c>
      <c r="C2413" s="54" t="s">
        <v>15341</v>
      </c>
    </row>
    <row r="2414" hidden="1">
      <c r="A2414" s="61">
        <v>2.00908826E8</v>
      </c>
      <c r="B2414" s="54" t="s">
        <v>15517</v>
      </c>
      <c r="C2414" s="54" t="s">
        <v>15518</v>
      </c>
    </row>
    <row r="2415" hidden="1">
      <c r="A2415" s="61">
        <v>2.01803674E8</v>
      </c>
      <c r="B2415" s="54" t="s">
        <v>15519</v>
      </c>
      <c r="C2415" s="54" t="s">
        <v>11650</v>
      </c>
    </row>
    <row r="2416" hidden="1">
      <c r="A2416" s="61">
        <v>2.01603632E8</v>
      </c>
      <c r="B2416" s="54" t="s">
        <v>15520</v>
      </c>
      <c r="C2416" s="54" t="s">
        <v>15521</v>
      </c>
    </row>
    <row r="2417" hidden="1">
      <c r="A2417" s="61">
        <v>2.01201022E8</v>
      </c>
      <c r="B2417" s="54" t="s">
        <v>15522</v>
      </c>
      <c r="C2417" s="54" t="s">
        <v>15523</v>
      </c>
    </row>
    <row r="2418" hidden="1">
      <c r="A2418" s="61">
        <v>2.02103367E8</v>
      </c>
      <c r="B2418" s="54" t="s">
        <v>15524</v>
      </c>
      <c r="C2418" s="54" t="s">
        <v>15525</v>
      </c>
    </row>
    <row r="2419" hidden="1">
      <c r="A2419" s="61">
        <v>2.01801403E8</v>
      </c>
      <c r="B2419" s="54" t="s">
        <v>15526</v>
      </c>
      <c r="C2419" s="54" t="s">
        <v>11880</v>
      </c>
    </row>
    <row r="2420" hidden="1">
      <c r="A2420" s="61">
        <v>2.01603787E8</v>
      </c>
      <c r="B2420" s="54" t="s">
        <v>15527</v>
      </c>
      <c r="C2420" s="54" t="s">
        <v>15528</v>
      </c>
    </row>
    <row r="2421" hidden="1">
      <c r="A2421" s="61">
        <v>2.02009786E8</v>
      </c>
      <c r="B2421" s="54" t="s">
        <v>15529</v>
      </c>
      <c r="C2421" s="54" t="s">
        <v>15530</v>
      </c>
    </row>
    <row r="2422" hidden="1">
      <c r="A2422" s="61">
        <v>2.01010791E8</v>
      </c>
      <c r="B2422" s="54" t="s">
        <v>15531</v>
      </c>
      <c r="C2422" s="54" t="s">
        <v>15532</v>
      </c>
    </row>
    <row r="2423" hidden="1">
      <c r="A2423" s="61">
        <v>1.99910775E8</v>
      </c>
      <c r="B2423" s="54" t="s">
        <v>15533</v>
      </c>
      <c r="C2423" s="54" t="s">
        <v>11997</v>
      </c>
    </row>
    <row r="2424" hidden="1">
      <c r="A2424" s="61">
        <v>2.01801807E8</v>
      </c>
      <c r="B2424" s="54" t="s">
        <v>15534</v>
      </c>
      <c r="C2424" s="54" t="s">
        <v>15535</v>
      </c>
    </row>
    <row r="2425" hidden="1">
      <c r="A2425" s="61">
        <v>2.02009787E8</v>
      </c>
      <c r="B2425" s="54" t="s">
        <v>15536</v>
      </c>
      <c r="C2425" s="54" t="s">
        <v>15537</v>
      </c>
    </row>
    <row r="2426" hidden="1">
      <c r="A2426" s="61">
        <v>2.00802509E8</v>
      </c>
      <c r="B2426" s="54" t="s">
        <v>15538</v>
      </c>
      <c r="C2426" s="54" t="s">
        <v>15539</v>
      </c>
    </row>
    <row r="2427" hidden="1">
      <c r="A2427" s="61">
        <v>2.01209114E8</v>
      </c>
      <c r="B2427" s="54" t="s">
        <v>15540</v>
      </c>
      <c r="C2427" s="54" t="s">
        <v>15541</v>
      </c>
    </row>
    <row r="2428" hidden="1">
      <c r="A2428" s="61">
        <v>2.01603788E8</v>
      </c>
      <c r="B2428" s="54" t="s">
        <v>15542</v>
      </c>
      <c r="C2428" s="54" t="s">
        <v>13683</v>
      </c>
    </row>
    <row r="2429" hidden="1">
      <c r="A2429" s="61">
        <v>2.01709762E8</v>
      </c>
      <c r="B2429" s="54" t="s">
        <v>15543</v>
      </c>
      <c r="C2429" s="54" t="s">
        <v>15544</v>
      </c>
    </row>
    <row r="2430" hidden="1">
      <c r="A2430" s="61">
        <v>2.02000404E8</v>
      </c>
      <c r="B2430" s="54" t="s">
        <v>15545</v>
      </c>
      <c r="C2430" s="54" t="s">
        <v>15546</v>
      </c>
    </row>
    <row r="2431" hidden="1">
      <c r="A2431" s="61">
        <v>2.02000395E8</v>
      </c>
      <c r="B2431" s="54" t="s">
        <v>15547</v>
      </c>
      <c r="C2431" s="54" t="s">
        <v>15548</v>
      </c>
    </row>
    <row r="2432" hidden="1">
      <c r="A2432" s="61">
        <v>2.01801404E8</v>
      </c>
      <c r="B2432" s="54" t="s">
        <v>15549</v>
      </c>
      <c r="C2432" s="54" t="s">
        <v>15550</v>
      </c>
    </row>
    <row r="2433" hidden="1">
      <c r="A2433" s="61">
        <v>2.01607922E8</v>
      </c>
      <c r="B2433" s="54" t="s">
        <v>15551</v>
      </c>
      <c r="C2433" s="54" t="s">
        <v>15552</v>
      </c>
    </row>
    <row r="2434" hidden="1">
      <c r="A2434" s="61">
        <v>2.01803289E8</v>
      </c>
      <c r="B2434" s="54" t="s">
        <v>15553</v>
      </c>
      <c r="C2434" s="54" t="s">
        <v>15084</v>
      </c>
    </row>
    <row r="2435" hidden="1">
      <c r="A2435" s="61">
        <v>2.00908488E8</v>
      </c>
      <c r="B2435" s="54" t="s">
        <v>15554</v>
      </c>
      <c r="C2435" s="54" t="s">
        <v>15555</v>
      </c>
    </row>
    <row r="2436" hidden="1">
      <c r="A2436" s="61">
        <v>2.01209115E8</v>
      </c>
      <c r="B2436" s="54" t="s">
        <v>15556</v>
      </c>
      <c r="C2436" s="54" t="s">
        <v>11490</v>
      </c>
    </row>
    <row r="2437" hidden="1">
      <c r="A2437" s="61">
        <v>2.01603017E8</v>
      </c>
      <c r="B2437" s="54" t="s">
        <v>15557</v>
      </c>
      <c r="C2437" s="54" t="s">
        <v>15558</v>
      </c>
    </row>
    <row r="2438" hidden="1">
      <c r="A2438" s="61">
        <v>2.01900579E8</v>
      </c>
      <c r="B2438" s="54" t="s">
        <v>15559</v>
      </c>
      <c r="C2438" s="54" t="s">
        <v>15560</v>
      </c>
    </row>
    <row r="2439" hidden="1">
      <c r="A2439" s="61">
        <v>2.01400291E8</v>
      </c>
      <c r="B2439" s="54" t="s">
        <v>15561</v>
      </c>
      <c r="C2439" s="54" t="s">
        <v>12139</v>
      </c>
    </row>
    <row r="2440" hidden="1">
      <c r="A2440" s="61">
        <v>2.01100364E8</v>
      </c>
      <c r="B2440" s="54" t="s">
        <v>15562</v>
      </c>
      <c r="C2440" s="54" t="s">
        <v>15563</v>
      </c>
    </row>
    <row r="2441" hidden="1">
      <c r="A2441" s="61">
        <v>2.01300749E8</v>
      </c>
      <c r="B2441" s="54" t="s">
        <v>15564</v>
      </c>
      <c r="C2441" s="54" t="s">
        <v>15565</v>
      </c>
    </row>
    <row r="2442" hidden="1">
      <c r="A2442" s="61">
        <v>2.02005575E8</v>
      </c>
      <c r="B2442" s="54" t="s">
        <v>15566</v>
      </c>
      <c r="C2442" s="54" t="s">
        <v>13488</v>
      </c>
    </row>
    <row r="2443" hidden="1">
      <c r="A2443" s="61">
        <v>2.01606476E8</v>
      </c>
      <c r="B2443" s="54" t="s">
        <v>15567</v>
      </c>
      <c r="C2443" s="54" t="s">
        <v>15568</v>
      </c>
    </row>
    <row r="2444" hidden="1">
      <c r="A2444" s="61">
        <v>2.01308288E8</v>
      </c>
      <c r="B2444" s="54" t="s">
        <v>15569</v>
      </c>
      <c r="C2444" s="54" t="s">
        <v>15570</v>
      </c>
    </row>
    <row r="2445" hidden="1">
      <c r="A2445" s="61">
        <v>2.0120686E8</v>
      </c>
      <c r="B2445" s="54" t="s">
        <v>15571</v>
      </c>
      <c r="C2445" s="54" t="s">
        <v>15572</v>
      </c>
    </row>
    <row r="2446" hidden="1">
      <c r="A2446" s="61">
        <v>2.01900608E8</v>
      </c>
      <c r="B2446" s="54" t="s">
        <v>15573</v>
      </c>
      <c r="C2446" s="54" t="s">
        <v>15574</v>
      </c>
    </row>
    <row r="2447" hidden="1">
      <c r="A2447" s="61">
        <v>2.01505445E8</v>
      </c>
      <c r="B2447" s="54" t="s">
        <v>15575</v>
      </c>
      <c r="C2447" s="54" t="s">
        <v>15576</v>
      </c>
    </row>
    <row r="2448" hidden="1">
      <c r="A2448" s="61">
        <v>2.00703463E8</v>
      </c>
      <c r="B2448" s="54" t="s">
        <v>15577</v>
      </c>
      <c r="C2448" s="54" t="s">
        <v>12349</v>
      </c>
    </row>
    <row r="2449" hidden="1">
      <c r="A2449" s="61">
        <v>2.0140033E8</v>
      </c>
      <c r="B2449" s="54" t="s">
        <v>15577</v>
      </c>
      <c r="C2449" s="54" t="s">
        <v>11560</v>
      </c>
    </row>
    <row r="2450" hidden="1">
      <c r="A2450" s="61">
        <v>2.02009771E8</v>
      </c>
      <c r="B2450" s="54" t="s">
        <v>15578</v>
      </c>
      <c r="C2450" s="54" t="s">
        <v>15579</v>
      </c>
    </row>
    <row r="2451" hidden="1">
      <c r="A2451" s="61">
        <v>2.01900621E8</v>
      </c>
      <c r="B2451" s="54" t="s">
        <v>15580</v>
      </c>
      <c r="C2451" s="54" t="s">
        <v>11484</v>
      </c>
    </row>
    <row r="2452" hidden="1">
      <c r="A2452" s="61">
        <v>2.02102968E8</v>
      </c>
      <c r="B2452" s="54" t="s">
        <v>15581</v>
      </c>
      <c r="C2452" s="54" t="s">
        <v>15582</v>
      </c>
    </row>
    <row r="2453" hidden="1">
      <c r="A2453" s="61">
        <v>2.01801394E8</v>
      </c>
      <c r="B2453" s="54" t="s">
        <v>15581</v>
      </c>
      <c r="C2453" s="54" t="s">
        <v>15583</v>
      </c>
    </row>
    <row r="2454" hidden="1">
      <c r="A2454" s="61">
        <v>2.00707167E8</v>
      </c>
      <c r="B2454" s="54" t="s">
        <v>15584</v>
      </c>
      <c r="C2454" s="54" t="s">
        <v>11991</v>
      </c>
    </row>
    <row r="2455" hidden="1">
      <c r="A2455" s="61">
        <v>2.02000378E8</v>
      </c>
      <c r="B2455" s="54" t="s">
        <v>15585</v>
      </c>
      <c r="C2455" s="54" t="s">
        <v>15586</v>
      </c>
    </row>
    <row r="2456" hidden="1">
      <c r="A2456" s="61">
        <v>2.01900597E8</v>
      </c>
      <c r="B2456" s="54" t="s">
        <v>15587</v>
      </c>
      <c r="C2456" s="54" t="s">
        <v>15588</v>
      </c>
    </row>
    <row r="2457" hidden="1">
      <c r="A2457" s="61">
        <v>2.01809504E8</v>
      </c>
      <c r="B2457" s="54" t="s">
        <v>15589</v>
      </c>
      <c r="C2457" s="54" t="s">
        <v>11729</v>
      </c>
    </row>
    <row r="2458" hidden="1">
      <c r="A2458" s="61">
        <v>2.01900235E8</v>
      </c>
      <c r="B2458" s="54" t="s">
        <v>15590</v>
      </c>
      <c r="C2458" s="54" t="s">
        <v>15591</v>
      </c>
    </row>
    <row r="2459" hidden="1">
      <c r="A2459" s="61">
        <v>2.01603789E8</v>
      </c>
      <c r="B2459" s="54" t="s">
        <v>15592</v>
      </c>
      <c r="C2459" s="54" t="s">
        <v>12796</v>
      </c>
    </row>
    <row r="2460" hidden="1">
      <c r="A2460" s="61">
        <v>2.0160379E8</v>
      </c>
      <c r="B2460" s="54" t="s">
        <v>15593</v>
      </c>
      <c r="C2460" s="54" t="s">
        <v>15594</v>
      </c>
    </row>
    <row r="2461" hidden="1">
      <c r="A2461" s="61">
        <v>2.0120847E8</v>
      </c>
      <c r="B2461" s="54" t="s">
        <v>15595</v>
      </c>
      <c r="C2461" s="54" t="s">
        <v>15596</v>
      </c>
    </row>
    <row r="2462" hidden="1">
      <c r="A2462" s="61">
        <v>2.01705727E8</v>
      </c>
      <c r="B2462" s="54" t="s">
        <v>15597</v>
      </c>
      <c r="C2462" s="54" t="s">
        <v>12555</v>
      </c>
    </row>
    <row r="2463" hidden="1">
      <c r="A2463" s="61">
        <v>2.00908489E8</v>
      </c>
      <c r="B2463" s="54" t="s">
        <v>15598</v>
      </c>
      <c r="C2463" s="54" t="s">
        <v>15599</v>
      </c>
    </row>
    <row r="2464" hidden="1">
      <c r="A2464" s="61">
        <v>2.01701889E8</v>
      </c>
      <c r="B2464" s="54" t="s">
        <v>15600</v>
      </c>
      <c r="C2464" s="54" t="s">
        <v>15601</v>
      </c>
    </row>
    <row r="2465" hidden="1">
      <c r="A2465" s="61">
        <v>1.99601493E8</v>
      </c>
      <c r="B2465" s="54" t="s">
        <v>15602</v>
      </c>
      <c r="C2465" s="54" t="s">
        <v>12341</v>
      </c>
    </row>
    <row r="2466">
      <c r="A2466" s="61">
        <v>2.00901237E8</v>
      </c>
      <c r="B2466" s="54" t="s">
        <v>15603</v>
      </c>
      <c r="C2466" s="54" t="s">
        <v>14227</v>
      </c>
    </row>
    <row r="2467" hidden="1">
      <c r="A2467" s="61">
        <v>2.01909879E8</v>
      </c>
      <c r="B2467" s="54" t="s">
        <v>15604</v>
      </c>
      <c r="C2467" s="54" t="s">
        <v>15605</v>
      </c>
    </row>
    <row r="2468" hidden="1">
      <c r="A2468" s="61">
        <v>2.01504909E8</v>
      </c>
      <c r="B2468" s="54" t="s">
        <v>15606</v>
      </c>
      <c r="C2468" s="54" t="s">
        <v>15607</v>
      </c>
    </row>
    <row r="2469" hidden="1">
      <c r="A2469" s="61">
        <v>2.02102969E8</v>
      </c>
      <c r="B2469" s="54" t="s">
        <v>15608</v>
      </c>
      <c r="C2469" s="54" t="s">
        <v>15609</v>
      </c>
    </row>
    <row r="2470" hidden="1">
      <c r="A2470" s="61">
        <v>1.99401556E8</v>
      </c>
      <c r="B2470" s="54" t="s">
        <v>15610</v>
      </c>
      <c r="C2470" s="54" t="s">
        <v>13982</v>
      </c>
    </row>
    <row r="2471" hidden="1">
      <c r="A2471" s="61">
        <v>2.00502355E8</v>
      </c>
      <c r="B2471" s="54" t="s">
        <v>15611</v>
      </c>
      <c r="C2471" s="54" t="s">
        <v>15612</v>
      </c>
    </row>
    <row r="2472" hidden="1">
      <c r="A2472" s="61">
        <v>2.01512275E8</v>
      </c>
      <c r="B2472" s="54" t="s">
        <v>15611</v>
      </c>
      <c r="C2472" s="54" t="s">
        <v>15613</v>
      </c>
    </row>
    <row r="2473" hidden="1">
      <c r="A2473" s="61">
        <v>2.01603791E8</v>
      </c>
      <c r="B2473" s="54" t="s">
        <v>15614</v>
      </c>
      <c r="C2473" s="54" t="s">
        <v>12176</v>
      </c>
    </row>
    <row r="2474" hidden="1">
      <c r="A2474" s="61">
        <v>2.02000102E8</v>
      </c>
      <c r="B2474" s="54" t="s">
        <v>15615</v>
      </c>
      <c r="C2474" s="54" t="s">
        <v>12657</v>
      </c>
    </row>
    <row r="2475" hidden="1">
      <c r="A2475" s="61">
        <v>2.02103323E8</v>
      </c>
      <c r="B2475" s="54" t="s">
        <v>15616</v>
      </c>
      <c r="C2475" s="54" t="s">
        <v>11679</v>
      </c>
    </row>
    <row r="2476" hidden="1">
      <c r="A2476" s="61">
        <v>2.01709759E8</v>
      </c>
      <c r="B2476" s="54" t="s">
        <v>15617</v>
      </c>
      <c r="C2476" s="54" t="s">
        <v>15618</v>
      </c>
    </row>
    <row r="2477" hidden="1">
      <c r="A2477" s="61">
        <v>2.01409257E8</v>
      </c>
      <c r="B2477" s="54" t="s">
        <v>15619</v>
      </c>
      <c r="C2477" s="54" t="s">
        <v>11835</v>
      </c>
    </row>
    <row r="2478" hidden="1">
      <c r="A2478" s="61">
        <v>2.00904994E8</v>
      </c>
      <c r="B2478" s="54" t="s">
        <v>15620</v>
      </c>
      <c r="C2478" s="54" t="s">
        <v>15621</v>
      </c>
    </row>
    <row r="2479" hidden="1">
      <c r="A2479" s="61">
        <v>2.02102971E8</v>
      </c>
      <c r="B2479" s="54" t="s">
        <v>15622</v>
      </c>
      <c r="C2479" s="54" t="s">
        <v>12879</v>
      </c>
    </row>
    <row r="2480" hidden="1">
      <c r="A2480" s="61">
        <v>2.01902227E8</v>
      </c>
      <c r="B2480" s="54" t="s">
        <v>15623</v>
      </c>
      <c r="C2480" s="54" t="s">
        <v>12055</v>
      </c>
    </row>
    <row r="2481" hidden="1">
      <c r="A2481" s="61">
        <v>2.01200531E8</v>
      </c>
      <c r="B2481" s="54" t="s">
        <v>15624</v>
      </c>
      <c r="C2481" s="54" t="s">
        <v>15625</v>
      </c>
    </row>
    <row r="2482" hidden="1">
      <c r="A2482" s="61">
        <v>2.01309566E8</v>
      </c>
      <c r="B2482" s="54" t="s">
        <v>15626</v>
      </c>
      <c r="C2482" s="54" t="s">
        <v>11784</v>
      </c>
    </row>
    <row r="2483" hidden="1">
      <c r="A2483" s="61">
        <v>2.01400196E8</v>
      </c>
      <c r="B2483" s="54" t="s">
        <v>15627</v>
      </c>
      <c r="C2483" s="54" t="s">
        <v>11831</v>
      </c>
    </row>
    <row r="2484" hidden="1">
      <c r="A2484" s="61">
        <v>2.0190023E8</v>
      </c>
      <c r="B2484" s="54" t="s">
        <v>15628</v>
      </c>
      <c r="C2484" s="54" t="s">
        <v>15629</v>
      </c>
    </row>
    <row r="2485" hidden="1">
      <c r="A2485" s="61">
        <v>2.0210297E8</v>
      </c>
      <c r="B2485" s="54" t="s">
        <v>15630</v>
      </c>
      <c r="C2485" s="54" t="s">
        <v>15631</v>
      </c>
    </row>
    <row r="2486" hidden="1">
      <c r="A2486" s="61">
        <v>2.00607223E8</v>
      </c>
      <c r="B2486" s="54" t="s">
        <v>15632</v>
      </c>
      <c r="C2486" s="54" t="s">
        <v>15633</v>
      </c>
    </row>
    <row r="2487" hidden="1">
      <c r="A2487" s="61">
        <v>2.01700744E8</v>
      </c>
      <c r="B2487" s="54" t="s">
        <v>15634</v>
      </c>
      <c r="C2487" s="54" t="s">
        <v>11704</v>
      </c>
    </row>
    <row r="2488" hidden="1">
      <c r="A2488" s="61">
        <v>2.01003334E8</v>
      </c>
      <c r="B2488" s="54" t="s">
        <v>15635</v>
      </c>
      <c r="C2488" s="54" t="s">
        <v>12591</v>
      </c>
    </row>
    <row r="2489" hidden="1">
      <c r="A2489" s="61">
        <v>2.02103337E8</v>
      </c>
      <c r="B2489" s="54" t="s">
        <v>15636</v>
      </c>
      <c r="C2489" s="54" t="s">
        <v>12328</v>
      </c>
    </row>
    <row r="2490" hidden="1">
      <c r="A2490" s="61">
        <v>2.01902228E8</v>
      </c>
      <c r="B2490" s="54" t="s">
        <v>15637</v>
      </c>
      <c r="C2490" s="54" t="s">
        <v>15638</v>
      </c>
    </row>
    <row r="2491" hidden="1">
      <c r="A2491" s="61">
        <v>2.00703811E8</v>
      </c>
      <c r="B2491" s="54" t="s">
        <v>15639</v>
      </c>
      <c r="C2491" s="54" t="s">
        <v>12055</v>
      </c>
    </row>
    <row r="2492" hidden="1">
      <c r="A2492" s="61">
        <v>2.00901381E8</v>
      </c>
      <c r="B2492" s="54" t="s">
        <v>15640</v>
      </c>
      <c r="C2492" s="54" t="s">
        <v>15641</v>
      </c>
    </row>
    <row r="2493" hidden="1">
      <c r="A2493" s="61">
        <v>2.02005576E8</v>
      </c>
      <c r="B2493" s="54" t="s">
        <v>15642</v>
      </c>
      <c r="C2493" s="54" t="s">
        <v>12382</v>
      </c>
    </row>
    <row r="2494" hidden="1">
      <c r="A2494" s="61">
        <v>2.01909715E8</v>
      </c>
      <c r="B2494" s="54" t="s">
        <v>15643</v>
      </c>
      <c r="C2494" s="54" t="s">
        <v>11521</v>
      </c>
    </row>
    <row r="2495" hidden="1">
      <c r="A2495" s="61">
        <v>2.01409373E8</v>
      </c>
      <c r="B2495" s="54" t="s">
        <v>15644</v>
      </c>
      <c r="C2495" s="54" t="s">
        <v>11909</v>
      </c>
    </row>
    <row r="2496" hidden="1">
      <c r="A2496" s="61">
        <v>2.0150491E8</v>
      </c>
      <c r="B2496" s="54" t="s">
        <v>15645</v>
      </c>
      <c r="C2496" s="54" t="s">
        <v>11525</v>
      </c>
    </row>
    <row r="2497" hidden="1">
      <c r="A2497" s="61">
        <v>2.02000112E8</v>
      </c>
      <c r="B2497" s="54" t="s">
        <v>15646</v>
      </c>
      <c r="C2497" s="54" t="s">
        <v>15647</v>
      </c>
    </row>
    <row r="2498" hidden="1">
      <c r="A2498" s="61">
        <v>2.01001404E8</v>
      </c>
      <c r="B2498" s="54" t="s">
        <v>15648</v>
      </c>
      <c r="C2498" s="54" t="s">
        <v>15649</v>
      </c>
    </row>
    <row r="2499" hidden="1">
      <c r="A2499" s="61">
        <v>2.01801395E8</v>
      </c>
      <c r="B2499" s="54" t="s">
        <v>15650</v>
      </c>
      <c r="C2499" s="54" t="s">
        <v>15651</v>
      </c>
    </row>
    <row r="2500" hidden="1">
      <c r="A2500" s="61">
        <v>2.0190058E8</v>
      </c>
      <c r="B2500" s="54" t="s">
        <v>15652</v>
      </c>
      <c r="C2500" s="54" t="s">
        <v>15653</v>
      </c>
    </row>
    <row r="2501" hidden="1">
      <c r="A2501" s="61">
        <v>2.02103369E8</v>
      </c>
      <c r="B2501" s="54" t="s">
        <v>15654</v>
      </c>
      <c r="C2501" s="54" t="s">
        <v>15655</v>
      </c>
    </row>
    <row r="2502" hidden="1">
      <c r="A2502" s="61">
        <v>2.02000396E8</v>
      </c>
      <c r="B2502" s="54" t="s">
        <v>15656</v>
      </c>
      <c r="C2502" s="54" t="s">
        <v>15657</v>
      </c>
    </row>
    <row r="2503" hidden="1">
      <c r="A2503" s="61">
        <v>2.01909909E8</v>
      </c>
      <c r="B2503" s="54" t="s">
        <v>15658</v>
      </c>
      <c r="C2503" s="54" t="s">
        <v>12420</v>
      </c>
    </row>
    <row r="2504" hidden="1">
      <c r="A2504" s="61">
        <v>2.01000834E8</v>
      </c>
      <c r="B2504" s="54" t="s">
        <v>15659</v>
      </c>
      <c r="C2504" s="54" t="s">
        <v>15660</v>
      </c>
    </row>
    <row r="2505" hidden="1">
      <c r="A2505" s="61">
        <v>2.02005577E8</v>
      </c>
      <c r="B2505" s="54" t="s">
        <v>15661</v>
      </c>
      <c r="C2505" s="54" t="s">
        <v>12055</v>
      </c>
    </row>
    <row r="2506" hidden="1">
      <c r="A2506" s="61">
        <v>2.02105139E8</v>
      </c>
      <c r="B2506" s="54" t="s">
        <v>15662</v>
      </c>
      <c r="C2506" s="54" t="s">
        <v>12557</v>
      </c>
    </row>
    <row r="2507" hidden="1">
      <c r="A2507" s="61">
        <v>2.0210514E8</v>
      </c>
      <c r="B2507" s="54" t="s">
        <v>15663</v>
      </c>
      <c r="C2507" s="54" t="s">
        <v>15664</v>
      </c>
    </row>
    <row r="2508" hidden="1">
      <c r="A2508" s="61">
        <v>2.0190036E8</v>
      </c>
      <c r="B2508" s="54" t="s">
        <v>15665</v>
      </c>
      <c r="C2508" s="54" t="s">
        <v>14281</v>
      </c>
    </row>
    <row r="2509" hidden="1">
      <c r="A2509" s="61">
        <v>2.00901383E8</v>
      </c>
      <c r="B2509" s="54" t="s">
        <v>15666</v>
      </c>
      <c r="C2509" s="54" t="s">
        <v>15667</v>
      </c>
    </row>
    <row r="2510" hidden="1">
      <c r="A2510" s="61">
        <v>2.01909701E8</v>
      </c>
      <c r="B2510" s="54" t="s">
        <v>15668</v>
      </c>
      <c r="C2510" s="54" t="s">
        <v>15447</v>
      </c>
    </row>
    <row r="2511" hidden="1">
      <c r="A2511" s="61">
        <v>2.01400294E8</v>
      </c>
      <c r="B2511" s="54" t="s">
        <v>15669</v>
      </c>
      <c r="C2511" s="54" t="s">
        <v>15670</v>
      </c>
    </row>
    <row r="2512" hidden="1">
      <c r="A2512" s="61">
        <v>2.01206884E8</v>
      </c>
      <c r="B2512" s="54" t="s">
        <v>15671</v>
      </c>
      <c r="C2512" s="54" t="s">
        <v>13592</v>
      </c>
    </row>
    <row r="2513" hidden="1">
      <c r="A2513" s="61">
        <v>2.01400985E8</v>
      </c>
      <c r="B2513" s="54" t="s">
        <v>15672</v>
      </c>
      <c r="C2513" s="54" t="s">
        <v>15653</v>
      </c>
    </row>
    <row r="2514" hidden="1">
      <c r="A2514" s="61">
        <v>2.01900609E8</v>
      </c>
      <c r="B2514" s="54" t="s">
        <v>15673</v>
      </c>
      <c r="C2514" s="54" t="s">
        <v>12595</v>
      </c>
    </row>
    <row r="2515" hidden="1">
      <c r="A2515" s="61">
        <v>2.02000387E8</v>
      </c>
      <c r="B2515" s="54" t="s">
        <v>15674</v>
      </c>
      <c r="C2515" s="54" t="s">
        <v>15675</v>
      </c>
    </row>
    <row r="2516" hidden="1">
      <c r="A2516" s="61">
        <v>2.00101118E8</v>
      </c>
      <c r="B2516" s="54" t="s">
        <v>15676</v>
      </c>
      <c r="C2516" s="54" t="s">
        <v>12462</v>
      </c>
    </row>
    <row r="2517" hidden="1">
      <c r="A2517" s="61">
        <v>2.01909969E8</v>
      </c>
      <c r="B2517" s="54" t="s">
        <v>15677</v>
      </c>
      <c r="C2517" s="54" t="s">
        <v>11607</v>
      </c>
    </row>
    <row r="2518" hidden="1">
      <c r="A2518" s="61">
        <v>2.02103418E8</v>
      </c>
      <c r="B2518" s="54" t="s">
        <v>15678</v>
      </c>
      <c r="C2518" s="54" t="s">
        <v>15679</v>
      </c>
    </row>
    <row r="2519" hidden="1">
      <c r="A2519" s="61">
        <v>2.01909708E8</v>
      </c>
      <c r="B2519" s="54" t="s">
        <v>15680</v>
      </c>
      <c r="C2519" s="54" t="s">
        <v>11572</v>
      </c>
    </row>
    <row r="2520" hidden="1">
      <c r="A2520" s="61">
        <v>2.01104324E8</v>
      </c>
      <c r="B2520" s="54" t="s">
        <v>15681</v>
      </c>
      <c r="C2520" s="54" t="s">
        <v>11570</v>
      </c>
    </row>
    <row r="2521" hidden="1">
      <c r="A2521" s="61">
        <v>2.01209116E8</v>
      </c>
      <c r="B2521" s="54" t="s">
        <v>15682</v>
      </c>
      <c r="C2521" s="54" t="s">
        <v>11650</v>
      </c>
    </row>
    <row r="2522" hidden="1">
      <c r="A2522" s="61">
        <v>2.01907032E8</v>
      </c>
      <c r="B2522" s="54" t="s">
        <v>15683</v>
      </c>
      <c r="C2522" s="54" t="s">
        <v>11991</v>
      </c>
    </row>
    <row r="2523" hidden="1">
      <c r="A2523" s="61">
        <v>2.01200498E8</v>
      </c>
      <c r="B2523" s="54" t="s">
        <v>15684</v>
      </c>
      <c r="C2523" s="54" t="s">
        <v>15685</v>
      </c>
    </row>
    <row r="2524" hidden="1">
      <c r="A2524" s="61">
        <v>2.00901867E8</v>
      </c>
      <c r="B2524" s="54" t="s">
        <v>15686</v>
      </c>
      <c r="C2524" s="54" t="s">
        <v>11775</v>
      </c>
    </row>
    <row r="2525" hidden="1">
      <c r="A2525" s="61">
        <v>2.01308714E8</v>
      </c>
      <c r="B2525" s="54" t="s">
        <v>15687</v>
      </c>
      <c r="C2525" s="54" t="s">
        <v>15688</v>
      </c>
    </row>
    <row r="2526" hidden="1">
      <c r="A2526" s="61">
        <v>2.01603793E8</v>
      </c>
      <c r="B2526" s="54" t="s">
        <v>15689</v>
      </c>
      <c r="C2526" s="54" t="s">
        <v>15690</v>
      </c>
    </row>
    <row r="2527" hidden="1">
      <c r="A2527" s="61">
        <v>2.01607924E8</v>
      </c>
      <c r="B2527" s="54" t="s">
        <v>15691</v>
      </c>
      <c r="C2527" s="54" t="s">
        <v>15692</v>
      </c>
    </row>
    <row r="2528" hidden="1">
      <c r="A2528" s="61">
        <v>2.00704813E8</v>
      </c>
      <c r="B2528" s="54" t="s">
        <v>15693</v>
      </c>
      <c r="C2528" s="54" t="s">
        <v>15694</v>
      </c>
    </row>
    <row r="2529" hidden="1">
      <c r="A2529" s="61">
        <v>2.02000424E8</v>
      </c>
      <c r="B2529" s="54" t="s">
        <v>15695</v>
      </c>
      <c r="C2529" s="54" t="s">
        <v>15696</v>
      </c>
    </row>
    <row r="2530" hidden="1">
      <c r="A2530" s="61">
        <v>2.01200499E8</v>
      </c>
      <c r="B2530" s="54" t="s">
        <v>15697</v>
      </c>
      <c r="C2530" s="54" t="s">
        <v>15698</v>
      </c>
    </row>
    <row r="2531" hidden="1">
      <c r="A2531" s="61">
        <v>2.02001556E8</v>
      </c>
      <c r="B2531" s="54" t="s">
        <v>15699</v>
      </c>
      <c r="C2531" s="54" t="s">
        <v>15700</v>
      </c>
    </row>
    <row r="2532" hidden="1">
      <c r="A2532" s="61">
        <v>2.01706692E8</v>
      </c>
      <c r="B2532" s="54" t="s">
        <v>15701</v>
      </c>
      <c r="C2532" s="54" t="s">
        <v>15702</v>
      </c>
    </row>
    <row r="2533" hidden="1">
      <c r="A2533" s="61">
        <v>2.01309832E8</v>
      </c>
      <c r="B2533" s="54" t="s">
        <v>15703</v>
      </c>
      <c r="C2533" s="54" t="s">
        <v>15704</v>
      </c>
    </row>
    <row r="2534" hidden="1">
      <c r="A2534" s="61">
        <v>2.01502082E8</v>
      </c>
      <c r="B2534" s="54" t="s">
        <v>15705</v>
      </c>
      <c r="C2534" s="54" t="s">
        <v>13282</v>
      </c>
    </row>
    <row r="2535" hidden="1">
      <c r="A2535" s="61">
        <v>2.01103651E8</v>
      </c>
      <c r="B2535" s="54" t="s">
        <v>15706</v>
      </c>
      <c r="C2535" s="54" t="s">
        <v>12498</v>
      </c>
    </row>
    <row r="2536" hidden="1">
      <c r="A2536" s="61">
        <v>2.01400295E8</v>
      </c>
      <c r="B2536" s="54" t="s">
        <v>15707</v>
      </c>
      <c r="C2536" s="54" t="s">
        <v>14281</v>
      </c>
    </row>
    <row r="2537" hidden="1">
      <c r="A2537" s="61">
        <v>2.00607229E8</v>
      </c>
      <c r="B2537" s="54" t="s">
        <v>15708</v>
      </c>
      <c r="C2537" s="54" t="s">
        <v>15709</v>
      </c>
    </row>
    <row r="2538" hidden="1">
      <c r="A2538" s="61">
        <v>2.01209117E8</v>
      </c>
      <c r="B2538" s="54" t="s">
        <v>15710</v>
      </c>
      <c r="C2538" s="54" t="s">
        <v>15711</v>
      </c>
    </row>
    <row r="2539" hidden="1">
      <c r="A2539" s="61">
        <v>2.0200233E8</v>
      </c>
      <c r="B2539" s="54" t="s">
        <v>15712</v>
      </c>
      <c r="C2539" s="54" t="s">
        <v>11845</v>
      </c>
    </row>
    <row r="2540" hidden="1">
      <c r="A2540" s="61">
        <v>2.01804982E8</v>
      </c>
      <c r="B2540" s="54" t="s">
        <v>15713</v>
      </c>
      <c r="C2540" s="54" t="s">
        <v>11880</v>
      </c>
    </row>
    <row r="2541" hidden="1">
      <c r="A2541" s="61">
        <v>2.01603794E8</v>
      </c>
      <c r="B2541" s="54" t="s">
        <v>15714</v>
      </c>
      <c r="C2541" s="54" t="s">
        <v>11560</v>
      </c>
    </row>
    <row r="2542" hidden="1">
      <c r="A2542" s="61">
        <v>2.01407324E8</v>
      </c>
      <c r="B2542" s="54" t="s">
        <v>15715</v>
      </c>
      <c r="C2542" s="54" t="s">
        <v>15716</v>
      </c>
    </row>
    <row r="2543" hidden="1">
      <c r="A2543" s="61">
        <v>2.01809505E8</v>
      </c>
      <c r="B2543" s="54" t="s">
        <v>15717</v>
      </c>
      <c r="C2543" s="54" t="s">
        <v>15718</v>
      </c>
    </row>
    <row r="2544" hidden="1">
      <c r="A2544" s="61">
        <v>2.00402389E8</v>
      </c>
      <c r="B2544" s="54" t="s">
        <v>15719</v>
      </c>
      <c r="C2544" s="54" t="s">
        <v>15720</v>
      </c>
    </row>
    <row r="2545" hidden="1">
      <c r="A2545" s="61">
        <v>2.01704779E8</v>
      </c>
      <c r="B2545" s="54" t="s">
        <v>15721</v>
      </c>
      <c r="C2545" s="54" t="s">
        <v>15722</v>
      </c>
    </row>
    <row r="2546" hidden="1">
      <c r="A2546" s="61">
        <v>2.01706623E8</v>
      </c>
      <c r="B2546" s="54" t="s">
        <v>15723</v>
      </c>
      <c r="C2546" s="54" t="s">
        <v>15724</v>
      </c>
    </row>
    <row r="2547" hidden="1">
      <c r="A2547" s="61">
        <v>2.01700745E8</v>
      </c>
      <c r="B2547" s="54" t="s">
        <v>15725</v>
      </c>
      <c r="C2547" s="54" t="s">
        <v>12129</v>
      </c>
    </row>
    <row r="2548" hidden="1">
      <c r="A2548" s="61">
        <v>2.01506872E8</v>
      </c>
      <c r="B2548" s="54" t="s">
        <v>15726</v>
      </c>
      <c r="C2548" s="54" t="s">
        <v>15727</v>
      </c>
    </row>
    <row r="2549" hidden="1">
      <c r="A2549" s="61">
        <v>2.01904699E8</v>
      </c>
      <c r="B2549" s="54" t="s">
        <v>15728</v>
      </c>
      <c r="C2549" s="54" t="s">
        <v>15729</v>
      </c>
    </row>
    <row r="2550" hidden="1">
      <c r="A2550" s="61">
        <v>2.01706624E8</v>
      </c>
      <c r="B2550" s="54" t="s">
        <v>15730</v>
      </c>
      <c r="C2550" s="54" t="s">
        <v>15731</v>
      </c>
    </row>
    <row r="2551" hidden="1">
      <c r="A2551" s="61">
        <v>2.00503669E8</v>
      </c>
      <c r="B2551" s="54" t="s">
        <v>15732</v>
      </c>
      <c r="C2551" s="54" t="s">
        <v>15733</v>
      </c>
    </row>
    <row r="2552" hidden="1">
      <c r="A2552" s="61">
        <v>2.02102972E8</v>
      </c>
      <c r="B2552" s="54" t="s">
        <v>15734</v>
      </c>
      <c r="C2552" s="54" t="s">
        <v>15735</v>
      </c>
    </row>
    <row r="2553" hidden="1">
      <c r="A2553" s="61">
        <v>2.02009765E8</v>
      </c>
      <c r="B2553" s="54" t="s">
        <v>15736</v>
      </c>
      <c r="C2553" s="54" t="s">
        <v>11784</v>
      </c>
    </row>
    <row r="2554" hidden="1">
      <c r="A2554" s="61">
        <v>2.02001557E8</v>
      </c>
      <c r="B2554" s="54" t="s">
        <v>15737</v>
      </c>
      <c r="C2554" s="54" t="s">
        <v>15738</v>
      </c>
    </row>
    <row r="2555" hidden="1">
      <c r="A2555" s="61">
        <v>2.01607925E8</v>
      </c>
      <c r="B2555" s="54" t="s">
        <v>15739</v>
      </c>
      <c r="C2555" s="54" t="s">
        <v>15740</v>
      </c>
    </row>
    <row r="2556" hidden="1">
      <c r="A2556" s="61">
        <v>2.0141069E8</v>
      </c>
      <c r="B2556" s="54" t="s">
        <v>15741</v>
      </c>
      <c r="C2556" s="54" t="s">
        <v>15742</v>
      </c>
    </row>
    <row r="2557" hidden="1">
      <c r="A2557" s="61">
        <v>2.007098E8</v>
      </c>
      <c r="B2557" s="54" t="s">
        <v>15743</v>
      </c>
      <c r="C2557" s="54" t="s">
        <v>12185</v>
      </c>
    </row>
    <row r="2558" hidden="1">
      <c r="A2558" s="61">
        <v>2.00800846E8</v>
      </c>
      <c r="B2558" s="54" t="s">
        <v>15744</v>
      </c>
      <c r="C2558" s="54" t="s">
        <v>15745</v>
      </c>
    </row>
    <row r="2559" hidden="1">
      <c r="A2559" s="61">
        <v>2.02107936E8</v>
      </c>
      <c r="B2559" s="54" t="s">
        <v>15746</v>
      </c>
      <c r="C2559" s="54" t="s">
        <v>15747</v>
      </c>
    </row>
    <row r="2560" hidden="1">
      <c r="A2560" s="61">
        <v>1.99201628E8</v>
      </c>
      <c r="B2560" s="54" t="s">
        <v>15748</v>
      </c>
      <c r="C2560" s="54" t="s">
        <v>15749</v>
      </c>
    </row>
    <row r="2561" hidden="1">
      <c r="A2561" s="61">
        <v>2.01300185E8</v>
      </c>
      <c r="B2561" s="54" t="s">
        <v>15750</v>
      </c>
      <c r="C2561" s="54" t="s">
        <v>12442</v>
      </c>
    </row>
    <row r="2562" hidden="1">
      <c r="A2562" s="61">
        <v>2.01308284E8</v>
      </c>
      <c r="B2562" s="54" t="s">
        <v>15751</v>
      </c>
      <c r="C2562" s="54" t="s">
        <v>11490</v>
      </c>
    </row>
    <row r="2563" hidden="1">
      <c r="A2563" s="61">
        <v>1.99910782E8</v>
      </c>
      <c r="B2563" s="54" t="s">
        <v>15752</v>
      </c>
      <c r="C2563" s="54" t="s">
        <v>15753</v>
      </c>
    </row>
    <row r="2564" hidden="1">
      <c r="A2564" s="61">
        <v>2.02000388E8</v>
      </c>
      <c r="B2564" s="54" t="s">
        <v>15754</v>
      </c>
      <c r="C2564" s="54" t="s">
        <v>15755</v>
      </c>
    </row>
    <row r="2565" hidden="1">
      <c r="A2565" s="61">
        <v>2.018096E8</v>
      </c>
      <c r="B2565" s="54" t="s">
        <v>15756</v>
      </c>
      <c r="C2565" s="54" t="s">
        <v>15757</v>
      </c>
    </row>
    <row r="2566" hidden="1">
      <c r="A2566" s="61">
        <v>2.01603633E8</v>
      </c>
      <c r="B2566" s="54" t="s">
        <v>15758</v>
      </c>
      <c r="C2566" s="54" t="s">
        <v>15759</v>
      </c>
    </row>
    <row r="2567" hidden="1">
      <c r="A2567" s="61">
        <v>2.00402409E8</v>
      </c>
      <c r="B2567" s="54" t="s">
        <v>15760</v>
      </c>
      <c r="C2567" s="54" t="s">
        <v>15761</v>
      </c>
    </row>
    <row r="2568" hidden="1">
      <c r="A2568" s="61">
        <v>2.01603634E8</v>
      </c>
      <c r="B2568" s="54" t="s">
        <v>15762</v>
      </c>
      <c r="C2568" s="54" t="s">
        <v>13910</v>
      </c>
    </row>
    <row r="2569" hidden="1">
      <c r="A2569" s="61">
        <v>2.00507451E8</v>
      </c>
      <c r="B2569" s="54" t="s">
        <v>15763</v>
      </c>
      <c r="C2569" s="54" t="s">
        <v>11777</v>
      </c>
    </row>
    <row r="2570" hidden="1">
      <c r="A2570" s="61">
        <v>2.01704761E8</v>
      </c>
      <c r="B2570" s="54" t="s">
        <v>15764</v>
      </c>
      <c r="C2570" s="54" t="s">
        <v>12676</v>
      </c>
    </row>
    <row r="2571" hidden="1">
      <c r="A2571" s="61">
        <v>2.01800279E8</v>
      </c>
      <c r="B2571" s="54" t="s">
        <v>15765</v>
      </c>
      <c r="C2571" s="54" t="s">
        <v>15766</v>
      </c>
    </row>
    <row r="2572" hidden="1">
      <c r="A2572" s="61">
        <v>2.01708274E8</v>
      </c>
      <c r="B2572" s="54" t="s">
        <v>15767</v>
      </c>
      <c r="C2572" s="54" t="s">
        <v>14991</v>
      </c>
    </row>
    <row r="2573" hidden="1">
      <c r="A2573" s="61">
        <v>2.01900586E8</v>
      </c>
      <c r="B2573" s="54" t="s">
        <v>15768</v>
      </c>
      <c r="C2573" s="54" t="s">
        <v>14281</v>
      </c>
    </row>
    <row r="2574" hidden="1">
      <c r="A2574" s="61">
        <v>2.01607926E8</v>
      </c>
      <c r="B2574" s="54" t="s">
        <v>15769</v>
      </c>
      <c r="C2574" s="54" t="s">
        <v>15770</v>
      </c>
    </row>
    <row r="2575" hidden="1">
      <c r="A2575" s="61">
        <v>2.01900229E8</v>
      </c>
      <c r="B2575" s="54" t="s">
        <v>15771</v>
      </c>
      <c r="C2575" s="54" t="s">
        <v>13605</v>
      </c>
    </row>
    <row r="2576" hidden="1">
      <c r="A2576" s="61">
        <v>2.01603795E8</v>
      </c>
      <c r="B2576" s="54" t="s">
        <v>15772</v>
      </c>
      <c r="C2576" s="54" t="s">
        <v>15773</v>
      </c>
    </row>
    <row r="2577" hidden="1">
      <c r="A2577" s="61">
        <v>2.01603796E8</v>
      </c>
      <c r="B2577" s="54" t="s">
        <v>15774</v>
      </c>
      <c r="C2577" s="54" t="s">
        <v>11572</v>
      </c>
    </row>
    <row r="2578" hidden="1">
      <c r="A2578" s="61">
        <v>2.02000114E8</v>
      </c>
      <c r="B2578" s="54" t="s">
        <v>15775</v>
      </c>
      <c r="C2578" s="54" t="s">
        <v>15776</v>
      </c>
    </row>
    <row r="2579" hidden="1">
      <c r="A2579" s="61">
        <v>2.02102973E8</v>
      </c>
      <c r="B2579" s="54" t="s">
        <v>15777</v>
      </c>
      <c r="C2579" s="54" t="s">
        <v>12892</v>
      </c>
    </row>
    <row r="2580" hidden="1">
      <c r="A2580" s="61">
        <v>2.01502085E8</v>
      </c>
      <c r="B2580" s="54" t="s">
        <v>15778</v>
      </c>
      <c r="C2580" s="54" t="s">
        <v>11630</v>
      </c>
    </row>
    <row r="2581" hidden="1">
      <c r="A2581" s="61">
        <v>2.01809302E8</v>
      </c>
      <c r="B2581" s="54" t="s">
        <v>15778</v>
      </c>
      <c r="C2581" s="54" t="s">
        <v>15779</v>
      </c>
    </row>
    <row r="2582" hidden="1">
      <c r="A2582" s="61">
        <v>2.00908491E8</v>
      </c>
      <c r="B2582" s="54" t="s">
        <v>15780</v>
      </c>
      <c r="C2582" s="54" t="s">
        <v>15781</v>
      </c>
    </row>
    <row r="2583" hidden="1">
      <c r="A2583" s="61">
        <v>2.01506906E8</v>
      </c>
      <c r="B2583" s="54" t="s">
        <v>15782</v>
      </c>
      <c r="C2583" s="54" t="s">
        <v>13488</v>
      </c>
    </row>
    <row r="2584" hidden="1">
      <c r="A2584" s="61">
        <v>1.9990245E8</v>
      </c>
      <c r="B2584" s="54" t="s">
        <v>15783</v>
      </c>
      <c r="C2584" s="54" t="s">
        <v>15784</v>
      </c>
    </row>
    <row r="2585" hidden="1">
      <c r="A2585" s="61">
        <v>2.01603635E8</v>
      </c>
      <c r="B2585" s="54" t="s">
        <v>15785</v>
      </c>
      <c r="C2585" s="54" t="s">
        <v>13409</v>
      </c>
    </row>
    <row r="2586" hidden="1">
      <c r="A2586" s="61">
        <v>2.02103338E8</v>
      </c>
      <c r="B2586" s="54" t="s">
        <v>15786</v>
      </c>
      <c r="C2586" s="54" t="s">
        <v>15787</v>
      </c>
    </row>
    <row r="2587" hidden="1">
      <c r="A2587" s="61">
        <v>2.012005E8</v>
      </c>
      <c r="B2587" s="54" t="s">
        <v>15788</v>
      </c>
      <c r="C2587" s="54" t="s">
        <v>15789</v>
      </c>
    </row>
    <row r="2588" hidden="1">
      <c r="A2588" s="61">
        <v>2.00105933E8</v>
      </c>
      <c r="B2588" s="54" t="s">
        <v>15790</v>
      </c>
      <c r="C2588" s="54" t="s">
        <v>15791</v>
      </c>
    </row>
    <row r="2589" hidden="1">
      <c r="A2589" s="61">
        <v>2.01010008E8</v>
      </c>
      <c r="B2589" s="54" t="s">
        <v>15792</v>
      </c>
      <c r="C2589" s="54" t="s">
        <v>12328</v>
      </c>
    </row>
    <row r="2590" hidden="1">
      <c r="A2590" s="61">
        <v>2.01512277E8</v>
      </c>
      <c r="B2590" s="54" t="s">
        <v>15793</v>
      </c>
      <c r="C2590" s="54" t="s">
        <v>15794</v>
      </c>
    </row>
    <row r="2591" hidden="1">
      <c r="A2591" s="61">
        <v>2.01400201E8</v>
      </c>
      <c r="B2591" s="54" t="s">
        <v>15795</v>
      </c>
      <c r="C2591" s="54" t="s">
        <v>11995</v>
      </c>
    </row>
    <row r="2592" hidden="1">
      <c r="A2592" s="61">
        <v>2.02001558E8</v>
      </c>
      <c r="B2592" s="54" t="s">
        <v>15796</v>
      </c>
      <c r="C2592" s="54" t="s">
        <v>15797</v>
      </c>
    </row>
    <row r="2593" hidden="1">
      <c r="A2593" s="61">
        <v>2.00703712E8</v>
      </c>
      <c r="B2593" s="54" t="s">
        <v>15798</v>
      </c>
      <c r="C2593" s="54" t="s">
        <v>11679</v>
      </c>
    </row>
    <row r="2594" hidden="1">
      <c r="A2594" s="61">
        <v>2.02000415E8</v>
      </c>
      <c r="B2594" s="54" t="s">
        <v>15799</v>
      </c>
      <c r="C2594" s="54" t="s">
        <v>15800</v>
      </c>
    </row>
    <row r="2595" hidden="1">
      <c r="A2595" s="61">
        <v>2.01702078E8</v>
      </c>
      <c r="B2595" s="54" t="s">
        <v>15801</v>
      </c>
      <c r="C2595" s="54" t="s">
        <v>15802</v>
      </c>
    </row>
    <row r="2596" hidden="1">
      <c r="A2596" s="61">
        <v>2.00801359E8</v>
      </c>
      <c r="B2596" s="54" t="s">
        <v>15803</v>
      </c>
      <c r="C2596" s="54" t="s">
        <v>15804</v>
      </c>
    </row>
    <row r="2597" hidden="1">
      <c r="A2597" s="61">
        <v>2.01909894E8</v>
      </c>
      <c r="B2597" s="54" t="s">
        <v>15805</v>
      </c>
      <c r="C2597" s="54" t="s">
        <v>15806</v>
      </c>
    </row>
    <row r="2598" hidden="1">
      <c r="A2598" s="61">
        <v>2.02002347E8</v>
      </c>
      <c r="B2598" s="54" t="s">
        <v>15807</v>
      </c>
      <c r="C2598" s="54" t="s">
        <v>15808</v>
      </c>
    </row>
    <row r="2599" hidden="1">
      <c r="A2599" s="61">
        <v>2.02107918E8</v>
      </c>
      <c r="B2599" s="54" t="s">
        <v>15809</v>
      </c>
      <c r="C2599" s="54" t="s">
        <v>11729</v>
      </c>
    </row>
    <row r="2600" hidden="1">
      <c r="A2600" s="61">
        <v>2.00707213E8</v>
      </c>
      <c r="B2600" s="54" t="s">
        <v>15810</v>
      </c>
      <c r="C2600" s="54" t="s">
        <v>15811</v>
      </c>
    </row>
    <row r="2601" hidden="1">
      <c r="A2601" s="61">
        <v>2.01905759E8</v>
      </c>
      <c r="B2601" s="54" t="s">
        <v>15810</v>
      </c>
      <c r="C2601" s="54" t="s">
        <v>11951</v>
      </c>
    </row>
    <row r="2602" hidden="1">
      <c r="A2602" s="61">
        <v>2.01300237E8</v>
      </c>
      <c r="B2602" s="54" t="s">
        <v>15810</v>
      </c>
      <c r="C2602" s="54" t="s">
        <v>15812</v>
      </c>
    </row>
    <row r="2603" hidden="1">
      <c r="A2603" s="61">
        <v>2.01900217E8</v>
      </c>
      <c r="B2603" s="54" t="s">
        <v>15813</v>
      </c>
      <c r="C2603" s="54" t="s">
        <v>15814</v>
      </c>
    </row>
    <row r="2604" hidden="1">
      <c r="A2604" s="61">
        <v>2.02103326E8</v>
      </c>
      <c r="B2604" s="54" t="s">
        <v>15815</v>
      </c>
      <c r="C2604" s="54" t="s">
        <v>15816</v>
      </c>
    </row>
    <row r="2605" hidden="1">
      <c r="A2605" s="61">
        <v>2.01905773E8</v>
      </c>
      <c r="B2605" s="54" t="s">
        <v>15817</v>
      </c>
      <c r="C2605" s="54" t="s">
        <v>15818</v>
      </c>
    </row>
    <row r="2606" hidden="1">
      <c r="A2606" s="61">
        <v>2.0100381E8</v>
      </c>
      <c r="B2606" s="54" t="s">
        <v>15819</v>
      </c>
      <c r="C2606" s="54" t="s">
        <v>12063</v>
      </c>
    </row>
    <row r="2607" hidden="1">
      <c r="A2607" s="61">
        <v>2.01909912E8</v>
      </c>
      <c r="B2607" s="54" t="s">
        <v>15820</v>
      </c>
      <c r="C2607" s="54" t="s">
        <v>15821</v>
      </c>
    </row>
    <row r="2608" hidden="1">
      <c r="A2608" s="61">
        <v>2.01909904E8</v>
      </c>
      <c r="B2608" s="54" t="s">
        <v>15822</v>
      </c>
      <c r="C2608" s="54" t="s">
        <v>12442</v>
      </c>
    </row>
    <row r="2609" hidden="1">
      <c r="A2609" s="61">
        <v>2.01400202E8</v>
      </c>
      <c r="B2609" s="54" t="s">
        <v>15823</v>
      </c>
      <c r="C2609" s="54" t="s">
        <v>15824</v>
      </c>
    </row>
    <row r="2610" hidden="1">
      <c r="A2610" s="61">
        <v>2.00904456E8</v>
      </c>
      <c r="B2610" s="54" t="s">
        <v>15825</v>
      </c>
      <c r="C2610" s="54" t="s">
        <v>15826</v>
      </c>
    </row>
    <row r="2611" hidden="1">
      <c r="A2611" s="61">
        <v>2.01400203E8</v>
      </c>
      <c r="B2611" s="54" t="s">
        <v>15827</v>
      </c>
      <c r="C2611" s="54" t="s">
        <v>11946</v>
      </c>
    </row>
    <row r="2612" hidden="1">
      <c r="A2612" s="61">
        <v>2.02105141E8</v>
      </c>
      <c r="B2612" s="54" t="s">
        <v>15828</v>
      </c>
      <c r="C2612" s="54" t="s">
        <v>15829</v>
      </c>
    </row>
    <row r="2613" hidden="1">
      <c r="A2613" s="61">
        <v>2.01809507E8</v>
      </c>
      <c r="B2613" s="54" t="s">
        <v>15830</v>
      </c>
      <c r="C2613" s="54" t="s">
        <v>15831</v>
      </c>
    </row>
    <row r="2614" hidden="1">
      <c r="A2614" s="61">
        <v>2.02107884E8</v>
      </c>
      <c r="B2614" s="54" t="s">
        <v>15832</v>
      </c>
      <c r="C2614" s="54" t="s">
        <v>15833</v>
      </c>
    </row>
    <row r="2615" hidden="1">
      <c r="A2615" s="61">
        <v>2.02005578E8</v>
      </c>
      <c r="B2615" s="54" t="s">
        <v>15834</v>
      </c>
      <c r="C2615" s="54" t="s">
        <v>15835</v>
      </c>
    </row>
    <row r="2616" hidden="1">
      <c r="A2616" s="61">
        <v>2.01706625E8</v>
      </c>
      <c r="B2616" s="54" t="s">
        <v>15836</v>
      </c>
      <c r="C2616" s="54" t="s">
        <v>11982</v>
      </c>
    </row>
    <row r="2617" hidden="1">
      <c r="A2617" s="61">
        <v>2.01603797E8</v>
      </c>
      <c r="B2617" s="54" t="s">
        <v>15836</v>
      </c>
      <c r="C2617" s="54" t="s">
        <v>15837</v>
      </c>
    </row>
    <row r="2618" hidden="1">
      <c r="A2618" s="61">
        <v>2.01309568E8</v>
      </c>
      <c r="B2618" s="54" t="s">
        <v>15838</v>
      </c>
      <c r="C2618" s="54" t="s">
        <v>11845</v>
      </c>
    </row>
    <row r="2619" hidden="1">
      <c r="A2619" s="61">
        <v>2.01803287E8</v>
      </c>
      <c r="B2619" s="54" t="s">
        <v>15839</v>
      </c>
      <c r="C2619" s="54" t="s">
        <v>15840</v>
      </c>
    </row>
    <row r="2620" hidden="1">
      <c r="A2620" s="61">
        <v>2.01905761E8</v>
      </c>
      <c r="B2620" s="54" t="s">
        <v>15841</v>
      </c>
      <c r="C2620" s="54" t="s">
        <v>15842</v>
      </c>
    </row>
    <row r="2621" hidden="1">
      <c r="A2621" s="61">
        <v>2.02107926E8</v>
      </c>
      <c r="B2621" s="54" t="s">
        <v>15843</v>
      </c>
      <c r="C2621" s="54" t="s">
        <v>12804</v>
      </c>
    </row>
    <row r="2622" hidden="1">
      <c r="A2622" s="61">
        <v>2.02001559E8</v>
      </c>
      <c r="B2622" s="54" t="s">
        <v>15844</v>
      </c>
      <c r="C2622" s="54" t="s">
        <v>15845</v>
      </c>
    </row>
    <row r="2623" hidden="1">
      <c r="A2623" s="61">
        <v>2.01803295E8</v>
      </c>
      <c r="B2623" s="54" t="s">
        <v>15846</v>
      </c>
      <c r="C2623" s="54" t="s">
        <v>14802</v>
      </c>
    </row>
    <row r="2624" hidden="1">
      <c r="A2624" s="61">
        <v>2.02102974E8</v>
      </c>
      <c r="B2624" s="54" t="s">
        <v>15847</v>
      </c>
      <c r="C2624" s="54" t="s">
        <v>15848</v>
      </c>
    </row>
    <row r="2625" hidden="1">
      <c r="A2625" s="61">
        <v>2.01800038E8</v>
      </c>
      <c r="B2625" s="54" t="s">
        <v>15849</v>
      </c>
      <c r="C2625" s="54" t="s">
        <v>11560</v>
      </c>
    </row>
    <row r="2626" hidden="1">
      <c r="A2626" s="61">
        <v>2.01809508E8</v>
      </c>
      <c r="B2626" s="54" t="s">
        <v>15850</v>
      </c>
      <c r="C2626" s="54" t="s">
        <v>11997</v>
      </c>
    </row>
    <row r="2627" hidden="1">
      <c r="A2627" s="61">
        <v>2.0180028E8</v>
      </c>
      <c r="B2627" s="54" t="s">
        <v>15851</v>
      </c>
      <c r="C2627" s="54" t="s">
        <v>15852</v>
      </c>
    </row>
    <row r="2628" hidden="1">
      <c r="A2628" s="61">
        <v>2.01902233E8</v>
      </c>
      <c r="B2628" s="54" t="s">
        <v>15853</v>
      </c>
      <c r="C2628" s="54" t="s">
        <v>15854</v>
      </c>
    </row>
    <row r="2629" hidden="1">
      <c r="A2629" s="61">
        <v>2.01001407E8</v>
      </c>
      <c r="B2629" s="54" t="s">
        <v>15855</v>
      </c>
      <c r="C2629" s="54" t="s">
        <v>15856</v>
      </c>
    </row>
    <row r="2630" hidden="1">
      <c r="A2630" s="61">
        <v>2.01409414E8</v>
      </c>
      <c r="B2630" s="54" t="s">
        <v>15857</v>
      </c>
      <c r="C2630" s="54" t="s">
        <v>15858</v>
      </c>
    </row>
    <row r="2631" hidden="1">
      <c r="A2631" s="61">
        <v>2.00806758E8</v>
      </c>
      <c r="B2631" s="54" t="s">
        <v>15859</v>
      </c>
      <c r="C2631" s="54" t="s">
        <v>15860</v>
      </c>
    </row>
    <row r="2632" hidden="1">
      <c r="A2632" s="61">
        <v>2.01603022E8</v>
      </c>
      <c r="B2632" s="54" t="s">
        <v>15861</v>
      </c>
      <c r="C2632" s="54" t="s">
        <v>15862</v>
      </c>
    </row>
    <row r="2633" hidden="1">
      <c r="A2633" s="61">
        <v>2.00207517E8</v>
      </c>
      <c r="B2633" s="54" t="s">
        <v>15863</v>
      </c>
      <c r="C2633" s="54" t="s">
        <v>15864</v>
      </c>
    </row>
    <row r="2634" hidden="1">
      <c r="A2634" s="61">
        <v>2.02103358E8</v>
      </c>
      <c r="B2634" s="54" t="s">
        <v>15865</v>
      </c>
      <c r="C2634" s="54" t="s">
        <v>14634</v>
      </c>
    </row>
    <row r="2635" hidden="1">
      <c r="A2635" s="61">
        <v>2.01400297E8</v>
      </c>
      <c r="B2635" s="54" t="s">
        <v>15866</v>
      </c>
      <c r="C2635" s="54" t="s">
        <v>14191</v>
      </c>
    </row>
    <row r="2636" hidden="1">
      <c r="A2636" s="61">
        <v>2.0150818E8</v>
      </c>
      <c r="B2636" s="54" t="s">
        <v>15867</v>
      </c>
      <c r="C2636" s="54" t="s">
        <v>11695</v>
      </c>
    </row>
    <row r="2637" hidden="1">
      <c r="A2637" s="61">
        <v>2.01603798E8</v>
      </c>
      <c r="B2637" s="54" t="s">
        <v>15868</v>
      </c>
      <c r="C2637" s="54" t="s">
        <v>15869</v>
      </c>
    </row>
    <row r="2638" hidden="1">
      <c r="A2638" s="61">
        <v>2.01904729E8</v>
      </c>
      <c r="B2638" s="54" t="s">
        <v>15870</v>
      </c>
      <c r="C2638" s="54" t="s">
        <v>15871</v>
      </c>
    </row>
    <row r="2639" hidden="1">
      <c r="A2639" s="61">
        <v>2.01905776E8</v>
      </c>
      <c r="B2639" s="54" t="s">
        <v>15872</v>
      </c>
      <c r="C2639" s="54" t="s">
        <v>11729</v>
      </c>
    </row>
    <row r="2640" hidden="1">
      <c r="A2640" s="61">
        <v>2.0170976E8</v>
      </c>
      <c r="B2640" s="54" t="s">
        <v>15873</v>
      </c>
      <c r="C2640" s="54" t="s">
        <v>15874</v>
      </c>
    </row>
    <row r="2641" hidden="1">
      <c r="A2641" s="61">
        <v>2.01300188E8</v>
      </c>
      <c r="B2641" s="54" t="s">
        <v>15875</v>
      </c>
      <c r="C2641" s="54" t="s">
        <v>15876</v>
      </c>
    </row>
    <row r="2642" hidden="1">
      <c r="A2642" s="61">
        <v>2.0190024E8</v>
      </c>
      <c r="B2642" s="54" t="s">
        <v>15877</v>
      </c>
      <c r="C2642" s="54" t="s">
        <v>12129</v>
      </c>
    </row>
    <row r="2643" hidden="1">
      <c r="A2643" s="61">
        <v>2.01504913E8</v>
      </c>
      <c r="B2643" s="54" t="s">
        <v>15878</v>
      </c>
      <c r="C2643" s="54" t="s">
        <v>15879</v>
      </c>
    </row>
    <row r="2644" hidden="1">
      <c r="A2644" s="61">
        <v>2.01703997E8</v>
      </c>
      <c r="B2644" s="54" t="s">
        <v>15880</v>
      </c>
      <c r="C2644" s="54" t="s">
        <v>15881</v>
      </c>
    </row>
    <row r="2645" hidden="1">
      <c r="A2645" s="61">
        <v>2.01100413E8</v>
      </c>
      <c r="B2645" s="54" t="s">
        <v>15882</v>
      </c>
      <c r="C2645" s="54" t="s">
        <v>15883</v>
      </c>
    </row>
    <row r="2646" hidden="1">
      <c r="A2646" s="61">
        <v>2.01900563E8</v>
      </c>
      <c r="B2646" s="54" t="s">
        <v>15884</v>
      </c>
      <c r="C2646" s="54" t="s">
        <v>15885</v>
      </c>
    </row>
    <row r="2647" hidden="1">
      <c r="A2647" s="61">
        <v>2.01800281E8</v>
      </c>
      <c r="B2647" s="54" t="s">
        <v>15886</v>
      </c>
      <c r="C2647" s="54" t="s">
        <v>12687</v>
      </c>
    </row>
    <row r="2648" hidden="1">
      <c r="A2648" s="61">
        <v>2.01005036E8</v>
      </c>
      <c r="B2648" s="54" t="s">
        <v>15887</v>
      </c>
      <c r="C2648" s="54" t="s">
        <v>11757</v>
      </c>
    </row>
    <row r="2649" hidden="1">
      <c r="A2649" s="61">
        <v>2.00707191E8</v>
      </c>
      <c r="B2649" s="54" t="s">
        <v>15888</v>
      </c>
      <c r="C2649" s="54" t="s">
        <v>15889</v>
      </c>
    </row>
    <row r="2650" hidden="1">
      <c r="A2650" s="61">
        <v>2.0200156E8</v>
      </c>
      <c r="B2650" s="54" t="s">
        <v>15890</v>
      </c>
      <c r="C2650" s="54" t="s">
        <v>15891</v>
      </c>
    </row>
    <row r="2651" hidden="1">
      <c r="A2651" s="61">
        <v>2.01800039E8</v>
      </c>
      <c r="B2651" s="54" t="s">
        <v>15892</v>
      </c>
      <c r="C2651" s="54" t="s">
        <v>11946</v>
      </c>
    </row>
    <row r="2652" hidden="1">
      <c r="A2652" s="61">
        <v>2.01100256E8</v>
      </c>
      <c r="B2652" s="54" t="s">
        <v>15893</v>
      </c>
      <c r="C2652" s="54" t="s">
        <v>12368</v>
      </c>
    </row>
    <row r="2653" hidden="1">
      <c r="A2653" s="61">
        <v>2.01902236E8</v>
      </c>
      <c r="B2653" s="54" t="s">
        <v>15894</v>
      </c>
      <c r="C2653" s="54" t="s">
        <v>15895</v>
      </c>
    </row>
    <row r="2654" hidden="1">
      <c r="A2654" s="61">
        <v>2.01110548E8</v>
      </c>
      <c r="B2654" s="54" t="s">
        <v>15896</v>
      </c>
      <c r="C2654" s="54" t="s">
        <v>15897</v>
      </c>
    </row>
    <row r="2655" hidden="1">
      <c r="A2655" s="61">
        <v>2.01612107E8</v>
      </c>
      <c r="B2655" s="54" t="s">
        <v>15898</v>
      </c>
      <c r="C2655" s="54" t="s">
        <v>15899</v>
      </c>
    </row>
    <row r="2656" hidden="1">
      <c r="A2656" s="61">
        <v>2.0160303E8</v>
      </c>
      <c r="B2656" s="54" t="s">
        <v>15900</v>
      </c>
      <c r="C2656" s="54" t="s">
        <v>15901</v>
      </c>
    </row>
    <row r="2657" hidden="1">
      <c r="A2657" s="61">
        <v>2.01201716E8</v>
      </c>
      <c r="B2657" s="54" t="s">
        <v>15902</v>
      </c>
      <c r="C2657" s="54" t="s">
        <v>15903</v>
      </c>
    </row>
    <row r="2658" hidden="1">
      <c r="A2658" s="61">
        <v>2.016038E8</v>
      </c>
      <c r="B2658" s="54" t="s">
        <v>15904</v>
      </c>
      <c r="C2658" s="54" t="s">
        <v>15905</v>
      </c>
    </row>
    <row r="2659" hidden="1">
      <c r="A2659" s="61">
        <v>2.01301046E8</v>
      </c>
      <c r="B2659" s="54" t="s">
        <v>15906</v>
      </c>
      <c r="C2659" s="54" t="s">
        <v>12910</v>
      </c>
    </row>
    <row r="2660" hidden="1">
      <c r="A2660" s="61">
        <v>2.02000381E8</v>
      </c>
      <c r="B2660" s="54" t="s">
        <v>15907</v>
      </c>
      <c r="C2660" s="54" t="s">
        <v>15908</v>
      </c>
    </row>
    <row r="2661" hidden="1">
      <c r="A2661" s="61">
        <v>2.01809303E8</v>
      </c>
      <c r="B2661" s="54" t="s">
        <v>15909</v>
      </c>
      <c r="C2661" s="54" t="s">
        <v>13137</v>
      </c>
    </row>
    <row r="2662" hidden="1">
      <c r="A2662" s="61">
        <v>2.00101438E8</v>
      </c>
      <c r="B2662" s="54" t="s">
        <v>15910</v>
      </c>
      <c r="C2662" s="54" t="s">
        <v>12778</v>
      </c>
    </row>
    <row r="2663" hidden="1">
      <c r="A2663" s="61">
        <v>2.01502088E8</v>
      </c>
      <c r="B2663" s="54" t="s">
        <v>15911</v>
      </c>
      <c r="C2663" s="54" t="s">
        <v>15912</v>
      </c>
    </row>
    <row r="2664" hidden="1">
      <c r="A2664" s="61">
        <v>2.02001561E8</v>
      </c>
      <c r="B2664" s="54" t="s">
        <v>15913</v>
      </c>
      <c r="C2664" s="54" t="s">
        <v>15914</v>
      </c>
    </row>
    <row r="2665" hidden="1">
      <c r="A2665" s="61">
        <v>2.01905774E8</v>
      </c>
      <c r="B2665" s="54" t="s">
        <v>15915</v>
      </c>
      <c r="C2665" s="54" t="s">
        <v>12687</v>
      </c>
    </row>
    <row r="2666" hidden="1">
      <c r="A2666" s="61">
        <v>2.01705724E8</v>
      </c>
      <c r="B2666" s="54" t="s">
        <v>15916</v>
      </c>
      <c r="C2666" s="54" t="s">
        <v>15917</v>
      </c>
    </row>
    <row r="2667" hidden="1">
      <c r="A2667" s="61">
        <v>2.0190468E8</v>
      </c>
      <c r="B2667" s="54" t="s">
        <v>15918</v>
      </c>
      <c r="C2667" s="54" t="s">
        <v>15919</v>
      </c>
    </row>
    <row r="2668" hidden="1">
      <c r="A2668" s="61">
        <v>2.01607927E8</v>
      </c>
      <c r="B2668" s="54" t="s">
        <v>15918</v>
      </c>
      <c r="C2668" s="54" t="s">
        <v>14436</v>
      </c>
    </row>
    <row r="2669" hidden="1">
      <c r="A2669" s="61">
        <v>2.015083E8</v>
      </c>
      <c r="B2669" s="54" t="s">
        <v>15920</v>
      </c>
      <c r="C2669" s="54" t="s">
        <v>12055</v>
      </c>
    </row>
    <row r="2670" hidden="1">
      <c r="A2670" s="61">
        <v>2.01800282E8</v>
      </c>
      <c r="B2670" s="54" t="s">
        <v>15921</v>
      </c>
      <c r="C2670" s="54" t="s">
        <v>15922</v>
      </c>
    </row>
    <row r="2671" hidden="1">
      <c r="A2671" s="61">
        <v>2.01309602E8</v>
      </c>
      <c r="B2671" s="54" t="s">
        <v>15923</v>
      </c>
      <c r="C2671" s="54" t="s">
        <v>15924</v>
      </c>
    </row>
    <row r="2672" hidden="1">
      <c r="A2672" s="61">
        <v>2.01603802E8</v>
      </c>
      <c r="B2672" s="54" t="s">
        <v>15925</v>
      </c>
      <c r="C2672" s="54" t="s">
        <v>15926</v>
      </c>
    </row>
    <row r="2673" hidden="1">
      <c r="A2673" s="61">
        <v>2.01900228E8</v>
      </c>
      <c r="B2673" s="54" t="s">
        <v>15927</v>
      </c>
      <c r="C2673" s="54" t="s">
        <v>15928</v>
      </c>
    </row>
    <row r="2674" hidden="1">
      <c r="A2674" s="61">
        <v>2.02102975E8</v>
      </c>
      <c r="B2674" s="54" t="s">
        <v>15929</v>
      </c>
      <c r="C2674" s="54" t="s">
        <v>13578</v>
      </c>
    </row>
    <row r="2675" hidden="1">
      <c r="A2675" s="61">
        <v>2.0200558E8</v>
      </c>
      <c r="B2675" s="54" t="s">
        <v>15930</v>
      </c>
      <c r="C2675" s="54" t="s">
        <v>12490</v>
      </c>
    </row>
    <row r="2676" hidden="1">
      <c r="A2676" s="61">
        <v>2.01200501E8</v>
      </c>
      <c r="B2676" s="54" t="s">
        <v>15931</v>
      </c>
      <c r="C2676" s="54" t="s">
        <v>15932</v>
      </c>
    </row>
    <row r="2677" hidden="1">
      <c r="A2677" s="61">
        <v>2.01800871E8</v>
      </c>
      <c r="B2677" s="54" t="s">
        <v>15933</v>
      </c>
      <c r="C2677" s="54" t="s">
        <v>15934</v>
      </c>
    </row>
    <row r="2678" hidden="1">
      <c r="A2678" s="61">
        <v>2.02002348E8</v>
      </c>
      <c r="B2678" s="54" t="s">
        <v>15935</v>
      </c>
      <c r="C2678" s="54" t="s">
        <v>15936</v>
      </c>
    </row>
    <row r="2679" hidden="1">
      <c r="A2679" s="61">
        <v>2.01603636E8</v>
      </c>
      <c r="B2679" s="54" t="s">
        <v>15937</v>
      </c>
      <c r="C2679" s="54" t="s">
        <v>15938</v>
      </c>
    </row>
    <row r="2680" hidden="1">
      <c r="A2680" s="61">
        <v>2.00101433E8</v>
      </c>
      <c r="B2680" s="54" t="s">
        <v>15939</v>
      </c>
      <c r="C2680" s="54" t="s">
        <v>11845</v>
      </c>
    </row>
    <row r="2681" hidden="1">
      <c r="A2681" s="61">
        <v>2.01504914E8</v>
      </c>
      <c r="B2681" s="54" t="s">
        <v>15940</v>
      </c>
      <c r="C2681" s="54" t="s">
        <v>15941</v>
      </c>
    </row>
    <row r="2682" hidden="1">
      <c r="A2682" s="61">
        <v>2.01900581E8</v>
      </c>
      <c r="B2682" s="54" t="s">
        <v>15942</v>
      </c>
      <c r="C2682" s="54" t="s">
        <v>15943</v>
      </c>
    </row>
    <row r="2683" hidden="1">
      <c r="A2683" s="61">
        <v>2.01309603E8</v>
      </c>
      <c r="B2683" s="54" t="s">
        <v>15944</v>
      </c>
      <c r="C2683" s="54" t="s">
        <v>11766</v>
      </c>
    </row>
    <row r="2684" hidden="1">
      <c r="A2684" s="61">
        <v>2.02103383E8</v>
      </c>
      <c r="B2684" s="54" t="s">
        <v>15945</v>
      </c>
      <c r="C2684" s="54" t="s">
        <v>15946</v>
      </c>
    </row>
    <row r="2685" hidden="1">
      <c r="A2685" s="61">
        <v>2.0151225E8</v>
      </c>
      <c r="B2685" s="54" t="s">
        <v>15947</v>
      </c>
      <c r="C2685" s="54" t="s">
        <v>15948</v>
      </c>
    </row>
    <row r="2686" hidden="1">
      <c r="A2686" s="61">
        <v>2.01101424E8</v>
      </c>
      <c r="B2686" s="54" t="s">
        <v>15949</v>
      </c>
      <c r="C2686" s="54" t="s">
        <v>11674</v>
      </c>
    </row>
    <row r="2687" hidden="1">
      <c r="A2687" s="61">
        <v>1.99401505E8</v>
      </c>
      <c r="B2687" s="54" t="s">
        <v>15950</v>
      </c>
      <c r="C2687" s="54" t="s">
        <v>15951</v>
      </c>
    </row>
    <row r="2688" hidden="1">
      <c r="A2688" s="61">
        <v>2.01904681E8</v>
      </c>
      <c r="B2688" s="54" t="s">
        <v>15952</v>
      </c>
      <c r="C2688" s="54" t="s">
        <v>11679</v>
      </c>
    </row>
    <row r="2689" hidden="1">
      <c r="A2689" s="61">
        <v>2.01801371E8</v>
      </c>
      <c r="B2689" s="54" t="s">
        <v>15953</v>
      </c>
      <c r="C2689" s="54" t="s">
        <v>15954</v>
      </c>
    </row>
    <row r="2690" hidden="1">
      <c r="A2690" s="61">
        <v>2.02103373E8</v>
      </c>
      <c r="B2690" s="54" t="s">
        <v>15955</v>
      </c>
      <c r="C2690" s="54" t="s">
        <v>15956</v>
      </c>
    </row>
    <row r="2691" hidden="1">
      <c r="A2691" s="61">
        <v>2.00808022E8</v>
      </c>
      <c r="B2691" s="54" t="s">
        <v>15957</v>
      </c>
      <c r="C2691" s="54" t="s">
        <v>15958</v>
      </c>
    </row>
    <row r="2692" hidden="1">
      <c r="A2692" s="61">
        <v>2.01409258E8</v>
      </c>
      <c r="B2692" s="54" t="s">
        <v>15959</v>
      </c>
      <c r="C2692" s="54" t="s">
        <v>15960</v>
      </c>
    </row>
    <row r="2693" hidden="1">
      <c r="A2693" s="61">
        <v>2.01706626E8</v>
      </c>
      <c r="B2693" s="54" t="s">
        <v>15961</v>
      </c>
      <c r="C2693" s="54" t="s">
        <v>12176</v>
      </c>
    </row>
    <row r="2694" hidden="1">
      <c r="A2694" s="61">
        <v>2.01603804E8</v>
      </c>
      <c r="B2694" s="54" t="s">
        <v>15962</v>
      </c>
      <c r="C2694" s="54" t="s">
        <v>12436</v>
      </c>
    </row>
    <row r="2695" hidden="1">
      <c r="A2695" s="61">
        <v>2.02001563E8</v>
      </c>
      <c r="B2695" s="54" t="s">
        <v>15963</v>
      </c>
      <c r="C2695" s="54" t="s">
        <v>15964</v>
      </c>
    </row>
    <row r="2696" hidden="1">
      <c r="A2696" s="61">
        <v>2.0150209E8</v>
      </c>
      <c r="B2696" s="54" t="s">
        <v>15963</v>
      </c>
      <c r="C2696" s="54" t="s">
        <v>15869</v>
      </c>
    </row>
    <row r="2697" hidden="1">
      <c r="A2697" s="61">
        <v>2.02000382E8</v>
      </c>
      <c r="B2697" s="54" t="s">
        <v>15965</v>
      </c>
      <c r="C2697" s="54" t="s">
        <v>15966</v>
      </c>
    </row>
    <row r="2698" hidden="1">
      <c r="A2698" s="61">
        <v>2.01803254E8</v>
      </c>
      <c r="B2698" s="54" t="s">
        <v>15967</v>
      </c>
      <c r="C2698" s="54" t="s">
        <v>11991</v>
      </c>
    </row>
    <row r="2699" hidden="1">
      <c r="A2699" s="61">
        <v>2.02103384E8</v>
      </c>
      <c r="B2699" s="54" t="s">
        <v>15968</v>
      </c>
      <c r="C2699" s="54" t="s">
        <v>15969</v>
      </c>
    </row>
    <row r="2700" hidden="1">
      <c r="A2700" s="61">
        <v>2.02009767E8</v>
      </c>
      <c r="B2700" s="54" t="s">
        <v>15970</v>
      </c>
      <c r="C2700" s="54" t="s">
        <v>11674</v>
      </c>
    </row>
    <row r="2701" hidden="1">
      <c r="A2701" s="61">
        <v>2.00703471E8</v>
      </c>
      <c r="B2701" s="54" t="s">
        <v>15971</v>
      </c>
      <c r="C2701" s="54" t="s">
        <v>11995</v>
      </c>
    </row>
    <row r="2702" hidden="1">
      <c r="A2702" s="61">
        <v>2.01400335E8</v>
      </c>
      <c r="B2702" s="54" t="s">
        <v>15972</v>
      </c>
      <c r="C2702" s="54" t="s">
        <v>15973</v>
      </c>
    </row>
    <row r="2703" hidden="1">
      <c r="A2703" s="61">
        <v>2.01607931E8</v>
      </c>
      <c r="B2703" s="54" t="s">
        <v>15974</v>
      </c>
      <c r="C2703" s="54" t="s">
        <v>15975</v>
      </c>
    </row>
    <row r="2704" hidden="1">
      <c r="A2704" s="61">
        <v>2.01905766E8</v>
      </c>
      <c r="B2704" s="54" t="s">
        <v>15976</v>
      </c>
      <c r="C2704" s="54" t="s">
        <v>11541</v>
      </c>
    </row>
    <row r="2705" hidden="1">
      <c r="A2705" s="61">
        <v>2.02103327E8</v>
      </c>
      <c r="B2705" s="54" t="s">
        <v>15977</v>
      </c>
      <c r="C2705" s="54" t="s">
        <v>15978</v>
      </c>
    </row>
    <row r="2706" hidden="1">
      <c r="A2706" s="61">
        <v>2.02107873E8</v>
      </c>
      <c r="B2706" s="54" t="s">
        <v>15979</v>
      </c>
      <c r="C2706" s="54" t="s">
        <v>15980</v>
      </c>
    </row>
    <row r="2707" hidden="1">
      <c r="A2707" s="61">
        <v>2.02105142E8</v>
      </c>
      <c r="B2707" s="54" t="s">
        <v>15981</v>
      </c>
      <c r="C2707" s="54" t="s">
        <v>15982</v>
      </c>
    </row>
    <row r="2708" hidden="1">
      <c r="A2708" s="61">
        <v>2.01101425E8</v>
      </c>
      <c r="B2708" s="54" t="s">
        <v>15983</v>
      </c>
      <c r="C2708" s="54" t="s">
        <v>11835</v>
      </c>
    </row>
    <row r="2709" hidden="1">
      <c r="A2709" s="61">
        <v>2.01512635E8</v>
      </c>
      <c r="B2709" s="54" t="s">
        <v>15984</v>
      </c>
      <c r="C2709" s="54" t="s">
        <v>12617</v>
      </c>
    </row>
    <row r="2710" hidden="1">
      <c r="A2710" s="61">
        <v>2.0080679E8</v>
      </c>
      <c r="B2710" s="54" t="s">
        <v>15985</v>
      </c>
      <c r="C2710" s="54" t="s">
        <v>12966</v>
      </c>
    </row>
    <row r="2711" hidden="1">
      <c r="A2711" s="61">
        <v>2.01508182E8</v>
      </c>
      <c r="B2711" s="54" t="s">
        <v>15985</v>
      </c>
      <c r="C2711" s="54" t="s">
        <v>15986</v>
      </c>
    </row>
    <row r="2712" hidden="1">
      <c r="A2712" s="61">
        <v>2.01308294E8</v>
      </c>
      <c r="B2712" s="54" t="s">
        <v>15987</v>
      </c>
      <c r="C2712" s="54" t="s">
        <v>15988</v>
      </c>
    </row>
    <row r="2713" hidden="1">
      <c r="A2713" s="61">
        <v>2.01300241E8</v>
      </c>
      <c r="B2713" s="54" t="s">
        <v>15989</v>
      </c>
      <c r="C2713" s="54" t="s">
        <v>15990</v>
      </c>
    </row>
    <row r="2714" hidden="1">
      <c r="A2714" s="61">
        <v>2.01308276E8</v>
      </c>
      <c r="B2714" s="54" t="s">
        <v>15991</v>
      </c>
      <c r="C2714" s="54" t="s">
        <v>11991</v>
      </c>
    </row>
    <row r="2715" hidden="1">
      <c r="A2715" s="61">
        <v>2.00507763E8</v>
      </c>
      <c r="B2715" s="54" t="s">
        <v>15992</v>
      </c>
      <c r="C2715" s="54" t="s">
        <v>15993</v>
      </c>
    </row>
    <row r="2716" hidden="1">
      <c r="A2716" s="61">
        <v>2.0100103E8</v>
      </c>
      <c r="B2716" s="54" t="s">
        <v>15994</v>
      </c>
      <c r="C2716" s="54" t="s">
        <v>11695</v>
      </c>
    </row>
    <row r="2717" hidden="1">
      <c r="A2717" s="61">
        <v>2.01603024E8</v>
      </c>
      <c r="B2717" s="54" t="s">
        <v>15995</v>
      </c>
      <c r="C2717" s="54" t="s">
        <v>15996</v>
      </c>
    </row>
    <row r="2718" hidden="1">
      <c r="A2718" s="61">
        <v>2.01801364E8</v>
      </c>
      <c r="B2718" s="54" t="s">
        <v>15997</v>
      </c>
      <c r="C2718" s="54" t="s">
        <v>15998</v>
      </c>
    </row>
    <row r="2719" hidden="1">
      <c r="A2719" s="61">
        <v>2.02103387E8</v>
      </c>
      <c r="B2719" s="54" t="s">
        <v>15999</v>
      </c>
      <c r="C2719" s="54" t="s">
        <v>16000</v>
      </c>
    </row>
    <row r="2720" hidden="1">
      <c r="A2720" s="61">
        <v>2.00901811E8</v>
      </c>
      <c r="B2720" s="54" t="s">
        <v>16001</v>
      </c>
      <c r="C2720" s="54" t="s">
        <v>16002</v>
      </c>
    </row>
    <row r="2721" hidden="1">
      <c r="A2721" s="61">
        <v>2.01604181E8</v>
      </c>
      <c r="B2721" s="54" t="s">
        <v>16003</v>
      </c>
      <c r="C2721" s="54" t="s">
        <v>16004</v>
      </c>
    </row>
    <row r="2722" hidden="1">
      <c r="A2722" s="61">
        <v>2.01801805E8</v>
      </c>
      <c r="B2722" s="54" t="s">
        <v>16005</v>
      </c>
      <c r="C2722" s="54" t="s">
        <v>16006</v>
      </c>
    </row>
    <row r="2723" hidden="1">
      <c r="A2723" s="61">
        <v>2.0200979E8</v>
      </c>
      <c r="B2723" s="54" t="s">
        <v>16007</v>
      </c>
      <c r="C2723" s="54" t="s">
        <v>12484</v>
      </c>
    </row>
    <row r="2724" hidden="1">
      <c r="A2724" s="61">
        <v>2.01200503E8</v>
      </c>
      <c r="B2724" s="54" t="s">
        <v>16008</v>
      </c>
      <c r="C2724" s="54" t="s">
        <v>15272</v>
      </c>
    </row>
    <row r="2725" hidden="1">
      <c r="A2725" s="61">
        <v>2.02005581E8</v>
      </c>
      <c r="B2725" s="54" t="s">
        <v>16009</v>
      </c>
      <c r="C2725" s="54" t="s">
        <v>14076</v>
      </c>
    </row>
    <row r="2726" hidden="1">
      <c r="A2726" s="61">
        <v>2.01512562E8</v>
      </c>
      <c r="B2726" s="54" t="s">
        <v>16010</v>
      </c>
      <c r="C2726" s="54" t="s">
        <v>13488</v>
      </c>
    </row>
    <row r="2727" hidden="1">
      <c r="A2727" s="61">
        <v>2.01805805E8</v>
      </c>
      <c r="B2727" s="54" t="s">
        <v>16011</v>
      </c>
      <c r="C2727" s="54" t="s">
        <v>16012</v>
      </c>
    </row>
    <row r="2728" hidden="1">
      <c r="A2728" s="61">
        <v>2.01400481E8</v>
      </c>
      <c r="B2728" s="54" t="s">
        <v>16013</v>
      </c>
      <c r="C2728" s="54" t="s">
        <v>16014</v>
      </c>
    </row>
    <row r="2729" hidden="1">
      <c r="A2729" s="61">
        <v>2.01500159E8</v>
      </c>
      <c r="B2729" s="54" t="s">
        <v>16015</v>
      </c>
      <c r="C2729" s="54" t="s">
        <v>16016</v>
      </c>
    </row>
    <row r="2730" hidden="1">
      <c r="A2730" s="61">
        <v>2.01400298E8</v>
      </c>
      <c r="B2730" s="54" t="s">
        <v>16017</v>
      </c>
      <c r="C2730" s="54" t="s">
        <v>16018</v>
      </c>
    </row>
    <row r="2731" hidden="1">
      <c r="A2731" s="61">
        <v>2.01502091E8</v>
      </c>
      <c r="B2731" s="54" t="s">
        <v>16019</v>
      </c>
      <c r="C2731" s="54" t="s">
        <v>12595</v>
      </c>
    </row>
    <row r="2732" hidden="1">
      <c r="A2732" s="61">
        <v>2.01900216E8</v>
      </c>
      <c r="B2732" s="54" t="s">
        <v>16019</v>
      </c>
      <c r="C2732" s="54" t="s">
        <v>12420</v>
      </c>
    </row>
    <row r="2733" hidden="1">
      <c r="A2733" s="61">
        <v>2.01208496E8</v>
      </c>
      <c r="B2733" s="54" t="s">
        <v>16020</v>
      </c>
      <c r="C2733" s="54" t="s">
        <v>12107</v>
      </c>
    </row>
    <row r="2734" hidden="1">
      <c r="A2734" s="61">
        <v>2.01400206E8</v>
      </c>
      <c r="B2734" s="54" t="s">
        <v>16021</v>
      </c>
      <c r="C2734" s="54" t="s">
        <v>16022</v>
      </c>
    </row>
    <row r="2735" hidden="1">
      <c r="A2735" s="61">
        <v>2.0170478E8</v>
      </c>
      <c r="B2735" s="54" t="s">
        <v>16023</v>
      </c>
      <c r="C2735" s="54" t="s">
        <v>16024</v>
      </c>
    </row>
    <row r="2736" hidden="1">
      <c r="A2736" s="61">
        <v>2.01911362E8</v>
      </c>
      <c r="B2736" s="54" t="s">
        <v>16025</v>
      </c>
      <c r="C2736" s="54" t="s">
        <v>11907</v>
      </c>
    </row>
    <row r="2737" hidden="1">
      <c r="A2737" s="61">
        <v>2.01400336E8</v>
      </c>
      <c r="B2737" s="54" t="s">
        <v>16026</v>
      </c>
      <c r="C2737" s="54" t="s">
        <v>16027</v>
      </c>
    </row>
    <row r="2738" hidden="1">
      <c r="A2738" s="61">
        <v>2.01800041E8</v>
      </c>
      <c r="B2738" s="54" t="s">
        <v>16028</v>
      </c>
      <c r="C2738" s="54" t="s">
        <v>11502</v>
      </c>
    </row>
    <row r="2739" hidden="1">
      <c r="A2739" s="61">
        <v>2.00703474E8</v>
      </c>
      <c r="B2739" s="54" t="s">
        <v>16029</v>
      </c>
      <c r="C2739" s="54" t="s">
        <v>16030</v>
      </c>
    </row>
    <row r="2740" hidden="1">
      <c r="A2740" s="61">
        <v>2.00507471E8</v>
      </c>
      <c r="B2740" s="54" t="s">
        <v>16029</v>
      </c>
      <c r="C2740" s="54" t="s">
        <v>16031</v>
      </c>
    </row>
    <row r="2741" hidden="1">
      <c r="A2741" s="61">
        <v>2.01905161E8</v>
      </c>
      <c r="B2741" s="54" t="s">
        <v>16029</v>
      </c>
      <c r="C2741" s="54" t="s">
        <v>11845</v>
      </c>
    </row>
    <row r="2742" hidden="1">
      <c r="A2742" s="61">
        <v>2.01101426E8</v>
      </c>
      <c r="B2742" s="54" t="s">
        <v>16032</v>
      </c>
      <c r="C2742" s="54" t="s">
        <v>16033</v>
      </c>
    </row>
    <row r="2743" hidden="1">
      <c r="A2743" s="61">
        <v>2.01904689E8</v>
      </c>
      <c r="B2743" s="54" t="s">
        <v>16034</v>
      </c>
      <c r="C2743" s="54" t="s">
        <v>12025</v>
      </c>
    </row>
    <row r="2744" hidden="1">
      <c r="A2744" s="61">
        <v>2.01900596E8</v>
      </c>
      <c r="B2744" s="54" t="s">
        <v>16035</v>
      </c>
      <c r="C2744" s="54" t="s">
        <v>13255</v>
      </c>
    </row>
    <row r="2745" hidden="1">
      <c r="A2745" s="61">
        <v>2.01809304E8</v>
      </c>
      <c r="B2745" s="54" t="s">
        <v>16036</v>
      </c>
      <c r="C2745" s="54" t="s">
        <v>16037</v>
      </c>
    </row>
    <row r="2746" hidden="1">
      <c r="A2746" s="61">
        <v>2.02000385E8</v>
      </c>
      <c r="B2746" s="54" t="s">
        <v>16038</v>
      </c>
      <c r="C2746" s="54" t="s">
        <v>11833</v>
      </c>
    </row>
    <row r="2747" hidden="1">
      <c r="A2747" s="61">
        <v>2.00801033E8</v>
      </c>
      <c r="B2747" s="54" t="s">
        <v>16039</v>
      </c>
      <c r="C2747" s="54" t="s">
        <v>16040</v>
      </c>
    </row>
    <row r="2748" hidden="1">
      <c r="A2748" s="61">
        <v>2.02102976E8</v>
      </c>
      <c r="B2748" s="54" t="s">
        <v>16041</v>
      </c>
      <c r="C2748" s="54" t="s">
        <v>11845</v>
      </c>
    </row>
    <row r="2749" hidden="1">
      <c r="A2749" s="61">
        <v>2.01505748E8</v>
      </c>
      <c r="B2749" s="54" t="s">
        <v>16042</v>
      </c>
      <c r="C2749" s="54" t="s">
        <v>16043</v>
      </c>
    </row>
    <row r="2750" hidden="1">
      <c r="A2750" s="61">
        <v>2.009029E8</v>
      </c>
      <c r="B2750" s="54" t="s">
        <v>16044</v>
      </c>
      <c r="C2750" s="54" t="s">
        <v>14920</v>
      </c>
    </row>
    <row r="2751" hidden="1">
      <c r="A2751" s="61">
        <v>2.01400047E8</v>
      </c>
      <c r="B2751" s="54" t="s">
        <v>16045</v>
      </c>
      <c r="C2751" s="54" t="s">
        <v>12124</v>
      </c>
    </row>
    <row r="2752" hidden="1">
      <c r="A2752" s="61">
        <v>2.02102977E8</v>
      </c>
      <c r="B2752" s="54" t="s">
        <v>16046</v>
      </c>
      <c r="C2752" s="54" t="s">
        <v>16047</v>
      </c>
    </row>
    <row r="2753" hidden="1">
      <c r="A2753" s="61">
        <v>2.01612108E8</v>
      </c>
      <c r="B2753" s="54" t="s">
        <v>16048</v>
      </c>
      <c r="C2753" s="54" t="s">
        <v>16049</v>
      </c>
    </row>
    <row r="2754" hidden="1">
      <c r="A2754" s="61">
        <v>2.01706627E8</v>
      </c>
      <c r="B2754" s="54" t="s">
        <v>16050</v>
      </c>
      <c r="C2754" s="54" t="s">
        <v>11704</v>
      </c>
    </row>
    <row r="2755" hidden="1">
      <c r="A2755" s="61">
        <v>2.0200226E8</v>
      </c>
      <c r="B2755" s="54" t="s">
        <v>16051</v>
      </c>
      <c r="C2755" s="54" t="s">
        <v>12107</v>
      </c>
    </row>
    <row r="2756" hidden="1">
      <c r="A2756" s="61">
        <v>2.01511858E8</v>
      </c>
      <c r="B2756" s="54" t="s">
        <v>16052</v>
      </c>
      <c r="C2756" s="54" t="s">
        <v>13039</v>
      </c>
    </row>
    <row r="2757" hidden="1">
      <c r="A2757" s="61">
        <v>2.01603637E8</v>
      </c>
      <c r="B2757" s="54" t="s">
        <v>16053</v>
      </c>
      <c r="C2757" s="54" t="s">
        <v>16054</v>
      </c>
    </row>
    <row r="2758" hidden="1">
      <c r="A2758" s="61">
        <v>2.01612071E8</v>
      </c>
      <c r="B2758" s="54" t="s">
        <v>16055</v>
      </c>
      <c r="C2758" s="54" t="s">
        <v>16056</v>
      </c>
    </row>
    <row r="2759" hidden="1">
      <c r="A2759" s="61">
        <v>2.02009774E8</v>
      </c>
      <c r="B2759" s="54" t="s">
        <v>16057</v>
      </c>
      <c r="C2759" s="54" t="s">
        <v>16058</v>
      </c>
    </row>
    <row r="2760" hidden="1">
      <c r="A2760" s="61">
        <v>2.01508184E8</v>
      </c>
      <c r="B2760" s="54" t="s">
        <v>16059</v>
      </c>
      <c r="C2760" s="54" t="s">
        <v>12129</v>
      </c>
    </row>
    <row r="2761" hidden="1">
      <c r="A2761" s="61">
        <v>2.00201034E8</v>
      </c>
      <c r="B2761" s="54" t="s">
        <v>16060</v>
      </c>
      <c r="C2761" s="54" t="s">
        <v>11997</v>
      </c>
    </row>
    <row r="2762" hidden="1">
      <c r="A2762" s="61">
        <v>2.00908497E8</v>
      </c>
      <c r="B2762" s="54" t="s">
        <v>16061</v>
      </c>
      <c r="C2762" s="54" t="s">
        <v>16062</v>
      </c>
    </row>
    <row r="2763" hidden="1">
      <c r="A2763" s="61">
        <v>2.02106811E8</v>
      </c>
      <c r="B2763" s="54" t="s">
        <v>16063</v>
      </c>
      <c r="C2763" s="54" t="s">
        <v>16064</v>
      </c>
    </row>
    <row r="2764" hidden="1">
      <c r="A2764" s="61">
        <v>2.01800283E8</v>
      </c>
      <c r="B2764" s="54" t="s">
        <v>16065</v>
      </c>
      <c r="C2764" s="54" t="s">
        <v>16066</v>
      </c>
    </row>
    <row r="2765" hidden="1">
      <c r="A2765" s="61">
        <v>2.00307307E8</v>
      </c>
      <c r="B2765" s="54" t="s">
        <v>16067</v>
      </c>
      <c r="C2765" s="54" t="s">
        <v>11845</v>
      </c>
    </row>
    <row r="2766" hidden="1">
      <c r="A2766" s="61">
        <v>2.020001E8</v>
      </c>
      <c r="B2766" s="54" t="s">
        <v>16068</v>
      </c>
      <c r="C2766" s="54" t="s">
        <v>16069</v>
      </c>
    </row>
    <row r="2767" hidden="1">
      <c r="A2767" s="61">
        <v>2.01512279E8</v>
      </c>
      <c r="B2767" s="54" t="s">
        <v>16070</v>
      </c>
      <c r="C2767" s="54" t="s">
        <v>16071</v>
      </c>
    </row>
    <row r="2768" hidden="1">
      <c r="A2768" s="61">
        <v>2.02009791E8</v>
      </c>
      <c r="B2768" s="54" t="s">
        <v>16072</v>
      </c>
      <c r="C2768" s="54" t="s">
        <v>16073</v>
      </c>
    </row>
    <row r="2769" hidden="1">
      <c r="A2769" s="61">
        <v>2.00809294E8</v>
      </c>
      <c r="B2769" s="54" t="s">
        <v>16074</v>
      </c>
      <c r="C2769" s="54" t="s">
        <v>16075</v>
      </c>
    </row>
    <row r="2770" hidden="1">
      <c r="A2770" s="61">
        <v>2.02107874E8</v>
      </c>
      <c r="B2770" s="54" t="s">
        <v>16076</v>
      </c>
      <c r="C2770" s="54" t="s">
        <v>16077</v>
      </c>
    </row>
    <row r="2771" hidden="1">
      <c r="A2771" s="61">
        <v>2.01900572E8</v>
      </c>
      <c r="B2771" s="54" t="s">
        <v>16078</v>
      </c>
      <c r="C2771" s="54" t="s">
        <v>16079</v>
      </c>
    </row>
    <row r="2772" hidden="1">
      <c r="A2772" s="61">
        <v>2.00201713E8</v>
      </c>
      <c r="B2772" s="54" t="s">
        <v>16080</v>
      </c>
      <c r="C2772" s="54" t="s">
        <v>16081</v>
      </c>
    </row>
    <row r="2773" hidden="1">
      <c r="A2773" s="61">
        <v>2.01508186E8</v>
      </c>
      <c r="B2773" s="54" t="s">
        <v>16082</v>
      </c>
      <c r="C2773" s="54" t="s">
        <v>16083</v>
      </c>
    </row>
    <row r="2774" hidden="1">
      <c r="A2774" s="61">
        <v>2.02001565E8</v>
      </c>
      <c r="B2774" s="54" t="s">
        <v>16084</v>
      </c>
      <c r="C2774" s="54" t="s">
        <v>16085</v>
      </c>
    </row>
    <row r="2775" hidden="1">
      <c r="A2775" s="61">
        <v>2.02103389E8</v>
      </c>
      <c r="B2775" s="54" t="s">
        <v>16086</v>
      </c>
      <c r="C2775" s="54" t="s">
        <v>16087</v>
      </c>
    </row>
    <row r="2776" hidden="1">
      <c r="A2776" s="61">
        <v>2.01909921E8</v>
      </c>
      <c r="B2776" s="54" t="s">
        <v>16088</v>
      </c>
      <c r="C2776" s="54" t="s">
        <v>13677</v>
      </c>
    </row>
    <row r="2777" hidden="1">
      <c r="A2777" s="61">
        <v>2.01506915E8</v>
      </c>
      <c r="B2777" s="54" t="s">
        <v>16089</v>
      </c>
      <c r="C2777" s="54" t="s">
        <v>16090</v>
      </c>
    </row>
    <row r="2778" hidden="1">
      <c r="A2778" s="61">
        <v>2.0180329E8</v>
      </c>
      <c r="B2778" s="54" t="s">
        <v>16091</v>
      </c>
      <c r="C2778" s="54" t="s">
        <v>12484</v>
      </c>
    </row>
    <row r="2779" hidden="1">
      <c r="A2779" s="61">
        <v>2.0180326E8</v>
      </c>
      <c r="B2779" s="54" t="s">
        <v>16092</v>
      </c>
      <c r="C2779" s="54" t="s">
        <v>16093</v>
      </c>
    </row>
    <row r="2780" hidden="1">
      <c r="A2780" s="61">
        <v>2.01506888E8</v>
      </c>
      <c r="B2780" s="54" t="s">
        <v>16094</v>
      </c>
      <c r="C2780" s="54" t="s">
        <v>16095</v>
      </c>
    </row>
    <row r="2781" hidden="1">
      <c r="A2781" s="61">
        <v>2.01300192E8</v>
      </c>
      <c r="B2781" s="54" t="s">
        <v>16096</v>
      </c>
      <c r="C2781" s="54" t="s">
        <v>12025</v>
      </c>
    </row>
    <row r="2782" hidden="1">
      <c r="A2782" s="61">
        <v>2.02002339E8</v>
      </c>
      <c r="B2782" s="54" t="s">
        <v>16097</v>
      </c>
      <c r="C2782" s="54" t="s">
        <v>16098</v>
      </c>
    </row>
    <row r="2783" hidden="1">
      <c r="A2783" s="61">
        <v>2.02102978E8</v>
      </c>
      <c r="B2783" s="54" t="s">
        <v>16099</v>
      </c>
      <c r="C2783" s="54" t="s">
        <v>16100</v>
      </c>
    </row>
    <row r="2784" hidden="1">
      <c r="A2784" s="61">
        <v>2.01803272E8</v>
      </c>
      <c r="B2784" s="54" t="s">
        <v>16101</v>
      </c>
      <c r="C2784" s="54" t="s">
        <v>16102</v>
      </c>
    </row>
    <row r="2785" hidden="1">
      <c r="A2785" s="61">
        <v>2.01800284E8</v>
      </c>
      <c r="B2785" s="54" t="s">
        <v>16103</v>
      </c>
      <c r="C2785" s="54" t="s">
        <v>16104</v>
      </c>
    </row>
    <row r="2786" hidden="1">
      <c r="A2786" s="61">
        <v>2.01800285E8</v>
      </c>
      <c r="B2786" s="54" t="s">
        <v>16105</v>
      </c>
      <c r="C2786" s="54" t="s">
        <v>16106</v>
      </c>
    </row>
    <row r="2787" hidden="1">
      <c r="A2787" s="61">
        <v>2.01502092E8</v>
      </c>
      <c r="B2787" s="54" t="s">
        <v>16107</v>
      </c>
      <c r="C2787" s="54" t="s">
        <v>16066</v>
      </c>
    </row>
    <row r="2788" hidden="1">
      <c r="A2788" s="61">
        <v>2.00802407E8</v>
      </c>
      <c r="B2788" s="54" t="s">
        <v>16108</v>
      </c>
      <c r="C2788" s="54" t="s">
        <v>11691</v>
      </c>
    </row>
    <row r="2789" hidden="1">
      <c r="A2789" s="61">
        <v>2.01010161E8</v>
      </c>
      <c r="B2789" s="54" t="s">
        <v>16109</v>
      </c>
      <c r="C2789" s="54" t="s">
        <v>15019</v>
      </c>
    </row>
    <row r="2790" hidden="1">
      <c r="A2790" s="61">
        <v>2.02000103E8</v>
      </c>
      <c r="B2790" s="54" t="s">
        <v>16110</v>
      </c>
      <c r="C2790" s="54" t="s">
        <v>16111</v>
      </c>
    </row>
    <row r="2791" hidden="1">
      <c r="A2791" s="61">
        <v>2.01705677E8</v>
      </c>
      <c r="B2791" s="54" t="s">
        <v>16112</v>
      </c>
      <c r="C2791" s="54" t="s">
        <v>16113</v>
      </c>
    </row>
    <row r="2792" hidden="1">
      <c r="A2792" s="61">
        <v>2.01300914E8</v>
      </c>
      <c r="B2792" s="54" t="s">
        <v>16114</v>
      </c>
      <c r="C2792" s="54" t="s">
        <v>16115</v>
      </c>
    </row>
    <row r="2793" hidden="1">
      <c r="A2793" s="61">
        <v>2.0190022E8</v>
      </c>
      <c r="B2793" s="54" t="s">
        <v>16116</v>
      </c>
      <c r="C2793" s="54" t="s">
        <v>16117</v>
      </c>
    </row>
    <row r="2794" hidden="1">
      <c r="A2794" s="61">
        <v>2.01709738E8</v>
      </c>
      <c r="B2794" s="54" t="s">
        <v>16118</v>
      </c>
      <c r="C2794" s="54" t="s">
        <v>16119</v>
      </c>
    </row>
    <row r="2795" hidden="1">
      <c r="A2795" s="61">
        <v>2.02009782E8</v>
      </c>
      <c r="B2795" s="54" t="s">
        <v>16120</v>
      </c>
      <c r="C2795" s="54" t="s">
        <v>16121</v>
      </c>
    </row>
    <row r="2796" hidden="1">
      <c r="A2796" s="61">
        <v>2.0210339E8</v>
      </c>
      <c r="B2796" s="54" t="s">
        <v>16120</v>
      </c>
      <c r="C2796" s="54" t="s">
        <v>16122</v>
      </c>
    </row>
    <row r="2797" hidden="1">
      <c r="A2797" s="61">
        <v>2.00501508E8</v>
      </c>
      <c r="B2797" s="54" t="s">
        <v>16123</v>
      </c>
      <c r="C2797" s="54" t="s">
        <v>16124</v>
      </c>
    </row>
    <row r="2798" hidden="1">
      <c r="A2798" s="61">
        <v>2.02103348E8</v>
      </c>
      <c r="B2798" s="54" t="s">
        <v>16125</v>
      </c>
      <c r="C2798" s="54" t="s">
        <v>11488</v>
      </c>
    </row>
    <row r="2799" hidden="1">
      <c r="A2799" s="61">
        <v>1.99201601E8</v>
      </c>
      <c r="B2799" s="54" t="s">
        <v>16125</v>
      </c>
      <c r="C2799" s="54" t="s">
        <v>16126</v>
      </c>
    </row>
    <row r="2800" hidden="1">
      <c r="A2800" s="61">
        <v>2.02105143E8</v>
      </c>
      <c r="B2800" s="54" t="s">
        <v>16127</v>
      </c>
      <c r="C2800" s="54" t="s">
        <v>14283</v>
      </c>
    </row>
    <row r="2801" hidden="1">
      <c r="A2801" s="61">
        <v>2.01507105E8</v>
      </c>
      <c r="B2801" s="54" t="s">
        <v>16128</v>
      </c>
      <c r="C2801" s="54" t="s">
        <v>16129</v>
      </c>
    </row>
    <row r="2802" hidden="1">
      <c r="A2802" s="61">
        <v>2.01603807E8</v>
      </c>
      <c r="B2802" s="54" t="s">
        <v>16130</v>
      </c>
      <c r="C2802" s="54" t="s">
        <v>16131</v>
      </c>
    </row>
    <row r="2803" hidden="1">
      <c r="A2803" s="61">
        <v>2.01110809E8</v>
      </c>
      <c r="B2803" s="54" t="s">
        <v>16132</v>
      </c>
      <c r="C2803" s="54" t="s">
        <v>12185</v>
      </c>
    </row>
    <row r="2804" hidden="1">
      <c r="A2804" s="61">
        <v>2.01205241E8</v>
      </c>
      <c r="B2804" s="54" t="s">
        <v>16133</v>
      </c>
      <c r="C2804" s="54" t="s">
        <v>13680</v>
      </c>
    </row>
    <row r="2805" hidden="1">
      <c r="A2805" s="61">
        <v>2.01505672E8</v>
      </c>
      <c r="B2805" s="54" t="s">
        <v>16134</v>
      </c>
      <c r="C2805" s="54" t="s">
        <v>11845</v>
      </c>
    </row>
    <row r="2806" hidden="1">
      <c r="A2806" s="61">
        <v>2.01801358E8</v>
      </c>
      <c r="B2806" s="54" t="s">
        <v>16135</v>
      </c>
      <c r="C2806" s="54" t="s">
        <v>16136</v>
      </c>
    </row>
    <row r="2807" hidden="1">
      <c r="A2807" s="61">
        <v>2.01801359E8</v>
      </c>
      <c r="B2807" s="54" t="s">
        <v>16137</v>
      </c>
      <c r="C2807" s="54" t="s">
        <v>15470</v>
      </c>
    </row>
    <row r="2808" hidden="1">
      <c r="A2808" s="61">
        <v>2.02107907E8</v>
      </c>
      <c r="B2808" s="54" t="s">
        <v>16138</v>
      </c>
      <c r="C2808" s="54" t="s">
        <v>16139</v>
      </c>
    </row>
    <row r="2809" hidden="1">
      <c r="A2809" s="61">
        <v>2.01603638E8</v>
      </c>
      <c r="B2809" s="54" t="s">
        <v>16140</v>
      </c>
      <c r="C2809" s="54" t="s">
        <v>16141</v>
      </c>
    </row>
    <row r="2810" hidden="1">
      <c r="A2810" s="61">
        <v>2.01508187E8</v>
      </c>
      <c r="B2810" s="54" t="s">
        <v>16142</v>
      </c>
      <c r="C2810" s="54" t="s">
        <v>11607</v>
      </c>
    </row>
    <row r="2811" hidden="1">
      <c r="A2811" s="61">
        <v>2.01900607E8</v>
      </c>
      <c r="B2811" s="54" t="s">
        <v>16143</v>
      </c>
      <c r="C2811" s="54" t="s">
        <v>16144</v>
      </c>
    </row>
    <row r="2812" hidden="1">
      <c r="A2812" s="61">
        <v>2.02000026E8</v>
      </c>
      <c r="B2812" s="54" t="s">
        <v>16145</v>
      </c>
      <c r="C2812" s="54" t="s">
        <v>14119</v>
      </c>
    </row>
    <row r="2813" hidden="1">
      <c r="A2813" s="61">
        <v>2.0030758E8</v>
      </c>
      <c r="B2813" s="54" t="s">
        <v>16146</v>
      </c>
      <c r="C2813" s="54" t="s">
        <v>11762</v>
      </c>
    </row>
    <row r="2814" hidden="1">
      <c r="A2814" s="61">
        <v>2.01801793E8</v>
      </c>
      <c r="B2814" s="54" t="s">
        <v>16147</v>
      </c>
      <c r="C2814" s="54" t="s">
        <v>16148</v>
      </c>
    </row>
    <row r="2815" hidden="1">
      <c r="A2815" s="61">
        <v>2.01603809E8</v>
      </c>
      <c r="B2815" s="54" t="s">
        <v>16149</v>
      </c>
      <c r="C2815" s="54" t="s">
        <v>16150</v>
      </c>
    </row>
    <row r="2816" hidden="1">
      <c r="A2816" s="61">
        <v>2.0120103E8</v>
      </c>
      <c r="B2816" s="54" t="s">
        <v>16151</v>
      </c>
      <c r="C2816" s="54" t="s">
        <v>16152</v>
      </c>
    </row>
    <row r="2817" hidden="1">
      <c r="A2817" s="61">
        <v>2.01506882E8</v>
      </c>
      <c r="B2817" s="54" t="s">
        <v>16153</v>
      </c>
      <c r="C2817" s="54" t="s">
        <v>11835</v>
      </c>
    </row>
    <row r="2818" hidden="1">
      <c r="A2818" s="61">
        <v>2.01902238E8</v>
      </c>
      <c r="B2818" s="54" t="s">
        <v>16154</v>
      </c>
      <c r="C2818" s="54" t="s">
        <v>11997</v>
      </c>
    </row>
    <row r="2819" hidden="1">
      <c r="A2819" s="61">
        <v>2.01905775E8</v>
      </c>
      <c r="B2819" s="54" t="s">
        <v>16154</v>
      </c>
      <c r="C2819" s="54" t="s">
        <v>16155</v>
      </c>
    </row>
    <row r="2820" hidden="1">
      <c r="A2820" s="61">
        <v>2.0120517E8</v>
      </c>
      <c r="B2820" s="54" t="s">
        <v>16156</v>
      </c>
      <c r="C2820" s="54" t="s">
        <v>16157</v>
      </c>
    </row>
    <row r="2821" hidden="1">
      <c r="A2821" s="61">
        <v>2.02107895E8</v>
      </c>
      <c r="B2821" s="54" t="s">
        <v>16158</v>
      </c>
      <c r="C2821" s="54" t="s">
        <v>16159</v>
      </c>
    </row>
    <row r="2822" hidden="1">
      <c r="A2822" s="61">
        <v>2.01407313E8</v>
      </c>
      <c r="B2822" s="54" t="s">
        <v>16160</v>
      </c>
      <c r="C2822" s="54" t="s">
        <v>13121</v>
      </c>
    </row>
    <row r="2823" hidden="1">
      <c r="A2823" s="61">
        <v>2.01612111E8</v>
      </c>
      <c r="B2823" s="54" t="s">
        <v>16161</v>
      </c>
      <c r="C2823" s="54" t="s">
        <v>12309</v>
      </c>
    </row>
    <row r="2824" hidden="1">
      <c r="A2824" s="61">
        <v>2.0180136E8</v>
      </c>
      <c r="B2824" s="54" t="s">
        <v>16162</v>
      </c>
      <c r="C2824" s="54" t="s">
        <v>16163</v>
      </c>
    </row>
    <row r="2825" hidden="1">
      <c r="A2825" s="61">
        <v>2.01508188E8</v>
      </c>
      <c r="B2825" s="54" t="s">
        <v>16164</v>
      </c>
      <c r="C2825" s="54" t="s">
        <v>16165</v>
      </c>
    </row>
    <row r="2826" hidden="1">
      <c r="A2826" s="61">
        <v>2.02103339E8</v>
      </c>
      <c r="B2826" s="54" t="s">
        <v>16166</v>
      </c>
      <c r="C2826" s="54" t="s">
        <v>11486</v>
      </c>
    </row>
  </sheetData>
  <autoFilter ref="$A$1:$C$2826">
    <filterColumn colId="0">
      <filters>
        <filter val="200901237"/>
      </filters>
    </filterColumn>
  </autoFilter>
  <drawing r:id="rId1"/>
</worksheet>
</file>